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worksheets/sheet7.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710" windowWidth="19260" windowHeight="4050" tabRatio="683" firstSheet="10" activeTab="11"/>
  </bookViews>
  <sheets>
    <sheet name="Workshop Assumptions" sheetId="26" r:id="rId1"/>
    <sheet name="Deployment Assumptions" sheetId="27" r:id="rId2"/>
    <sheet name="Budget" sheetId="10" state="hidden" r:id="rId3"/>
    <sheet name="Material Cost Summary" sheetId="6" r:id="rId4"/>
    <sheet name="ES-JoanieAppleseed" sheetId="12" r:id="rId5"/>
    <sheet name="ES-ToadsCar" sheetId="13" r:id="rId6"/>
    <sheet name="ES-BricksForPigs" sheetId="14" r:id="rId7"/>
    <sheet name="MS-Bioswale" sheetId="15" r:id="rId8"/>
    <sheet name="MS-FrankenPlants" sheetId="24" r:id="rId9"/>
    <sheet name="MS-UltimateSpeed" sheetId="16" r:id="rId10"/>
    <sheet name="HS-Calorimeter" sheetId="25" r:id="rId11"/>
    <sheet name="HS-LittlefootsRide" sheetId="17" r:id="rId12"/>
    <sheet name="HS-BiofuelFromAlgae" sheetId="18" r:id="rId13"/>
    <sheet name="All-Tallest Tower" sheetId="20" r:id="rId14"/>
    <sheet name="All-CO2 Cannon" sheetId="19" r:id="rId15"/>
    <sheet name="All-IndexCardChair" sheetId="21" r:id="rId16"/>
    <sheet name="CommonOfficeSupplies" sheetId="22" state="hidden" r:id="rId17"/>
    <sheet name="MasterShoppingList" sheetId="23" state="hidden" r:id="rId18"/>
  </sheets>
  <definedNames>
    <definedName name="_xlnm.Print_Area" localSheetId="6">'ES-BricksForPigs'!$AI$3:$AS$16</definedName>
    <definedName name="_xlnm.Print_Area" localSheetId="4">'ES-JoanieAppleseed'!$AH$3:$AR$28</definedName>
    <definedName name="_xlnm.Print_Area" localSheetId="5">'ES-ToadsCar'!$AI$3:$AS$19</definedName>
    <definedName name="_xlnm.Print_Area" localSheetId="12">'HS-BiofuelFromAlgae'!$AI$3:$AS$38</definedName>
    <definedName name="_xlnm.Print_Area" localSheetId="11">'HS-LittlefootsRide'!$AI$4:$AS$19</definedName>
    <definedName name="_xlnm.Print_Area" localSheetId="17">MasterShoppingList!$A$2:$J$121</definedName>
    <definedName name="_xlnm.Print_Area" localSheetId="7">'MS-Bioswale'!$AI$3:$AS$19</definedName>
    <definedName name="_xlnm.Print_Area" localSheetId="9">'MS-UltimateSpeed'!$AI$3:$AS$20</definedName>
  </definedNames>
  <calcPr calcId="145621"/>
</workbook>
</file>

<file path=xl/calcChain.xml><?xml version="1.0" encoding="utf-8"?>
<calcChain xmlns="http://schemas.openxmlformats.org/spreadsheetml/2006/main">
  <c r="AQ5" i="17" l="1"/>
  <c r="AI6" i="17"/>
  <c r="AI10" i="17"/>
  <c r="AJ10" i="17"/>
  <c r="AK10" i="17"/>
  <c r="AL10" i="17"/>
  <c r="AM10" i="17"/>
  <c r="AN10" i="17"/>
  <c r="AO10" i="17"/>
  <c r="AP10" i="17"/>
  <c r="AQ10" i="17"/>
  <c r="AR10" i="17"/>
  <c r="AS10" i="17"/>
  <c r="AI11" i="17"/>
  <c r="AJ11" i="17"/>
  <c r="AK11" i="17"/>
  <c r="AL11" i="17"/>
  <c r="AM11" i="17"/>
  <c r="AN11" i="17"/>
  <c r="AO11" i="17"/>
  <c r="AP11" i="17"/>
  <c r="AQ11" i="17"/>
  <c r="AR11" i="17"/>
  <c r="AS11" i="17"/>
  <c r="AI12" i="17"/>
  <c r="AJ12" i="17"/>
  <c r="AK12" i="17"/>
  <c r="AL12" i="17"/>
  <c r="AM12" i="17"/>
  <c r="AN12" i="17"/>
  <c r="AO12" i="17"/>
  <c r="AP12" i="17"/>
  <c r="AQ12" i="17"/>
  <c r="AR12" i="17"/>
  <c r="AS12" i="17"/>
  <c r="AI13" i="17"/>
  <c r="AJ13" i="17"/>
  <c r="AK13" i="17"/>
  <c r="AL13" i="17"/>
  <c r="AM13" i="17"/>
  <c r="AN13" i="17"/>
  <c r="AO13" i="17"/>
  <c r="AP13" i="17"/>
  <c r="AQ13" i="17"/>
  <c r="AR13" i="17"/>
  <c r="AS13" i="17"/>
  <c r="AI14" i="17"/>
  <c r="AJ14" i="17"/>
  <c r="AK14" i="17"/>
  <c r="AL14" i="17"/>
  <c r="AM14" i="17"/>
  <c r="AN14" i="17"/>
  <c r="AO14" i="17"/>
  <c r="AP14" i="17"/>
  <c r="AQ14" i="17"/>
  <c r="AR14" i="17"/>
  <c r="AS14" i="17"/>
  <c r="AI15" i="17"/>
  <c r="AJ15" i="17"/>
  <c r="AK15" i="17"/>
  <c r="AL15" i="17"/>
  <c r="AM15" i="17"/>
  <c r="AN15" i="17"/>
  <c r="AO15" i="17"/>
  <c r="AP15" i="17"/>
  <c r="AQ15" i="17"/>
  <c r="AR15" i="17"/>
  <c r="AS15" i="17"/>
  <c r="AQ6" i="17"/>
  <c r="AN6" i="17"/>
  <c r="AS6" i="17"/>
  <c r="AR6" i="17"/>
  <c r="AP6" i="17"/>
  <c r="AO6" i="17"/>
  <c r="AM6" i="17"/>
  <c r="AL6" i="17"/>
  <c r="AK6" i="17"/>
  <c r="AJ6" i="17"/>
  <c r="N9" i="17"/>
  <c r="O9" i="17"/>
  <c r="N10" i="17"/>
  <c r="O10" i="17"/>
  <c r="N11" i="17"/>
  <c r="O11" i="17"/>
  <c r="N12" i="17"/>
  <c r="O12" i="17"/>
  <c r="N13" i="17"/>
  <c r="O13" i="17"/>
  <c r="N14" i="17"/>
  <c r="O14" i="17"/>
  <c r="N15" i="17"/>
  <c r="O15" i="17"/>
  <c r="AD13" i="17"/>
  <c r="AE13" i="17"/>
  <c r="AD14" i="17"/>
  <c r="AE14" i="17"/>
  <c r="U13" i="17"/>
  <c r="T13" i="17"/>
  <c r="S13" i="17"/>
  <c r="S14" i="17"/>
  <c r="T14" i="17" s="1"/>
  <c r="S15" i="17"/>
  <c r="T15" i="17" s="1"/>
  <c r="Q13" i="17"/>
  <c r="R13" i="17"/>
  <c r="Q14" i="17"/>
  <c r="R14" i="17"/>
  <c r="U15" i="17" l="1"/>
  <c r="U14" i="17"/>
  <c r="V18" i="6"/>
  <c r="S18" i="6"/>
  <c r="H18" i="6"/>
  <c r="E18" i="6"/>
  <c r="V17" i="6"/>
  <c r="S17" i="6"/>
  <c r="S19" i="6" s="1"/>
  <c r="L17" i="6"/>
  <c r="H17" i="6"/>
  <c r="E17" i="6"/>
  <c r="V16" i="6"/>
  <c r="S16" i="6"/>
  <c r="O16" i="6"/>
  <c r="AB16" i="6" s="1"/>
  <c r="L16" i="6"/>
  <c r="Y16" i="6" s="1"/>
  <c r="H16" i="6"/>
  <c r="E16" i="6"/>
  <c r="AA19" i="6"/>
  <c r="Z19" i="6"/>
  <c r="X19" i="6"/>
  <c r="W19" i="6"/>
  <c r="U19" i="6"/>
  <c r="T19" i="6"/>
  <c r="R19" i="6"/>
  <c r="Q19" i="6"/>
  <c r="N19" i="6"/>
  <c r="M19" i="6"/>
  <c r="K19" i="6"/>
  <c r="J19" i="6"/>
  <c r="H19" i="6"/>
  <c r="G19" i="6"/>
  <c r="F19" i="6"/>
  <c r="D19" i="6"/>
  <c r="C19" i="6"/>
  <c r="V19" i="6" l="1"/>
  <c r="E19" i="6"/>
  <c r="Y17" i="6"/>
  <c r="K27" i="6"/>
  <c r="J27" i="6"/>
  <c r="AD19" i="16"/>
  <c r="Y19" i="16"/>
  <c r="L6" i="13"/>
  <c r="K8" i="24"/>
  <c r="K6" i="24"/>
  <c r="K10" i="24"/>
  <c r="K11" i="24"/>
  <c r="K14" i="25" l="1"/>
  <c r="K13" i="25"/>
  <c r="AE11" i="16"/>
  <c r="AD11" i="16"/>
  <c r="Z11" i="16"/>
  <c r="Y11" i="16"/>
  <c r="U11" i="16"/>
  <c r="T11" i="16"/>
  <c r="R11" i="16"/>
  <c r="Q11" i="16"/>
  <c r="P11" i="16"/>
  <c r="O11" i="16"/>
  <c r="M11" i="16"/>
  <c r="N11" i="16"/>
  <c r="N10" i="16"/>
  <c r="K6" i="16"/>
  <c r="K13" i="24"/>
  <c r="K7" i="24"/>
  <c r="K17" i="24"/>
  <c r="K12" i="24"/>
  <c r="K14" i="24"/>
  <c r="K19" i="24"/>
  <c r="K9" i="15" l="1"/>
  <c r="L9" i="15" s="1"/>
  <c r="K8" i="15"/>
  <c r="K7" i="15"/>
  <c r="T14" i="12" l="1"/>
  <c r="U14" i="12" s="1"/>
  <c r="T15" i="12"/>
  <c r="V15" i="12" s="1"/>
  <c r="U15" i="12"/>
  <c r="T16" i="12"/>
  <c r="U16" i="12" s="1"/>
  <c r="V16" i="12"/>
  <c r="T17" i="12"/>
  <c r="U17" i="12"/>
  <c r="V17" i="12"/>
  <c r="T18" i="12"/>
  <c r="U18" i="12" s="1"/>
  <c r="T19" i="12"/>
  <c r="V19" i="12" s="1"/>
  <c r="U19" i="12"/>
  <c r="T20" i="12"/>
  <c r="U20" i="12" s="1"/>
  <c r="V20" i="12"/>
  <c r="T21" i="12"/>
  <c r="U21" i="12"/>
  <c r="V21" i="12"/>
  <c r="T22" i="12"/>
  <c r="U22" i="12" s="1"/>
  <c r="V13" i="12"/>
  <c r="T13" i="12"/>
  <c r="U13" i="12" s="1"/>
  <c r="T8" i="12"/>
  <c r="U8" i="12" s="1"/>
  <c r="T9" i="12"/>
  <c r="V9" i="12" s="1"/>
  <c r="T10" i="12"/>
  <c r="U10" i="12"/>
  <c r="V10" i="12"/>
  <c r="V7" i="12"/>
  <c r="U7" i="12"/>
  <c r="T7" i="12"/>
  <c r="U23" i="12" l="1"/>
  <c r="U28" i="12" s="1"/>
  <c r="V22" i="12"/>
  <c r="V18" i="12"/>
  <c r="V23" i="12" s="1"/>
  <c r="V28" i="12" s="1"/>
  <c r="V14" i="12"/>
  <c r="U9" i="12"/>
  <c r="V8" i="12"/>
  <c r="U41" i="18" l="1"/>
  <c r="S41" i="18"/>
  <c r="T41" i="18" s="1"/>
  <c r="U40" i="18"/>
  <c r="S40" i="18"/>
  <c r="T40" i="18" s="1"/>
  <c r="T12" i="18"/>
  <c r="S23" i="18"/>
  <c r="T23" i="18" s="1"/>
  <c r="S24" i="18"/>
  <c r="U24" i="18" s="1"/>
  <c r="T24" i="18"/>
  <c r="S25" i="18"/>
  <c r="T25" i="18"/>
  <c r="U25" i="18"/>
  <c r="S26" i="18"/>
  <c r="T26" i="18"/>
  <c r="U26" i="18"/>
  <c r="S27" i="18"/>
  <c r="T27" i="18" s="1"/>
  <c r="S28" i="18"/>
  <c r="U28" i="18" s="1"/>
  <c r="T28" i="18"/>
  <c r="S29" i="18"/>
  <c r="T29" i="18"/>
  <c r="U29" i="18"/>
  <c r="S30" i="18"/>
  <c r="T30" i="18"/>
  <c r="U30" i="18"/>
  <c r="S31" i="18"/>
  <c r="T31" i="18" s="1"/>
  <c r="S32" i="18"/>
  <c r="U32" i="18" s="1"/>
  <c r="T32" i="18"/>
  <c r="S33" i="18"/>
  <c r="T33" i="18"/>
  <c r="U33" i="18"/>
  <c r="S34" i="18"/>
  <c r="T34" i="18" s="1"/>
  <c r="S22" i="18"/>
  <c r="T22" i="18" s="1"/>
  <c r="S15" i="18"/>
  <c r="T15" i="18" s="1"/>
  <c r="S16" i="18"/>
  <c r="U16" i="18" s="1"/>
  <c r="T16" i="18"/>
  <c r="S17" i="18"/>
  <c r="T17" i="18" s="1"/>
  <c r="U17" i="18"/>
  <c r="S18" i="18"/>
  <c r="T18" i="18"/>
  <c r="U18" i="18"/>
  <c r="S19" i="18"/>
  <c r="T19" i="18" s="1"/>
  <c r="S14" i="18"/>
  <c r="U14" i="18" s="1"/>
  <c r="S8" i="18"/>
  <c r="T8" i="18" s="1"/>
  <c r="S9" i="18"/>
  <c r="U9" i="18" s="1"/>
  <c r="T9" i="18"/>
  <c r="S10" i="18"/>
  <c r="T10" i="18" s="1"/>
  <c r="U10" i="18"/>
  <c r="U12" i="18" s="1"/>
  <c r="S11" i="18"/>
  <c r="U11" i="18" s="1"/>
  <c r="T11" i="18"/>
  <c r="U7" i="18"/>
  <c r="T7" i="18"/>
  <c r="S7" i="18"/>
  <c r="S11" i="17"/>
  <c r="T11" i="17" s="1"/>
  <c r="S12" i="17"/>
  <c r="U12" i="17" s="1"/>
  <c r="S8" i="17"/>
  <c r="U8" i="17" s="1"/>
  <c r="S9" i="17"/>
  <c r="T9" i="17" s="1"/>
  <c r="S10" i="17"/>
  <c r="U10" i="17" s="1"/>
  <c r="S7" i="25"/>
  <c r="T7" i="25" s="1"/>
  <c r="S8" i="25"/>
  <c r="U8" i="25" s="1"/>
  <c r="T8" i="25"/>
  <c r="S10" i="25"/>
  <c r="T10" i="25"/>
  <c r="U10" i="25"/>
  <c r="S13" i="25"/>
  <c r="T13" i="25" s="1"/>
  <c r="U13" i="25"/>
  <c r="S14" i="25"/>
  <c r="T14" i="25" s="1"/>
  <c r="S15" i="25"/>
  <c r="T15" i="25" s="1"/>
  <c r="S17" i="25"/>
  <c r="T17" i="25" s="1"/>
  <c r="U17" i="25"/>
  <c r="S18" i="25"/>
  <c r="T18" i="25"/>
  <c r="U18" i="25"/>
  <c r="S20" i="25"/>
  <c r="U20" i="25" s="1"/>
  <c r="T20" i="25"/>
  <c r="S21" i="25"/>
  <c r="T21" i="25" s="1"/>
  <c r="U21" i="25"/>
  <c r="S23" i="25"/>
  <c r="T23" i="25" s="1"/>
  <c r="U6" i="25"/>
  <c r="T6" i="25"/>
  <c r="S6" i="25"/>
  <c r="T16" i="16"/>
  <c r="U16" i="16"/>
  <c r="S13" i="16"/>
  <c r="T13" i="16" s="1"/>
  <c r="S14" i="16"/>
  <c r="U14" i="16" s="1"/>
  <c r="T14" i="16"/>
  <c r="S15" i="16"/>
  <c r="T15" i="16" s="1"/>
  <c r="U15" i="16"/>
  <c r="S12" i="16"/>
  <c r="U12" i="16" s="1"/>
  <c r="S7" i="16"/>
  <c r="T7" i="16" s="1"/>
  <c r="S8" i="16"/>
  <c r="U8" i="16" s="1"/>
  <c r="T8" i="16"/>
  <c r="S9" i="16"/>
  <c r="T9" i="16" s="1"/>
  <c r="S10" i="16"/>
  <c r="U10" i="16" s="1"/>
  <c r="T10" i="16"/>
  <c r="S6" i="16"/>
  <c r="U6" i="16" s="1"/>
  <c r="S7" i="15"/>
  <c r="T7" i="15" s="1"/>
  <c r="S8" i="15"/>
  <c r="U8" i="15" s="1"/>
  <c r="S9" i="15"/>
  <c r="T9" i="15"/>
  <c r="U9" i="15"/>
  <c r="S13" i="15"/>
  <c r="T13" i="15"/>
  <c r="U13" i="15"/>
  <c r="S14" i="15"/>
  <c r="T14" i="15"/>
  <c r="U14" i="15"/>
  <c r="S6" i="15"/>
  <c r="U6" i="15" s="1"/>
  <c r="S7" i="14"/>
  <c r="T7" i="14"/>
  <c r="U7" i="14"/>
  <c r="S8" i="14"/>
  <c r="T8" i="14"/>
  <c r="U8" i="14"/>
  <c r="S9" i="14"/>
  <c r="T9" i="14" s="1"/>
  <c r="S10" i="14"/>
  <c r="U10" i="14" s="1"/>
  <c r="T10" i="14"/>
  <c r="S11" i="14"/>
  <c r="T11" i="14"/>
  <c r="U11" i="14"/>
  <c r="S13" i="14"/>
  <c r="T13" i="14" s="1"/>
  <c r="S14" i="14"/>
  <c r="U14" i="14" s="1"/>
  <c r="T14" i="14"/>
  <c r="S6" i="14"/>
  <c r="U6" i="14" s="1"/>
  <c r="T8" i="17" l="1"/>
  <c r="T12" i="17"/>
  <c r="T10" i="17"/>
  <c r="U9" i="17"/>
  <c r="U14" i="25"/>
  <c r="T6" i="16"/>
  <c r="T19" i="16" s="1"/>
  <c r="T8" i="15"/>
  <c r="U7" i="15"/>
  <c r="U34" i="18"/>
  <c r="T35" i="18"/>
  <c r="T20" i="18"/>
  <c r="U7" i="16"/>
  <c r="T6" i="15"/>
  <c r="T6" i="14"/>
  <c r="U31" i="18"/>
  <c r="U27" i="18"/>
  <c r="U23" i="18"/>
  <c r="U22" i="18"/>
  <c r="U19" i="18"/>
  <c r="U15" i="18"/>
  <c r="T14" i="18"/>
  <c r="U8" i="18"/>
  <c r="U11" i="17"/>
  <c r="U23" i="25"/>
  <c r="U15" i="25"/>
  <c r="U7" i="25"/>
  <c r="U13" i="16"/>
  <c r="T12" i="16"/>
  <c r="U9" i="16"/>
  <c r="U13" i="14"/>
  <c r="U9" i="14"/>
  <c r="AB15" i="24"/>
  <c r="AC15" i="24" s="1"/>
  <c r="X15" i="24"/>
  <c r="Y15" i="24" s="1"/>
  <c r="Q15" i="24"/>
  <c r="R15" i="24"/>
  <c r="N15" i="24"/>
  <c r="AO15" i="24" s="1"/>
  <c r="O15" i="24"/>
  <c r="L15" i="24"/>
  <c r="M15" i="24" s="1"/>
  <c r="S15" i="24"/>
  <c r="U15" i="24" s="1"/>
  <c r="T15" i="24"/>
  <c r="AV15" i="24"/>
  <c r="AL15" i="24"/>
  <c r="AM15" i="24"/>
  <c r="AN15" i="24"/>
  <c r="AP15" i="24"/>
  <c r="AQ15" i="24"/>
  <c r="AR15" i="24"/>
  <c r="AS15" i="24"/>
  <c r="AK15" i="24"/>
  <c r="AJ15" i="24"/>
  <c r="AI15" i="24"/>
  <c r="AU15" i="24"/>
  <c r="U20" i="16" l="1"/>
  <c r="O17" i="6" s="1"/>
  <c r="U20" i="18"/>
  <c r="U35" i="18"/>
  <c r="T38" i="18"/>
  <c r="AD15" i="24"/>
  <c r="AE15" i="24"/>
  <c r="Z15" i="24"/>
  <c r="P15" i="24"/>
  <c r="S19" i="24"/>
  <c r="U19" i="24" s="1"/>
  <c r="S14" i="24"/>
  <c r="U14" i="24" s="1"/>
  <c r="S13" i="24"/>
  <c r="T13" i="24" s="1"/>
  <c r="S12" i="24"/>
  <c r="U12" i="24" s="1"/>
  <c r="S11" i="24"/>
  <c r="U11" i="24" s="1"/>
  <c r="S9" i="24"/>
  <c r="T9" i="24" s="1"/>
  <c r="M9" i="13"/>
  <c r="T8" i="13"/>
  <c r="V8" i="13" s="1"/>
  <c r="U8" i="13"/>
  <c r="T9" i="13"/>
  <c r="U9" i="13" s="1"/>
  <c r="T10" i="13"/>
  <c r="U10" i="13"/>
  <c r="V10" i="13"/>
  <c r="T11" i="13"/>
  <c r="U11" i="13" s="1"/>
  <c r="T12" i="13"/>
  <c r="V12" i="13" s="1"/>
  <c r="U12" i="13"/>
  <c r="T6" i="13"/>
  <c r="V6" i="13" s="1"/>
  <c r="AB17" i="6" l="1"/>
  <c r="U9" i="24"/>
  <c r="T12" i="24"/>
  <c r="U38" i="18"/>
  <c r="U6" i="13"/>
  <c r="U13" i="24"/>
  <c r="T11" i="24"/>
  <c r="T14" i="24"/>
  <c r="T19" i="24"/>
  <c r="V9" i="13"/>
  <c r="V11" i="13"/>
  <c r="AA29" i="6"/>
  <c r="Z29" i="6"/>
  <c r="X29" i="6"/>
  <c r="W29" i="6"/>
  <c r="P22" i="12"/>
  <c r="O22" i="12"/>
  <c r="P21" i="12"/>
  <c r="O21" i="12"/>
  <c r="P20" i="12"/>
  <c r="O20" i="12"/>
  <c r="P19" i="12"/>
  <c r="O19" i="12"/>
  <c r="P18" i="12"/>
  <c r="O18" i="12"/>
  <c r="P17" i="12"/>
  <c r="O17" i="12"/>
  <c r="P16" i="12"/>
  <c r="O16" i="12"/>
  <c r="P15" i="12"/>
  <c r="O15" i="12"/>
  <c r="P14" i="12"/>
  <c r="O14" i="12"/>
  <c r="P13" i="12"/>
  <c r="O13" i="12"/>
  <c r="Q7" i="17" l="1"/>
  <c r="R7" i="17"/>
  <c r="Q8" i="17"/>
  <c r="R8" i="17"/>
  <c r="Q9" i="17"/>
  <c r="R9" i="17"/>
  <c r="Q10" i="17"/>
  <c r="R10" i="17"/>
  <c r="K7" i="17"/>
  <c r="N7" i="17"/>
  <c r="O7" i="17"/>
  <c r="N8" i="17"/>
  <c r="O8" i="17"/>
  <c r="R10" i="16"/>
  <c r="Q10" i="16"/>
  <c r="O10" i="16"/>
  <c r="N7" i="16"/>
  <c r="O7" i="16"/>
  <c r="N8" i="16"/>
  <c r="O8" i="16"/>
  <c r="N9" i="16"/>
  <c r="O9" i="16"/>
  <c r="O6" i="16"/>
  <c r="N6" i="16"/>
  <c r="O6" i="14"/>
  <c r="O16" i="14" s="1"/>
  <c r="N6" i="14"/>
  <c r="N16" i="14"/>
  <c r="M3" i="14" l="1"/>
  <c r="R13" i="14"/>
  <c r="Q13" i="14"/>
  <c r="N8" i="14"/>
  <c r="O8" i="14"/>
  <c r="N9" i="14"/>
  <c r="O9" i="14"/>
  <c r="N10" i="14"/>
  <c r="O10" i="14"/>
  <c r="N11" i="14"/>
  <c r="O11" i="14"/>
  <c r="N12" i="14"/>
  <c r="O12" i="14"/>
  <c r="N13" i="14"/>
  <c r="O13" i="14"/>
  <c r="O7" i="14"/>
  <c r="N7" i="14"/>
  <c r="O11" i="13"/>
  <c r="P11" i="13"/>
  <c r="O12" i="13"/>
  <c r="P12" i="13"/>
  <c r="O10" i="13"/>
  <c r="P10" i="13"/>
  <c r="P8" i="13"/>
  <c r="P9" i="13"/>
  <c r="O9" i="13"/>
  <c r="O8" i="13"/>
  <c r="L11" i="14" l="1"/>
  <c r="L7" i="14"/>
  <c r="L8" i="14"/>
  <c r="L12" i="14"/>
  <c r="S12" i="14" s="1"/>
  <c r="L6" i="14"/>
  <c r="L9" i="14"/>
  <c r="L13" i="14"/>
  <c r="L10" i="14"/>
  <c r="L14" i="14"/>
  <c r="L3" i="12"/>
  <c r="T12" i="14" l="1"/>
  <c r="T16" i="14" s="1"/>
  <c r="U12" i="14"/>
  <c r="U16" i="14" s="1"/>
  <c r="AU9" i="15"/>
  <c r="AI9" i="15"/>
  <c r="D45" i="10" l="1"/>
  <c r="L3" i="25" s="1"/>
  <c r="D44" i="10"/>
  <c r="D43" i="10"/>
  <c r="C30" i="10"/>
  <c r="W3" i="25" s="1"/>
  <c r="W21" i="25" s="1"/>
  <c r="C29" i="10"/>
  <c r="C28" i="10"/>
  <c r="C27" i="10"/>
  <c r="B30" i="10"/>
  <c r="Y3" i="25" s="1"/>
  <c r="B29" i="10"/>
  <c r="B28" i="10"/>
  <c r="I7" i="10"/>
  <c r="AF3" i="12" s="1"/>
  <c r="B9" i="26"/>
  <c r="B27" i="10" s="1"/>
  <c r="Q9" i="13" l="1"/>
  <c r="R9" i="13"/>
  <c r="S9" i="13"/>
  <c r="N9" i="13"/>
  <c r="AV6" i="13" l="1"/>
  <c r="AV7" i="13"/>
  <c r="AV8" i="13"/>
  <c r="AV9" i="13"/>
  <c r="AV10" i="13"/>
  <c r="AV11" i="13"/>
  <c r="AV12" i="13"/>
  <c r="AV5" i="13"/>
  <c r="AU12" i="13"/>
  <c r="AU11" i="13"/>
  <c r="AU10" i="13"/>
  <c r="AU9" i="13"/>
  <c r="AU8" i="13"/>
  <c r="AU7" i="13"/>
  <c r="AU6" i="13"/>
  <c r="AU5" i="13"/>
  <c r="AH6" i="12"/>
  <c r="AT6" i="12"/>
  <c r="AT7" i="12"/>
  <c r="AU7" i="12"/>
  <c r="AT8" i="12"/>
  <c r="AU8" i="12"/>
  <c r="AT9" i="12"/>
  <c r="AU9" i="12"/>
  <c r="AT10" i="12"/>
  <c r="AU10" i="12"/>
  <c r="AT12" i="12"/>
  <c r="AT13" i="12"/>
  <c r="AU13" i="12"/>
  <c r="AT14" i="12"/>
  <c r="AU14" i="12"/>
  <c r="AT15" i="12"/>
  <c r="AU15" i="12"/>
  <c r="AT16" i="12"/>
  <c r="AU16" i="12"/>
  <c r="AT17" i="12"/>
  <c r="AU17" i="12"/>
  <c r="AT18" i="12"/>
  <c r="AU18" i="12"/>
  <c r="AT19" i="12"/>
  <c r="AU19" i="12"/>
  <c r="AT20" i="12"/>
  <c r="AU20" i="12"/>
  <c r="AT21" i="12"/>
  <c r="AU21" i="12"/>
  <c r="AT22" i="12"/>
  <c r="AU22" i="12"/>
  <c r="AU5" i="12"/>
  <c r="AT5" i="12"/>
  <c r="K15" i="25" l="1"/>
  <c r="K10" i="25"/>
  <c r="K8" i="25"/>
  <c r="K6" i="25"/>
  <c r="H6" i="25" s="1"/>
  <c r="I6" i="25" l="1"/>
  <c r="AU7" i="24"/>
  <c r="AV7" i="24"/>
  <c r="AU8" i="24"/>
  <c r="AV8" i="24"/>
  <c r="AU9" i="24"/>
  <c r="AV9" i="24"/>
  <c r="AU10" i="24"/>
  <c r="AV10" i="24"/>
  <c r="AU11" i="24"/>
  <c r="AV11" i="24"/>
  <c r="AU12" i="24"/>
  <c r="AV12" i="24"/>
  <c r="AU13" i="24"/>
  <c r="AV13" i="24"/>
  <c r="AU14" i="24"/>
  <c r="AV14" i="24"/>
  <c r="AU16" i="24"/>
  <c r="AV16" i="24"/>
  <c r="AU17" i="24"/>
  <c r="AV17" i="24"/>
  <c r="AU18" i="24"/>
  <c r="AV18" i="24"/>
  <c r="AU19" i="24"/>
  <c r="AV19" i="24"/>
  <c r="AV6" i="24"/>
  <c r="AU6" i="24"/>
  <c r="AV5" i="24"/>
  <c r="AU5" i="24"/>
  <c r="AN20" i="24"/>
  <c r="AQ20" i="24"/>
  <c r="AN21" i="24"/>
  <c r="AO21" i="24"/>
  <c r="AP21" i="24"/>
  <c r="AQ21" i="24"/>
  <c r="AR21" i="24"/>
  <c r="AS21" i="24"/>
  <c r="AN22" i="24"/>
  <c r="AQ22" i="24"/>
  <c r="AN7" i="24"/>
  <c r="AQ7" i="24"/>
  <c r="AN8" i="24"/>
  <c r="AQ8" i="24"/>
  <c r="AN9" i="24"/>
  <c r="AQ9" i="24"/>
  <c r="AN10" i="24"/>
  <c r="AQ10" i="24"/>
  <c r="AN11" i="24"/>
  <c r="AQ11" i="24"/>
  <c r="AN12" i="24"/>
  <c r="AQ12" i="24"/>
  <c r="AN13" i="24"/>
  <c r="AQ13" i="24"/>
  <c r="AN14" i="24"/>
  <c r="AQ14" i="24"/>
  <c r="AN16" i="24"/>
  <c r="AQ16" i="24"/>
  <c r="AN17" i="24"/>
  <c r="AQ17" i="24"/>
  <c r="AN18" i="24"/>
  <c r="AQ18" i="24"/>
  <c r="AN19" i="24"/>
  <c r="AQ19" i="24"/>
  <c r="AQ6" i="24"/>
  <c r="AN6" i="24"/>
  <c r="AM19" i="24"/>
  <c r="AI7" i="24"/>
  <c r="AJ7" i="24"/>
  <c r="AK7" i="24"/>
  <c r="AI8" i="24"/>
  <c r="AJ8" i="24"/>
  <c r="AK8" i="24"/>
  <c r="AI9" i="24"/>
  <c r="AJ9" i="24"/>
  <c r="AK9" i="24"/>
  <c r="AI10" i="24"/>
  <c r="AJ10" i="24"/>
  <c r="AK10" i="24"/>
  <c r="AI11" i="24"/>
  <c r="AJ11" i="24"/>
  <c r="AK11" i="24"/>
  <c r="AI12" i="24"/>
  <c r="AJ12" i="24"/>
  <c r="AK12" i="24"/>
  <c r="AI13" i="24"/>
  <c r="AJ13" i="24"/>
  <c r="AK13" i="24"/>
  <c r="AI14" i="24"/>
  <c r="AJ14" i="24"/>
  <c r="AK14" i="24"/>
  <c r="AI16" i="24"/>
  <c r="AJ16" i="24"/>
  <c r="AK16" i="24"/>
  <c r="AI17" i="24"/>
  <c r="AJ17" i="24"/>
  <c r="AK17" i="24"/>
  <c r="AI18" i="24"/>
  <c r="AJ18" i="24"/>
  <c r="AK18" i="24"/>
  <c r="AI19" i="24"/>
  <c r="AJ19" i="24"/>
  <c r="AK19" i="24"/>
  <c r="AK6" i="24"/>
  <c r="AJ6" i="24"/>
  <c r="AI6" i="24"/>
  <c r="AL13" i="24"/>
  <c r="AM12" i="24"/>
  <c r="H14" i="24"/>
  <c r="AL14" i="24" s="1"/>
  <c r="R14" i="24"/>
  <c r="AS14" i="24" s="1"/>
  <c r="H16" i="24"/>
  <c r="AL16" i="24" s="1"/>
  <c r="I16" i="24"/>
  <c r="AM14" i="24" s="1"/>
  <c r="AL17" i="24"/>
  <c r="R17" i="24"/>
  <c r="AS17" i="24" s="1"/>
  <c r="AL18" i="24"/>
  <c r="AM17" i="24"/>
  <c r="AL19" i="24"/>
  <c r="R19" i="24"/>
  <c r="AS19" i="24" s="1"/>
  <c r="AL10" i="24"/>
  <c r="R10" i="24"/>
  <c r="AS10" i="24" s="1"/>
  <c r="H11" i="24"/>
  <c r="AL11" i="24" s="1"/>
  <c r="AM10" i="24"/>
  <c r="H12" i="24"/>
  <c r="Q12" i="24" s="1"/>
  <c r="AR12" i="24" s="1"/>
  <c r="R12" i="24"/>
  <c r="AS12" i="24" s="1"/>
  <c r="AL7" i="24"/>
  <c r="AM6" i="24"/>
  <c r="Q8" i="24"/>
  <c r="AR8" i="24" s="1"/>
  <c r="R8" i="24"/>
  <c r="AS8" i="24" s="1"/>
  <c r="AL9" i="24"/>
  <c r="AM8" i="24"/>
  <c r="R6" i="24"/>
  <c r="AS6" i="24" s="1"/>
  <c r="N6" i="24"/>
  <c r="AO6" i="24" s="1"/>
  <c r="Q10" i="24" l="1"/>
  <c r="AR10" i="24" s="1"/>
  <c r="AL8" i="24"/>
  <c r="N8" i="24"/>
  <c r="AO8" i="24" s="1"/>
  <c r="N12" i="24"/>
  <c r="AO12" i="24" s="1"/>
  <c r="N10" i="24"/>
  <c r="AO10" i="24" s="1"/>
  <c r="AL12" i="24"/>
  <c r="N19" i="24"/>
  <c r="AO19" i="24" s="1"/>
  <c r="N14" i="24"/>
  <c r="AO14" i="24" s="1"/>
  <c r="Q19" i="24"/>
  <c r="AR19" i="24" s="1"/>
  <c r="Q14" i="24"/>
  <c r="AR14" i="24" s="1"/>
  <c r="O7" i="24"/>
  <c r="AP7" i="24" s="1"/>
  <c r="O18" i="24"/>
  <c r="AP18" i="24" s="1"/>
  <c r="O16" i="24"/>
  <c r="AP16" i="24" s="1"/>
  <c r="O13" i="24"/>
  <c r="AP13" i="24" s="1"/>
  <c r="O11" i="24"/>
  <c r="AP11" i="24" s="1"/>
  <c r="O9" i="24"/>
  <c r="AP9" i="24" s="1"/>
  <c r="R18" i="24"/>
  <c r="AS18" i="24" s="1"/>
  <c r="R16" i="24"/>
  <c r="AS16" i="24" s="1"/>
  <c r="R13" i="24"/>
  <c r="AS13" i="24" s="1"/>
  <c r="R11" i="24"/>
  <c r="AS11" i="24" s="1"/>
  <c r="R9" i="24"/>
  <c r="AS9" i="24" s="1"/>
  <c r="R7" i="24"/>
  <c r="AL6" i="24"/>
  <c r="AM18" i="24"/>
  <c r="AM16" i="24"/>
  <c r="AM13" i="24"/>
  <c r="AM11" i="24"/>
  <c r="AM9" i="24"/>
  <c r="AM7" i="24"/>
  <c r="N17" i="24"/>
  <c r="AO17" i="24" s="1"/>
  <c r="N7" i="24"/>
  <c r="AO7" i="24" s="1"/>
  <c r="N18" i="24"/>
  <c r="AO18" i="24" s="1"/>
  <c r="N16" i="24"/>
  <c r="AO16" i="24" s="1"/>
  <c r="N13" i="24"/>
  <c r="AO13" i="24" s="1"/>
  <c r="N11" i="24"/>
  <c r="AO11" i="24" s="1"/>
  <c r="N9" i="24"/>
  <c r="AO9" i="24" s="1"/>
  <c r="Q18" i="24"/>
  <c r="AR18" i="24" s="1"/>
  <c r="Q16" i="24"/>
  <c r="AR16" i="24" s="1"/>
  <c r="Q13" i="24"/>
  <c r="AR13" i="24" s="1"/>
  <c r="Q11" i="24"/>
  <c r="AR11" i="24" s="1"/>
  <c r="Q9" i="24"/>
  <c r="AR9" i="24" s="1"/>
  <c r="Q7" i="24"/>
  <c r="AR7" i="24" s="1"/>
  <c r="Q17" i="24"/>
  <c r="AR17" i="24" s="1"/>
  <c r="O8" i="24"/>
  <c r="AP8" i="24" s="1"/>
  <c r="O19" i="24"/>
  <c r="AP19" i="24" s="1"/>
  <c r="O17" i="24"/>
  <c r="AP17" i="24" s="1"/>
  <c r="O14" i="24"/>
  <c r="AP14" i="24" s="1"/>
  <c r="O12" i="24"/>
  <c r="AP12" i="24" s="1"/>
  <c r="O10" i="24"/>
  <c r="AP10" i="24" s="1"/>
  <c r="O6" i="24"/>
  <c r="Q6" i="24"/>
  <c r="AV24" i="25"/>
  <c r="AU24" i="25"/>
  <c r="AQ24" i="25"/>
  <c r="AN24" i="25"/>
  <c r="AK24" i="25"/>
  <c r="AJ24" i="25"/>
  <c r="AI24" i="25"/>
  <c r="X24" i="25"/>
  <c r="Y24" i="25" s="1"/>
  <c r="AV7" i="25"/>
  <c r="AV8" i="25"/>
  <c r="AV9" i="25"/>
  <c r="AV10" i="25"/>
  <c r="AV11" i="25"/>
  <c r="AV12" i="25"/>
  <c r="AV13" i="25"/>
  <c r="AV14" i="25"/>
  <c r="AV15" i="25"/>
  <c r="AV16" i="25"/>
  <c r="AV17" i="25"/>
  <c r="AV18" i="25"/>
  <c r="AV19" i="25"/>
  <c r="AV20" i="25"/>
  <c r="AV21" i="25"/>
  <c r="AV22" i="25"/>
  <c r="AU7" i="25"/>
  <c r="AU8" i="25"/>
  <c r="AU9" i="25"/>
  <c r="AU10" i="25"/>
  <c r="AU11" i="25"/>
  <c r="AU12" i="25"/>
  <c r="AU13" i="25"/>
  <c r="AU14" i="25"/>
  <c r="AU15" i="25"/>
  <c r="AU16" i="25"/>
  <c r="AU17" i="25"/>
  <c r="AU18" i="25"/>
  <c r="AU19" i="25"/>
  <c r="AU20" i="25"/>
  <c r="AU21" i="25"/>
  <c r="AU22" i="25"/>
  <c r="AU23" i="25"/>
  <c r="AI8" i="25"/>
  <c r="AI9" i="25"/>
  <c r="AQ18" i="25"/>
  <c r="AN18" i="25"/>
  <c r="AK18" i="25"/>
  <c r="AJ18" i="25"/>
  <c r="AI18" i="25"/>
  <c r="AQ17" i="25"/>
  <c r="AN17" i="25"/>
  <c r="AK17" i="25"/>
  <c r="AJ17" i="25"/>
  <c r="AI17" i="25"/>
  <c r="AQ16" i="25"/>
  <c r="AN16" i="25"/>
  <c r="AK16" i="25"/>
  <c r="AJ16" i="25"/>
  <c r="AI16" i="25"/>
  <c r="AQ15" i="25"/>
  <c r="AN15" i="25"/>
  <c r="AK15" i="25"/>
  <c r="AJ15" i="25"/>
  <c r="AI15" i="25"/>
  <c r="AQ22" i="25"/>
  <c r="AN22" i="25"/>
  <c r="AK22" i="25"/>
  <c r="AJ22" i="25"/>
  <c r="AI22" i="25"/>
  <c r="AQ21" i="25"/>
  <c r="AN21" i="25"/>
  <c r="AK21" i="25"/>
  <c r="AJ21" i="25"/>
  <c r="AI21" i="25"/>
  <c r="AQ27" i="25"/>
  <c r="AN27" i="25"/>
  <c r="AI27" i="25"/>
  <c r="AS26" i="25"/>
  <c r="AR26" i="25"/>
  <c r="AQ26" i="25"/>
  <c r="AP26" i="25"/>
  <c r="AO26" i="25"/>
  <c r="AN26" i="25"/>
  <c r="AI26" i="25"/>
  <c r="AQ25" i="25"/>
  <c r="AN25" i="25"/>
  <c r="AI25" i="25"/>
  <c r="AV23" i="25"/>
  <c r="AQ23" i="25"/>
  <c r="AN23" i="25"/>
  <c r="AK23" i="25"/>
  <c r="AJ23" i="25"/>
  <c r="AI23" i="25"/>
  <c r="AQ20" i="25"/>
  <c r="AN20" i="25"/>
  <c r="AK20" i="25"/>
  <c r="AJ20" i="25"/>
  <c r="AI20" i="25"/>
  <c r="AQ19" i="25"/>
  <c r="AN19" i="25"/>
  <c r="AK19" i="25"/>
  <c r="AJ19" i="25"/>
  <c r="AI19" i="25"/>
  <c r="AQ14" i="25"/>
  <c r="AN14" i="25"/>
  <c r="AK14" i="25"/>
  <c r="AJ14" i="25"/>
  <c r="AI14" i="25"/>
  <c r="AQ13" i="25"/>
  <c r="AN13" i="25"/>
  <c r="AK13" i="25"/>
  <c r="AJ13" i="25"/>
  <c r="AI13" i="25"/>
  <c r="AQ12" i="25"/>
  <c r="AN12" i="25"/>
  <c r="AK12" i="25"/>
  <c r="AJ12" i="25"/>
  <c r="AI12" i="25"/>
  <c r="AQ11" i="25"/>
  <c r="AN11" i="25"/>
  <c r="AK11" i="25"/>
  <c r="AJ11" i="25"/>
  <c r="AI11" i="25"/>
  <c r="AQ10" i="25"/>
  <c r="AN10" i="25"/>
  <c r="AK10" i="25"/>
  <c r="AJ10" i="25"/>
  <c r="AI10" i="25"/>
  <c r="AQ9" i="25"/>
  <c r="AN9" i="25"/>
  <c r="AK9" i="25"/>
  <c r="AJ9" i="25"/>
  <c r="AQ8" i="25"/>
  <c r="AN8" i="25"/>
  <c r="AK8" i="25"/>
  <c r="AJ8" i="25"/>
  <c r="AQ7" i="25"/>
  <c r="AN7" i="25"/>
  <c r="AK7" i="25"/>
  <c r="AJ7" i="25"/>
  <c r="AI7" i="25"/>
  <c r="AV6" i="25"/>
  <c r="AU6" i="25"/>
  <c r="AQ6" i="25"/>
  <c r="AN6" i="25"/>
  <c r="AM6" i="25"/>
  <c r="AL6" i="25"/>
  <c r="AK6" i="25"/>
  <c r="AJ6" i="25"/>
  <c r="AI6" i="25"/>
  <c r="R6" i="25"/>
  <c r="Q6" i="25"/>
  <c r="O6" i="25"/>
  <c r="AP6" i="25" s="1"/>
  <c r="N6" i="25"/>
  <c r="AV5" i="25"/>
  <c r="AU5" i="25"/>
  <c r="AS5" i="25"/>
  <c r="AR5" i="25"/>
  <c r="AQ5" i="25"/>
  <c r="AP5" i="25"/>
  <c r="AO5" i="25"/>
  <c r="AN5" i="25"/>
  <c r="AM5" i="25"/>
  <c r="AL5" i="25"/>
  <c r="AK5" i="25"/>
  <c r="AJ5" i="25"/>
  <c r="AI5" i="25"/>
  <c r="AQ4" i="25"/>
  <c r="AN4" i="25"/>
  <c r="AL4" i="25"/>
  <c r="AI4" i="25"/>
  <c r="AA3" i="25"/>
  <c r="AB20" i="25" s="1"/>
  <c r="AR6" i="24" l="1"/>
  <c r="Q20" i="24"/>
  <c r="Q22" i="24" s="1"/>
  <c r="AP6" i="24"/>
  <c r="O20" i="24"/>
  <c r="O22" i="24" s="1"/>
  <c r="AS7" i="24"/>
  <c r="R20" i="24"/>
  <c r="R22" i="24" s="1"/>
  <c r="N20" i="24"/>
  <c r="N22" i="24" s="1"/>
  <c r="AB24" i="25"/>
  <c r="AC24" i="25" s="1"/>
  <c r="AD24" i="25" s="1"/>
  <c r="Z24" i="25"/>
  <c r="X18" i="25"/>
  <c r="Y18" i="25" s="1"/>
  <c r="X15" i="25"/>
  <c r="AB16" i="25"/>
  <c r="X16" i="25"/>
  <c r="AB17" i="25"/>
  <c r="X17" i="25"/>
  <c r="AB18" i="25"/>
  <c r="AB15" i="25"/>
  <c r="X19" i="25"/>
  <c r="Y19" i="25" s="1"/>
  <c r="X22" i="25"/>
  <c r="AB22" i="25"/>
  <c r="L6" i="25"/>
  <c r="M6" i="25" s="1"/>
  <c r="X21" i="25"/>
  <c r="AB21" i="25"/>
  <c r="AB6" i="25"/>
  <c r="AB10" i="25"/>
  <c r="X12" i="25"/>
  <c r="AB13" i="25"/>
  <c r="X20" i="25"/>
  <c r="AB23" i="25"/>
  <c r="X6" i="25"/>
  <c r="AR6" i="25"/>
  <c r="AB7" i="25"/>
  <c r="AB9" i="25"/>
  <c r="X10" i="25"/>
  <c r="X13" i="25"/>
  <c r="AB14" i="25"/>
  <c r="X23" i="25"/>
  <c r="AO6" i="25"/>
  <c r="AS6" i="25"/>
  <c r="X7" i="25"/>
  <c r="AB8" i="25"/>
  <c r="X9" i="25"/>
  <c r="AB11" i="25"/>
  <c r="X14" i="25"/>
  <c r="AB19" i="25"/>
  <c r="X8" i="25"/>
  <c r="X11" i="25"/>
  <c r="AB12" i="25"/>
  <c r="AP20" i="24" l="1"/>
  <c r="AR20" i="24"/>
  <c r="AO20" i="24"/>
  <c r="AS20" i="24"/>
  <c r="AE24" i="25"/>
  <c r="AC19" i="25"/>
  <c r="AE19" i="25" s="1"/>
  <c r="Z19" i="25"/>
  <c r="AC18" i="25"/>
  <c r="AD18" i="25" s="1"/>
  <c r="Z18" i="25"/>
  <c r="Z16" i="25"/>
  <c r="Y16" i="25"/>
  <c r="AC16" i="25"/>
  <c r="Y17" i="25"/>
  <c r="AC17" i="25"/>
  <c r="Z17" i="25"/>
  <c r="Z15" i="25"/>
  <c r="Y15" i="25"/>
  <c r="AC15" i="25"/>
  <c r="Z22" i="25"/>
  <c r="Y22" i="25"/>
  <c r="AC22" i="25"/>
  <c r="P6" i="25"/>
  <c r="Z21" i="25"/>
  <c r="Y21" i="25"/>
  <c r="AC21" i="25"/>
  <c r="Y14" i="25"/>
  <c r="AC14" i="25"/>
  <c r="Z14" i="25"/>
  <c r="Z23" i="25"/>
  <c r="Y23" i="25"/>
  <c r="AC23" i="25"/>
  <c r="Z10" i="25"/>
  <c r="Y10" i="25"/>
  <c r="AC10" i="25"/>
  <c r="Z12" i="25"/>
  <c r="Y12" i="25"/>
  <c r="AC12" i="25"/>
  <c r="AC11" i="25"/>
  <c r="Z11" i="25"/>
  <c r="Y11" i="25"/>
  <c r="AC8" i="25"/>
  <c r="Z8" i="25"/>
  <c r="Y8" i="25"/>
  <c r="AC7" i="25"/>
  <c r="Z7" i="25"/>
  <c r="Y7" i="25"/>
  <c r="Z13" i="25"/>
  <c r="Y13" i="25"/>
  <c r="AC13" i="25"/>
  <c r="Z20" i="25"/>
  <c r="Y20" i="25"/>
  <c r="AC20" i="25"/>
  <c r="Y9" i="25"/>
  <c r="AC9" i="25"/>
  <c r="Z9" i="25"/>
  <c r="Y6" i="25"/>
  <c r="AC6" i="25"/>
  <c r="Z6" i="25"/>
  <c r="AI9" i="17"/>
  <c r="AJ9" i="17"/>
  <c r="AK9" i="17"/>
  <c r="AL9" i="17"/>
  <c r="AM9" i="17"/>
  <c r="AN9" i="17"/>
  <c r="AO9" i="17"/>
  <c r="AP9" i="17"/>
  <c r="AQ9" i="17"/>
  <c r="AR9" i="17"/>
  <c r="AS9" i="17"/>
  <c r="AI8" i="17"/>
  <c r="AJ8" i="17"/>
  <c r="AK8" i="17"/>
  <c r="AL8" i="17"/>
  <c r="AM8" i="17"/>
  <c r="AN8" i="17"/>
  <c r="AO8" i="17"/>
  <c r="AP8" i="17"/>
  <c r="AQ8" i="17"/>
  <c r="AR8" i="17"/>
  <c r="AS8" i="17"/>
  <c r="AI7" i="17"/>
  <c r="AJ7" i="17"/>
  <c r="AK7" i="17"/>
  <c r="AL7" i="17"/>
  <c r="AM7" i="17"/>
  <c r="AN7" i="17"/>
  <c r="AO7" i="17"/>
  <c r="AP7" i="17"/>
  <c r="AQ7" i="17"/>
  <c r="AR7" i="17"/>
  <c r="AS7" i="17"/>
  <c r="AU6" i="17"/>
  <c r="AV6" i="17"/>
  <c r="AU7" i="17"/>
  <c r="AV7" i="17"/>
  <c r="AU8" i="17"/>
  <c r="AV8" i="17"/>
  <c r="AU9" i="17"/>
  <c r="AV9" i="17"/>
  <c r="AU10" i="17"/>
  <c r="AU11" i="17"/>
  <c r="AV11" i="17"/>
  <c r="AU14" i="17"/>
  <c r="AV14" i="17"/>
  <c r="AU15" i="17"/>
  <c r="AV15" i="17"/>
  <c r="AV20" i="16"/>
  <c r="AU20" i="16"/>
  <c r="AU17" i="16"/>
  <c r="AV17" i="16"/>
  <c r="AV18" i="16"/>
  <c r="AU19" i="16"/>
  <c r="AV19" i="16"/>
  <c r="AV15" i="16"/>
  <c r="AU15" i="16"/>
  <c r="AV14" i="16"/>
  <c r="AU14" i="16"/>
  <c r="AV13" i="16"/>
  <c r="AU13" i="16"/>
  <c r="AV11" i="16"/>
  <c r="AU11" i="16"/>
  <c r="AV10" i="16"/>
  <c r="AU10" i="16"/>
  <c r="AV9" i="16"/>
  <c r="AU9" i="16"/>
  <c r="AV8" i="16"/>
  <c r="AU8" i="16"/>
  <c r="AV7" i="16"/>
  <c r="AU7" i="16"/>
  <c r="AV6" i="16"/>
  <c r="AU6" i="16"/>
  <c r="AV5" i="16"/>
  <c r="AU5" i="16"/>
  <c r="AI13" i="14"/>
  <c r="AJ13" i="14"/>
  <c r="AK13" i="14"/>
  <c r="AL13" i="14"/>
  <c r="AM13" i="14"/>
  <c r="AN13" i="14"/>
  <c r="AO13" i="14"/>
  <c r="AP13" i="14"/>
  <c r="AQ13" i="14"/>
  <c r="AR13" i="14"/>
  <c r="AS13" i="14"/>
  <c r="AU7" i="14"/>
  <c r="AV7" i="14"/>
  <c r="AU8" i="14"/>
  <c r="AV8" i="14"/>
  <c r="AU9" i="14"/>
  <c r="AV9" i="14"/>
  <c r="AU10" i="14"/>
  <c r="AV10" i="14"/>
  <c r="AU11" i="14"/>
  <c r="AV11" i="14"/>
  <c r="AU12" i="14"/>
  <c r="AV12" i="14"/>
  <c r="AU13" i="14"/>
  <c r="AV13" i="14"/>
  <c r="AU14" i="14"/>
  <c r="AV14" i="14"/>
  <c r="AU15" i="14"/>
  <c r="AV15" i="14"/>
  <c r="AV6" i="14"/>
  <c r="AU6" i="14"/>
  <c r="AV5" i="14"/>
  <c r="AU5" i="14"/>
  <c r="G10" i="6" l="1"/>
  <c r="AS22" i="24"/>
  <c r="F10" i="6"/>
  <c r="AR22" i="24"/>
  <c r="C10" i="6"/>
  <c r="AO22" i="24"/>
  <c r="D10" i="6"/>
  <c r="AP22" i="24"/>
  <c r="AD19" i="25"/>
  <c r="AE18" i="25"/>
  <c r="AD17" i="25"/>
  <c r="AE17" i="25"/>
  <c r="AE16" i="25"/>
  <c r="AD16" i="25"/>
  <c r="AE15" i="25"/>
  <c r="AD15" i="25"/>
  <c r="Z25" i="25"/>
  <c r="Z27" i="25" s="1"/>
  <c r="T28" i="6" s="1"/>
  <c r="AE22" i="25"/>
  <c r="AD22" i="25"/>
  <c r="Y25" i="25"/>
  <c r="Y27" i="25" s="1"/>
  <c r="Q28" i="6" s="1"/>
  <c r="AE21" i="25"/>
  <c r="AD21" i="25"/>
  <c r="AD6" i="25"/>
  <c r="AE6" i="25"/>
  <c r="AD9" i="25"/>
  <c r="AE9" i="25"/>
  <c r="AE13" i="25"/>
  <c r="AD13" i="25"/>
  <c r="AE23" i="25"/>
  <c r="AD23" i="25"/>
  <c r="AD14" i="25"/>
  <c r="AE14" i="25"/>
  <c r="AE20" i="25"/>
  <c r="AD20" i="25"/>
  <c r="AE11" i="25"/>
  <c r="AD11" i="25"/>
  <c r="AE10" i="25"/>
  <c r="AD10" i="25"/>
  <c r="AE8" i="25"/>
  <c r="AD8" i="25"/>
  <c r="AE12" i="25"/>
  <c r="AD12" i="25"/>
  <c r="AE7" i="25"/>
  <c r="AD7" i="25"/>
  <c r="AU7" i="15"/>
  <c r="AV7" i="15"/>
  <c r="AU8" i="15"/>
  <c r="AV8" i="15"/>
  <c r="AV9" i="15"/>
  <c r="AU10" i="15"/>
  <c r="AV10" i="15"/>
  <c r="AU11" i="15"/>
  <c r="AV11" i="15"/>
  <c r="AU12" i="15"/>
  <c r="AV12" i="15"/>
  <c r="AU13" i="15"/>
  <c r="AV13" i="15"/>
  <c r="AU14" i="15"/>
  <c r="AV14" i="15"/>
  <c r="AU15" i="15"/>
  <c r="AV15" i="15"/>
  <c r="AU16" i="15"/>
  <c r="AV16" i="15"/>
  <c r="AV6" i="15"/>
  <c r="AU6" i="15"/>
  <c r="AV5" i="15"/>
  <c r="AU5" i="15"/>
  <c r="AE25" i="25" l="1"/>
  <c r="AE27" i="25" s="1"/>
  <c r="U28" i="6" s="1"/>
  <c r="AD25" i="25"/>
  <c r="AD27" i="25" s="1"/>
  <c r="R28" i="6" s="1"/>
  <c r="AU6" i="18" l="1"/>
  <c r="AV5" i="18"/>
  <c r="AU5" i="18"/>
  <c r="AU13" i="18"/>
  <c r="AU8" i="18"/>
  <c r="AU10" i="18"/>
  <c r="AU14" i="18"/>
  <c r="AU16" i="18"/>
  <c r="AU17" i="18"/>
  <c r="AU19" i="18"/>
  <c r="AU21" i="18"/>
  <c r="AU22" i="18"/>
  <c r="AU23" i="18"/>
  <c r="AU24" i="18"/>
  <c r="AU25" i="18"/>
  <c r="AU26" i="18"/>
  <c r="AU27" i="18"/>
  <c r="AU28" i="18"/>
  <c r="AU29" i="18"/>
  <c r="AU30" i="18"/>
  <c r="AU31" i="18"/>
  <c r="AU32" i="18"/>
  <c r="AU33" i="18"/>
  <c r="AU34" i="18"/>
  <c r="AU36" i="18"/>
  <c r="AU39" i="18"/>
  <c r="AU40" i="18"/>
  <c r="AU7" i="18"/>
  <c r="AV8" i="18"/>
  <c r="AV10" i="18"/>
  <c r="AV11" i="18"/>
  <c r="AV14" i="18"/>
  <c r="AV16" i="18"/>
  <c r="AV17" i="18"/>
  <c r="AV19" i="18"/>
  <c r="AV22" i="18"/>
  <c r="AV23" i="18"/>
  <c r="AV24" i="18"/>
  <c r="AV25" i="18"/>
  <c r="AV26" i="18"/>
  <c r="AV27" i="18"/>
  <c r="AV28" i="18"/>
  <c r="AV29" i="18"/>
  <c r="AV30" i="18"/>
  <c r="AV31" i="18"/>
  <c r="AV32" i="18"/>
  <c r="AV33" i="18"/>
  <c r="AV36" i="18"/>
  <c r="AV37" i="18"/>
  <c r="AV40" i="18"/>
  <c r="AV7" i="18"/>
  <c r="AI27" i="18" l="1"/>
  <c r="AJ27" i="18"/>
  <c r="AK27" i="18"/>
  <c r="AL27" i="18"/>
  <c r="AM27" i="18"/>
  <c r="AQ27" i="18"/>
  <c r="AI28" i="18"/>
  <c r="AJ28" i="18"/>
  <c r="AK28" i="18"/>
  <c r="AL28" i="18"/>
  <c r="AM28" i="18"/>
  <c r="AQ28" i="18"/>
  <c r="AI39" i="18"/>
  <c r="K28" i="18" l="1"/>
  <c r="J28" i="18" s="1"/>
  <c r="K27" i="18"/>
  <c r="J27" i="18" s="1"/>
  <c r="AN28" i="18"/>
  <c r="AN27" i="18"/>
  <c r="AS5" i="24" l="1"/>
  <c r="AR5" i="24"/>
  <c r="AQ5" i="24"/>
  <c r="AP5" i="24"/>
  <c r="AO5" i="24"/>
  <c r="AN5" i="24"/>
  <c r="AM5" i="24"/>
  <c r="AL5" i="24"/>
  <c r="AK5" i="24"/>
  <c r="AJ5" i="24"/>
  <c r="AI5" i="24"/>
  <c r="AQ4" i="24"/>
  <c r="AN4" i="24"/>
  <c r="AL4" i="24"/>
  <c r="AI4" i="24"/>
  <c r="AE3" i="24"/>
  <c r="AB3" i="24"/>
  <c r="X3" i="24"/>
  <c r="L3" i="24"/>
  <c r="L6" i="24" l="1"/>
  <c r="L16" i="24"/>
  <c r="S16" i="24" s="1"/>
  <c r="L13" i="24"/>
  <c r="L9" i="24"/>
  <c r="L19" i="24"/>
  <c r="L12" i="24"/>
  <c r="L8" i="24"/>
  <c r="S8" i="24" s="1"/>
  <c r="L18" i="24"/>
  <c r="S18" i="24" s="1"/>
  <c r="L11" i="24"/>
  <c r="L17" i="24"/>
  <c r="S17" i="24" s="1"/>
  <c r="L14" i="24"/>
  <c r="L10" i="24"/>
  <c r="S10" i="24" s="1"/>
  <c r="L7" i="24"/>
  <c r="S7" i="24" s="1"/>
  <c r="X12" i="24"/>
  <c r="X18" i="24"/>
  <c r="X16" i="24"/>
  <c r="X9" i="24"/>
  <c r="X7" i="24"/>
  <c r="X11" i="24"/>
  <c r="X19" i="24"/>
  <c r="X17" i="24"/>
  <c r="X14" i="24"/>
  <c r="X8" i="24"/>
  <c r="X13" i="24"/>
  <c r="AB6" i="24"/>
  <c r="W10" i="24"/>
  <c r="X10" i="24" s="1"/>
  <c r="AB19" i="24"/>
  <c r="AB12" i="24"/>
  <c r="AB16" i="24"/>
  <c r="AB9" i="24"/>
  <c r="AB18" i="24"/>
  <c r="AB11" i="24"/>
  <c r="AB7" i="24"/>
  <c r="AB14" i="24"/>
  <c r="AB8" i="24"/>
  <c r="AB13" i="24"/>
  <c r="AB17" i="24"/>
  <c r="AB10" i="24"/>
  <c r="X6" i="24"/>
  <c r="AQ41" i="18"/>
  <c r="AN41" i="18"/>
  <c r="AM41" i="18"/>
  <c r="AL41" i="18"/>
  <c r="AK41" i="18"/>
  <c r="R41" i="18"/>
  <c r="AS41" i="18" s="1"/>
  <c r="Q41" i="18"/>
  <c r="AR41" i="18" s="1"/>
  <c r="O41" i="18"/>
  <c r="AP41" i="18" s="1"/>
  <c r="N41" i="18"/>
  <c r="AO41" i="18" s="1"/>
  <c r="K41" i="18"/>
  <c r="J41" i="18" s="1"/>
  <c r="AQ40" i="18"/>
  <c r="AN40" i="18"/>
  <c r="AM40" i="18"/>
  <c r="AL40" i="18"/>
  <c r="AK40" i="18"/>
  <c r="AJ40" i="18"/>
  <c r="AI40" i="18"/>
  <c r="R40" i="18"/>
  <c r="AS40" i="18" s="1"/>
  <c r="Q40" i="18"/>
  <c r="AR40" i="18" s="1"/>
  <c r="O40" i="18"/>
  <c r="AP40" i="18" s="1"/>
  <c r="N40" i="18"/>
  <c r="AO40" i="18" s="1"/>
  <c r="K40" i="18"/>
  <c r="J40" i="18" s="1"/>
  <c r="T8" i="24" l="1"/>
  <c r="U8" i="24"/>
  <c r="AC18" i="24"/>
  <c r="AC17" i="24"/>
  <c r="AC8" i="24"/>
  <c r="T18" i="24"/>
  <c r="U18" i="24"/>
  <c r="U17" i="24"/>
  <c r="T17" i="24"/>
  <c r="U16" i="24"/>
  <c r="T16" i="24"/>
  <c r="U10" i="24"/>
  <c r="T10" i="24"/>
  <c r="T7" i="24"/>
  <c r="U7" i="24"/>
  <c r="M6" i="24"/>
  <c r="S6" i="24"/>
  <c r="AC9" i="24"/>
  <c r="AE9" i="24" s="1"/>
  <c r="P6" i="24"/>
  <c r="AC12" i="24"/>
  <c r="AD12" i="24" s="1"/>
  <c r="AC7" i="24"/>
  <c r="AE7" i="24" s="1"/>
  <c r="AC11" i="24"/>
  <c r="AD11" i="24" s="1"/>
  <c r="AC19" i="24"/>
  <c r="AD19" i="24" s="1"/>
  <c r="AC14" i="24"/>
  <c r="AE14" i="24" s="1"/>
  <c r="AC16" i="24"/>
  <c r="AD16" i="24" s="1"/>
  <c r="P10" i="24"/>
  <c r="M10" i="24"/>
  <c r="P18" i="24"/>
  <c r="M18" i="24"/>
  <c r="M9" i="24"/>
  <c r="P9" i="24"/>
  <c r="P14" i="24"/>
  <c r="M14" i="24"/>
  <c r="P8" i="24"/>
  <c r="M8" i="24"/>
  <c r="M13" i="24"/>
  <c r="P13" i="24"/>
  <c r="P17" i="24"/>
  <c r="M17" i="24"/>
  <c r="M12" i="24"/>
  <c r="P12" i="24"/>
  <c r="P16" i="24"/>
  <c r="M16" i="24"/>
  <c r="P7" i="24"/>
  <c r="M7" i="24"/>
  <c r="P11" i="24"/>
  <c r="M11" i="24"/>
  <c r="P19" i="24"/>
  <c r="M19" i="24"/>
  <c r="Z6" i="24"/>
  <c r="Y6" i="24"/>
  <c r="AC6" i="24"/>
  <c r="Y17" i="24"/>
  <c r="Z17" i="24"/>
  <c r="Z9" i="24"/>
  <c r="Y9" i="24"/>
  <c r="Z19" i="24"/>
  <c r="Y19" i="24"/>
  <c r="Y16" i="24"/>
  <c r="Z16" i="24"/>
  <c r="Z8" i="24"/>
  <c r="Y8" i="24"/>
  <c r="Z11" i="24"/>
  <c r="Y11" i="24"/>
  <c r="Y18" i="24"/>
  <c r="Z18" i="24"/>
  <c r="Z14" i="24"/>
  <c r="Y14" i="24"/>
  <c r="Y7" i="24"/>
  <c r="Z7" i="24"/>
  <c r="Z12" i="24"/>
  <c r="Y12" i="24"/>
  <c r="AE8" i="24"/>
  <c r="AD8" i="24"/>
  <c r="AE18" i="24"/>
  <c r="AD18" i="24"/>
  <c r="Z10" i="24"/>
  <c r="Y10" i="24"/>
  <c r="AC10" i="24"/>
  <c r="AD17" i="24"/>
  <c r="AE17" i="24"/>
  <c r="Z13" i="24"/>
  <c r="AC13" i="24"/>
  <c r="Y13" i="24"/>
  <c r="R28" i="18"/>
  <c r="AS28" i="18" s="1"/>
  <c r="O28" i="18"/>
  <c r="AP28" i="18" s="1"/>
  <c r="R27" i="18"/>
  <c r="AS27" i="18" s="1"/>
  <c r="O27" i="18"/>
  <c r="AP27" i="18" s="1"/>
  <c r="N27" i="18"/>
  <c r="AO27" i="18" s="1"/>
  <c r="Q27" i="18"/>
  <c r="AR27" i="18" s="1"/>
  <c r="Q28" i="18"/>
  <c r="AR28" i="18" s="1"/>
  <c r="N28" i="18"/>
  <c r="AO28" i="18" s="1"/>
  <c r="AD9" i="24" l="1"/>
  <c r="U6" i="24"/>
  <c r="U20" i="24" s="1"/>
  <c r="U22" i="24" s="1"/>
  <c r="T6" i="24"/>
  <c r="T20" i="24" s="1"/>
  <c r="T22" i="24" s="1"/>
  <c r="AE19" i="24"/>
  <c r="AD7" i="24"/>
  <c r="AE11" i="24"/>
  <c r="AE12" i="24"/>
  <c r="AE16" i="24"/>
  <c r="AD14" i="24"/>
  <c r="M20" i="24"/>
  <c r="P20" i="24"/>
  <c r="Y20" i="24"/>
  <c r="Y22" i="24" s="1"/>
  <c r="C27" i="6" s="1"/>
  <c r="Z20" i="24"/>
  <c r="Z22" i="24" s="1"/>
  <c r="F27" i="6" s="1"/>
  <c r="AE13" i="24"/>
  <c r="AD13" i="24"/>
  <c r="AD10" i="24"/>
  <c r="AE10" i="24"/>
  <c r="AE6" i="24"/>
  <c r="AD6" i="24"/>
  <c r="M22" i="24" l="1"/>
  <c r="E10" i="6" s="1"/>
  <c r="P22" i="24"/>
  <c r="H10" i="6" s="1"/>
  <c r="AD20" i="24"/>
  <c r="AD22" i="24" s="1"/>
  <c r="D27" i="6" s="1"/>
  <c r="AE20" i="24"/>
  <c r="AE22" i="24" s="1"/>
  <c r="G27" i="6" s="1"/>
  <c r="AJ37" i="18" l="1"/>
  <c r="AJ36" i="18"/>
  <c r="AI8" i="18"/>
  <c r="AJ8" i="18"/>
  <c r="AK8" i="18"/>
  <c r="AL8" i="18"/>
  <c r="AM8" i="18"/>
  <c r="AN8" i="18"/>
  <c r="AQ8" i="18"/>
  <c r="AK9" i="18"/>
  <c r="AL9" i="18"/>
  <c r="AM9" i="18"/>
  <c r="AN9" i="18"/>
  <c r="AQ9" i="18"/>
  <c r="AI10" i="18"/>
  <c r="AJ10" i="18"/>
  <c r="AK10" i="18"/>
  <c r="AL10" i="18"/>
  <c r="AM10" i="18"/>
  <c r="AN10" i="18"/>
  <c r="AQ10" i="18"/>
  <c r="AK11" i="18"/>
  <c r="AL11" i="18"/>
  <c r="AM11" i="18"/>
  <c r="AN11" i="18"/>
  <c r="AQ11" i="18"/>
  <c r="AI12" i="18"/>
  <c r="AN12" i="18"/>
  <c r="AQ12" i="18"/>
  <c r="AI13" i="18"/>
  <c r="AI14" i="18"/>
  <c r="AJ14" i="18"/>
  <c r="AK14" i="18"/>
  <c r="AL14" i="18"/>
  <c r="AM14" i="18"/>
  <c r="AN14" i="18"/>
  <c r="AQ14" i="18"/>
  <c r="AK15" i="18"/>
  <c r="AL15" i="18"/>
  <c r="AM15" i="18"/>
  <c r="AN15" i="18"/>
  <c r="AQ15" i="18"/>
  <c r="AI16" i="18"/>
  <c r="AJ16" i="18"/>
  <c r="AK16" i="18"/>
  <c r="AL16" i="18"/>
  <c r="AM16" i="18"/>
  <c r="AN16" i="18"/>
  <c r="AQ16" i="18"/>
  <c r="AI17" i="18"/>
  <c r="AJ17" i="18"/>
  <c r="AK17" i="18"/>
  <c r="AL17" i="18"/>
  <c r="AM17" i="18"/>
  <c r="AN17" i="18"/>
  <c r="AQ17" i="18"/>
  <c r="AJ18" i="18"/>
  <c r="AK18" i="18"/>
  <c r="AL18" i="18"/>
  <c r="AM18" i="18"/>
  <c r="AN18" i="18"/>
  <c r="AQ18" i="18"/>
  <c r="AI19" i="18"/>
  <c r="AJ19" i="18"/>
  <c r="AK19" i="18"/>
  <c r="AL19" i="18"/>
  <c r="AM19" i="18"/>
  <c r="AN19" i="18"/>
  <c r="AQ19" i="18"/>
  <c r="AI20" i="18"/>
  <c r="AN20" i="18"/>
  <c r="AQ20" i="18"/>
  <c r="AI21" i="18"/>
  <c r="AI22" i="18"/>
  <c r="AJ22" i="18"/>
  <c r="AK22" i="18"/>
  <c r="AL22" i="18"/>
  <c r="AM22" i="18"/>
  <c r="AN22" i="18"/>
  <c r="AQ22" i="18"/>
  <c r="AI23" i="18"/>
  <c r="AJ23" i="18"/>
  <c r="AK23" i="18"/>
  <c r="AL23" i="18"/>
  <c r="AM23" i="18"/>
  <c r="AN23" i="18"/>
  <c r="AQ23" i="18"/>
  <c r="AI24" i="18"/>
  <c r="AJ24" i="18"/>
  <c r="AK24" i="18"/>
  <c r="AL24" i="18"/>
  <c r="AM24" i="18"/>
  <c r="AN24" i="18"/>
  <c r="AQ24" i="18"/>
  <c r="AI25" i="18"/>
  <c r="AJ25" i="18"/>
  <c r="AK25" i="18"/>
  <c r="AL25" i="18"/>
  <c r="AM25" i="18"/>
  <c r="AN25" i="18"/>
  <c r="AQ25" i="18"/>
  <c r="AI26" i="18"/>
  <c r="AJ26" i="18"/>
  <c r="AK26" i="18"/>
  <c r="AL26" i="18"/>
  <c r="AM26" i="18"/>
  <c r="AN26" i="18"/>
  <c r="AQ26" i="18"/>
  <c r="AI29" i="18"/>
  <c r="AJ29" i="18"/>
  <c r="AK29" i="18"/>
  <c r="AL29" i="18"/>
  <c r="AM29" i="18"/>
  <c r="AN29" i="18"/>
  <c r="AQ29" i="18"/>
  <c r="AI30" i="18"/>
  <c r="AJ30" i="18"/>
  <c r="AK30" i="18"/>
  <c r="AL30" i="18"/>
  <c r="AM30" i="18"/>
  <c r="AN30" i="18"/>
  <c r="AQ30" i="18"/>
  <c r="AI31" i="18"/>
  <c r="AJ31" i="18"/>
  <c r="AK31" i="18"/>
  <c r="AL31" i="18"/>
  <c r="AM31" i="18"/>
  <c r="AN31" i="18"/>
  <c r="AQ31" i="18"/>
  <c r="AI32" i="18"/>
  <c r="AJ32" i="18"/>
  <c r="AK32" i="18"/>
  <c r="AL32" i="18"/>
  <c r="AM32" i="18"/>
  <c r="AN32" i="18"/>
  <c r="AQ32" i="18"/>
  <c r="AI33" i="18"/>
  <c r="AJ33" i="18"/>
  <c r="AK33" i="18"/>
  <c r="AL33" i="18"/>
  <c r="AM33" i="18"/>
  <c r="AN33" i="18"/>
  <c r="AQ33" i="18"/>
  <c r="AI34" i="18"/>
  <c r="AJ34" i="18"/>
  <c r="AK34" i="18"/>
  <c r="AL34" i="18"/>
  <c r="AM34" i="18"/>
  <c r="AN34" i="18"/>
  <c r="AQ34" i="18"/>
  <c r="AI35" i="18"/>
  <c r="AN35" i="18"/>
  <c r="AQ35" i="18"/>
  <c r="AI36" i="18"/>
  <c r="AN36" i="18"/>
  <c r="AO36" i="18"/>
  <c r="AP36" i="18"/>
  <c r="AQ36" i="18"/>
  <c r="AR36" i="18"/>
  <c r="AS36" i="18"/>
  <c r="AN37" i="18"/>
  <c r="AO37" i="18"/>
  <c r="AP37" i="18"/>
  <c r="AQ37" i="18"/>
  <c r="AR37" i="18"/>
  <c r="AS37" i="18"/>
  <c r="AI38" i="18"/>
  <c r="AN38" i="18"/>
  <c r="AQ38" i="18"/>
  <c r="AQ7" i="18"/>
  <c r="AN7" i="18"/>
  <c r="AM7" i="18"/>
  <c r="AL7" i="18"/>
  <c r="AK7" i="18"/>
  <c r="AJ7" i="18"/>
  <c r="AI7" i="18"/>
  <c r="AI6" i="18"/>
  <c r="AS5" i="18"/>
  <c r="AR5" i="18"/>
  <c r="AQ5" i="18"/>
  <c r="AP5" i="18"/>
  <c r="AO5" i="18"/>
  <c r="AN5" i="18"/>
  <c r="AM5" i="18"/>
  <c r="AL5" i="18"/>
  <c r="AK5" i="18"/>
  <c r="AJ5" i="18"/>
  <c r="AI5" i="18"/>
  <c r="AQ4" i="18"/>
  <c r="AN4" i="18"/>
  <c r="AL4" i="18"/>
  <c r="AI4" i="18"/>
  <c r="AI19" i="17"/>
  <c r="AI16" i="17"/>
  <c r="AI18" i="17"/>
  <c r="AN5" i="17"/>
  <c r="AL5" i="17"/>
  <c r="AI5" i="17"/>
  <c r="AI7" i="16" l="1"/>
  <c r="AJ7" i="16"/>
  <c r="AK7" i="16"/>
  <c r="AL7" i="16"/>
  <c r="AM7" i="16"/>
  <c r="AN7" i="16"/>
  <c r="AQ7" i="16"/>
  <c r="AI8" i="16"/>
  <c r="AJ8" i="16"/>
  <c r="AK8" i="16"/>
  <c r="AL8" i="16"/>
  <c r="AM8" i="16"/>
  <c r="AN8" i="16"/>
  <c r="AQ8" i="16"/>
  <c r="AI9" i="16"/>
  <c r="AJ9" i="16"/>
  <c r="AK9" i="16"/>
  <c r="AL9" i="16"/>
  <c r="AM9" i="16"/>
  <c r="AN9" i="16"/>
  <c r="AQ9" i="16"/>
  <c r="AI10" i="16"/>
  <c r="AJ10" i="16"/>
  <c r="AK10" i="16"/>
  <c r="AL10" i="16"/>
  <c r="AM10" i="16"/>
  <c r="AN10" i="16"/>
  <c r="AO10" i="16"/>
  <c r="AP10" i="16"/>
  <c r="AQ10" i="16"/>
  <c r="AR10" i="16"/>
  <c r="AS10" i="16"/>
  <c r="AI11" i="16"/>
  <c r="AN11" i="16"/>
  <c r="AQ11" i="16"/>
  <c r="AI13" i="16"/>
  <c r="AJ13" i="16"/>
  <c r="AK13" i="16"/>
  <c r="AL13" i="16"/>
  <c r="AM13" i="16"/>
  <c r="AN13" i="16"/>
  <c r="AQ13" i="16"/>
  <c r="AI14" i="16"/>
  <c r="AJ14" i="16"/>
  <c r="AK14" i="16"/>
  <c r="AL14" i="16"/>
  <c r="AM14" i="16"/>
  <c r="AN14" i="16"/>
  <c r="AQ14" i="16"/>
  <c r="AI15" i="16"/>
  <c r="AJ15" i="16"/>
  <c r="AK15" i="16"/>
  <c r="AL15" i="16"/>
  <c r="AM15" i="16"/>
  <c r="AN15" i="16"/>
  <c r="AQ15" i="16"/>
  <c r="AN18" i="16"/>
  <c r="AO18" i="16"/>
  <c r="AP18" i="16"/>
  <c r="AQ18" i="16"/>
  <c r="AR18" i="16"/>
  <c r="AS18" i="16"/>
  <c r="AJ18" i="16"/>
  <c r="AJ17" i="16"/>
  <c r="AQ20" i="16"/>
  <c r="AP20" i="16"/>
  <c r="AO20" i="16"/>
  <c r="AN20" i="16"/>
  <c r="AI20" i="16"/>
  <c r="AS19" i="16"/>
  <c r="AR19" i="16"/>
  <c r="AQ19" i="16"/>
  <c r="AN19" i="16"/>
  <c r="AI19" i="16"/>
  <c r="AS17" i="16"/>
  <c r="AR17" i="16"/>
  <c r="AQ17" i="16"/>
  <c r="AP17" i="16"/>
  <c r="AO17" i="16"/>
  <c r="AN17" i="16"/>
  <c r="AI17" i="16"/>
  <c r="AQ16" i="16"/>
  <c r="AP16" i="16"/>
  <c r="AO16" i="16"/>
  <c r="AN16" i="16"/>
  <c r="AI16" i="16"/>
  <c r="AQ6" i="16"/>
  <c r="AM6" i="16"/>
  <c r="AL6" i="16"/>
  <c r="AK6" i="16"/>
  <c r="AJ6" i="16"/>
  <c r="AI6" i="16"/>
  <c r="AS5" i="16"/>
  <c r="AR5" i="16"/>
  <c r="AQ5" i="16"/>
  <c r="AP5" i="16"/>
  <c r="AO5" i="16"/>
  <c r="AN5" i="16"/>
  <c r="AM5" i="16"/>
  <c r="AL5" i="16"/>
  <c r="AK5" i="16"/>
  <c r="AJ5" i="16"/>
  <c r="AI5" i="16"/>
  <c r="AQ4" i="16"/>
  <c r="AN4" i="16"/>
  <c r="AL4" i="16"/>
  <c r="AI4" i="16"/>
  <c r="AI13" i="15"/>
  <c r="AJ13" i="15"/>
  <c r="AK13" i="15"/>
  <c r="AL13" i="15"/>
  <c r="AM13" i="15"/>
  <c r="AN13" i="15"/>
  <c r="AQ13" i="15"/>
  <c r="AI14" i="15"/>
  <c r="AJ14" i="15"/>
  <c r="AK14" i="15"/>
  <c r="AL14" i="15"/>
  <c r="AM14" i="15"/>
  <c r="AN14" i="15"/>
  <c r="AQ14" i="15"/>
  <c r="AI15" i="15"/>
  <c r="AJ15" i="15"/>
  <c r="AK15" i="15"/>
  <c r="AL15" i="15"/>
  <c r="AM15" i="15"/>
  <c r="AN15" i="15"/>
  <c r="AQ15" i="15"/>
  <c r="AI16" i="15"/>
  <c r="AJ16" i="15"/>
  <c r="AK16" i="15"/>
  <c r="AL16" i="15"/>
  <c r="AM16" i="15"/>
  <c r="AN16" i="15"/>
  <c r="AQ16" i="15"/>
  <c r="AI17" i="15"/>
  <c r="AN17" i="15"/>
  <c r="AQ17" i="15"/>
  <c r="AI18" i="15"/>
  <c r="AN18" i="15"/>
  <c r="AO18" i="15"/>
  <c r="AP18" i="15"/>
  <c r="AQ18" i="15"/>
  <c r="AR18" i="15"/>
  <c r="AS18" i="15"/>
  <c r="AI19" i="15"/>
  <c r="AN19" i="15"/>
  <c r="AQ19" i="15"/>
  <c r="AQ12" i="15"/>
  <c r="AN12" i="15"/>
  <c r="AM12" i="15"/>
  <c r="AL12" i="15"/>
  <c r="AK12" i="15"/>
  <c r="AJ12" i="15"/>
  <c r="AI12" i="15"/>
  <c r="AQ11" i="15"/>
  <c r="AN11" i="15"/>
  <c r="AM11" i="15"/>
  <c r="AL11" i="15"/>
  <c r="AK11" i="15"/>
  <c r="AJ11" i="15"/>
  <c r="AI11" i="15"/>
  <c r="AQ10" i="15"/>
  <c r="AN10" i="15"/>
  <c r="AM10" i="15"/>
  <c r="AL10" i="15"/>
  <c r="AK10" i="15"/>
  <c r="AJ10" i="15"/>
  <c r="AI10" i="15"/>
  <c r="AQ9" i="15"/>
  <c r="AM9" i="15"/>
  <c r="AL9" i="15"/>
  <c r="AK9" i="15"/>
  <c r="AJ9" i="15"/>
  <c r="AQ8" i="15"/>
  <c r="AN8" i="15"/>
  <c r="AM8" i="15"/>
  <c r="AL8" i="15"/>
  <c r="AK8" i="15"/>
  <c r="AJ8" i="15"/>
  <c r="AI8" i="15"/>
  <c r="AQ7" i="15"/>
  <c r="AN7" i="15"/>
  <c r="AM7" i="15"/>
  <c r="AL7" i="15"/>
  <c r="AK7" i="15"/>
  <c r="AJ7" i="15"/>
  <c r="AI7" i="15"/>
  <c r="AQ6" i="15"/>
  <c r="AN6" i="15"/>
  <c r="AM6" i="15"/>
  <c r="AL6" i="15"/>
  <c r="AK6" i="15"/>
  <c r="AJ6" i="15"/>
  <c r="AI6" i="15"/>
  <c r="AS5" i="15"/>
  <c r="AR5" i="15"/>
  <c r="AQ5" i="15"/>
  <c r="AP5" i="15"/>
  <c r="AO5" i="15"/>
  <c r="AN5" i="15"/>
  <c r="AM5" i="15"/>
  <c r="AL5" i="15"/>
  <c r="AK5" i="15"/>
  <c r="AJ5" i="15"/>
  <c r="AI5" i="15"/>
  <c r="AQ4" i="15"/>
  <c r="AN4" i="15"/>
  <c r="AL4" i="15"/>
  <c r="AI4" i="15"/>
  <c r="AN15" i="14" l="1"/>
  <c r="AN16" i="14"/>
  <c r="AI6" i="14"/>
  <c r="AJ6" i="14"/>
  <c r="AK6" i="14"/>
  <c r="AL6" i="14"/>
  <c r="AM6" i="14"/>
  <c r="AN6" i="14"/>
  <c r="AQ6" i="14"/>
  <c r="AI7" i="14"/>
  <c r="AJ7" i="14"/>
  <c r="AK7" i="14"/>
  <c r="AL7" i="14"/>
  <c r="AM7" i="14"/>
  <c r="AN7" i="14"/>
  <c r="AQ7" i="14"/>
  <c r="AI8" i="14"/>
  <c r="AJ8" i="14"/>
  <c r="AK8" i="14"/>
  <c r="AL8" i="14"/>
  <c r="AM8" i="14"/>
  <c r="AN8" i="14"/>
  <c r="AQ8" i="14"/>
  <c r="AI9" i="14"/>
  <c r="AJ9" i="14"/>
  <c r="AK9" i="14"/>
  <c r="AL9" i="14"/>
  <c r="AM9" i="14"/>
  <c r="AN9" i="14"/>
  <c r="AQ9" i="14"/>
  <c r="AI10" i="14"/>
  <c r="AJ10" i="14"/>
  <c r="AK10" i="14"/>
  <c r="AL10" i="14"/>
  <c r="AM10" i="14"/>
  <c r="AQ10" i="14"/>
  <c r="AI11" i="14"/>
  <c r="AJ11" i="14"/>
  <c r="AK11" i="14"/>
  <c r="AL11" i="14"/>
  <c r="AM11" i="14"/>
  <c r="AN11" i="14"/>
  <c r="AQ11" i="14"/>
  <c r="AI12" i="14"/>
  <c r="AJ12" i="14"/>
  <c r="AK12" i="14"/>
  <c r="AL12" i="14"/>
  <c r="AM12" i="14"/>
  <c r="AN12" i="14"/>
  <c r="AQ12" i="14"/>
  <c r="AI14" i="14"/>
  <c r="AJ14" i="14"/>
  <c r="AK14" i="14"/>
  <c r="AL14" i="14"/>
  <c r="AM14" i="14"/>
  <c r="AQ14" i="14"/>
  <c r="AI15" i="14"/>
  <c r="AO15" i="14"/>
  <c r="AP15" i="14"/>
  <c r="AQ15" i="14"/>
  <c r="AR15" i="14"/>
  <c r="AS15" i="14"/>
  <c r="AI16" i="14"/>
  <c r="AQ16" i="14"/>
  <c r="AK5" i="14"/>
  <c r="AJ5" i="14"/>
  <c r="AS5" i="14"/>
  <c r="AR5" i="14"/>
  <c r="AQ5" i="14"/>
  <c r="AP5" i="14"/>
  <c r="AO5" i="14"/>
  <c r="AN5" i="14"/>
  <c r="AM5" i="14"/>
  <c r="AL5" i="14"/>
  <c r="AQ4" i="14"/>
  <c r="AN4" i="14"/>
  <c r="AL4" i="14"/>
  <c r="AI5" i="14"/>
  <c r="AI4" i="14"/>
  <c r="AO19" i="13"/>
  <c r="AP19" i="13"/>
  <c r="AI25" i="12"/>
  <c r="AI26" i="12"/>
  <c r="AI27" i="12"/>
  <c r="AI24" i="12"/>
  <c r="AI8" i="13"/>
  <c r="AJ8" i="13"/>
  <c r="AK8" i="13"/>
  <c r="AL8" i="13"/>
  <c r="AM8" i="13"/>
  <c r="AN8" i="13"/>
  <c r="AQ8" i="13"/>
  <c r="AI9" i="13"/>
  <c r="AJ9" i="13"/>
  <c r="AK9" i="13"/>
  <c r="AL9" i="13"/>
  <c r="AM9" i="13"/>
  <c r="AN9" i="13"/>
  <c r="AO9" i="13"/>
  <c r="AP9" i="13"/>
  <c r="AQ9" i="13"/>
  <c r="AR9" i="13"/>
  <c r="AS9" i="13"/>
  <c r="AI10" i="13"/>
  <c r="AJ10" i="13"/>
  <c r="AK10" i="13"/>
  <c r="AL10" i="13"/>
  <c r="AM10" i="13"/>
  <c r="AN10" i="13"/>
  <c r="AO10" i="13"/>
  <c r="AP10" i="13"/>
  <c r="AQ10" i="13"/>
  <c r="AI11" i="13"/>
  <c r="AJ11" i="13"/>
  <c r="AK11" i="13"/>
  <c r="AL11" i="13"/>
  <c r="AM11" i="13"/>
  <c r="AN11" i="13"/>
  <c r="AO11" i="13"/>
  <c r="AP11" i="13"/>
  <c r="AQ11" i="13"/>
  <c r="AI12" i="13"/>
  <c r="AJ12" i="13"/>
  <c r="AK12" i="13"/>
  <c r="AL12" i="13"/>
  <c r="AM12" i="13"/>
  <c r="AN12" i="13"/>
  <c r="AO12" i="13"/>
  <c r="AP12" i="13"/>
  <c r="AQ12" i="13"/>
  <c r="AI13" i="13"/>
  <c r="AI14" i="13"/>
  <c r="AI15" i="13"/>
  <c r="AO15" i="13"/>
  <c r="AP15" i="13"/>
  <c r="AI16" i="13"/>
  <c r="AO16" i="13"/>
  <c r="AP16" i="13"/>
  <c r="AR16" i="13"/>
  <c r="AS16" i="13"/>
  <c r="AI17" i="13"/>
  <c r="AO17" i="13"/>
  <c r="AP17" i="13"/>
  <c r="AR17" i="13"/>
  <c r="AS17" i="13"/>
  <c r="AI18" i="13"/>
  <c r="AR18" i="13"/>
  <c r="AS18" i="13"/>
  <c r="AI19" i="13"/>
  <c r="AI6" i="13"/>
  <c r="AJ6" i="13"/>
  <c r="AK6" i="13"/>
  <c r="AL6" i="13"/>
  <c r="AM6" i="13"/>
  <c r="AN6" i="13"/>
  <c r="AQ6" i="13"/>
  <c r="AI7" i="13"/>
  <c r="AJ7" i="13"/>
  <c r="AK7" i="13"/>
  <c r="AL7" i="13"/>
  <c r="AM7" i="13"/>
  <c r="AN7" i="13"/>
  <c r="AQ7" i="13"/>
  <c r="AN4" i="13"/>
  <c r="AS5" i="13"/>
  <c r="AR5" i="13"/>
  <c r="AQ5" i="13"/>
  <c r="AP5" i="13"/>
  <c r="AO5" i="13"/>
  <c r="AN5" i="13"/>
  <c r="AM5" i="13"/>
  <c r="AL5" i="13"/>
  <c r="AQ4" i="13"/>
  <c r="AL4" i="13"/>
  <c r="AI4" i="13"/>
  <c r="AK5" i="13"/>
  <c r="AJ5" i="13"/>
  <c r="AI5" i="13"/>
  <c r="AN25" i="12" l="1"/>
  <c r="AO25" i="12"/>
  <c r="AQ25" i="12"/>
  <c r="AR25" i="12"/>
  <c r="AN26" i="12"/>
  <c r="AO26" i="12"/>
  <c r="AQ26" i="12"/>
  <c r="AR26" i="12"/>
  <c r="AN27" i="12"/>
  <c r="AO27" i="12"/>
  <c r="AQ27" i="12"/>
  <c r="AR27" i="12"/>
  <c r="AH28" i="12"/>
  <c r="AH8" i="12"/>
  <c r="AI8" i="12"/>
  <c r="AJ8" i="12"/>
  <c r="AK8" i="12"/>
  <c r="AL8" i="12"/>
  <c r="AM8" i="12"/>
  <c r="AP8" i="12"/>
  <c r="AH9" i="12"/>
  <c r="AI9" i="12"/>
  <c r="AJ9" i="12"/>
  <c r="AK9" i="12"/>
  <c r="AL9" i="12"/>
  <c r="AM9" i="12"/>
  <c r="AP9" i="12"/>
  <c r="AH10" i="12"/>
  <c r="AI10" i="12"/>
  <c r="AJ10" i="12"/>
  <c r="AK10" i="12"/>
  <c r="AL10" i="12"/>
  <c r="AM10" i="12"/>
  <c r="AP10" i="12"/>
  <c r="AH11" i="12"/>
  <c r="AH12" i="12"/>
  <c r="AH13" i="12"/>
  <c r="AI13" i="12"/>
  <c r="AJ13" i="12"/>
  <c r="AK13" i="12"/>
  <c r="AL13" i="12"/>
  <c r="AM13" i="12"/>
  <c r="AP13" i="12"/>
  <c r="AH14" i="12"/>
  <c r="AI14" i="12"/>
  <c r="AJ14" i="12"/>
  <c r="AK14" i="12"/>
  <c r="AL14" i="12"/>
  <c r="AM14" i="12"/>
  <c r="AP14" i="12"/>
  <c r="AH15" i="12"/>
  <c r="AI15" i="12"/>
  <c r="AJ15" i="12"/>
  <c r="AK15" i="12"/>
  <c r="AL15" i="12"/>
  <c r="AM15" i="12"/>
  <c r="AP15" i="12"/>
  <c r="AH16" i="12"/>
  <c r="AI16" i="12"/>
  <c r="AJ16" i="12"/>
  <c r="AK16" i="12"/>
  <c r="AL16" i="12"/>
  <c r="AM16" i="12"/>
  <c r="AP16" i="12"/>
  <c r="AH17" i="12"/>
  <c r="AI17" i="12"/>
  <c r="AJ17" i="12"/>
  <c r="AK17" i="12"/>
  <c r="AL17" i="12"/>
  <c r="AM17" i="12"/>
  <c r="AP17" i="12"/>
  <c r="AH18" i="12"/>
  <c r="AI18" i="12"/>
  <c r="AJ18" i="12"/>
  <c r="AK18" i="12"/>
  <c r="AL18" i="12"/>
  <c r="AM18" i="12"/>
  <c r="AP18" i="12"/>
  <c r="AH19" i="12"/>
  <c r="AI19" i="12"/>
  <c r="AJ19" i="12"/>
  <c r="AK19" i="12"/>
  <c r="AL19" i="12"/>
  <c r="AM19" i="12"/>
  <c r="AP19" i="12"/>
  <c r="AH20" i="12"/>
  <c r="AI20" i="12"/>
  <c r="AJ20" i="12"/>
  <c r="AK20" i="12"/>
  <c r="AL20" i="12"/>
  <c r="AP20" i="12"/>
  <c r="AH21" i="12"/>
  <c r="AI21" i="12"/>
  <c r="AJ21" i="12"/>
  <c r="AK21" i="12"/>
  <c r="AL21" i="12"/>
  <c r="AP21" i="12"/>
  <c r="AH22" i="12"/>
  <c r="AI22" i="12"/>
  <c r="AJ22" i="12"/>
  <c r="AK22" i="12"/>
  <c r="AL22" i="12"/>
  <c r="AP22" i="12"/>
  <c r="AH23" i="12"/>
  <c r="AN24" i="12"/>
  <c r="AO24" i="12"/>
  <c r="AQ24" i="12"/>
  <c r="AR24" i="12"/>
  <c r="AP7" i="12"/>
  <c r="AM7" i="12"/>
  <c r="AL7" i="12"/>
  <c r="AK7" i="12"/>
  <c r="AJ7" i="12"/>
  <c r="AI7" i="12"/>
  <c r="AH7" i="12"/>
  <c r="AR5" i="12"/>
  <c r="AQ5" i="12"/>
  <c r="AP5" i="12"/>
  <c r="AO5" i="12"/>
  <c r="AN5" i="12"/>
  <c r="AP4" i="12"/>
  <c r="AM5" i="12"/>
  <c r="AM4" i="12"/>
  <c r="AL5" i="12"/>
  <c r="AK5" i="12"/>
  <c r="AK4" i="12"/>
  <c r="AH4" i="12"/>
  <c r="AJ5" i="12"/>
  <c r="AI5" i="12"/>
  <c r="AH5" i="12"/>
  <c r="Q11" i="14" l="1"/>
  <c r="AR11" i="14" s="1"/>
  <c r="R11" i="14"/>
  <c r="AS11" i="14" s="1"/>
  <c r="AP11" i="14"/>
  <c r="AO11" i="14"/>
  <c r="Q12" i="14"/>
  <c r="AR12" i="14" s="1"/>
  <c r="R12" i="14"/>
  <c r="AS12" i="14" s="1"/>
  <c r="AP12" i="14"/>
  <c r="AO12" i="14"/>
  <c r="E10" i="10"/>
  <c r="I23" i="10"/>
  <c r="I19" i="10"/>
  <c r="E40" i="23" l="1"/>
  <c r="F40" i="23"/>
  <c r="F52" i="23"/>
  <c r="E52" i="23"/>
  <c r="C10" i="22" l="1"/>
  <c r="L10" i="12" l="1"/>
  <c r="X3" i="18"/>
  <c r="AB4" i="17"/>
  <c r="X4" i="17"/>
  <c r="AB3" i="14"/>
  <c r="X3" i="14"/>
  <c r="AC3" i="13"/>
  <c r="Y3" i="13"/>
  <c r="AC3" i="12"/>
  <c r="J2" i="23"/>
  <c r="E2" i="23"/>
  <c r="X14" i="17" l="1"/>
  <c r="X8" i="17"/>
  <c r="X11" i="17"/>
  <c r="X15" i="17"/>
  <c r="X7" i="17"/>
  <c r="X12" i="17"/>
  <c r="Z12" i="17" s="1"/>
  <c r="X9" i="17"/>
  <c r="X13" i="17"/>
  <c r="X10" i="17"/>
  <c r="X11" i="14"/>
  <c r="Z11" i="14" s="1"/>
  <c r="X12" i="14"/>
  <c r="D6" i="22"/>
  <c r="B14" i="22"/>
  <c r="D4" i="22"/>
  <c r="H2" i="22"/>
  <c r="F2" i="22"/>
  <c r="E14" i="19"/>
  <c r="G6" i="21"/>
  <c r="H6" i="21" s="1"/>
  <c r="D6" i="21"/>
  <c r="B8" i="21"/>
  <c r="H2" i="21"/>
  <c r="F4" i="21" s="1"/>
  <c r="F2" i="21"/>
  <c r="L3" i="18"/>
  <c r="K34" i="18"/>
  <c r="J34" i="18" s="1"/>
  <c r="K33" i="18"/>
  <c r="J33" i="18" s="1"/>
  <c r="K32" i="18"/>
  <c r="J32" i="18" s="1"/>
  <c r="K31" i="18"/>
  <c r="J31" i="18" s="1"/>
  <c r="K30" i="18"/>
  <c r="J30" i="18" s="1"/>
  <c r="K29" i="18"/>
  <c r="J29" i="18" s="1"/>
  <c r="K26" i="18"/>
  <c r="J26" i="18" s="1"/>
  <c r="K25" i="18"/>
  <c r="J25" i="18" s="1"/>
  <c r="K24" i="18"/>
  <c r="J24" i="18" s="1"/>
  <c r="K23" i="18"/>
  <c r="J23" i="18" s="1"/>
  <c r="K22" i="18"/>
  <c r="J22" i="18" s="1"/>
  <c r="K19" i="18"/>
  <c r="J19" i="18" s="1"/>
  <c r="K18" i="18"/>
  <c r="J18" i="18" s="1"/>
  <c r="K17" i="18"/>
  <c r="J17" i="18" s="1"/>
  <c r="K16" i="18"/>
  <c r="J16" i="18" s="1"/>
  <c r="K15" i="18"/>
  <c r="J15" i="18" s="1"/>
  <c r="K14" i="18"/>
  <c r="J14" i="18" s="1"/>
  <c r="K8" i="18"/>
  <c r="J8" i="18" s="1"/>
  <c r="K9" i="18"/>
  <c r="J9" i="18" s="1"/>
  <c r="K10" i="18"/>
  <c r="J10" i="18" s="1"/>
  <c r="K11" i="18"/>
  <c r="J11" i="18" s="1"/>
  <c r="K7" i="18"/>
  <c r="J7" i="18" s="1"/>
  <c r="L4" i="17"/>
  <c r="L3" i="16"/>
  <c r="L10" i="16" s="1"/>
  <c r="K15" i="16"/>
  <c r="J15" i="16" s="1"/>
  <c r="K14" i="16"/>
  <c r="J14" i="16" s="1"/>
  <c r="K13" i="16"/>
  <c r="J13" i="16" s="1"/>
  <c r="K9" i="16"/>
  <c r="J9" i="16" s="1"/>
  <c r="L3" i="15"/>
  <c r="K10" i="15"/>
  <c r="J10" i="15" s="1"/>
  <c r="K11" i="15"/>
  <c r="J11" i="15" s="1"/>
  <c r="K12" i="15"/>
  <c r="J12" i="15" s="1"/>
  <c r="K13" i="15"/>
  <c r="J13" i="15" s="1"/>
  <c r="K14" i="15"/>
  <c r="J14" i="15" s="1"/>
  <c r="K15" i="15"/>
  <c r="J15" i="15" s="1"/>
  <c r="K16" i="15"/>
  <c r="J16" i="15" s="1"/>
  <c r="K6" i="15"/>
  <c r="J6" i="15" s="1"/>
  <c r="K7" i="14"/>
  <c r="J7" i="14" s="1"/>
  <c r="K8" i="14"/>
  <c r="J8" i="14" s="1"/>
  <c r="K9" i="14"/>
  <c r="J9" i="14" s="1"/>
  <c r="K10" i="14"/>
  <c r="J10" i="14" s="1"/>
  <c r="K14" i="14"/>
  <c r="J14" i="14" s="1"/>
  <c r="K6" i="14"/>
  <c r="J6" i="14" s="1"/>
  <c r="M3" i="13"/>
  <c r="L9" i="12"/>
  <c r="K10" i="12"/>
  <c r="L14" i="12"/>
  <c r="K14" i="12" s="1"/>
  <c r="H2" i="19"/>
  <c r="G7" i="19" s="1"/>
  <c r="H2" i="20"/>
  <c r="F6" i="20" s="1"/>
  <c r="F2" i="19"/>
  <c r="F2" i="20"/>
  <c r="B9" i="20"/>
  <c r="AM20" i="12"/>
  <c r="AM21" i="12"/>
  <c r="AM22" i="12"/>
  <c r="AN10" i="14"/>
  <c r="K36" i="10"/>
  <c r="AE3" i="18"/>
  <c r="AE4" i="17"/>
  <c r="AE3" i="16"/>
  <c r="AB14" i="16" s="1"/>
  <c r="AE3" i="15"/>
  <c r="AE3" i="14"/>
  <c r="AF3" i="13"/>
  <c r="C12" i="10"/>
  <c r="C11" i="10"/>
  <c r="G30" i="10"/>
  <c r="E29" i="10"/>
  <c r="AB3" i="15"/>
  <c r="AB3" i="18"/>
  <c r="N14" i="16"/>
  <c r="AO14" i="16" s="1"/>
  <c r="O14" i="16"/>
  <c r="AP14" i="16" s="1"/>
  <c r="N15" i="16"/>
  <c r="AO15" i="16" s="1"/>
  <c r="O15" i="16"/>
  <c r="AP15" i="16" s="1"/>
  <c r="N13" i="16"/>
  <c r="AO13" i="16" s="1"/>
  <c r="O13" i="16"/>
  <c r="AP13" i="16" s="1"/>
  <c r="AN6" i="16"/>
  <c r="Q14" i="15"/>
  <c r="AR14" i="15" s="1"/>
  <c r="R14" i="15"/>
  <c r="AS14" i="15" s="1"/>
  <c r="Q15" i="15"/>
  <c r="AR15" i="15" s="1"/>
  <c r="R15" i="15"/>
  <c r="AS15" i="15" s="1"/>
  <c r="Q16" i="15"/>
  <c r="AR16" i="15" s="1"/>
  <c r="R16" i="15"/>
  <c r="AS16" i="15" s="1"/>
  <c r="Q9" i="15"/>
  <c r="AR9" i="15" s="1"/>
  <c r="R9" i="15"/>
  <c r="AS9" i="15" s="1"/>
  <c r="Q10" i="15"/>
  <c r="AR10" i="15" s="1"/>
  <c r="R10" i="15"/>
  <c r="AS10" i="15" s="1"/>
  <c r="Q11" i="15"/>
  <c r="AR11" i="15" s="1"/>
  <c r="R11" i="15"/>
  <c r="AS11" i="15" s="1"/>
  <c r="Q12" i="15"/>
  <c r="AR12" i="15" s="1"/>
  <c r="R12" i="15"/>
  <c r="AS12" i="15" s="1"/>
  <c r="Q13" i="15"/>
  <c r="AR13" i="15" s="1"/>
  <c r="R13" i="15"/>
  <c r="AS13" i="15" s="1"/>
  <c r="R8" i="15"/>
  <c r="AS8" i="15" s="1"/>
  <c r="Q8" i="15"/>
  <c r="AR8" i="15" s="1"/>
  <c r="N13" i="15"/>
  <c r="AO13" i="15" s="1"/>
  <c r="O13" i="15"/>
  <c r="AP13" i="15" s="1"/>
  <c r="N14" i="15"/>
  <c r="AO14" i="15" s="1"/>
  <c r="O14" i="15"/>
  <c r="AP14" i="15" s="1"/>
  <c r="N15" i="15"/>
  <c r="AO15" i="15" s="1"/>
  <c r="O15" i="15"/>
  <c r="AP15" i="15" s="1"/>
  <c r="N16" i="15"/>
  <c r="AO16" i="15" s="1"/>
  <c r="O16" i="15"/>
  <c r="AP16" i="15" s="1"/>
  <c r="N10" i="15"/>
  <c r="AO10" i="15" s="1"/>
  <c r="O10" i="15"/>
  <c r="AP10" i="15" s="1"/>
  <c r="N11" i="15"/>
  <c r="AO11" i="15" s="1"/>
  <c r="O11" i="15"/>
  <c r="AP11" i="15" s="1"/>
  <c r="N12" i="15"/>
  <c r="AO12" i="15" s="1"/>
  <c r="O12" i="15"/>
  <c r="AP12" i="15" s="1"/>
  <c r="N7" i="15"/>
  <c r="AO7" i="15" s="1"/>
  <c r="O7" i="15"/>
  <c r="AP7" i="15" s="1"/>
  <c r="O8" i="15"/>
  <c r="AP8" i="15" s="1"/>
  <c r="N8" i="15"/>
  <c r="AO8" i="15" s="1"/>
  <c r="R15" i="17"/>
  <c r="Q15" i="17"/>
  <c r="R12" i="17"/>
  <c r="Q12" i="17"/>
  <c r="R11" i="17"/>
  <c r="Q11" i="17"/>
  <c r="R16" i="17" l="1"/>
  <c r="R19" i="17" s="1"/>
  <c r="Z8" i="17"/>
  <c r="AC8" i="17"/>
  <c r="Y8" i="17"/>
  <c r="Y7" i="17"/>
  <c r="Z7" i="17"/>
  <c r="AC7" i="17"/>
  <c r="Y13" i="17"/>
  <c r="Z13" i="17"/>
  <c r="Z15" i="17"/>
  <c r="Y15" i="17"/>
  <c r="Q16" i="17"/>
  <c r="Q19" i="17" s="1"/>
  <c r="Z9" i="17"/>
  <c r="Y9" i="17"/>
  <c r="AC9" i="17"/>
  <c r="Z11" i="17"/>
  <c r="Y11" i="17"/>
  <c r="AB13" i="17"/>
  <c r="AB14" i="17"/>
  <c r="AB15" i="17"/>
  <c r="AC10" i="17"/>
  <c r="Z10" i="17"/>
  <c r="Y10" i="17"/>
  <c r="Y14" i="17"/>
  <c r="Z14" i="17"/>
  <c r="N16" i="17"/>
  <c r="L13" i="17"/>
  <c r="L14" i="17"/>
  <c r="M13" i="14"/>
  <c r="P13" i="14"/>
  <c r="AN14" i="14"/>
  <c r="O14" i="14"/>
  <c r="N14" i="14"/>
  <c r="O9" i="15"/>
  <c r="AP9" i="15" s="1"/>
  <c r="AN9" i="15"/>
  <c r="L9" i="17"/>
  <c r="L10" i="17"/>
  <c r="M10" i="17" s="1"/>
  <c r="L8" i="17"/>
  <c r="L7" i="17"/>
  <c r="S7" i="17" s="1"/>
  <c r="P10" i="16"/>
  <c r="M10" i="16"/>
  <c r="L26" i="18"/>
  <c r="X28" i="18"/>
  <c r="X27" i="18"/>
  <c r="L28" i="18"/>
  <c r="L27" i="18"/>
  <c r="AB28" i="18"/>
  <c r="AB27" i="18"/>
  <c r="AC27" i="18" s="1"/>
  <c r="AB7" i="18"/>
  <c r="AB41" i="18"/>
  <c r="AB40" i="18"/>
  <c r="L41" i="18"/>
  <c r="L40" i="18"/>
  <c r="X41" i="18"/>
  <c r="X40" i="18"/>
  <c r="Y11" i="14"/>
  <c r="F59" i="23"/>
  <c r="E24" i="23"/>
  <c r="AB12" i="14"/>
  <c r="G24" i="23" s="1"/>
  <c r="AB11" i="14"/>
  <c r="Z12" i="14"/>
  <c r="F24" i="23"/>
  <c r="N9" i="15"/>
  <c r="AO9" i="15" s="1"/>
  <c r="F4" i="20"/>
  <c r="L18" i="18"/>
  <c r="M10" i="12"/>
  <c r="M8" i="12"/>
  <c r="E63" i="23"/>
  <c r="M8" i="13"/>
  <c r="E31" i="23" s="1"/>
  <c r="L14" i="18"/>
  <c r="L24" i="18"/>
  <c r="L31" i="18"/>
  <c r="E54" i="23"/>
  <c r="F9" i="22"/>
  <c r="F12" i="22"/>
  <c r="F11" i="22"/>
  <c r="L10" i="15"/>
  <c r="S10" i="15" s="1"/>
  <c r="L10" i="18"/>
  <c r="D2" i="20"/>
  <c r="C4" i="20" s="1"/>
  <c r="D4" i="20" s="1"/>
  <c r="H2" i="23"/>
  <c r="L9" i="18"/>
  <c r="F10" i="22"/>
  <c r="L13" i="15"/>
  <c r="E95" i="23" s="1"/>
  <c r="L11" i="17"/>
  <c r="L8" i="18"/>
  <c r="G13" i="19"/>
  <c r="F13" i="22"/>
  <c r="L14" i="15"/>
  <c r="M7" i="12"/>
  <c r="E16" i="23" s="1"/>
  <c r="D2" i="19"/>
  <c r="D13" i="19" s="1"/>
  <c r="E13" i="19" s="1"/>
  <c r="M11" i="13"/>
  <c r="E70" i="23" s="1"/>
  <c r="E83" i="23"/>
  <c r="L12" i="15"/>
  <c r="L12" i="17"/>
  <c r="M10" i="13"/>
  <c r="E72" i="23" s="1"/>
  <c r="E55" i="23"/>
  <c r="E85" i="23"/>
  <c r="E36" i="23"/>
  <c r="L15" i="17"/>
  <c r="L29" i="18"/>
  <c r="D2" i="21"/>
  <c r="C7" i="21" s="1"/>
  <c r="F6" i="22"/>
  <c r="G6" i="22" s="1"/>
  <c r="H6" i="22" s="1"/>
  <c r="G14" i="19"/>
  <c r="H14" i="19" s="1"/>
  <c r="I14" i="19" s="1"/>
  <c r="G15" i="19"/>
  <c r="H15" i="19" s="1"/>
  <c r="I15" i="19" s="1"/>
  <c r="L16" i="18"/>
  <c r="F7" i="22"/>
  <c r="E53" i="23"/>
  <c r="L6" i="15"/>
  <c r="E56" i="23" s="1"/>
  <c r="E86" i="23"/>
  <c r="F7" i="20"/>
  <c r="M13" i="12"/>
  <c r="L16" i="15"/>
  <c r="L9" i="16"/>
  <c r="E32" i="23" s="1"/>
  <c r="F5" i="20"/>
  <c r="M7" i="13"/>
  <c r="T7" i="13" s="1"/>
  <c r="D2" i="22"/>
  <c r="F8" i="22"/>
  <c r="F4" i="22"/>
  <c r="G4" i="22" s="1"/>
  <c r="H4" i="22" s="1"/>
  <c r="F5" i="22"/>
  <c r="E15" i="19"/>
  <c r="G4" i="19"/>
  <c r="G10" i="19"/>
  <c r="F7" i="21"/>
  <c r="F5" i="21"/>
  <c r="L25" i="18"/>
  <c r="G12" i="19"/>
  <c r="G8" i="19"/>
  <c r="G6" i="19"/>
  <c r="L22" i="18"/>
  <c r="L33" i="18"/>
  <c r="E46" i="23"/>
  <c r="L7" i="15"/>
  <c r="L15" i="18"/>
  <c r="L23" i="18"/>
  <c r="F8" i="20"/>
  <c r="G11" i="19"/>
  <c r="G5" i="19"/>
  <c r="L15" i="15"/>
  <c r="L11" i="15"/>
  <c r="L34" i="18"/>
  <c r="M12" i="13"/>
  <c r="E67" i="23" s="1"/>
  <c r="E87" i="23"/>
  <c r="L8" i="16"/>
  <c r="G9" i="19"/>
  <c r="L7" i="18"/>
  <c r="L17" i="18"/>
  <c r="L30" i="18"/>
  <c r="M9" i="12"/>
  <c r="E17" i="23" s="1"/>
  <c r="L13" i="16"/>
  <c r="E73" i="23" s="1"/>
  <c r="L11" i="18"/>
  <c r="L19" i="18"/>
  <c r="L32" i="18"/>
  <c r="L6" i="16"/>
  <c r="E98" i="23" s="1"/>
  <c r="L7" i="16"/>
  <c r="E65" i="23" s="1"/>
  <c r="L14" i="16"/>
  <c r="E71" i="23" s="1"/>
  <c r="L15" i="16"/>
  <c r="E68" i="23" s="1"/>
  <c r="M6" i="13"/>
  <c r="E97" i="23" s="1"/>
  <c r="AB9" i="16"/>
  <c r="AB8" i="16"/>
  <c r="G22" i="23" s="1"/>
  <c r="AB13" i="16"/>
  <c r="AB15" i="16"/>
  <c r="AB6" i="15"/>
  <c r="AB16" i="15"/>
  <c r="AB14" i="15"/>
  <c r="AB12" i="15"/>
  <c r="AB10" i="15"/>
  <c r="AB7" i="15"/>
  <c r="AB6" i="16"/>
  <c r="AB7" i="16"/>
  <c r="AB15" i="15"/>
  <c r="AB13" i="15"/>
  <c r="AB11" i="15"/>
  <c r="AB9" i="15"/>
  <c r="AB8" i="15"/>
  <c r="G20" i="23"/>
  <c r="AB11" i="17"/>
  <c r="AB12" i="17"/>
  <c r="AB6" i="14"/>
  <c r="AC11" i="13"/>
  <c r="AC8" i="13"/>
  <c r="AC7" i="13"/>
  <c r="G23" i="23" s="1"/>
  <c r="AC6" i="13"/>
  <c r="N30" i="18"/>
  <c r="AO30" i="18" s="1"/>
  <c r="O30" i="18"/>
  <c r="AP30" i="18" s="1"/>
  <c r="Q30" i="18"/>
  <c r="AR30" i="18" s="1"/>
  <c r="R30" i="18"/>
  <c r="AS30" i="18" s="1"/>
  <c r="N31" i="18"/>
  <c r="AO31" i="18" s="1"/>
  <c r="O31" i="18"/>
  <c r="AP31" i="18" s="1"/>
  <c r="Q31" i="18"/>
  <c r="AR31" i="18" s="1"/>
  <c r="R31" i="18"/>
  <c r="AS31" i="18" s="1"/>
  <c r="N32" i="18"/>
  <c r="AO32" i="18" s="1"/>
  <c r="O32" i="18"/>
  <c r="AP32" i="18" s="1"/>
  <c r="Q32" i="18"/>
  <c r="AR32" i="18" s="1"/>
  <c r="R32" i="18"/>
  <c r="AS32" i="18" s="1"/>
  <c r="N33" i="18"/>
  <c r="AO33" i="18" s="1"/>
  <c r="O33" i="18"/>
  <c r="AP33" i="18" s="1"/>
  <c r="Q33" i="18"/>
  <c r="AR33" i="18" s="1"/>
  <c r="R33" i="18"/>
  <c r="AS33" i="18" s="1"/>
  <c r="N34" i="18"/>
  <c r="AO34" i="18" s="1"/>
  <c r="O34" i="18"/>
  <c r="AP34" i="18" s="1"/>
  <c r="Q34" i="18"/>
  <c r="AR34" i="18" s="1"/>
  <c r="R34" i="18"/>
  <c r="AS34" i="18" s="1"/>
  <c r="N23" i="18"/>
  <c r="AO23" i="18" s="1"/>
  <c r="O23" i="18"/>
  <c r="AP23" i="18" s="1"/>
  <c r="Q23" i="18"/>
  <c r="AR23" i="18" s="1"/>
  <c r="R23" i="18"/>
  <c r="AS23" i="18" s="1"/>
  <c r="N24" i="18"/>
  <c r="AO24" i="18" s="1"/>
  <c r="O24" i="18"/>
  <c r="AP24" i="18" s="1"/>
  <c r="Q24" i="18"/>
  <c r="AR24" i="18" s="1"/>
  <c r="R24" i="18"/>
  <c r="AS24" i="18" s="1"/>
  <c r="N25" i="18"/>
  <c r="AO25" i="18" s="1"/>
  <c r="O25" i="18"/>
  <c r="AP25" i="18" s="1"/>
  <c r="Q25" i="18"/>
  <c r="AR25" i="18" s="1"/>
  <c r="R25" i="18"/>
  <c r="AS25" i="18" s="1"/>
  <c r="N26" i="18"/>
  <c r="AO26" i="18" s="1"/>
  <c r="O26" i="18"/>
  <c r="AP26" i="18" s="1"/>
  <c r="Q26" i="18"/>
  <c r="AR26" i="18" s="1"/>
  <c r="R26" i="18"/>
  <c r="AS26" i="18" s="1"/>
  <c r="N29" i="18"/>
  <c r="AO29" i="18" s="1"/>
  <c r="O29" i="18"/>
  <c r="AP29" i="18" s="1"/>
  <c r="Q29" i="18"/>
  <c r="AR29" i="18" s="1"/>
  <c r="R29" i="18"/>
  <c r="AS29" i="18" s="1"/>
  <c r="R22" i="18"/>
  <c r="AS22" i="18" s="1"/>
  <c r="Q22" i="18"/>
  <c r="AR22" i="18" s="1"/>
  <c r="O22" i="18"/>
  <c r="AP22" i="18" s="1"/>
  <c r="N22" i="18"/>
  <c r="AO22" i="18" s="1"/>
  <c r="R19" i="18"/>
  <c r="AS19" i="18" s="1"/>
  <c r="Q19" i="18"/>
  <c r="AR19" i="18" s="1"/>
  <c r="O19" i="18"/>
  <c r="AP19" i="18" s="1"/>
  <c r="N19" i="18"/>
  <c r="AO19" i="18" s="1"/>
  <c r="R18" i="18"/>
  <c r="AS18" i="18" s="1"/>
  <c r="Q18" i="18"/>
  <c r="AR18" i="18" s="1"/>
  <c r="O18" i="18"/>
  <c r="AP18" i="18" s="1"/>
  <c r="N18" i="18"/>
  <c r="AO18" i="18" s="1"/>
  <c r="R17" i="18"/>
  <c r="AS17" i="18" s="1"/>
  <c r="Q17" i="18"/>
  <c r="AR17" i="18" s="1"/>
  <c r="O17" i="18"/>
  <c r="AP17" i="18" s="1"/>
  <c r="N17" i="18"/>
  <c r="AO17" i="18" s="1"/>
  <c r="R16" i="18"/>
  <c r="AS16" i="18" s="1"/>
  <c r="Q16" i="18"/>
  <c r="AR16" i="18" s="1"/>
  <c r="O16" i="18"/>
  <c r="AP16" i="18" s="1"/>
  <c r="N16" i="18"/>
  <c r="AO16" i="18" s="1"/>
  <c r="R15" i="18"/>
  <c r="AS15" i="18" s="1"/>
  <c r="Q15" i="18"/>
  <c r="AR15" i="18" s="1"/>
  <c r="O15" i="18"/>
  <c r="AP15" i="18" s="1"/>
  <c r="N15" i="18"/>
  <c r="AO15" i="18" s="1"/>
  <c r="R14" i="18"/>
  <c r="AS14" i="18" s="1"/>
  <c r="Q14" i="18"/>
  <c r="AR14" i="18" s="1"/>
  <c r="O14" i="18"/>
  <c r="AP14" i="18" s="1"/>
  <c r="N14" i="18"/>
  <c r="AO14" i="18" s="1"/>
  <c r="AC22" i="12"/>
  <c r="N9" i="18"/>
  <c r="AO9" i="18" s="1"/>
  <c r="O9" i="18"/>
  <c r="AP9" i="18" s="1"/>
  <c r="Q9" i="18"/>
  <c r="AR9" i="18" s="1"/>
  <c r="R9" i="18"/>
  <c r="AS9" i="18" s="1"/>
  <c r="N8" i="18"/>
  <c r="AO8" i="18" s="1"/>
  <c r="O8" i="18"/>
  <c r="AP8" i="18" s="1"/>
  <c r="Q8" i="18"/>
  <c r="AR8" i="18" s="1"/>
  <c r="R8" i="18"/>
  <c r="AS8" i="18" s="1"/>
  <c r="N10" i="18"/>
  <c r="AO10" i="18" s="1"/>
  <c r="O10" i="18"/>
  <c r="AP10" i="18" s="1"/>
  <c r="Q10" i="18"/>
  <c r="AR10" i="18" s="1"/>
  <c r="R10" i="18"/>
  <c r="AS10" i="18" s="1"/>
  <c r="N11" i="18"/>
  <c r="AO11" i="18" s="1"/>
  <c r="O11" i="18"/>
  <c r="AP11" i="18" s="1"/>
  <c r="Q11" i="18"/>
  <c r="AR11" i="18" s="1"/>
  <c r="R11" i="18"/>
  <c r="AS11" i="18" s="1"/>
  <c r="N7" i="18"/>
  <c r="AO7" i="18" s="1"/>
  <c r="O7" i="18"/>
  <c r="AP7" i="18" s="1"/>
  <c r="Q7" i="18"/>
  <c r="AR7" i="18" s="1"/>
  <c r="R7" i="18"/>
  <c r="AS7" i="18" s="1"/>
  <c r="X25" i="18"/>
  <c r="E62" i="23" l="1"/>
  <c r="M15" i="17"/>
  <c r="P13" i="17"/>
  <c r="M13" i="17"/>
  <c r="AE7" i="17"/>
  <c r="AD7" i="17"/>
  <c r="AD8" i="17"/>
  <c r="AE8" i="17"/>
  <c r="E74" i="23"/>
  <c r="M11" i="17"/>
  <c r="P9" i="17"/>
  <c r="M9" i="17"/>
  <c r="P14" i="17"/>
  <c r="M14" i="17"/>
  <c r="AD10" i="17"/>
  <c r="AE10" i="17"/>
  <c r="Z16" i="17"/>
  <c r="E69" i="23"/>
  <c r="M12" i="17"/>
  <c r="AD9" i="17"/>
  <c r="AE9" i="17"/>
  <c r="AO16" i="17"/>
  <c r="N18" i="17"/>
  <c r="T7" i="17"/>
  <c r="T16" i="17" s="1"/>
  <c r="T18" i="17" s="1"/>
  <c r="U7" i="17"/>
  <c r="U16" i="17" s="1"/>
  <c r="U19" i="17" s="1"/>
  <c r="E64" i="23"/>
  <c r="E20" i="23"/>
  <c r="E33" i="23"/>
  <c r="E48" i="23"/>
  <c r="S11" i="15"/>
  <c r="E51" i="23"/>
  <c r="S16" i="15"/>
  <c r="M12" i="15"/>
  <c r="S12" i="15"/>
  <c r="E50" i="23"/>
  <c r="S15" i="15"/>
  <c r="T10" i="15"/>
  <c r="U10" i="15"/>
  <c r="U7" i="13"/>
  <c r="U13" i="13" s="1"/>
  <c r="U16" i="13" s="1"/>
  <c r="V7" i="13"/>
  <c r="V13" i="13" s="1"/>
  <c r="V17" i="13" s="1"/>
  <c r="P10" i="17"/>
  <c r="M7" i="17"/>
  <c r="P7" i="17"/>
  <c r="P8" i="17"/>
  <c r="M8" i="17"/>
  <c r="P27" i="18"/>
  <c r="M27" i="18"/>
  <c r="M28" i="18"/>
  <c r="P28" i="18"/>
  <c r="AD27" i="18"/>
  <c r="AE27" i="18"/>
  <c r="Z27" i="18"/>
  <c r="Y27" i="18"/>
  <c r="AC28" i="18"/>
  <c r="Z28" i="18"/>
  <c r="Y28" i="18"/>
  <c r="AR16" i="17"/>
  <c r="AS16" i="17"/>
  <c r="Y40" i="18"/>
  <c r="Z40" i="18"/>
  <c r="AC40" i="18"/>
  <c r="Z41" i="18"/>
  <c r="Y41" i="18"/>
  <c r="AC41" i="18"/>
  <c r="M41" i="18"/>
  <c r="P41" i="18"/>
  <c r="M40" i="18"/>
  <c r="P40" i="18"/>
  <c r="AC12" i="14"/>
  <c r="AE12" i="14" s="1"/>
  <c r="P12" i="14"/>
  <c r="M12" i="14"/>
  <c r="G59" i="23"/>
  <c r="AC11" i="14"/>
  <c r="E59" i="23"/>
  <c r="P11" i="14"/>
  <c r="M11" i="14"/>
  <c r="D10" i="19"/>
  <c r="E10" i="19" s="1"/>
  <c r="D11" i="19"/>
  <c r="E11" i="19" s="1"/>
  <c r="D4" i="19"/>
  <c r="E4" i="19" s="1"/>
  <c r="D8" i="19"/>
  <c r="E8" i="19" s="1"/>
  <c r="D12" i="19"/>
  <c r="E12" i="19" s="1"/>
  <c r="D6" i="19"/>
  <c r="E6" i="19" s="1"/>
  <c r="D7" i="19"/>
  <c r="H7" i="19" s="1"/>
  <c r="I7" i="19" s="1"/>
  <c r="E61" i="23"/>
  <c r="E26" i="23"/>
  <c r="E22" i="23"/>
  <c r="E44" i="23"/>
  <c r="E82" i="23"/>
  <c r="Q13" i="12"/>
  <c r="E18" i="23"/>
  <c r="E27" i="23"/>
  <c r="E23" i="23"/>
  <c r="C7" i="20"/>
  <c r="D7" i="20" s="1"/>
  <c r="C6" i="20"/>
  <c r="D6" i="20" s="1"/>
  <c r="C5" i="20"/>
  <c r="D5" i="20" s="1"/>
  <c r="C8" i="20"/>
  <c r="G8" i="20" s="1"/>
  <c r="H8" i="20" s="1"/>
  <c r="C5" i="21"/>
  <c r="D5" i="21" s="1"/>
  <c r="H13" i="19"/>
  <c r="I13" i="19" s="1"/>
  <c r="C5" i="22"/>
  <c r="D5" i="22" s="1"/>
  <c r="C12" i="22"/>
  <c r="C13" i="22"/>
  <c r="D13" i="22" s="1"/>
  <c r="C11" i="22"/>
  <c r="D11" i="22" s="1"/>
  <c r="D9" i="19"/>
  <c r="E9" i="19" s="1"/>
  <c r="N13" i="12"/>
  <c r="D5" i="19"/>
  <c r="E5" i="19" s="1"/>
  <c r="C8" i="22"/>
  <c r="C9" i="22"/>
  <c r="C7" i="22"/>
  <c r="H8" i="19"/>
  <c r="I8" i="19" s="1"/>
  <c r="D4" i="21"/>
  <c r="G4" i="21"/>
  <c r="H4" i="21" s="1"/>
  <c r="D7" i="21"/>
  <c r="G7" i="21"/>
  <c r="H7" i="21" s="1"/>
  <c r="G4" i="20"/>
  <c r="H4" i="20" s="1"/>
  <c r="Z25" i="18"/>
  <c r="Y25" i="18"/>
  <c r="AB24" i="18"/>
  <c r="AB22" i="18"/>
  <c r="AB14" i="18"/>
  <c r="AC10" i="13"/>
  <c r="AC12" i="13"/>
  <c r="AB7" i="14"/>
  <c r="AB9" i="14"/>
  <c r="AB14" i="14"/>
  <c r="AB8" i="14"/>
  <c r="AB10" i="14"/>
  <c r="AC10" i="14" s="1"/>
  <c r="X30" i="18"/>
  <c r="AB31" i="18"/>
  <c r="AB33" i="18"/>
  <c r="AB32" i="18"/>
  <c r="AB34" i="18"/>
  <c r="AB30" i="18"/>
  <c r="M30" i="18"/>
  <c r="AB25" i="18"/>
  <c r="AC25" i="18" s="1"/>
  <c r="AD25" i="18" s="1"/>
  <c r="X31" i="18"/>
  <c r="X33" i="18"/>
  <c r="X32" i="18"/>
  <c r="M31" i="18"/>
  <c r="X34" i="18"/>
  <c r="X18" i="18"/>
  <c r="AB9" i="18"/>
  <c r="AB26" i="18"/>
  <c r="AB16" i="18"/>
  <c r="AB17" i="18"/>
  <c r="AB29" i="18"/>
  <c r="P25" i="18"/>
  <c r="AB18" i="18"/>
  <c r="AB19" i="18"/>
  <c r="M24" i="18"/>
  <c r="P22" i="18"/>
  <c r="M23" i="18"/>
  <c r="X29" i="18"/>
  <c r="P26" i="18"/>
  <c r="X24" i="18"/>
  <c r="X22" i="18"/>
  <c r="X16" i="18"/>
  <c r="X17" i="18"/>
  <c r="X19" i="18"/>
  <c r="X23" i="18"/>
  <c r="AB15" i="18"/>
  <c r="AB23" i="18"/>
  <c r="X26" i="18"/>
  <c r="AB8" i="18"/>
  <c r="R20" i="18"/>
  <c r="Q20" i="18"/>
  <c r="O20" i="18"/>
  <c r="N20" i="18"/>
  <c r="P16" i="18"/>
  <c r="M17" i="18"/>
  <c r="P18" i="18"/>
  <c r="P19" i="18"/>
  <c r="M14" i="18"/>
  <c r="Q12" i="18"/>
  <c r="AR12" i="18" s="1"/>
  <c r="O12" i="18"/>
  <c r="AP12" i="18" s="1"/>
  <c r="X15" i="18"/>
  <c r="P15" i="18"/>
  <c r="X10" i="18"/>
  <c r="X14" i="18"/>
  <c r="P11" i="18"/>
  <c r="X7" i="18"/>
  <c r="R12" i="18"/>
  <c r="AS12" i="18" s="1"/>
  <c r="X11" i="18"/>
  <c r="X8" i="18"/>
  <c r="N12" i="18"/>
  <c r="AO12" i="18" s="1"/>
  <c r="X9" i="18"/>
  <c r="P9" i="18"/>
  <c r="X12" i="18"/>
  <c r="M7" i="18"/>
  <c r="AC7" i="12"/>
  <c r="G16" i="23" s="1"/>
  <c r="AC19" i="12"/>
  <c r="AC13" i="12"/>
  <c r="G18" i="23" s="1"/>
  <c r="AC9" i="12"/>
  <c r="G17" i="23" s="1"/>
  <c r="AC16" i="12"/>
  <c r="AC18" i="12"/>
  <c r="AC10" i="12"/>
  <c r="AC8" i="12"/>
  <c r="AC14" i="12"/>
  <c r="AC15" i="12"/>
  <c r="AC17" i="12"/>
  <c r="AC20" i="12"/>
  <c r="AC21" i="12"/>
  <c r="Q7" i="16"/>
  <c r="AR7" i="16" s="1"/>
  <c r="R7" i="16"/>
  <c r="AS7" i="16" s="1"/>
  <c r="Q8" i="16"/>
  <c r="AR8" i="16" s="1"/>
  <c r="R8" i="16"/>
  <c r="AS8" i="16" s="1"/>
  <c r="Q9" i="16"/>
  <c r="AR9" i="16" s="1"/>
  <c r="R9" i="16"/>
  <c r="AS9" i="16" s="1"/>
  <c r="Q13" i="16"/>
  <c r="AR13" i="16" s="1"/>
  <c r="R13" i="16"/>
  <c r="AS13" i="16" s="1"/>
  <c r="Q14" i="16"/>
  <c r="AR14" i="16" s="1"/>
  <c r="R14" i="16"/>
  <c r="AS14" i="16" s="1"/>
  <c r="Q15" i="16"/>
  <c r="AR15" i="16" s="1"/>
  <c r="R15" i="16"/>
  <c r="AS15" i="16" s="1"/>
  <c r="R6" i="16"/>
  <c r="Q6" i="16"/>
  <c r="P9" i="16"/>
  <c r="AP9" i="16"/>
  <c r="AO9" i="16"/>
  <c r="AP8" i="16"/>
  <c r="AO8" i="16"/>
  <c r="AP7" i="16"/>
  <c r="AO7" i="16"/>
  <c r="AP6" i="16"/>
  <c r="AO6" i="16"/>
  <c r="AB3" i="16"/>
  <c r="X3" i="16"/>
  <c r="Q7" i="15"/>
  <c r="AR7" i="15" s="1"/>
  <c r="R7" i="15"/>
  <c r="AS7" i="15" s="1"/>
  <c r="R6" i="15"/>
  <c r="AS6" i="15" s="1"/>
  <c r="Q6" i="15"/>
  <c r="AR6" i="15" s="1"/>
  <c r="O6" i="15"/>
  <c r="AP6" i="15" s="1"/>
  <c r="N6" i="15"/>
  <c r="AO6" i="15" s="1"/>
  <c r="X3" i="15"/>
  <c r="T15" i="15" l="1"/>
  <c r="U15" i="15"/>
  <c r="U16" i="15"/>
  <c r="T16" i="15"/>
  <c r="U12" i="15"/>
  <c r="T12" i="15"/>
  <c r="T17" i="15" s="1"/>
  <c r="T19" i="15" s="1"/>
  <c r="T11" i="15"/>
  <c r="U11" i="15"/>
  <c r="U17" i="15" s="1"/>
  <c r="U19" i="15" s="1"/>
  <c r="AR6" i="16"/>
  <c r="AR11" i="16"/>
  <c r="AS6" i="16"/>
  <c r="AS11" i="16"/>
  <c r="E7" i="19"/>
  <c r="AD28" i="18"/>
  <c r="AE28" i="18"/>
  <c r="N35" i="18"/>
  <c r="AO35" i="18" s="1"/>
  <c r="AO20" i="18"/>
  <c r="O35" i="18"/>
  <c r="AP35" i="18" s="1"/>
  <c r="AP20" i="18"/>
  <c r="R35" i="18"/>
  <c r="AS35" i="18" s="1"/>
  <c r="AS20" i="18"/>
  <c r="Q35" i="18"/>
  <c r="AR35" i="18" s="1"/>
  <c r="AR20" i="18"/>
  <c r="AD40" i="18"/>
  <c r="AE40" i="18"/>
  <c r="AE41" i="18"/>
  <c r="AD41" i="18"/>
  <c r="H11" i="19"/>
  <c r="I11" i="19" s="1"/>
  <c r="G21" i="23"/>
  <c r="G19" i="23"/>
  <c r="AD11" i="14"/>
  <c r="H10" i="19"/>
  <c r="I10" i="19" s="1"/>
  <c r="H4" i="19"/>
  <c r="I4" i="19" s="1"/>
  <c r="H12" i="19"/>
  <c r="I12" i="19" s="1"/>
  <c r="H6" i="19"/>
  <c r="I6" i="19" s="1"/>
  <c r="G6" i="20"/>
  <c r="H6" i="20" s="1"/>
  <c r="D8" i="20"/>
  <c r="D9" i="20" s="1"/>
  <c r="G5" i="21"/>
  <c r="H5" i="21" s="1"/>
  <c r="H8" i="21" s="1"/>
  <c r="G5" i="20"/>
  <c r="H5" i="20" s="1"/>
  <c r="G11" i="22"/>
  <c r="H11" i="22" s="1"/>
  <c r="E16" i="19"/>
  <c r="G5" i="22"/>
  <c r="H5" i="22" s="1"/>
  <c r="G7" i="20"/>
  <c r="H7" i="20" s="1"/>
  <c r="H9" i="19"/>
  <c r="I9" i="19" s="1"/>
  <c r="G12" i="22"/>
  <c r="H12" i="22" s="1"/>
  <c r="D12" i="22"/>
  <c r="G13" i="22"/>
  <c r="H13" i="22" s="1"/>
  <c r="D10" i="22"/>
  <c r="G10" i="22"/>
  <c r="H10" i="22" s="1"/>
  <c r="H5" i="19"/>
  <c r="I5" i="19" s="1"/>
  <c r="G7" i="22"/>
  <c r="H7" i="22" s="1"/>
  <c r="D7" i="22"/>
  <c r="D9" i="22"/>
  <c r="G9" i="22"/>
  <c r="H9" i="22" s="1"/>
  <c r="D8" i="22"/>
  <c r="G8" i="22"/>
  <c r="H8" i="22" s="1"/>
  <c r="D8" i="21"/>
  <c r="R17" i="15"/>
  <c r="R16" i="16"/>
  <c r="AS16" i="16" s="1"/>
  <c r="AO11" i="16"/>
  <c r="AP11" i="16"/>
  <c r="Q16" i="16"/>
  <c r="AR16" i="16" s="1"/>
  <c r="X8" i="15"/>
  <c r="F84" i="23" s="1"/>
  <c r="X6" i="15"/>
  <c r="F56" i="23" s="1"/>
  <c r="X15" i="15"/>
  <c r="F50" i="23" s="1"/>
  <c r="X9" i="15"/>
  <c r="F86" i="23" s="1"/>
  <c r="X13" i="15"/>
  <c r="F95" i="23" s="1"/>
  <c r="X11" i="15"/>
  <c r="F48" i="23" s="1"/>
  <c r="X16" i="15"/>
  <c r="F51" i="23" s="1"/>
  <c r="X12" i="15"/>
  <c r="X10" i="15"/>
  <c r="X14" i="15"/>
  <c r="X7" i="15"/>
  <c r="X7" i="16"/>
  <c r="F65" i="23" s="1"/>
  <c r="X8" i="16"/>
  <c r="X9" i="16"/>
  <c r="F32" i="23" s="1"/>
  <c r="X11" i="16"/>
  <c r="X13" i="16"/>
  <c r="F73" i="23" s="1"/>
  <c r="X14" i="16"/>
  <c r="F71" i="23" s="1"/>
  <c r="X15" i="16"/>
  <c r="F68" i="23" s="1"/>
  <c r="X6" i="16"/>
  <c r="F98" i="23" s="1"/>
  <c r="F20" i="23"/>
  <c r="F33" i="23"/>
  <c r="F36" i="23"/>
  <c r="F64" i="23"/>
  <c r="AC11" i="18"/>
  <c r="AD11" i="18" s="1"/>
  <c r="Y11" i="18"/>
  <c r="Z11" i="18"/>
  <c r="AC7" i="18"/>
  <c r="AE7" i="18" s="1"/>
  <c r="Y7" i="18"/>
  <c r="Z7" i="18"/>
  <c r="AC10" i="18"/>
  <c r="AE10" i="18" s="1"/>
  <c r="Y10" i="18"/>
  <c r="Z10" i="18"/>
  <c r="Z15" i="18"/>
  <c r="Y15" i="18"/>
  <c r="Z26" i="18"/>
  <c r="Y26" i="18"/>
  <c r="Z17" i="18"/>
  <c r="Y17" i="18"/>
  <c r="Z22" i="18"/>
  <c r="Y22" i="18"/>
  <c r="Z18" i="18"/>
  <c r="Y18" i="18"/>
  <c r="Z30" i="18"/>
  <c r="Y30" i="18"/>
  <c r="Y9" i="18"/>
  <c r="Z9" i="18"/>
  <c r="Y8" i="18"/>
  <c r="Z8" i="18"/>
  <c r="AC14" i="18"/>
  <c r="AE14" i="18" s="1"/>
  <c r="Z14" i="18"/>
  <c r="Y14" i="18"/>
  <c r="Z23" i="18"/>
  <c r="Y23" i="18"/>
  <c r="Z19" i="18"/>
  <c r="Y19" i="18"/>
  <c r="Z16" i="18"/>
  <c r="Y16" i="18"/>
  <c r="AC24" i="18"/>
  <c r="AE24" i="18" s="1"/>
  <c r="Z24" i="18"/>
  <c r="Y24" i="18"/>
  <c r="Z29" i="18"/>
  <c r="Y29" i="18"/>
  <c r="Z34" i="18"/>
  <c r="Y34" i="18"/>
  <c r="AC32" i="18"/>
  <c r="AD32" i="18" s="1"/>
  <c r="Z32" i="18"/>
  <c r="Y32" i="18"/>
  <c r="Z33" i="18"/>
  <c r="Y33" i="18"/>
  <c r="AC31" i="18"/>
  <c r="AD31" i="18" s="1"/>
  <c r="Z31" i="18"/>
  <c r="Y31" i="18"/>
  <c r="AC30" i="18"/>
  <c r="AD30" i="18" s="1"/>
  <c r="AC33" i="18"/>
  <c r="AE33" i="18" s="1"/>
  <c r="AC34" i="18"/>
  <c r="AD34" i="18" s="1"/>
  <c r="AC16" i="18"/>
  <c r="AE16" i="18" s="1"/>
  <c r="AC9" i="18"/>
  <c r="AE9" i="18" s="1"/>
  <c r="AE25" i="18"/>
  <c r="P32" i="18"/>
  <c r="M32" i="18"/>
  <c r="P30" i="18"/>
  <c r="P31" i="18"/>
  <c r="P33" i="18"/>
  <c r="M33" i="18"/>
  <c r="P34" i="18"/>
  <c r="M34" i="18"/>
  <c r="P24" i="18"/>
  <c r="AC26" i="18"/>
  <c r="AD26" i="18" s="1"/>
  <c r="AC29" i="18"/>
  <c r="AD29" i="18" s="1"/>
  <c r="AC18" i="18"/>
  <c r="AE18" i="18" s="1"/>
  <c r="AC19" i="18"/>
  <c r="M25" i="18"/>
  <c r="AC17" i="18"/>
  <c r="AD17" i="18" s="1"/>
  <c r="P23" i="18"/>
  <c r="M26" i="18"/>
  <c r="AC22" i="18"/>
  <c r="AE22" i="18" s="1"/>
  <c r="M22" i="18"/>
  <c r="AC23" i="18"/>
  <c r="AC15" i="18"/>
  <c r="AD15" i="18" s="1"/>
  <c r="P29" i="18"/>
  <c r="M29" i="18"/>
  <c r="M16" i="18"/>
  <c r="P17" i="18"/>
  <c r="M15" i="18"/>
  <c r="M19" i="18"/>
  <c r="M18" i="18"/>
  <c r="P14" i="18"/>
  <c r="M11" i="18"/>
  <c r="M9" i="18"/>
  <c r="P8" i="18"/>
  <c r="M8" i="18"/>
  <c r="P10" i="18"/>
  <c r="M10" i="18"/>
  <c r="P7" i="18"/>
  <c r="Q17" i="15"/>
  <c r="AR17" i="15" s="1"/>
  <c r="M14" i="16"/>
  <c r="M13" i="16"/>
  <c r="M8" i="16"/>
  <c r="M6" i="16"/>
  <c r="M9" i="16"/>
  <c r="M15" i="16"/>
  <c r="M7" i="16"/>
  <c r="O17" i="15"/>
  <c r="AP17" i="15" s="1"/>
  <c r="P14" i="15"/>
  <c r="M15" i="15"/>
  <c r="P10" i="15"/>
  <c r="M16" i="15"/>
  <c r="M13" i="15"/>
  <c r="P6" i="15"/>
  <c r="M7" i="15"/>
  <c r="M11" i="15"/>
  <c r="N17" i="15"/>
  <c r="AO17" i="15" s="1"/>
  <c r="AO7" i="14"/>
  <c r="AP7" i="14"/>
  <c r="Q7" i="14"/>
  <c r="AR7" i="14" s="1"/>
  <c r="R7" i="14"/>
  <c r="AS7" i="14" s="1"/>
  <c r="AO8" i="14"/>
  <c r="AP8" i="14"/>
  <c r="Q8" i="14"/>
  <c r="AR8" i="14" s="1"/>
  <c r="R8" i="14"/>
  <c r="AS8" i="14" s="1"/>
  <c r="AO9" i="14"/>
  <c r="AP9" i="14"/>
  <c r="Q9" i="14"/>
  <c r="AR9" i="14" s="1"/>
  <c r="R9" i="14"/>
  <c r="AS9" i="14" s="1"/>
  <c r="AO10" i="14"/>
  <c r="AP10" i="14"/>
  <c r="Q10" i="14"/>
  <c r="AR10" i="14" s="1"/>
  <c r="R10" i="14"/>
  <c r="AS10" i="14" s="1"/>
  <c r="AO14" i="14"/>
  <c r="AP14" i="14"/>
  <c r="Q14" i="14"/>
  <c r="AR14" i="14" s="1"/>
  <c r="R14" i="14"/>
  <c r="AS14" i="14" s="1"/>
  <c r="R6" i="14"/>
  <c r="AS6" i="14" s="1"/>
  <c r="Q6" i="14"/>
  <c r="AR6" i="14" s="1"/>
  <c r="AP6" i="14"/>
  <c r="AO6" i="14"/>
  <c r="S12" i="13"/>
  <c r="AS12" i="13" s="1"/>
  <c r="R12" i="13"/>
  <c r="AR12" i="13" s="1"/>
  <c r="S11" i="13"/>
  <c r="AS11" i="13" s="1"/>
  <c r="R11" i="13"/>
  <c r="AR11" i="13" s="1"/>
  <c r="S10" i="13"/>
  <c r="AS10" i="13" s="1"/>
  <c r="R10" i="13"/>
  <c r="AR10" i="13" s="1"/>
  <c r="S8" i="13"/>
  <c r="AS8" i="13" s="1"/>
  <c r="R8" i="13"/>
  <c r="AR8" i="13" s="1"/>
  <c r="AP8" i="13"/>
  <c r="AO8" i="13"/>
  <c r="S7" i="13"/>
  <c r="AS7" i="13" s="1"/>
  <c r="R7" i="13"/>
  <c r="AR7" i="13" s="1"/>
  <c r="P7" i="13"/>
  <c r="AP7" i="13" s="1"/>
  <c r="O7" i="13"/>
  <c r="AO7" i="13" s="1"/>
  <c r="S6" i="13"/>
  <c r="AS6" i="13" s="1"/>
  <c r="R6" i="13"/>
  <c r="AR6" i="13" s="1"/>
  <c r="P6" i="13"/>
  <c r="AP6" i="13" s="1"/>
  <c r="O6" i="13"/>
  <c r="AO6" i="13" s="1"/>
  <c r="AN14" i="12"/>
  <c r="AO14" i="12"/>
  <c r="AN15" i="12"/>
  <c r="AO15" i="12"/>
  <c r="AN16" i="12"/>
  <c r="AO16" i="12"/>
  <c r="AN17" i="12"/>
  <c r="AO17" i="12"/>
  <c r="AN18" i="12"/>
  <c r="AO18" i="12"/>
  <c r="AN19" i="12"/>
  <c r="AO19" i="12"/>
  <c r="O8" i="12"/>
  <c r="AN8" i="12" s="1"/>
  <c r="P8" i="12"/>
  <c r="AO8" i="12" s="1"/>
  <c r="O9" i="12"/>
  <c r="AN9" i="12" s="1"/>
  <c r="P9" i="12"/>
  <c r="AO9" i="12" s="1"/>
  <c r="O10" i="12"/>
  <c r="AN10" i="12" s="1"/>
  <c r="P10" i="12"/>
  <c r="AO10" i="12" s="1"/>
  <c r="P7" i="12"/>
  <c r="AO7" i="12" s="1"/>
  <c r="O7" i="12"/>
  <c r="AN7" i="12" s="1"/>
  <c r="AN20" i="12"/>
  <c r="AO20" i="12"/>
  <c r="AN21" i="12"/>
  <c r="AO21" i="12"/>
  <c r="AN22" i="12"/>
  <c r="AO22" i="12"/>
  <c r="AO13" i="12"/>
  <c r="AN13" i="12"/>
  <c r="S22" i="12"/>
  <c r="AR22" i="12" s="1"/>
  <c r="R22" i="12"/>
  <c r="AQ22" i="12" s="1"/>
  <c r="S21" i="12"/>
  <c r="AR21" i="12" s="1"/>
  <c r="R21" i="12"/>
  <c r="AQ21" i="12" s="1"/>
  <c r="S20" i="12"/>
  <c r="AR20" i="12" s="1"/>
  <c r="R20" i="12"/>
  <c r="AQ20" i="12" s="1"/>
  <c r="S16" i="12"/>
  <c r="AR16" i="12" s="1"/>
  <c r="R16" i="12"/>
  <c r="AQ16" i="12" s="1"/>
  <c r="S18" i="12"/>
  <c r="AR18" i="12" s="1"/>
  <c r="R18" i="12"/>
  <c r="AQ18" i="12" s="1"/>
  <c r="S19" i="12"/>
  <c r="AR19" i="12" s="1"/>
  <c r="R19" i="12"/>
  <c r="AQ19" i="12" s="1"/>
  <c r="S17" i="12"/>
  <c r="AR17" i="12" s="1"/>
  <c r="R17" i="12"/>
  <c r="AQ17" i="12" s="1"/>
  <c r="S15" i="12"/>
  <c r="AR15" i="12" s="1"/>
  <c r="R15" i="12"/>
  <c r="AQ15" i="12" s="1"/>
  <c r="S14" i="12"/>
  <c r="AR14" i="12" s="1"/>
  <c r="R14" i="12"/>
  <c r="AQ14" i="12" s="1"/>
  <c r="S13" i="12"/>
  <c r="AR13" i="12" s="1"/>
  <c r="R13" i="12"/>
  <c r="AQ13" i="12" s="1"/>
  <c r="S10" i="12"/>
  <c r="AR10" i="12" s="1"/>
  <c r="R10" i="12"/>
  <c r="AQ10" i="12" s="1"/>
  <c r="S9" i="12"/>
  <c r="AR9" i="12" s="1"/>
  <c r="R9" i="12"/>
  <c r="AQ9" i="12" s="1"/>
  <c r="S8" i="12"/>
  <c r="AR8" i="12" s="1"/>
  <c r="R8" i="12"/>
  <c r="AQ8" i="12" s="1"/>
  <c r="S7" i="12"/>
  <c r="AR7" i="12" s="1"/>
  <c r="R7" i="12"/>
  <c r="AQ7" i="12" s="1"/>
  <c r="Y3" i="12"/>
  <c r="O18" i="6" l="1"/>
  <c r="AB18" i="6" s="1"/>
  <c r="AB19" i="6" s="1"/>
  <c r="L18" i="6"/>
  <c r="L19" i="6" s="1"/>
  <c r="O38" i="18"/>
  <c r="AP38" i="18" s="1"/>
  <c r="R38" i="18"/>
  <c r="G11" i="6" s="1"/>
  <c r="Q38" i="18"/>
  <c r="F11" i="6" s="1"/>
  <c r="N38" i="18"/>
  <c r="C11" i="6" s="1"/>
  <c r="AS38" i="18"/>
  <c r="N11" i="6"/>
  <c r="AS19" i="17"/>
  <c r="M11" i="6"/>
  <c r="AR19" i="17"/>
  <c r="U10" i="6"/>
  <c r="AS17" i="15"/>
  <c r="H9" i="20"/>
  <c r="F62" i="23"/>
  <c r="F74" i="23"/>
  <c r="F61" i="23"/>
  <c r="F69" i="23"/>
  <c r="I16" i="19"/>
  <c r="F44" i="23"/>
  <c r="F82" i="23"/>
  <c r="F26" i="23"/>
  <c r="F22" i="23"/>
  <c r="Q16" i="14"/>
  <c r="AE11" i="18"/>
  <c r="AD10" i="18"/>
  <c r="H14" i="22"/>
  <c r="H27" i="10" s="1"/>
  <c r="R19" i="15"/>
  <c r="AS19" i="15" s="1"/>
  <c r="D14" i="22"/>
  <c r="Q10" i="6"/>
  <c r="N19" i="15"/>
  <c r="AO19" i="15" s="1"/>
  <c r="R10" i="6"/>
  <c r="O19" i="15"/>
  <c r="AP19" i="15" s="1"/>
  <c r="R20" i="16"/>
  <c r="O19" i="16"/>
  <c r="Z12" i="18"/>
  <c r="AE17" i="18"/>
  <c r="Y12" i="18"/>
  <c r="Q20" i="16"/>
  <c r="N19" i="16"/>
  <c r="Z20" i="18"/>
  <c r="Z35" i="18" s="1"/>
  <c r="AD14" i="18"/>
  <c r="Y20" i="18"/>
  <c r="Y35" i="18" s="1"/>
  <c r="T10" i="6"/>
  <c r="Q19" i="15"/>
  <c r="AR19" i="15" s="1"/>
  <c r="AE32" i="18"/>
  <c r="Y11" i="13"/>
  <c r="F70" i="23" s="1"/>
  <c r="Y6" i="13"/>
  <c r="F97" i="23" s="1"/>
  <c r="Y8" i="13"/>
  <c r="F31" i="23" s="1"/>
  <c r="Y10" i="13"/>
  <c r="F72" i="23" s="1"/>
  <c r="Y12" i="13"/>
  <c r="F67" i="23" s="1"/>
  <c r="Y7" i="13"/>
  <c r="Z6" i="16"/>
  <c r="Y6" i="16"/>
  <c r="AC6" i="16"/>
  <c r="Y14" i="16"/>
  <c r="Z14" i="16"/>
  <c r="AC14" i="16"/>
  <c r="Y7" i="16"/>
  <c r="Z7" i="16"/>
  <c r="AC7" i="16"/>
  <c r="Z7" i="15"/>
  <c r="Y7" i="15"/>
  <c r="AC7" i="15"/>
  <c r="Z10" i="15"/>
  <c r="Y10" i="15"/>
  <c r="AC10" i="15"/>
  <c r="Z12" i="15"/>
  <c r="Y12" i="15"/>
  <c r="AC12" i="15"/>
  <c r="Z11" i="15"/>
  <c r="Y11" i="15"/>
  <c r="AC11" i="15"/>
  <c r="Z15" i="15"/>
  <c r="Y15" i="15"/>
  <c r="AC15" i="15"/>
  <c r="Z8" i="15"/>
  <c r="Y8" i="15"/>
  <c r="AC8" i="15"/>
  <c r="Y15" i="16"/>
  <c r="Z15" i="16"/>
  <c r="AC15" i="16"/>
  <c r="Y13" i="16"/>
  <c r="Z13" i="16"/>
  <c r="AC13" i="16"/>
  <c r="Y9" i="16"/>
  <c r="Z9" i="16"/>
  <c r="AC9" i="16"/>
  <c r="Y8" i="16"/>
  <c r="Z8" i="16"/>
  <c r="AC8" i="16"/>
  <c r="Z14" i="15"/>
  <c r="Y14" i="15"/>
  <c r="AC14" i="15"/>
  <c r="Y16" i="15"/>
  <c r="Z16" i="15"/>
  <c r="AC16" i="15"/>
  <c r="Z13" i="15"/>
  <c r="Y13" i="15"/>
  <c r="AC13" i="15"/>
  <c r="Z9" i="15"/>
  <c r="Y9" i="15"/>
  <c r="AC9" i="15"/>
  <c r="Z6" i="15"/>
  <c r="Y6" i="15"/>
  <c r="AC6" i="15"/>
  <c r="AD24" i="18"/>
  <c r="AE31" i="18"/>
  <c r="X6" i="14"/>
  <c r="F83" i="23" s="1"/>
  <c r="X10" i="14"/>
  <c r="F63" i="23" s="1"/>
  <c r="X9" i="14"/>
  <c r="F46" i="23" s="1"/>
  <c r="X7" i="14"/>
  <c r="F85" i="23" s="1"/>
  <c r="F53" i="23"/>
  <c r="F54" i="23"/>
  <c r="X14" i="14"/>
  <c r="F55" i="23" s="1"/>
  <c r="X8" i="14"/>
  <c r="F87" i="23" s="1"/>
  <c r="AP16" i="14"/>
  <c r="R16" i="14"/>
  <c r="AS16" i="14" s="1"/>
  <c r="AC11" i="17"/>
  <c r="AC15" i="17"/>
  <c r="Y12" i="17"/>
  <c r="Y16" i="17" s="1"/>
  <c r="AC12" i="17"/>
  <c r="AD7" i="18"/>
  <c r="AD33" i="18"/>
  <c r="AE30" i="18"/>
  <c r="P15" i="15"/>
  <c r="P9" i="14"/>
  <c r="M10" i="14"/>
  <c r="AE34" i="18"/>
  <c r="AD16" i="18"/>
  <c r="AE26" i="18"/>
  <c r="AD9" i="18"/>
  <c r="AE29" i="18"/>
  <c r="AD18" i="18"/>
  <c r="AE19" i="18"/>
  <c r="AD19" i="18"/>
  <c r="AD22" i="18"/>
  <c r="AE15" i="18"/>
  <c r="AD23" i="18"/>
  <c r="AE23" i="18"/>
  <c r="P20" i="18"/>
  <c r="P35" i="18" s="1"/>
  <c r="M20" i="18"/>
  <c r="M35" i="18" s="1"/>
  <c r="M12" i="18"/>
  <c r="P12" i="18"/>
  <c r="S11" i="12"/>
  <c r="AR11" i="12" s="1"/>
  <c r="R13" i="13"/>
  <c r="S13" i="13"/>
  <c r="Z7" i="12"/>
  <c r="Y16" i="12"/>
  <c r="Y13" i="12"/>
  <c r="Y10" i="12"/>
  <c r="AD10" i="12" s="1"/>
  <c r="Y7" i="12"/>
  <c r="Y20" i="12"/>
  <c r="Y19" i="12"/>
  <c r="AD19" i="12" s="1"/>
  <c r="Y8" i="12"/>
  <c r="AD8" i="12" s="1"/>
  <c r="Y21" i="12"/>
  <c r="Y9" i="12"/>
  <c r="Y14" i="12"/>
  <c r="Y22" i="12"/>
  <c r="Y17" i="12"/>
  <c r="AD17" i="12" s="1"/>
  <c r="Y18" i="12"/>
  <c r="Y15" i="12"/>
  <c r="R11" i="12"/>
  <c r="AQ11" i="12" s="1"/>
  <c r="R23" i="12"/>
  <c r="AQ23" i="12" s="1"/>
  <c r="P12" i="17"/>
  <c r="P11" i="17"/>
  <c r="P15" i="17"/>
  <c r="P14" i="16"/>
  <c r="P8" i="16"/>
  <c r="P6" i="16"/>
  <c r="P13" i="16"/>
  <c r="P15" i="16"/>
  <c r="P7" i="16"/>
  <c r="M9" i="15"/>
  <c r="P9" i="15"/>
  <c r="M14" i="15"/>
  <c r="P16" i="15"/>
  <c r="P12" i="15"/>
  <c r="M10" i="15"/>
  <c r="P7" i="15"/>
  <c r="P13" i="15"/>
  <c r="P11" i="15"/>
  <c r="M6" i="15"/>
  <c r="M7" i="14"/>
  <c r="P6" i="14"/>
  <c r="M14" i="14"/>
  <c r="M8" i="14"/>
  <c r="P13" i="13"/>
  <c r="Q7" i="13"/>
  <c r="N10" i="13"/>
  <c r="Q12" i="13"/>
  <c r="N8" i="13"/>
  <c r="N11" i="13"/>
  <c r="N6" i="13"/>
  <c r="S23" i="12"/>
  <c r="AR23" i="12" s="1"/>
  <c r="Z21" i="12"/>
  <c r="M22" i="12"/>
  <c r="AA21" i="12"/>
  <c r="M21" i="12"/>
  <c r="Z22" i="12"/>
  <c r="AA22" i="12"/>
  <c r="Z20" i="12"/>
  <c r="AA20" i="12"/>
  <c r="M20" i="12"/>
  <c r="AA18" i="12"/>
  <c r="M16" i="12"/>
  <c r="Z16" i="12"/>
  <c r="AA16" i="12"/>
  <c r="M18" i="12"/>
  <c r="Z18" i="12"/>
  <c r="Z15" i="12"/>
  <c r="Z13" i="12"/>
  <c r="AA14" i="12"/>
  <c r="M17" i="12"/>
  <c r="N17" i="12" s="1"/>
  <c r="Z19" i="12"/>
  <c r="AA13" i="12"/>
  <c r="M15" i="12"/>
  <c r="AA19" i="12"/>
  <c r="M14" i="12"/>
  <c r="Z17" i="12"/>
  <c r="AA17" i="12"/>
  <c r="M19" i="12"/>
  <c r="Q19" i="12" s="1"/>
  <c r="Z14" i="12"/>
  <c r="AA15" i="12"/>
  <c r="Z10" i="12"/>
  <c r="AA7" i="12"/>
  <c r="Z8" i="12"/>
  <c r="Q8" i="12"/>
  <c r="AA8" i="12"/>
  <c r="Z9" i="12"/>
  <c r="AA10" i="12"/>
  <c r="AA9" i="12"/>
  <c r="Q10" i="12"/>
  <c r="O11" i="12"/>
  <c r="AN11" i="12" s="1"/>
  <c r="O23" i="12"/>
  <c r="AN23" i="12" s="1"/>
  <c r="P23" i="12"/>
  <c r="AO23" i="12" s="1"/>
  <c r="P11" i="12"/>
  <c r="AO11" i="12" s="1"/>
  <c r="K48" i="10"/>
  <c r="K50" i="10" s="1"/>
  <c r="T24" i="6"/>
  <c r="Q24" i="6"/>
  <c r="M24" i="6"/>
  <c r="J24" i="6"/>
  <c r="F24" i="6"/>
  <c r="C24" i="6"/>
  <c r="H46" i="10"/>
  <c r="P16" i="17" l="1"/>
  <c r="P19" i="17" s="1"/>
  <c r="AD11" i="17"/>
  <c r="AE11" i="17"/>
  <c r="AD12" i="17"/>
  <c r="AE12" i="17"/>
  <c r="M16" i="17"/>
  <c r="M18" i="17" s="1"/>
  <c r="AD15" i="17"/>
  <c r="AE15" i="17"/>
  <c r="Y18" i="6"/>
  <c r="Y19" i="6" s="1"/>
  <c r="O19" i="6"/>
  <c r="D11" i="6"/>
  <c r="AP13" i="13"/>
  <c r="P16" i="13"/>
  <c r="AS13" i="13"/>
  <c r="AR38" i="18"/>
  <c r="AO38" i="18"/>
  <c r="J11" i="6"/>
  <c r="AO18" i="17"/>
  <c r="N10" i="6"/>
  <c r="AS20" i="16"/>
  <c r="M10" i="6"/>
  <c r="AR20" i="16"/>
  <c r="K10" i="6"/>
  <c r="AP19" i="16"/>
  <c r="J10" i="6"/>
  <c r="AO19" i="16"/>
  <c r="Q9" i="6"/>
  <c r="AO16" i="14"/>
  <c r="T9" i="6"/>
  <c r="AR16" i="14"/>
  <c r="R14" i="13"/>
  <c r="AR15" i="13" s="1"/>
  <c r="AR13" i="13"/>
  <c r="U9" i="6"/>
  <c r="R9" i="6"/>
  <c r="N20" i="12"/>
  <c r="E41" i="23"/>
  <c r="AD20" i="12"/>
  <c r="AF20" i="12" s="1"/>
  <c r="F41" i="23"/>
  <c r="Z19" i="17"/>
  <c r="D27" i="10"/>
  <c r="I27" i="10" s="1"/>
  <c r="M27" i="10" s="1"/>
  <c r="L27" i="10" s="1"/>
  <c r="N22" i="12"/>
  <c r="E47" i="23"/>
  <c r="Q14" i="12"/>
  <c r="E30" i="23"/>
  <c r="E35" i="23"/>
  <c r="Q18" i="12"/>
  <c r="E28" i="23"/>
  <c r="Q15" i="12"/>
  <c r="E19" i="23"/>
  <c r="Q16" i="12"/>
  <c r="E34" i="23"/>
  <c r="N21" i="12"/>
  <c r="E29" i="23"/>
  <c r="AD16" i="12"/>
  <c r="AE16" i="12" s="1"/>
  <c r="F34" i="23"/>
  <c r="AD22" i="12"/>
  <c r="AE22" i="12" s="1"/>
  <c r="F47" i="23"/>
  <c r="F35" i="23"/>
  <c r="AD18" i="12"/>
  <c r="AF18" i="12" s="1"/>
  <c r="F28" i="23"/>
  <c r="AD7" i="12"/>
  <c r="AF7" i="12" s="1"/>
  <c r="F16" i="23"/>
  <c r="AD14" i="12"/>
  <c r="AE14" i="12" s="1"/>
  <c r="F30" i="23"/>
  <c r="AD9" i="12"/>
  <c r="AE9" i="12" s="1"/>
  <c r="F17" i="23"/>
  <c r="AD15" i="12"/>
  <c r="AF15" i="12" s="1"/>
  <c r="F19" i="23"/>
  <c r="AD21" i="12"/>
  <c r="AE21" i="12" s="1"/>
  <c r="F29" i="23"/>
  <c r="AD13" i="12"/>
  <c r="AE13" i="12" s="1"/>
  <c r="F18" i="23"/>
  <c r="F23" i="23"/>
  <c r="F27" i="23"/>
  <c r="S28" i="12"/>
  <c r="Z38" i="18"/>
  <c r="F28" i="6" s="1"/>
  <c r="Y38" i="18"/>
  <c r="C28" i="6" s="1"/>
  <c r="Y16" i="16"/>
  <c r="Y18" i="17"/>
  <c r="J28" i="6" s="1"/>
  <c r="Z16" i="16"/>
  <c r="S14" i="13"/>
  <c r="S17" i="13" s="1"/>
  <c r="R28" i="12"/>
  <c r="P38" i="18"/>
  <c r="H11" i="6" s="1"/>
  <c r="M9" i="14"/>
  <c r="P7" i="14"/>
  <c r="AD9" i="15"/>
  <c r="AE9" i="15"/>
  <c r="AE16" i="15"/>
  <c r="AD16" i="15"/>
  <c r="AD14" i="15"/>
  <c r="AE14" i="15"/>
  <c r="AE8" i="16"/>
  <c r="AD8" i="16"/>
  <c r="AE13" i="16"/>
  <c r="AD13" i="16"/>
  <c r="AE8" i="15"/>
  <c r="AD8" i="15"/>
  <c r="AD12" i="15"/>
  <c r="AE12" i="15"/>
  <c r="AD7" i="15"/>
  <c r="AE7" i="15"/>
  <c r="AD6" i="16"/>
  <c r="AE6" i="16"/>
  <c r="Z12" i="13"/>
  <c r="AA12" i="13"/>
  <c r="AD12" i="13"/>
  <c r="Z10" i="13"/>
  <c r="AA10" i="13"/>
  <c r="AD10" i="13"/>
  <c r="AA6" i="13"/>
  <c r="Z6" i="13"/>
  <c r="AD6" i="13"/>
  <c r="Y17" i="15"/>
  <c r="Y19" i="15" s="1"/>
  <c r="Q27" i="6" s="1"/>
  <c r="AD6" i="15"/>
  <c r="AE6" i="15"/>
  <c r="AD13" i="15"/>
  <c r="AE13" i="15"/>
  <c r="AE9" i="16"/>
  <c r="AD9" i="16"/>
  <c r="AE15" i="16"/>
  <c r="AD15" i="16"/>
  <c r="AE15" i="15"/>
  <c r="AD15" i="15"/>
  <c r="AD11" i="15"/>
  <c r="AE11" i="15"/>
  <c r="AD10" i="15"/>
  <c r="AE10" i="15"/>
  <c r="AE7" i="16"/>
  <c r="AD7" i="16"/>
  <c r="AE14" i="16"/>
  <c r="AD14" i="16"/>
  <c r="Z7" i="13"/>
  <c r="AA7" i="13"/>
  <c r="AD7" i="13"/>
  <c r="Z8" i="13"/>
  <c r="AA8" i="13"/>
  <c r="AD8" i="13"/>
  <c r="AA11" i="13"/>
  <c r="Z11" i="13"/>
  <c r="AD11" i="13"/>
  <c r="Z17" i="15"/>
  <c r="Y14" i="14"/>
  <c r="Z14" i="14"/>
  <c r="AC14" i="14"/>
  <c r="Y9" i="14"/>
  <c r="Z9" i="14"/>
  <c r="AC9" i="14"/>
  <c r="AC6" i="14"/>
  <c r="Y6" i="14"/>
  <c r="Z6" i="14"/>
  <c r="Y8" i="14"/>
  <c r="Z8" i="14"/>
  <c r="AC8" i="14"/>
  <c r="Y7" i="14"/>
  <c r="Z7" i="14"/>
  <c r="AC7" i="14"/>
  <c r="Y10" i="14"/>
  <c r="Z10" i="14"/>
  <c r="P16" i="16"/>
  <c r="M38" i="18"/>
  <c r="E11" i="6" s="1"/>
  <c r="E45" i="10" s="1"/>
  <c r="P10" i="14"/>
  <c r="AE20" i="18"/>
  <c r="AE35" i="18" s="1"/>
  <c r="AD20" i="18"/>
  <c r="AD35" i="18" s="1"/>
  <c r="AF19" i="12"/>
  <c r="AE19" i="12"/>
  <c r="O13" i="13"/>
  <c r="O16" i="13" s="1"/>
  <c r="AE17" i="12"/>
  <c r="AF17" i="12"/>
  <c r="AE10" i="12"/>
  <c r="AF10" i="12"/>
  <c r="AF8" i="12"/>
  <c r="AE8" i="12"/>
  <c r="M6" i="14"/>
  <c r="P8" i="14"/>
  <c r="P14" i="14"/>
  <c r="Q11" i="13"/>
  <c r="Q8" i="13"/>
  <c r="Q10" i="13"/>
  <c r="N7" i="13"/>
  <c r="N12" i="13"/>
  <c r="Q6" i="13"/>
  <c r="Q20" i="12"/>
  <c r="AA11" i="12"/>
  <c r="Q22" i="12"/>
  <c r="AA23" i="12"/>
  <c r="Q21" i="12"/>
  <c r="N16" i="12"/>
  <c r="N18" i="12"/>
  <c r="Q17" i="12"/>
  <c r="N15" i="12"/>
  <c r="N14" i="12"/>
  <c r="N8" i="12"/>
  <c r="N19" i="12"/>
  <c r="N10" i="12"/>
  <c r="O28" i="12"/>
  <c r="P28" i="12"/>
  <c r="Q7" i="12"/>
  <c r="N7" i="12"/>
  <c r="N9" i="12"/>
  <c r="Q9" i="12"/>
  <c r="Z11" i="12"/>
  <c r="Z23" i="12"/>
  <c r="AD16" i="17" l="1"/>
  <c r="AE16" i="17"/>
  <c r="AE19" i="17" s="1"/>
  <c r="O16" i="17"/>
  <c r="AP16" i="17" s="1"/>
  <c r="R17" i="13"/>
  <c r="AS15" i="13"/>
  <c r="AO13" i="13"/>
  <c r="AE20" i="12"/>
  <c r="G9" i="6"/>
  <c r="G12" i="6" s="1"/>
  <c r="AR28" i="12"/>
  <c r="D9" i="6"/>
  <c r="D12" i="6" s="1"/>
  <c r="AO28" i="12"/>
  <c r="F9" i="6"/>
  <c r="F12" i="6" s="1"/>
  <c r="AQ28" i="12"/>
  <c r="C9" i="6"/>
  <c r="C12" i="6" s="1"/>
  <c r="AN28" i="12"/>
  <c r="AF14" i="12"/>
  <c r="AF16" i="12"/>
  <c r="AF13" i="12"/>
  <c r="AF22" i="12"/>
  <c r="AF21" i="12"/>
  <c r="AE7" i="12"/>
  <c r="AE11" i="12" s="1"/>
  <c r="AF9" i="12"/>
  <c r="AF11" i="12" s="1"/>
  <c r="AE15" i="12"/>
  <c r="AE18" i="12"/>
  <c r="Z13" i="13"/>
  <c r="AA13" i="13"/>
  <c r="AA14" i="13" s="1"/>
  <c r="AA28" i="12"/>
  <c r="F26" i="6" s="1"/>
  <c r="F30" i="6" s="1"/>
  <c r="Z20" i="16"/>
  <c r="M27" i="6" s="1"/>
  <c r="L11" i="6"/>
  <c r="M19" i="16"/>
  <c r="L10" i="6" s="1"/>
  <c r="F44" i="10" s="1"/>
  <c r="Z18" i="15"/>
  <c r="Z19" i="15" s="1"/>
  <c r="T27" i="6" s="1"/>
  <c r="Q11" i="12"/>
  <c r="Y16" i="14"/>
  <c r="Q26" i="6" s="1"/>
  <c r="Q30" i="6" s="1"/>
  <c r="AF8" i="13"/>
  <c r="AE8" i="13"/>
  <c r="AE7" i="13"/>
  <c r="AF7" i="13"/>
  <c r="AE6" i="13"/>
  <c r="AF6" i="13"/>
  <c r="AE12" i="13"/>
  <c r="AF12" i="13"/>
  <c r="P16" i="14"/>
  <c r="V9" i="6" s="1"/>
  <c r="AD17" i="15"/>
  <c r="AD19" i="15" s="1"/>
  <c r="R27" i="6" s="1"/>
  <c r="G29" i="10" s="1"/>
  <c r="AE16" i="16"/>
  <c r="AF11" i="13"/>
  <c r="AE11" i="13"/>
  <c r="AF10" i="13"/>
  <c r="AE10" i="13"/>
  <c r="Z16" i="14"/>
  <c r="T26" i="6" s="1"/>
  <c r="AE17" i="15"/>
  <c r="AD16" i="16"/>
  <c r="AD18" i="17"/>
  <c r="K28" i="6" s="1"/>
  <c r="AD10" i="14"/>
  <c r="AE10" i="14"/>
  <c r="AD6" i="14"/>
  <c r="AE6" i="14"/>
  <c r="AD7" i="14"/>
  <c r="AE7" i="14"/>
  <c r="AE8" i="14"/>
  <c r="AD8" i="14"/>
  <c r="AD9" i="14"/>
  <c r="AE9" i="14"/>
  <c r="AD14" i="14"/>
  <c r="AE14" i="14"/>
  <c r="M16" i="14"/>
  <c r="S9" i="6" s="1"/>
  <c r="N13" i="13"/>
  <c r="N16" i="13" s="1"/>
  <c r="Q13" i="13"/>
  <c r="Q23" i="12"/>
  <c r="N11" i="12"/>
  <c r="N23" i="12"/>
  <c r="Z28" i="12"/>
  <c r="C26" i="6" s="1"/>
  <c r="C30" i="6" s="1"/>
  <c r="O18" i="17" l="1"/>
  <c r="K11" i="6" s="1"/>
  <c r="N9" i="6"/>
  <c r="N12" i="6" s="1"/>
  <c r="AS19" i="13"/>
  <c r="M9" i="6"/>
  <c r="M12" i="6" s="1"/>
  <c r="AR19" i="13"/>
  <c r="J9" i="6"/>
  <c r="J12" i="6" s="1"/>
  <c r="AO18" i="13"/>
  <c r="K9" i="6"/>
  <c r="AP18" i="13"/>
  <c r="AF23" i="12"/>
  <c r="AF28" i="12" s="1"/>
  <c r="G26" i="6" s="1"/>
  <c r="AE23" i="12"/>
  <c r="AE28" i="12" s="1"/>
  <c r="D26" i="6" s="1"/>
  <c r="AA17" i="13"/>
  <c r="M26" i="6" s="1"/>
  <c r="M28" i="6"/>
  <c r="O11" i="6"/>
  <c r="N28" i="6"/>
  <c r="F45" i="10"/>
  <c r="AE17" i="16"/>
  <c r="AE20" i="16" s="1"/>
  <c r="N27" i="6" s="1"/>
  <c r="P20" i="16"/>
  <c r="O10" i="6" s="1"/>
  <c r="T30" i="6"/>
  <c r="AE18" i="15"/>
  <c r="AE19" i="15" s="1"/>
  <c r="U27" i="6" s="1"/>
  <c r="Q28" i="12"/>
  <c r="G43" i="10"/>
  <c r="AE13" i="13"/>
  <c r="AF13" i="13"/>
  <c r="AF14" i="13" s="1"/>
  <c r="Z16" i="13"/>
  <c r="J26" i="6" s="1"/>
  <c r="J30" i="6" s="1"/>
  <c r="Q14" i="13"/>
  <c r="Q17" i="13" s="1"/>
  <c r="AE16" i="14"/>
  <c r="U26" i="6" s="1"/>
  <c r="AD16" i="14"/>
  <c r="R26" i="6" s="1"/>
  <c r="N28" i="12"/>
  <c r="E9" i="6" s="1"/>
  <c r="AP18" i="17" l="1"/>
  <c r="K12" i="6"/>
  <c r="AA9" i="6"/>
  <c r="M30" i="6"/>
  <c r="O9" i="6"/>
  <c r="O12" i="6" s="1"/>
  <c r="H9" i="6"/>
  <c r="H12" i="6" s="1"/>
  <c r="AA27" i="6"/>
  <c r="U30" i="6"/>
  <c r="L9" i="6"/>
  <c r="F43" i="10" s="1"/>
  <c r="AE16" i="13"/>
  <c r="K26" i="6" s="1"/>
  <c r="F28" i="10" s="1"/>
  <c r="E12" i="6"/>
  <c r="E43" i="10"/>
  <c r="X27" i="6"/>
  <c r="F29" i="10"/>
  <c r="I29" i="10" s="1"/>
  <c r="AF17" i="13"/>
  <c r="N26" i="6" s="1"/>
  <c r="N30" i="6" s="1"/>
  <c r="E28" i="10"/>
  <c r="G28" i="10"/>
  <c r="R30" i="6"/>
  <c r="F30" i="10"/>
  <c r="Z28" i="6"/>
  <c r="Z26" i="6"/>
  <c r="Z27" i="6"/>
  <c r="AA10" i="6"/>
  <c r="X10" i="6"/>
  <c r="X9" i="6"/>
  <c r="K30" i="6" l="1"/>
  <c r="X26" i="6"/>
  <c r="AB9" i="6"/>
  <c r="Y9" i="6"/>
  <c r="Z30" i="6"/>
  <c r="L12" i="6"/>
  <c r="H43" i="10"/>
  <c r="AA26" i="6"/>
  <c r="I28" i="10"/>
  <c r="K34" i="10"/>
  <c r="K35" i="10"/>
  <c r="K33" i="10"/>
  <c r="M19" i="10"/>
  <c r="E18" i="10"/>
  <c r="E17" i="10"/>
  <c r="L37" i="10"/>
  <c r="L49" i="10"/>
  <c r="I46" i="10"/>
  <c r="M46" i="10" s="1"/>
  <c r="L46" i="10" s="1"/>
  <c r="K13" i="10"/>
  <c r="E22" i="10"/>
  <c r="I22" i="10" s="1"/>
  <c r="I41" i="10"/>
  <c r="F41" i="10"/>
  <c r="G41" i="10"/>
  <c r="E41" i="10"/>
  <c r="E9" i="10"/>
  <c r="I18" i="10" l="1"/>
  <c r="M18" i="10" s="1"/>
  <c r="L18" i="10" s="1"/>
  <c r="I17" i="10"/>
  <c r="M17" i="10" s="1"/>
  <c r="L17" i="10" s="1"/>
  <c r="K38" i="10"/>
  <c r="K51" i="10" s="1"/>
  <c r="L19" i="10"/>
  <c r="I11" i="10" l="1"/>
  <c r="M11" i="10" s="1"/>
  <c r="L11" i="10" s="1"/>
  <c r="I12" i="10"/>
  <c r="M12" i="10" s="1"/>
  <c r="L12" i="10" s="1"/>
  <c r="E21" i="10"/>
  <c r="I10" i="10"/>
  <c r="M10" i="10" s="1"/>
  <c r="L10" i="10" s="1"/>
  <c r="I9" i="10"/>
  <c r="M9" i="10" s="1"/>
  <c r="M23" i="10"/>
  <c r="M22" i="10"/>
  <c r="I21" i="10" l="1"/>
  <c r="M21" i="10" s="1"/>
  <c r="L9" i="10"/>
  <c r="L13" i="10" s="1"/>
  <c r="M13" i="10"/>
  <c r="L23" i="10"/>
  <c r="L35" i="10" s="1"/>
  <c r="M35" i="10"/>
  <c r="L22" i="10"/>
  <c r="L34" i="10" s="1"/>
  <c r="M34" i="10"/>
  <c r="I13" i="10"/>
  <c r="M33" i="10" l="1"/>
  <c r="L21" i="10"/>
  <c r="L33" i="10" s="1"/>
  <c r="W28" i="6"/>
  <c r="W27" i="6" l="1"/>
  <c r="Z10" i="6" l="1"/>
  <c r="Z9" i="6" l="1"/>
  <c r="I43" i="10"/>
  <c r="W10" i="6"/>
  <c r="W26" i="6"/>
  <c r="W30" i="6" s="1"/>
  <c r="H45" i="10"/>
  <c r="I45" i="10" s="1"/>
  <c r="M45" i="10" s="1"/>
  <c r="L45" i="10" s="1"/>
  <c r="M29" i="10"/>
  <c r="L29" i="10" s="1"/>
  <c r="W9" i="6" l="1"/>
  <c r="M43" i="10"/>
  <c r="M28" i="10" l="1"/>
  <c r="L43" i="10"/>
  <c r="L28" i="10" l="1"/>
  <c r="AC8" i="18" l="1"/>
  <c r="AD8" i="18" l="1"/>
  <c r="AD12" i="18" s="1"/>
  <c r="AD38" i="18" s="1"/>
  <c r="D28" i="6" s="1"/>
  <c r="AE8" i="18"/>
  <c r="AE12" i="18" s="1"/>
  <c r="AE38" i="18" s="1"/>
  <c r="G28" i="6" s="1"/>
  <c r="G30" i="6" l="1"/>
  <c r="AA28" i="6"/>
  <c r="AA30" i="6" s="1"/>
  <c r="D30" i="6"/>
  <c r="X28" i="6"/>
  <c r="X30" i="6" s="1"/>
  <c r="E30" i="10"/>
  <c r="I30" i="10" l="1"/>
  <c r="M30" i="10" s="1"/>
  <c r="M36" i="10" l="1"/>
  <c r="M38" i="10" s="1"/>
  <c r="L30" i="10"/>
  <c r="L36" i="10" s="1"/>
  <c r="L38" i="10" s="1"/>
  <c r="L8" i="15"/>
  <c r="M8" i="15" l="1"/>
  <c r="M17" i="15" s="1"/>
  <c r="S10" i="6" s="1"/>
  <c r="E84" i="23"/>
  <c r="P8" i="15"/>
  <c r="P17" i="15" s="1"/>
  <c r="M19" i="15" l="1"/>
  <c r="P19" i="15"/>
  <c r="V10" i="6"/>
  <c r="G44" i="10"/>
  <c r="H44" i="10" s="1"/>
  <c r="I44" i="10" s="1"/>
  <c r="M44" i="10" s="1"/>
  <c r="Y10" i="6"/>
  <c r="M48" i="10" l="1"/>
  <c r="M50" i="10" s="1"/>
  <c r="M51" i="10" s="1"/>
  <c r="L44" i="10"/>
  <c r="L48" i="10" s="1"/>
  <c r="L50" i="10" s="1"/>
  <c r="L51" i="10" s="1"/>
  <c r="AB10" i="6"/>
  <c r="L12" i="25"/>
  <c r="AM24" i="25"/>
  <c r="R13" i="25"/>
  <c r="AS13" i="25" s="1"/>
  <c r="L24" i="25"/>
  <c r="L13" i="25"/>
  <c r="P13" i="25" s="1"/>
  <c r="I23" i="25"/>
  <c r="O23" i="25" s="1"/>
  <c r="AP23" i="25" s="1"/>
  <c r="L19" i="25"/>
  <c r="N24" i="25"/>
  <c r="AO24" i="25" s="1"/>
  <c r="L17" i="25"/>
  <c r="P17" i="25" s="1"/>
  <c r="I20" i="25"/>
  <c r="O20" i="25" s="1"/>
  <c r="R12" i="25"/>
  <c r="AS12" i="25" s="1"/>
  <c r="L11" i="25"/>
  <c r="I10" i="25"/>
  <c r="AM10" i="25" s="1"/>
  <c r="Q13" i="25"/>
  <c r="AR13" i="25" s="1"/>
  <c r="R9" i="25"/>
  <c r="AS9" i="25" s="1"/>
  <c r="L10" i="25"/>
  <c r="P10" i="25" s="1"/>
  <c r="AM16" i="25"/>
  <c r="H23" i="25"/>
  <c r="N23" i="25" s="1"/>
  <c r="AO23" i="25" s="1"/>
  <c r="L23" i="25"/>
  <c r="P23" i="25" s="1"/>
  <c r="L14" i="25"/>
  <c r="P14" i="25" s="1"/>
  <c r="L16" i="25"/>
  <c r="N17" i="25"/>
  <c r="AO17" i="25" s="1"/>
  <c r="O17" i="25"/>
  <c r="AP17" i="25" s="1"/>
  <c r="AM14" i="25"/>
  <c r="AL12" i="25"/>
  <c r="L8" i="25"/>
  <c r="P8" i="25" s="1"/>
  <c r="Q9" i="25"/>
  <c r="AR9" i="25" s="1"/>
  <c r="L9" i="25"/>
  <c r="H20" i="25"/>
  <c r="AL20" i="25" s="1"/>
  <c r="L20" i="25"/>
  <c r="P20" i="25" s="1"/>
  <c r="AM22" i="25"/>
  <c r="L18" i="25"/>
  <c r="M18" i="25" s="1"/>
  <c r="N22" i="25"/>
  <c r="AO22" i="25" s="1"/>
  <c r="L22" i="25"/>
  <c r="AL16" i="25"/>
  <c r="I15" i="25"/>
  <c r="AM15" i="25" s="1"/>
  <c r="N19" i="25"/>
  <c r="AO19" i="25" s="1"/>
  <c r="O19" i="25"/>
  <c r="AP19" i="25" s="1"/>
  <c r="H8" i="25"/>
  <c r="AL8" i="25" s="1"/>
  <c r="I8" i="25"/>
  <c r="AM8" i="25" s="1"/>
  <c r="H15" i="25"/>
  <c r="AL15" i="25" s="1"/>
  <c r="L15" i="25"/>
  <c r="M15" i="25" s="1"/>
  <c r="L21" i="25"/>
  <c r="P21" i="25" s="1"/>
  <c r="H10" i="25"/>
  <c r="AL10" i="25" s="1"/>
  <c r="AL14" i="25"/>
  <c r="H18" i="25"/>
  <c r="N18" i="25" s="1"/>
  <c r="AO18" i="25" s="1"/>
  <c r="I18" i="25"/>
  <c r="AM18" i="25" s="1"/>
  <c r="H21" i="25"/>
  <c r="Q21" i="25" s="1"/>
  <c r="AR21" i="25" s="1"/>
  <c r="I21" i="25"/>
  <c r="AM21" i="25" s="1"/>
  <c r="Q11" i="25"/>
  <c r="AR11" i="25" s="1"/>
  <c r="R11" i="25"/>
  <c r="AS11" i="25" s="1"/>
  <c r="I7" i="25"/>
  <c r="AM7" i="25" s="1"/>
  <c r="H7" i="25"/>
  <c r="AL7" i="25" s="1"/>
  <c r="L7" i="25"/>
  <c r="M7" i="25" s="1"/>
  <c r="M22" i="25" l="1"/>
  <c r="S22" i="25"/>
  <c r="M24" i="25"/>
  <c r="S24" i="25"/>
  <c r="M19" i="25"/>
  <c r="S19" i="25"/>
  <c r="P16" i="25"/>
  <c r="S16" i="25"/>
  <c r="M12" i="25"/>
  <c r="S12" i="25"/>
  <c r="P11" i="25"/>
  <c r="S11" i="25"/>
  <c r="M9" i="25"/>
  <c r="S9" i="25"/>
  <c r="AP20" i="25"/>
  <c r="R17" i="25"/>
  <c r="AS17" i="25" s="1"/>
  <c r="Q23" i="25"/>
  <c r="AR23" i="25" s="1"/>
  <c r="P22" i="25"/>
  <c r="R22" i="25"/>
  <c r="AS22" i="25" s="1"/>
  <c r="R21" i="25"/>
  <c r="AS21" i="25" s="1"/>
  <c r="O21" i="25"/>
  <c r="AP21" i="25" s="1"/>
  <c r="M21" i="25"/>
  <c r="M20" i="25"/>
  <c r="P19" i="25"/>
  <c r="R18" i="25"/>
  <c r="AS18" i="25" s="1"/>
  <c r="P18" i="25"/>
  <c r="N16" i="25"/>
  <c r="AO16" i="25" s="1"/>
  <c r="M16" i="25"/>
  <c r="Q14" i="25"/>
  <c r="AR14" i="25" s="1"/>
  <c r="M14" i="25"/>
  <c r="M13" i="25"/>
  <c r="O12" i="25"/>
  <c r="AP12" i="25" s="1"/>
  <c r="Q12" i="25"/>
  <c r="AR12" i="25" s="1"/>
  <c r="O11" i="25"/>
  <c r="AP11" i="25" s="1"/>
  <c r="O10" i="25"/>
  <c r="AP10" i="25" s="1"/>
  <c r="M10" i="25"/>
  <c r="N10" i="25"/>
  <c r="AO10" i="25" s="1"/>
  <c r="P9" i="25"/>
  <c r="M8" i="25"/>
  <c r="P7" i="25"/>
  <c r="O7" i="25"/>
  <c r="AP7" i="25" s="1"/>
  <c r="N7" i="25"/>
  <c r="P15" i="25"/>
  <c r="R8" i="25"/>
  <c r="AS8" i="25" s="1"/>
  <c r="R19" i="25"/>
  <c r="AS19" i="25" s="1"/>
  <c r="R15" i="25"/>
  <c r="AS15" i="25" s="1"/>
  <c r="Q7" i="25"/>
  <c r="R14" i="25"/>
  <c r="AS14" i="25" s="1"/>
  <c r="M23" i="25"/>
  <c r="Q8" i="25"/>
  <c r="AR8" i="25" s="1"/>
  <c r="O8" i="25"/>
  <c r="R20" i="25"/>
  <c r="Q24" i="25"/>
  <c r="AR24" i="25" s="1"/>
  <c r="P24" i="25"/>
  <c r="N8" i="25"/>
  <c r="AO8" i="25" s="1"/>
  <c r="N12" i="25"/>
  <c r="AO12" i="25" s="1"/>
  <c r="AL19" i="25"/>
  <c r="AM12" i="25"/>
  <c r="R10" i="25"/>
  <c r="AS10" i="25" s="1"/>
  <c r="AM23" i="25"/>
  <c r="AL21" i="25"/>
  <c r="AL22" i="25"/>
  <c r="O16" i="25"/>
  <c r="AP16" i="25" s="1"/>
  <c r="AL17" i="25"/>
  <c r="M17" i="25"/>
  <c r="M11" i="25"/>
  <c r="P12" i="25"/>
  <c r="AL23" i="25"/>
  <c r="AL11" i="25"/>
  <c r="Q10" i="25"/>
  <c r="AR10" i="25" s="1"/>
  <c r="AM11" i="25"/>
  <c r="O13" i="25"/>
  <c r="AP13" i="25" s="1"/>
  <c r="O24" i="25"/>
  <c r="AP24" i="25" s="1"/>
  <c r="AM19" i="25"/>
  <c r="AL24" i="25"/>
  <c r="Q15" i="25"/>
  <c r="AR15" i="25" s="1"/>
  <c r="O15" i="25"/>
  <c r="AP15" i="25" s="1"/>
  <c r="N11" i="25"/>
  <c r="AO11" i="25" s="1"/>
  <c r="AM9" i="25"/>
  <c r="O14" i="25"/>
  <c r="AP14" i="25" s="1"/>
  <c r="R23" i="25"/>
  <c r="AS23" i="25" s="1"/>
  <c r="N15" i="25"/>
  <c r="AO15" i="25" s="1"/>
  <c r="Q18" i="25"/>
  <c r="AR18" i="25" s="1"/>
  <c r="Q16" i="25"/>
  <c r="AR16" i="25" s="1"/>
  <c r="AL9" i="25"/>
  <c r="AL13" i="25"/>
  <c r="AM13" i="25"/>
  <c r="AM20" i="25"/>
  <c r="AM17" i="25"/>
  <c r="O18" i="25"/>
  <c r="AP18" i="25" s="1"/>
  <c r="R7" i="25"/>
  <c r="Q17" i="25"/>
  <c r="AR17" i="25" s="1"/>
  <c r="O9" i="25"/>
  <c r="AP9" i="25" s="1"/>
  <c r="N20" i="25"/>
  <c r="N13" i="25"/>
  <c r="AO13" i="25" s="1"/>
  <c r="Q20" i="25"/>
  <c r="O22" i="25"/>
  <c r="AP22" i="25" s="1"/>
  <c r="R24" i="25"/>
  <c r="AS24" i="25" s="1"/>
  <c r="AL18" i="25"/>
  <c r="N14" i="25"/>
  <c r="AO14" i="25" s="1"/>
  <c r="N9" i="25"/>
  <c r="AO9" i="25" s="1"/>
  <c r="Q22" i="25"/>
  <c r="AR22" i="25" s="1"/>
  <c r="Q19" i="25"/>
  <c r="AR19" i="25" s="1"/>
  <c r="N21" i="25"/>
  <c r="AO21" i="25" s="1"/>
  <c r="R16" i="25"/>
  <c r="AS16" i="25" s="1"/>
  <c r="T22" i="25" l="1"/>
  <c r="U22" i="25"/>
  <c r="U24" i="25"/>
  <c r="T24" i="25"/>
  <c r="T19" i="25"/>
  <c r="U19" i="25"/>
  <c r="U16" i="25"/>
  <c r="T16" i="25"/>
  <c r="U12" i="25"/>
  <c r="T12" i="25"/>
  <c r="T11" i="25"/>
  <c r="U11" i="25"/>
  <c r="T9" i="25"/>
  <c r="S25" i="25"/>
  <c r="S27" i="25" s="1"/>
  <c r="U9" i="25"/>
  <c r="U25" i="25" s="1"/>
  <c r="U27" i="25" s="1"/>
  <c r="P25" i="25"/>
  <c r="P27" i="25" s="1"/>
  <c r="V11" i="6" s="1"/>
  <c r="V12" i="6" s="1"/>
  <c r="M25" i="25"/>
  <c r="M27" i="25" s="1"/>
  <c r="S11" i="6" s="1"/>
  <c r="S12" i="6" s="1"/>
  <c r="O25" i="25"/>
  <c r="AR20" i="25"/>
  <c r="Q25" i="25"/>
  <c r="AO20" i="25"/>
  <c r="N25" i="25"/>
  <c r="AS20" i="25"/>
  <c r="R25" i="25"/>
  <c r="AS7" i="25"/>
  <c r="AO7" i="25"/>
  <c r="AP8" i="25"/>
  <c r="AR7" i="25"/>
  <c r="T25" i="25" l="1"/>
  <c r="T27" i="25" s="1"/>
  <c r="Y11" i="6"/>
  <c r="Y12" i="6" s="1"/>
  <c r="AB11" i="6"/>
  <c r="AB12" i="6" s="1"/>
  <c r="N27" i="25"/>
  <c r="Q11" i="6" s="1"/>
  <c r="AO25" i="25"/>
  <c r="O27" i="25"/>
  <c r="AP25" i="25"/>
  <c r="Q27" i="25"/>
  <c r="AR25" i="25"/>
  <c r="AS25" i="25"/>
  <c r="R27" i="25"/>
  <c r="AP27" i="25" l="1"/>
  <c r="R11" i="6"/>
  <c r="AR27" i="25"/>
  <c r="T11" i="6"/>
  <c r="AO27" i="25"/>
  <c r="U11" i="6"/>
  <c r="AS27" i="25"/>
  <c r="AA11" i="6" l="1"/>
  <c r="AA12" i="6" s="1"/>
  <c r="U12" i="6"/>
  <c r="R12" i="6"/>
  <c r="X11" i="6"/>
  <c r="X12" i="6" s="1"/>
  <c r="W11" i="6"/>
  <c r="W12" i="6" s="1"/>
  <c r="Q12" i="6"/>
  <c r="T12" i="6"/>
  <c r="Z11" i="6"/>
  <c r="Z12" i="6" s="1"/>
</calcChain>
</file>

<file path=xl/sharedStrings.xml><?xml version="1.0" encoding="utf-8"?>
<sst xmlns="http://schemas.openxmlformats.org/spreadsheetml/2006/main" count="1835" uniqueCount="845">
  <si>
    <t>Item</t>
  </si>
  <si>
    <t>Where Found</t>
  </si>
  <si>
    <t>Notes</t>
  </si>
  <si>
    <t>Straws</t>
  </si>
  <si>
    <t>Free</t>
  </si>
  <si>
    <t>Total</t>
  </si>
  <si>
    <t>4-Way Gang Valves</t>
  </si>
  <si>
    <t>Grand Total</t>
  </si>
  <si>
    <t>Sand</t>
  </si>
  <si>
    <t>Fred Myer (summer only). Hardware store (year-round)</t>
  </si>
  <si>
    <t>Aquarium gravel</t>
  </si>
  <si>
    <t>$1/ea</t>
  </si>
  <si>
    <t>Home/Students</t>
  </si>
  <si>
    <t>Physical Science</t>
  </si>
  <si>
    <t>Earth Science</t>
  </si>
  <si>
    <t>Elementary School</t>
  </si>
  <si>
    <t>Middle School</t>
  </si>
  <si>
    <t>High School</t>
  </si>
  <si>
    <t>Life Science</t>
  </si>
  <si>
    <t>Students/ Home</t>
  </si>
  <si>
    <t xml:space="preserve">A week or two before you do this lab, ask students to bring in empty 1L and 2L plastic bottles with caps.  </t>
  </si>
  <si>
    <t>Hardware or garden store</t>
  </si>
  <si>
    <t>Cheesecloth</t>
  </si>
  <si>
    <t xml:space="preserve">These items are substitutes for burlap and other landscape fabrics, which are used in bioswales to help keep fine sediments from clogging during filtration.  </t>
  </si>
  <si>
    <t>Science supply co.</t>
  </si>
  <si>
    <t>Petco/ Fred Meyer</t>
  </si>
  <si>
    <t>Totals</t>
  </si>
  <si>
    <t>Toothpicks</t>
  </si>
  <si>
    <t>LEGO 12-tooth black double conical wheels (Product ID W991327)</t>
  </si>
  <si>
    <t>Substitute Costs</t>
  </si>
  <si>
    <t>Travel</t>
  </si>
  <si>
    <t># of teachers</t>
  </si>
  <si>
    <t>Middle</t>
  </si>
  <si>
    <t>High</t>
  </si>
  <si>
    <t>Rate</t>
  </si>
  <si>
    <t>Applicant fills in values</t>
  </si>
  <si>
    <t># of trainers</t>
  </si>
  <si>
    <t># of days</t>
  </si>
  <si>
    <t>Notes / instructions</t>
  </si>
  <si>
    <t>If teachers will be trained on days they would otherwise be teaching, budget for substitutes here</t>
  </si>
  <si>
    <t xml:space="preserve">If teachers will be sent to be trained as Trainers on a day they would be otherwise teaching, budget for substitutes here </t>
  </si>
  <si>
    <t>Earth &amp; Space Science</t>
  </si>
  <si>
    <t>Subtotals</t>
  </si>
  <si>
    <t>Applicant fills in values and copies to RFA application</t>
  </si>
  <si>
    <t># kits per teacher</t>
  </si>
  <si>
    <t>RFA Budget Template</t>
  </si>
  <si>
    <t>Grant request</t>
  </si>
  <si>
    <t>Do not budget the cost of training materials for training the Trainers as OUS will provide those materials</t>
  </si>
  <si>
    <t>Staff Salaries and Benefits</t>
  </si>
  <si>
    <t>In-area travel</t>
  </si>
  <si>
    <t>Other costs (specify)</t>
  </si>
  <si>
    <t>Elementary</t>
  </si>
  <si>
    <t>Costs for Trainers</t>
  </si>
  <si>
    <t># of trainers at each training</t>
  </si>
  <si>
    <t># of training days (days per workshop x number of workshops)</t>
  </si>
  <si>
    <t>If your trainers will be leaving their classrooms to lead workshops, budget the cost for substitutes here</t>
  </si>
  <si>
    <t>Cost for teachers</t>
  </si>
  <si>
    <t>Workshop Materials</t>
  </si>
  <si>
    <t>Your teachers will attend training in your district either on back-to-back days or spread over several weeks or months</t>
  </si>
  <si>
    <t>* Workshops are highly interactive with teachers participating in teams</t>
  </si>
  <si>
    <t>Teachers per work-shop team*</t>
  </si>
  <si>
    <t>Trainers may be senior teachers, staff specialists or contractors</t>
  </si>
  <si>
    <r>
      <t xml:space="preserve">If Trainers will be paid for </t>
    </r>
    <r>
      <rPr>
        <sz val="12"/>
        <color theme="1"/>
        <rFont val="Calibri"/>
        <family val="2"/>
        <scheme val="minor"/>
      </rPr>
      <t>EXTRA DAYS</t>
    </r>
    <r>
      <rPr>
        <sz val="11"/>
        <color theme="1"/>
        <rFont val="Calibri"/>
        <family val="2"/>
        <scheme val="minor"/>
      </rPr>
      <t xml:space="preserve"> to attend training, put them here</t>
    </r>
  </si>
  <si>
    <t>If you will paying teachers or other staff for EXTRA DAYS to conduct workshops put those costs here</t>
  </si>
  <si>
    <t>If teachers will be paid for EXTRA DAYS to go to training, put them here</t>
  </si>
  <si>
    <t>Re usable</t>
  </si>
  <si>
    <t>yes</t>
  </si>
  <si>
    <t>class of 30</t>
  </si>
  <si>
    <t>Yes</t>
  </si>
  <si>
    <t>Although it is a little more expensive, colored sand is an option.  Color choices often make engineering projects more exciting for students</t>
  </si>
  <si>
    <t>Quantity</t>
  </si>
  <si>
    <t>Lego axles size 6M (Product ID W970614)</t>
  </si>
  <si>
    <t>Thermometer</t>
  </si>
  <si>
    <t>Teacher Training</t>
  </si>
  <si>
    <t>Small paper cups,  3oz.</t>
  </si>
  <si>
    <t>Cost Each</t>
  </si>
  <si>
    <t>Graduated beakers work fine too</t>
  </si>
  <si>
    <t>$5 per bag</t>
  </si>
  <si>
    <t>River Pebble / Pea Gravel</t>
  </si>
  <si>
    <t>Retail</t>
  </si>
  <si>
    <t>Online</t>
  </si>
  <si>
    <t>Classroom Instruction</t>
  </si>
  <si>
    <t>For each group</t>
  </si>
  <si>
    <t>For each work-shop</t>
  </si>
  <si>
    <t>"Kit" is short-hand for the materials that teachers will need in their classroom to support a particular activity.</t>
  </si>
  <si>
    <t>Average students per class</t>
  </si>
  <si>
    <t>Materials costs for other EngD lessons</t>
  </si>
  <si>
    <t>If you assume each elementary teacher will have their own set of classroom materials, use 1 for kits per teacher.  If teachers will share kits, use less than 1.</t>
  </si>
  <si>
    <t>Engineering Design Activity/Lesson Materials</t>
  </si>
  <si>
    <t>Trainers cost per day =</t>
  </si>
  <si>
    <t>Substitute cost  per day =</t>
  </si>
  <si>
    <t>Teacher cost per day =</t>
  </si>
  <si>
    <t>Purchasing will be done primarily Online</t>
  </si>
  <si>
    <t>No</t>
  </si>
  <si>
    <t>Specify "No" if you will purchase materials primarily at local retail stores; "Yes" If you will purchase primarily online.</t>
  </si>
  <si>
    <t>Cost per class session</t>
  </si>
  <si>
    <t>For activities covered in workshops</t>
  </si>
  <si>
    <t>The training materials provided to your Trainers and covered during the workshop held for them in June 23 will include 7 sample activities.  By filling values in the yellow cells, estimated materials costs will be calculated for you.   You may override them if you feel they under or overstate your costs.</t>
  </si>
  <si>
    <t>We encourage you to encourage your teachers to convert additional lessons to use engineering design or create new lessons that use engineering design.  Estimate the associate materials costs here. Provide estimate costs for each category.</t>
  </si>
  <si>
    <t>Teachers per team</t>
  </si>
  <si>
    <t>Number of teachers per workshop</t>
  </si>
  <si>
    <t>Hardware Store or borrow</t>
  </si>
  <si>
    <t>Measuring cups including 1/3 cup or metric equivalent</t>
  </si>
  <si>
    <t>Teachers at each workshop</t>
  </si>
  <si>
    <t>Amazon</t>
  </si>
  <si>
    <t>Subtotal</t>
  </si>
  <si>
    <r>
      <t xml:space="preserve">If teachers will be teaching multiple class sessons using the same activity at the same time, use the number of sessions that will use the activities as kits per teacher so there will be one classroom kit per session.  If they will scheduling the activities so that one class session will have finished using the kit before next one begins using it, use 1 kit per teacher.  </t>
    </r>
    <r>
      <rPr>
        <sz val="8"/>
        <rFont val="Calibri"/>
        <family val="2"/>
        <scheme val="minor"/>
      </rPr>
      <t>One exception is the Algae Machine activity, which is designed to be used by multiple class sessions at the same time so you can use 1 kit per teacher.</t>
    </r>
  </si>
  <si>
    <t>OUS will provide a free multi-day training workshop for up to 3 Trainers per grantee in June 2013</t>
  </si>
  <si>
    <t>Other (specify)</t>
  </si>
  <si>
    <t>Staff Salaries and Benefits and/or contracted labor</t>
  </si>
  <si>
    <t>Lesson materials for workshops</t>
  </si>
  <si>
    <t>Subtotals (Training and supporting teachers)</t>
  </si>
  <si>
    <t>Costs for training and supporting teachers based on above</t>
  </si>
  <si>
    <t>3. Deployment in the classrooms</t>
  </si>
  <si>
    <t>2. Training and supporting teachers</t>
  </si>
  <si>
    <t>1. Training the Trainers</t>
  </si>
  <si>
    <t>Lesson Materials</t>
  </si>
  <si>
    <t>Subtotals (Deploying in the classrooms)</t>
  </si>
  <si>
    <t>Costs for deploying in the classrooms based on above</t>
  </si>
  <si>
    <t>Subtotals (Training the Trainers)</t>
  </si>
  <si>
    <t>Color Key</t>
  </si>
  <si>
    <t>School contribution</t>
  </si>
  <si>
    <t>Provide your average cost</t>
  </si>
  <si>
    <t>The Trainers that you send to be trained on Engineering Design will be responsible for training teachers in your district or school, and supporting those teachers as they deploy engineering design in their classrooms</t>
  </si>
  <si>
    <t>Applicant copies these values to RFA application</t>
  </si>
  <si>
    <t>Provide your average cost with benefits for extra duty</t>
  </si>
  <si>
    <t>See footnote at the bottom of this page.</t>
  </si>
  <si>
    <t>Footnote: Use this sheet to prepare the budget for your application.  Most budgets can be prepared by filling in the yellow and orange fields and then copying the orange and green fields to your application.  You can modify the other sheets as you find that the cost of materials in those sheets is different from the costs you find for the same or similar materials. We recommend you check back at www.oregonetic.org/grant-info regularly because we expect to be updated the materials lists as we improve the design of the activities, updating the costs, and increasing the flexibility of how costs are calculated based on class size. You are not, however, required to use this Workbook or restricted to just modifying the yellow and orange fields if you do.  Please let us know if you have questions or issues about this work book.</t>
  </si>
  <si>
    <t>High School Activity and Lesson -- Littlefoot's Lil' Coaster Ride</t>
  </si>
  <si>
    <t>Littlefoot's Ride</t>
  </si>
  <si>
    <t>In Rate use estimated per trainer per day</t>
  </si>
  <si>
    <t>For Rate use estimated average per teacher per day.</t>
  </si>
  <si>
    <t xml:space="preserve"> </t>
  </si>
  <si>
    <t>Store Type</t>
  </si>
  <si>
    <t>items per student</t>
  </si>
  <si>
    <t>online shipping</t>
  </si>
  <si>
    <t>Dollar, craft</t>
  </si>
  <si>
    <t xml:space="preserve">The fake flowers that meet this description tend to have small centers, so if you are working with younger children, get daisies or other flowers with larger centers, for easier pollination, and cut off excess petals. Stems are attached to paper towel rolls to make "trees"  </t>
  </si>
  <si>
    <t>Craft, Dollar, variety</t>
  </si>
  <si>
    <t>Grocery, drug, variety</t>
  </si>
  <si>
    <t>Craft, Dollar</t>
  </si>
  <si>
    <t>Dollar, Office</t>
  </si>
  <si>
    <t>Dollar, craft, variety, grocery</t>
  </si>
  <si>
    <t>Dollar</t>
  </si>
  <si>
    <t>Dollar, grocery, variety</t>
  </si>
  <si>
    <t>online www.flowerfactory.com</t>
  </si>
  <si>
    <t>Craft</t>
  </si>
  <si>
    <t>capsule sponges that expand into shapes; let the kids cut-them as they saw fit; no online source found</t>
  </si>
  <si>
    <t xml:space="preserve">*Eraser Caps </t>
  </si>
  <si>
    <t>*Flexible Straws</t>
  </si>
  <si>
    <t>*Sponges</t>
  </si>
  <si>
    <t>*Feathers</t>
  </si>
  <si>
    <t>*Play-Doh or Clay</t>
  </si>
  <si>
    <t>*Cotton Balls</t>
  </si>
  <si>
    <t>online drugstore.com</t>
  </si>
  <si>
    <t>www.drugstore.com -- free over $25</t>
  </si>
  <si>
    <t>www.amazon.com -- often free over $25</t>
  </si>
  <si>
    <t>www.flowerfactory.com -- &lt;$20 = $6.60; &lt;$35 = $8.80; &lt;$50 = $9.90</t>
  </si>
  <si>
    <t>www.discountschoolsupply.com -- min $5; &lt;$79 = 15%; &gt;$79 free</t>
  </si>
  <si>
    <t>items per class</t>
  </si>
  <si>
    <t>Home Improvement; Hardware; some variety</t>
  </si>
  <si>
    <t>Items per class</t>
  </si>
  <si>
    <t>Items per student</t>
  </si>
  <si>
    <t>LEGO Education Website</t>
  </si>
  <si>
    <t>These are the small wheels.  http://www.legoeducation.us/eng/product/12_tooth_black_double_conical_wheels/1320</t>
  </si>
  <si>
    <t>http://www.legoeducation.us/eng/product/detail/2233?sku=W970614</t>
  </si>
  <si>
    <t>Shipping costs</t>
  </si>
  <si>
    <t>LEGO ed; &lt;$99 -- $8; &lt;$500 -- 7%</t>
  </si>
  <si>
    <t xml:space="preserve">http://www.legoeducation.us/eng/product/20_tooth_double_conical_wheels/865 </t>
  </si>
  <si>
    <t>assumes MDF bought locally, all else online</t>
  </si>
  <si>
    <t>assumes LEGO bought online, all else local</t>
  </si>
  <si>
    <t>Budget avg class size n</t>
  </si>
  <si>
    <t xml:space="preserve">Item to purchase </t>
  </si>
  <si>
    <t>Cans of beans for weights</t>
  </si>
  <si>
    <t>$0.69 per can</t>
  </si>
  <si>
    <t>Variety, grocery</t>
  </si>
  <si>
    <t>variety, grocery, home improvement, hardware</t>
  </si>
  <si>
    <t>variety, grocery</t>
  </si>
  <si>
    <t>Shipping Costs</t>
  </si>
  <si>
    <t>Plastic Drink Bottles with caps -- 2L preferred; 1L will work; smaller than that non-optimal.</t>
  </si>
  <si>
    <t xml:space="preserve">Petco </t>
  </si>
  <si>
    <t>Pet</t>
  </si>
  <si>
    <t>Make sure it contains no dyes or artificial colors that will leach; sand from home improvement stores may not be adequately clean.</t>
  </si>
  <si>
    <t>Toy, pet</t>
  </si>
  <si>
    <t>Sand, clean and white or very light-colored</t>
  </si>
  <si>
    <t>Grocery</t>
  </si>
  <si>
    <t xml:space="preserve">Grocery </t>
  </si>
  <si>
    <t>For making holes in bottle tops</t>
  </si>
  <si>
    <t>Grocery; some variety</t>
  </si>
  <si>
    <t>Straws (bearings) straight straws will have less waste than flexible ones; variety of colors is good</t>
  </si>
  <si>
    <t>Dollar, Craft, Grocery</t>
  </si>
  <si>
    <t>These will be the bearings.  Try to get multi-colored straws for the reason stated above.      Online www.flowerfactory.com; www.drugstore.com</t>
  </si>
  <si>
    <t>Craft, variety, grocery</t>
  </si>
  <si>
    <t>Regular-sized (popsicle) and Jumbo-sized wooden craft sticks, variety of colors preferred.</t>
  </si>
  <si>
    <t>Shipping</t>
  </si>
  <si>
    <t>Assumes all local buying except for train track and LEGO</t>
  </si>
  <si>
    <t xml:space="preserve">Number of Trainers </t>
  </si>
  <si>
    <t>In each Trainer Kit</t>
  </si>
  <si>
    <t>Brought home by Trainers</t>
  </si>
  <si>
    <t>Total needed</t>
  </si>
  <si>
    <t>Net Needed for Teacher Training</t>
  </si>
  <si>
    <t>Class of N</t>
  </si>
  <si>
    <t>Gross</t>
  </si>
  <si>
    <t>Net</t>
  </si>
  <si>
    <t>Gross Workshop Materials Costs</t>
  </si>
  <si>
    <t>Net Workshop Materials Cost</t>
  </si>
  <si>
    <t xml:space="preserve"> Michaels has a large variety of pompoms in different sizes and materials.  The Dollar Store only offers one type, but you get more per package.  Www.flowerfactory.com packages have 300.</t>
  </si>
  <si>
    <t>Dollar, variety, grocery, drug</t>
  </si>
  <si>
    <t>online</t>
  </si>
  <si>
    <t>carolina.com -- Scenedesmus 15210 (shipping $28); also enasco.com; wardsci.com; culture may be propagated to serve several classes and/or refrigerated and maintained for several months; may need feeding</t>
  </si>
  <si>
    <t>1 vial of live algae in culture; Scenedesmus is the organism we tested; most free-swimming green algae suitable</t>
  </si>
  <si>
    <t>Fertilizer</t>
  </si>
  <si>
    <t>no</t>
  </si>
  <si>
    <t>Variety, Home Improvement, grocery</t>
  </si>
  <si>
    <t>We tested Miracl-Gro All Purpose 24-8-16 (NPK ratio); something without dye would be even better</t>
  </si>
  <si>
    <t>Containers, e.g. 12 to 20 oz. water bottles, wide mouths preferable (promotes air exchange), with lids</t>
  </si>
  <si>
    <t>Home</t>
  </si>
  <si>
    <t>Have students collect and bring clean bottles about a week in advance</t>
  </si>
  <si>
    <t>Air System</t>
  </si>
  <si>
    <t>Live Algae &amp; Containment</t>
  </si>
  <si>
    <t>100 Gallon Pump aerates up to 16 bottles</t>
  </si>
  <si>
    <t>Amazon; Pet</t>
  </si>
  <si>
    <t>500 ml; 1 and 2 liter bottles; Erlenmeyer flasks; test tubes all work well. Beakers have too wide an opening. Smaller may be better because of space issues; fewer needed if running as demo rather than group experiments</t>
  </si>
  <si>
    <t>3/16" air line tubing</t>
  </si>
  <si>
    <t>T-adaptors</t>
  </si>
  <si>
    <t>Pet, Amazon</t>
  </si>
  <si>
    <t>Make sure T adaptors match the size of tubing purchased.</t>
  </si>
  <si>
    <t>Need 4 total for a set up of 16 bottles</t>
  </si>
  <si>
    <t>One pump aerates up to 16 bottles</t>
  </si>
  <si>
    <t>4 ft shop light</t>
  </si>
  <si>
    <t>Home Imp, Hardware, Variety</t>
  </si>
  <si>
    <t>The more expensive "grow light" bulbs are not necessary to grow successfully grow algae</t>
  </si>
  <si>
    <t>3/4" PVC pipe, 10 ft long</t>
  </si>
  <si>
    <t>3/4" PVC T joiners</t>
  </si>
  <si>
    <t>takes 2 T12 linear fluorescent bulbs; amazon.com</t>
  </si>
  <si>
    <t>For building a stand to hold the shop light close to the bottles; no reasonable online source found</t>
  </si>
  <si>
    <t>See instructions for assembling stand</t>
  </si>
  <si>
    <t>3/4" PVC right angle elbows</t>
  </si>
  <si>
    <t>3/4" PVC caps</t>
  </si>
  <si>
    <t>3/4" 3/4 pipe U-bolts</t>
  </si>
  <si>
    <t>Used to connect chains which suspend shop light from PVC stand; online source is lowes.com</t>
  </si>
  <si>
    <t>Light Fixtures -- 2 lights on stands support 16-bottle setup with room to maneuver</t>
  </si>
  <si>
    <t>All purpose PVC Cement</t>
  </si>
  <si>
    <t>Light Timer</t>
  </si>
  <si>
    <t>Controls when light is on/off over 24 hours</t>
  </si>
  <si>
    <t>Plastic Sheeting</t>
  </si>
  <si>
    <t>Used to create a tent that holds the lamp heat so that algae bottles ambient temperature is higher than room temp.</t>
  </si>
  <si>
    <t>Amazon, PetCo, PetSmart, Lowe's and Home Depot often offer free shipping or free in-store pickup</t>
  </si>
  <si>
    <t>Live culture surcharge $5-$28; average $16.50 for budgeting</t>
  </si>
  <si>
    <t>Class of 40</t>
  </si>
  <si>
    <t>Class of 30</t>
  </si>
  <si>
    <t>Toad's New Car</t>
  </si>
  <si>
    <t>Joanie Appleseed</t>
  </si>
  <si>
    <t>Bricks for Pigs</t>
  </si>
  <si>
    <t>Bioswale</t>
  </si>
  <si>
    <t>Ultimate Speed Challenge</t>
  </si>
  <si>
    <t>Biofuel from Algae</t>
  </si>
  <si>
    <t>Net = Gross - cost of materials included in kit(s) provided to Trainers at Training in June 2013</t>
  </si>
  <si>
    <t>Buy 8 foot boards and have the store pre-cut them into thirds -- giving you 3 ramps of about 32 inches each.  Class of 30 needs 12 ramps.  Class of 40 needs 16. No reasonable online alternative found.</t>
  </si>
  <si>
    <t>Assumes LEGO bought online, all else local</t>
  </si>
  <si>
    <t>Total Retail</t>
  </si>
  <si>
    <t>Total Online</t>
  </si>
  <si>
    <t>Retail Total</t>
  </si>
  <si>
    <t>Online Total</t>
  </si>
  <si>
    <t>Quantity for class of N students</t>
  </si>
  <si>
    <t>Pet Store</t>
  </si>
  <si>
    <t>Buy from aquarium department</t>
  </si>
  <si>
    <t>Class of N Students</t>
  </si>
  <si>
    <t>Total with Shipping</t>
  </si>
  <si>
    <t>Net cost for workshops based on teachers at each workshop, team size and number of kits brought back by Trainers</t>
  </si>
  <si>
    <t>These are materials to be used by Trainers to conduct professional development workshops.  As the Trainers will often teach the same workshop more than once, they will typical retain and reuse these materials.</t>
  </si>
  <si>
    <t>Number of trainers</t>
  </si>
  <si>
    <t>Activity/Lesson</t>
  </si>
  <si>
    <t>General activities</t>
  </si>
  <si>
    <t>Fill in the number of staff members who will attend training and serve as Trainers.</t>
  </si>
  <si>
    <t>for class of N students</t>
  </si>
  <si>
    <t>Materials Needed Per Group</t>
  </si>
  <si>
    <t>• Water</t>
  </si>
  <si>
    <t>• Measuring Tape</t>
  </si>
  <si>
    <t>• Rocket launcher (1” PVC elbow)</t>
  </si>
  <si>
    <t>• Student instruction sheets</t>
  </si>
  <si>
    <t>• Student data sheets</t>
  </si>
  <si>
    <t>• Safety goggles</t>
  </si>
  <si>
    <t>• Graph paper (optional, middle and high school)</t>
  </si>
  <si>
    <t>1 piece of construction paper</t>
  </si>
  <si>
    <t xml:space="preserve">1 piece of white paper </t>
  </si>
  <si>
    <t xml:space="preserve">1 meter masking tape </t>
  </si>
  <si>
    <t>Scissors</t>
  </si>
  <si>
    <t xml:space="preserve">Tallest Tower Challenge sheets </t>
  </si>
  <si>
    <t>Tallest Tower Activity -- Day 1</t>
  </si>
  <si>
    <t xml:space="preserve">Assumptions: </t>
  </si>
  <si>
    <t>Teachers Per Workshop</t>
  </si>
  <si>
    <t>All participants</t>
  </si>
  <si>
    <t>Materials Needed Per Team</t>
  </si>
  <si>
    <t>Gross Cost for Workshop</t>
  </si>
  <si>
    <t>Needed for Workshop</t>
  </si>
  <si>
    <t>Net Cost for Workshop</t>
  </si>
  <si>
    <r>
      <t>CO</t>
    </r>
    <r>
      <rPr>
        <b/>
        <vertAlign val="subscript"/>
        <sz val="12"/>
        <color theme="1"/>
        <rFont val="Calibri"/>
        <family val="2"/>
        <scheme val="minor"/>
      </rPr>
      <t>2</t>
    </r>
    <r>
      <rPr>
        <b/>
        <sz val="12"/>
        <color theme="1"/>
        <rFont val="Calibri"/>
        <family val="2"/>
        <scheme val="minor"/>
      </rPr>
      <t xml:space="preserve"> Rockets Activity - Day 1</t>
    </r>
  </si>
  <si>
    <t>Other office supplies</t>
  </si>
  <si>
    <t>y1</t>
  </si>
  <si>
    <t>y2</t>
  </si>
  <si>
    <t>a+bN</t>
  </si>
  <si>
    <t>Gross Workshop Materials Cost</t>
  </si>
  <si>
    <t>Index Card Chair -- Day 2</t>
  </si>
  <si>
    <t>• Clear film canister (available from photo labs, online)</t>
  </si>
  <si>
    <t>Weights (small cans tomato sauce)</t>
  </si>
  <si>
    <t>Scissors*</t>
  </si>
  <si>
    <t>*budgeted for under "Common Office Supplies"</t>
  </si>
  <si>
    <t>• Effervescent tablets (any brand will work; prefer w/out coloring, sweetener)</t>
  </si>
  <si>
    <t>• Thermometer (optional)</t>
  </si>
  <si>
    <t>*budgeted under "Common Office Supplies"</t>
  </si>
  <si>
    <t>Common Office Supplies</t>
  </si>
  <si>
    <t>Transparent tape</t>
  </si>
  <si>
    <t>3x3 sticky notes</t>
  </si>
  <si>
    <t>Large (4x6 or 5x8) sticky notes</t>
  </si>
  <si>
    <t>Pens</t>
  </si>
  <si>
    <t>Markers (permanent, for labeling)</t>
  </si>
  <si>
    <t>Paper cup (MS only)</t>
  </si>
  <si>
    <t>Plain copy paper, 50 sheets</t>
  </si>
  <si>
    <t>www.petco.com free shipping over $49</t>
  </si>
  <si>
    <t>www.petco.com has free shipping over $49</t>
  </si>
  <si>
    <t xml:space="preserve">Challenge sheets </t>
  </si>
  <si>
    <t>This is an estimate of the material costs for workshops in addition to those associated with the sample lessons below</t>
  </si>
  <si>
    <t>The costs shown here are estimates for workshop materials associated with the sample lessons derived from the individual Lesson worksheets in this Excel file</t>
  </si>
  <si>
    <t>www.flowerfactory.com -- &lt;$20 = $6.60; &lt;$35 = $8.80; &lt;$50 = $9.90; &lt;$75 = $12.65</t>
  </si>
  <si>
    <t>other items currently listed elsewhere:</t>
  </si>
  <si>
    <t xml:space="preserve">   index cards</t>
  </si>
  <si>
    <t xml:space="preserve">   masking tape</t>
  </si>
  <si>
    <t>Flip charts</t>
  </si>
  <si>
    <t>Flip chart markers</t>
  </si>
  <si>
    <t>Master Shopping List</t>
  </si>
  <si>
    <t>Stores by type</t>
  </si>
  <si>
    <t xml:space="preserve">      alternately, share out purchases among grocery, drug, pet, home improvement, toy, and craft, and less comprehensive variety stores such as Target and Kmart</t>
  </si>
  <si>
    <r>
      <t xml:space="preserve">   </t>
    </r>
    <r>
      <rPr>
        <b/>
        <sz val="11"/>
        <color theme="1"/>
        <rFont val="Calibri"/>
        <family val="2"/>
        <scheme val="minor"/>
      </rPr>
      <t>Dollar:</t>
    </r>
    <r>
      <rPr>
        <sz val="11"/>
        <color theme="1"/>
        <rFont val="Calibri"/>
        <family val="2"/>
        <scheme val="minor"/>
      </rPr>
      <t xml:space="preserve"> Dollar Tree; www.dollartree.com (ship to store for free; =&gt;43 stores in Oregon including Baker, Brookings, Hermiston, Klamath Falls) also Dollar Store &amp; others</t>
    </r>
  </si>
  <si>
    <r>
      <t xml:space="preserve">   </t>
    </r>
    <r>
      <rPr>
        <b/>
        <sz val="11"/>
        <color theme="1"/>
        <rFont val="Calibri"/>
        <family val="2"/>
        <scheme val="minor"/>
      </rPr>
      <t>Craft:</t>
    </r>
    <r>
      <rPr>
        <sz val="11"/>
        <color theme="1"/>
        <rFont val="Calibri"/>
        <family val="2"/>
        <scheme val="minor"/>
      </rPr>
      <t xml:space="preserve"> Michaels (15 stores in Oregon; website not conducive to online ordering), JoAnns, Craft Warehouse, www.flowerfactory.com, and www.discountschoolsupply.com (not always small-quantity-friendly); local merchants</t>
    </r>
  </si>
  <si>
    <r>
      <t xml:space="preserve">  </t>
    </r>
    <r>
      <rPr>
        <b/>
        <sz val="11"/>
        <color theme="1"/>
        <rFont val="Calibri"/>
        <family val="2"/>
        <scheme val="minor"/>
      </rPr>
      <t xml:space="preserve"> Hardware/Home Improvement:</t>
    </r>
    <r>
      <rPr>
        <sz val="11"/>
        <color theme="1"/>
        <rFont val="Calibri"/>
        <family val="2"/>
        <scheme val="minor"/>
      </rPr>
      <t xml:space="preserve"> Home Depot (26 stores in Oregon), Lowe's (12 stores in Oregon), some Fred Meyer's and other local merchants</t>
    </r>
  </si>
  <si>
    <r>
      <t xml:space="preserve">   </t>
    </r>
    <r>
      <rPr>
        <b/>
        <sz val="11"/>
        <color theme="1"/>
        <rFont val="Calibri"/>
        <family val="2"/>
        <scheme val="minor"/>
      </rPr>
      <t>Toy:</t>
    </r>
    <r>
      <rPr>
        <sz val="11"/>
        <color theme="1"/>
        <rFont val="Calibri"/>
        <family val="2"/>
        <scheme val="minor"/>
      </rPr>
      <t xml:space="preserve"> Toys R Us, www.amazon.com</t>
    </r>
  </si>
  <si>
    <r>
      <t xml:space="preserve">   </t>
    </r>
    <r>
      <rPr>
        <b/>
        <sz val="11"/>
        <color theme="1"/>
        <rFont val="Calibri"/>
        <family val="2"/>
        <scheme val="minor"/>
      </rPr>
      <t xml:space="preserve">Specialty: </t>
    </r>
    <r>
      <rPr>
        <sz val="11"/>
        <color theme="1"/>
        <rFont val="Calibri"/>
        <family val="2"/>
        <scheme val="minor"/>
      </rPr>
      <t>www.legoeducation.com</t>
    </r>
  </si>
  <si>
    <t>Store type</t>
  </si>
  <si>
    <r>
      <t xml:space="preserve">   </t>
    </r>
    <r>
      <rPr>
        <b/>
        <sz val="11"/>
        <color theme="1"/>
        <rFont val="Calibri"/>
        <family val="2"/>
        <scheme val="minor"/>
      </rPr>
      <t>Pet:</t>
    </r>
    <r>
      <rPr>
        <sz val="11"/>
        <color theme="1"/>
        <rFont val="Calibri"/>
        <family val="2"/>
        <scheme val="minor"/>
      </rPr>
      <t xml:space="preserve"> PetCo, www.petco.com - free shipping over $49 (20 stores in Oregon); PetSmart, www.petsmart.com (15 stores in Oregon); other local merchants</t>
    </r>
  </si>
  <si>
    <r>
      <t xml:space="preserve">   </t>
    </r>
    <r>
      <rPr>
        <b/>
        <sz val="11"/>
        <color theme="1"/>
        <rFont val="Calibri"/>
        <family val="2"/>
        <scheme val="minor"/>
      </rPr>
      <t>Variety:</t>
    </r>
    <r>
      <rPr>
        <sz val="11"/>
        <color theme="1"/>
        <rFont val="Calibri"/>
        <family val="2"/>
        <scheme val="minor"/>
      </rPr>
      <t xml:space="preserve"> Fred Meyer (in 33 cities in Oregon); www.amazon.com -- some free shipping over $25</t>
    </r>
  </si>
  <si>
    <t>Budget avg Class size n</t>
  </si>
  <si>
    <t>Prefer a brand that stacks easily</t>
  </si>
  <si>
    <t>Flower Stems</t>
  </si>
  <si>
    <t>Glitter</t>
  </si>
  <si>
    <t>Pompoms</t>
  </si>
  <si>
    <t>Craft sticks - mini</t>
  </si>
  <si>
    <t>Craft sticks - regular</t>
  </si>
  <si>
    <t>Craft sticks - large</t>
  </si>
  <si>
    <t>Chenille Stems</t>
  </si>
  <si>
    <t>Clay</t>
  </si>
  <si>
    <t>Eraser Caps</t>
  </si>
  <si>
    <t>Flexible Straws</t>
  </si>
  <si>
    <t>Coffee Stirrer Straws</t>
  </si>
  <si>
    <t>Measuring cups</t>
  </si>
  <si>
    <t>Cotton balls</t>
  </si>
  <si>
    <t>Lemon Juice</t>
  </si>
  <si>
    <t>Small cans tomatos</t>
  </si>
  <si>
    <t>No stick spray</t>
  </si>
  <si>
    <t>Toy</t>
  </si>
  <si>
    <t>Thomas Tank Engine Track</t>
  </si>
  <si>
    <t>Thomas Tank Engine Track Bridge</t>
  </si>
  <si>
    <t>Specialty</t>
  </si>
  <si>
    <t>LEGO pulley wheels</t>
  </si>
  <si>
    <t>Stacking cans of beans</t>
  </si>
  <si>
    <t>Home Improvement</t>
  </si>
  <si>
    <t>Nails</t>
  </si>
  <si>
    <t>Teacher Workshop</t>
  </si>
  <si>
    <t xml:space="preserve">Office </t>
  </si>
  <si>
    <t>Index Cards</t>
  </si>
  <si>
    <t>scissors</t>
  </si>
  <si>
    <t>printer paper</t>
  </si>
  <si>
    <t>transparent tape</t>
  </si>
  <si>
    <t>3 x 3 sticky notes</t>
  </si>
  <si>
    <t>large sticky notes (4x6 or 5x8)</t>
  </si>
  <si>
    <t>permanent markers</t>
  </si>
  <si>
    <t>ES-JoanieAppleseed</t>
  </si>
  <si>
    <t>Activity Worksheet</t>
  </si>
  <si>
    <t>Item row in AW</t>
  </si>
  <si>
    <t>MS-UltimateSpeed</t>
  </si>
  <si>
    <t>ES-ToadsCar</t>
  </si>
  <si>
    <t>Note: This is a draft spreadsheet that is being developed to help organize shopping for materials and supplies.   It is not used to develop estimates for the Budget page.</t>
  </si>
  <si>
    <t>Reality Check</t>
  </si>
  <si>
    <t>WAGQty</t>
  </si>
  <si>
    <t>WAGEach</t>
  </si>
  <si>
    <t>MS-Bioswale</t>
  </si>
  <si>
    <t>Green Tea Bags</t>
  </si>
  <si>
    <t>All-IndexCardChair</t>
  </si>
  <si>
    <t>Krusteaz pancake mix</t>
  </si>
  <si>
    <t>Water bottles</t>
  </si>
  <si>
    <t>timer</t>
  </si>
  <si>
    <t>LEGO small wheels (12 tooth)</t>
  </si>
  <si>
    <t>LEGO large wheels (20 tooth)</t>
  </si>
  <si>
    <t>Pebbles/Pea Gravel</t>
  </si>
  <si>
    <t>MDF 1x6</t>
  </si>
  <si>
    <t>CommonOfficeSupplies</t>
  </si>
  <si>
    <t>Qty (K)</t>
  </si>
  <si>
    <t>Wqty (V)</t>
  </si>
  <si>
    <t>ES-BricksForPigs</t>
  </si>
  <si>
    <t>film canisters</t>
  </si>
  <si>
    <t>Training specialty</t>
  </si>
  <si>
    <t>All-CO2 Rockets</t>
  </si>
  <si>
    <t>HS-LittlefootsRide</t>
  </si>
  <si>
    <t>Masking tape</t>
  </si>
  <si>
    <t>3-4 oz paper cups</t>
  </si>
  <si>
    <t>Craft sticks or spoons for stirring</t>
  </si>
  <si>
    <t>*pH Tests</t>
  </si>
  <si>
    <t>Masking Tape</t>
  </si>
  <si>
    <t>Live Algae Culture</t>
  </si>
  <si>
    <t>HS-BiofuelFromAlgae</t>
  </si>
  <si>
    <t>100 gal air pump</t>
  </si>
  <si>
    <t>air-line tubing</t>
  </si>
  <si>
    <t>4-way gang valves</t>
  </si>
  <si>
    <t>4-ft shop light</t>
  </si>
  <si>
    <t>48" T12 bulb, Cool White</t>
  </si>
  <si>
    <t>3/4" PVC pipe, 10 ft</t>
  </si>
  <si>
    <t>3/4" PVC rt angle elbows</t>
  </si>
  <si>
    <t>construction paper</t>
  </si>
  <si>
    <t>All-TallestTower</t>
  </si>
  <si>
    <t>Effervescent Tablets</t>
  </si>
  <si>
    <t>Graduated Cylinder/small measure</t>
  </si>
  <si>
    <t>Measuring tape</t>
  </si>
  <si>
    <t>1" PVC elbow</t>
  </si>
  <si>
    <t>safety goggles</t>
  </si>
  <si>
    <t>Hot Pot</t>
  </si>
  <si>
    <t>LEGO axles W970614</t>
  </si>
  <si>
    <t>LEGO axles W970612</t>
  </si>
  <si>
    <t>Trainer Workshop</t>
  </si>
  <si>
    <t>Tqty (Z)</t>
  </si>
  <si>
    <t>1 per 4 students</t>
  </si>
  <si>
    <t>0.1 oz per student</t>
  </si>
  <si>
    <t>1-2 per student; better multipe types</t>
  </si>
  <si>
    <t>1-2 per student</t>
  </si>
  <si>
    <t>2 per student</t>
  </si>
  <si>
    <t>thumbjoint size chunk per student</t>
  </si>
  <si>
    <t>1 per student</t>
  </si>
  <si>
    <t>0-2 per student</t>
  </si>
  <si>
    <t>WAGNote (crosscheck to teacher's guide)</t>
  </si>
  <si>
    <t>24 oz. gladware containers</t>
  </si>
  <si>
    <t>1 per 3 students; mixing vessel</t>
  </si>
  <si>
    <t>1 per 3 students; mixing tool</t>
  </si>
  <si>
    <t>5 per 3 students plus 12 for demo</t>
  </si>
  <si>
    <t>sprinkle type watering can</t>
  </si>
  <si>
    <t>alternate: pierced cap for water bottle</t>
  </si>
  <si>
    <t>8 oz per 3 students plus 16 oz demo</t>
  </si>
  <si>
    <t>1 box per class</t>
  </si>
  <si>
    <t>1 can per class; covers several?</t>
  </si>
  <si>
    <t>1 per 3 or 4 students</t>
  </si>
  <si>
    <t>2-3 per 3 or 4 students</t>
  </si>
  <si>
    <t>4-6 per 3 or 4 students</t>
  </si>
  <si>
    <t>Hammer or hand drill</t>
  </si>
  <si>
    <t>6 sq inches per 2 students (.005 sq yd)</t>
  </si>
  <si>
    <t>V2.5</t>
  </si>
  <si>
    <t>'MS-UltimateSpeed'!$Z$7</t>
  </si>
  <si>
    <t>'ES-ToadsCar'!$Z$6</t>
  </si>
  <si>
    <t>'ES-JoanieAppleseed'!$Z$23</t>
  </si>
  <si>
    <t>'ES-JoanieAppleseed'!$Z$28</t>
  </si>
  <si>
    <t>'ES-JoanieAppleseed'!$Z$14</t>
  </si>
  <si>
    <t>'ES-ToadsCar'!$Z$8</t>
  </si>
  <si>
    <t>'MS-UltimateSpeed'!$Z$9</t>
  </si>
  <si>
    <t>'HS-LittlefootsRide'!$Z$9</t>
  </si>
  <si>
    <t>'ES-JoanieAppleseed'!$Z$19</t>
  </si>
  <si>
    <t>'ES-JoanieAppleseed'!$Z$21</t>
  </si>
  <si>
    <t>'HS-LittlefootsRide'!$Z$10</t>
  </si>
  <si>
    <t>'All-CO2 Rockets'!$Z$8</t>
  </si>
  <si>
    <t>'ES-JoanieAppleseed'!$Z$26</t>
  </si>
  <si>
    <t>'ES-JoanieAppleseed'!$Z$25</t>
  </si>
  <si>
    <t>''!$Z$0</t>
  </si>
  <si>
    <t>'MS-Bioswale'!$Z$6</t>
  </si>
  <si>
    <t>'ES-JoanieAppleseed'!$Z$9</t>
  </si>
  <si>
    <t>'ES-BricksForPigs'!$Z$8</t>
  </si>
  <si>
    <t>'ES-JoanieAppleseed'!$Z$30</t>
  </si>
  <si>
    <t>'MS-Bioswale'!$Z$13</t>
  </si>
  <si>
    <t>'MS-Bioswale'!$Z$17</t>
  </si>
  <si>
    <t>'MS-Bioswale'!$Z$18</t>
  </si>
  <si>
    <t>'All-IndexCardChair'!$Z$6</t>
  </si>
  <si>
    <t>'ES-BricksForPigs'!$Z$10</t>
  </si>
  <si>
    <t>'ES-BricksForPigs'!$Z$9</t>
  </si>
  <si>
    <t>'ES-BricksForPigs'!$Z$12</t>
  </si>
  <si>
    <t>'MS-Bioswale'!$Z$5</t>
  </si>
  <si>
    <t>'HS-BiofuelFromAlgae'!$Z$9</t>
  </si>
  <si>
    <t>'All-CO2 Rockets'!$Z$4</t>
  </si>
  <si>
    <t>'HS-LittlefootsRide'!$Z$18</t>
  </si>
  <si>
    <t>'HS-LittlefootsRide'!$Z$17</t>
  </si>
  <si>
    <t>'ES-BricksForPigs'!$Z$11</t>
  </si>
  <si>
    <t>'HS-LittlefootsRide'!$Z$12</t>
  </si>
  <si>
    <t>'MS-UltimateSpeed'!$Z$6</t>
  </si>
  <si>
    <t>'ES-ToadsCar'!$Z$11</t>
  </si>
  <si>
    <t>'MS-UltimateSpeed'!$Z$14</t>
  </si>
  <si>
    <t>'HS-LittlefootsRide'!$Z$16</t>
  </si>
  <si>
    <t>'ES-ToadsCar'!$Z$10</t>
  </si>
  <si>
    <t>'MS-UltimateSpeed'!$Z$13</t>
  </si>
  <si>
    <t>'ES-ToadsCar'!$Z$9</t>
  </si>
  <si>
    <t>'MS-UltimateSpeed'!$Z$12</t>
  </si>
  <si>
    <t>'HS-LittlefootsRide'!$Z$15</t>
  </si>
  <si>
    <t>'MS-Bioswale'!$Z$14</t>
  </si>
  <si>
    <t>'HS-BiofuelFromAlgae'!$Z$6</t>
  </si>
  <si>
    <t>'HS-BiofuelFromAlgae'!$Z$7</t>
  </si>
  <si>
    <t>'HS-BiofuelFromAlgae'!$Z$35</t>
  </si>
  <si>
    <t>'All-CO2 Rockets'!$Z$6</t>
  </si>
  <si>
    <t>'All-CO2 Rockets'!$Z$14</t>
  </si>
  <si>
    <t>'ES-BricksForPigs'!$Z$5</t>
  </si>
  <si>
    <t>'MS-Bioswale'!$Z$9</t>
  </si>
  <si>
    <t>'ES-BricksForPigs'!$Z$6</t>
  </si>
  <si>
    <t>'MS-Bioswale'!$Z$11</t>
  </si>
  <si>
    <t>'ES-BricksForPigs'!$Z$7</t>
  </si>
  <si>
    <t>'HS-BiofuelFromAlgae'!$Z$14</t>
  </si>
  <si>
    <t>'HS-BiofuelFromAlgae'!$Z$16</t>
  </si>
  <si>
    <t>'HS-BiofuelFromAlgae'!$Z$17</t>
  </si>
  <si>
    <t>'HS-BiofuelFromAlgae'!$Z$19</t>
  </si>
  <si>
    <t>'MS-Bioswale'!$Z$15</t>
  </si>
  <si>
    <t>'ES-ToadsCar'!$Z$5</t>
  </si>
  <si>
    <t>'MS-UltimateSpeed'!$Z$5</t>
  </si>
  <si>
    <t>'HS-BiofuelFromAlgae'!$Z$23</t>
  </si>
  <si>
    <t>'HS-BiofuelFromAlgae'!$Z$25</t>
  </si>
  <si>
    <t>'HS-BiofuelFromAlgae'!$Z$26</t>
  </si>
  <si>
    <t>'HS-BiofuelFromAlgae'!$Z$28</t>
  </si>
  <si>
    <t>'HS-BiofuelFromAlgae'!$Z$30</t>
  </si>
  <si>
    <t>'HS-BiofuelFromAlgae'!$Z$31</t>
  </si>
  <si>
    <t>'HS-BiofuelFromAlgae'!$Z$32</t>
  </si>
  <si>
    <t>'HS-BiofuelFromAlgae'!$Z$33</t>
  </si>
  <si>
    <t>'HS-BiofuelFromAlgae'!$Z$34</t>
  </si>
  <si>
    <t>'All-CO2 Rockets'!$Z$9</t>
  </si>
  <si>
    <t>'All-CO2 Rockets'!$Z$12</t>
  </si>
  <si>
    <t>1 per 3 students</t>
  </si>
  <si>
    <t>Mixing vessels</t>
  </si>
  <si>
    <t>2 per 2 students</t>
  </si>
  <si>
    <t>1 per 6 students</t>
  </si>
  <si>
    <t>2-3 per 3 students</t>
  </si>
  <si>
    <t>4-6 per 3 students</t>
  </si>
  <si>
    <t>obsolete?</t>
  </si>
  <si>
    <t>Measuring tape or ruler</t>
  </si>
  <si>
    <t>1-2 per 3 or 4 students</t>
  </si>
  <si>
    <t>2-~32" for each 6 or 8 students</t>
  </si>
  <si>
    <t>1 per 2 students? Seems like beakers better?</t>
  </si>
  <si>
    <t>~1 per 2 students</t>
  </si>
  <si>
    <t>30 ml per 2 students</t>
  </si>
  <si>
    <t>3 per class/workshop</t>
  </si>
  <si>
    <t>1 per 2 students</t>
  </si>
  <si>
    <t>proxy from film canister?</t>
  </si>
  <si>
    <t>.66 lbs per 2 students</t>
  </si>
  <si>
    <t>1 per group (usually 3)</t>
  </si>
  <si>
    <t>1 per trainee</t>
  </si>
  <si>
    <t>1 package index cards (min 6 cards per group)</t>
  </si>
  <si>
    <t>Quantity: class size of…</t>
  </si>
  <si>
    <t>ea.</t>
  </si>
  <si>
    <t>N</t>
  </si>
  <si>
    <t>Purchase Notes</t>
  </si>
  <si>
    <t>Other Notes</t>
  </si>
  <si>
    <t>5 petals, white to pink; multiple flowers per stem, e.g., apple blossom, stephanotis, waxflower, cherry blossom, daisies trimmed to 5 petals</t>
  </si>
  <si>
    <t>package of 200</t>
  </si>
  <si>
    <t>*Pollentaor Materials (Purchase about 3/4 of the below items to give students a variety of pollenator choices)</t>
  </si>
  <si>
    <t>*Pom Poms</t>
  </si>
  <si>
    <t>at least one pack of 100</t>
  </si>
  <si>
    <t>*Wooden Craft Sticks</t>
  </si>
  <si>
    <t>sometimes called popsicle sticks, tongue depressors; variety of colors good</t>
  </si>
  <si>
    <t>*Coffee Stirrer Straws</t>
  </si>
  <si>
    <t>must be hollow</t>
  </si>
  <si>
    <t>sometimes called "chenille twigs" or "chenille stems"</t>
  </si>
  <si>
    <t>BELOW: Printable-format summary of this spreadsheet</t>
  </si>
  <si>
    <t>Item Information</t>
  </si>
  <si>
    <t>n/a</t>
  </si>
  <si>
    <t>Online Shipping</t>
  </si>
  <si>
    <t xml:space="preserve"> various sizes, also called popsicle sticks, tongue depressors; variety of colors good</t>
  </si>
  <si>
    <t>Get nominal 1x6 (actual 5.5" x 5/8" or 5.5" x 11/16")</t>
  </si>
  <si>
    <t>Local Retail Ext Costs: Class size of…</t>
  </si>
  <si>
    <t>Online Ext Costs: Class size of…</t>
  </si>
  <si>
    <t>Ea.</t>
  </si>
  <si>
    <t>Budget Sheet for Joanie Appleseed</t>
  </si>
  <si>
    <t>Budget Sheet for Toad's Car</t>
  </si>
  <si>
    <t>Budget Sheet for Bricks for Pigs</t>
  </si>
  <si>
    <t>Quantity: Class size of…</t>
  </si>
  <si>
    <t>Budget Sheet for Bioswales</t>
  </si>
  <si>
    <t>Item to Purchase</t>
  </si>
  <si>
    <t>Budget Sheet for The Ultimate Speed Challenge</t>
  </si>
  <si>
    <t>Budget Sheet for Littlefoot's Ride</t>
  </si>
  <si>
    <t>-</t>
  </si>
  <si>
    <t>Dollar store has small packages; online JoAnn's, www.flowerfactory</t>
  </si>
  <si>
    <t>online, www.discountschoolsupply.com (larger quantities)</t>
  </si>
  <si>
    <t>Dollar - $1 pack of 8 small jars; www.flowerfactory.com $2.89 pack of 4, 4oz ea.</t>
  </si>
  <si>
    <t>Straight straws will have less waste than flexible ones; variety of colors good, diameter &gt;= 0.25 in</t>
  </si>
  <si>
    <t>online www.flowerfactory.com, office supply stores. Dollar store tape did not stick well enough</t>
  </si>
  <si>
    <t>Garden or aquarium gravel</t>
  </si>
  <si>
    <t>Aquarium gravel comes in a variety of colors. Color choices often make engineering projects more exciting for students. Aquarium gravel is dust-free if allergies are a concern</t>
  </si>
  <si>
    <t>Fred Meyer, Petco</t>
  </si>
  <si>
    <t>Colors are good, not critical. Aquarium gravel/pebble is dust-free, garden product is cheaper</t>
  </si>
  <si>
    <t>Target</t>
  </si>
  <si>
    <t>Watering Can or bottle with sprinkle cap</t>
  </si>
  <si>
    <t>24 oz gladware-type soup/salad containers, 6-8 oz plastic drinking cups work; 1 per 3 students</t>
  </si>
  <si>
    <t>Heavyweight small paper plates or cardboard flats</t>
  </si>
  <si>
    <t>Dollar, variety</t>
  </si>
  <si>
    <t>These are the roofs for the houses, support the weights for strength testing</t>
  </si>
  <si>
    <t>Limestone, white. Crushed or pelitized preferred over powdered</t>
  </si>
  <si>
    <t>Try to find limestone that is granular or pelitized instead of powder.  No reasonable online source found.</t>
  </si>
  <si>
    <t>Alternative: Use electronic pH instruments if classroom has them.</t>
  </si>
  <si>
    <t>pH Test strips: EM pH Strips 2.0-9.0</t>
  </si>
  <si>
    <t>Black or Green Tea, box of 20 bags or more or 80 grams of loose tea</t>
  </si>
  <si>
    <t>Hammer and a few 10-penny nails; driver handle and bits in a variety of sizes</t>
  </si>
  <si>
    <t>Make sure it contains no dyes or artificial colors that will leach.</t>
  </si>
  <si>
    <t>3/4" PVC T couplings</t>
  </si>
  <si>
    <t>3/4" PVC T fitting, threaded in middle only aka "3/4" S x 3/4" S x 3/4" Fips"</t>
  </si>
  <si>
    <t>3/4" PVC male threaded adapters -- 3/4" S x 3/4" Mips</t>
  </si>
  <si>
    <t>3/4" PVC female threaded adapters -- 3/4" S x 3/4" Fips</t>
  </si>
  <si>
    <t>"MDF" Particle board (ramps) nominal 1x6x32 (actual 5.5" x 5/8" x 32: or 5.5" x 11/16" x 32")</t>
  </si>
  <si>
    <t>Buy 8-foot boards and have the store pre-cut them into thirds -- giving you 3 ramps of about 32 inches each.  Class of 30 needs 12 ramps.  Class of 40 needs 15. No reasonable online alternative found.</t>
  </si>
  <si>
    <t>Class size (N)</t>
  </si>
  <si>
    <t>Home Imp. Store or plumbingsuppply.com</t>
  </si>
  <si>
    <t>BELOW: Printable-format notes from this spreadsheet</t>
  </si>
  <si>
    <t>48" T12 bulb, 34 Watt Cool White</t>
  </si>
  <si>
    <t>See Light Fixture Construction Instructions</t>
  </si>
  <si>
    <t>Plumbers also use a primer but it's not needed as pipe assembly will not be subject to water pressure.</t>
  </si>
  <si>
    <t>http://www.legoeducation.us/eng/product/detail/2233?sku=W970614 -- sizes 5M or 7M also work</t>
  </si>
  <si>
    <t>Amazon or science store</t>
  </si>
  <si>
    <t>range 0 - 100g with tare feature; classroom science balance works; www.amazon.com/American-Weigh-Signature-AWS-100-Digital/dp/B0012LOQUQ/</t>
  </si>
  <si>
    <t>Ruler or Measuring Tape</t>
  </si>
  <si>
    <t xml:space="preserve">Dollar; Variety </t>
  </si>
  <si>
    <t>minimum 10 cm or 6", centimeter scale preferred</t>
  </si>
  <si>
    <t>Pennies or washers</t>
  </si>
  <si>
    <t>simulate passenger weight</t>
  </si>
  <si>
    <t>none</t>
  </si>
  <si>
    <t>Stop watch or  timer with count up from 0 function in hundredths</t>
  </si>
  <si>
    <t>Variety; science supply; PE supply</t>
  </si>
  <si>
    <t>many digital lab timers have hundredths; most stopwatches have hundredths</t>
  </si>
  <si>
    <t>Root stock seeds: Maxifort (preferred) or Beaufort</t>
  </si>
  <si>
    <t>online specialty</t>
  </si>
  <si>
    <t>e.g. Ed Hume Seeds "Siberia" -- http://store.valueweb.com/servlet/humeseeds/Detail?no=107 and most garden outlets; Botanical Interests "Red Siberian" -- http://www.botanicalinterests.com/products/view/0053/Tomato-Pole-Red-Siberian-HEIRLOOM-Seeds; packages contain 25-50 seeds</t>
  </si>
  <si>
    <t>Siberian Tomato Seeds (Heirloom, cold-hardy, short-season/early maturing; look for ~60 days from transplanting; indeterminate)</t>
  </si>
  <si>
    <t>"Tube" Grafting clips in a variety of sizes such as 1.7, 1.9, 2.3; use coffee stir straws to stake</t>
  </si>
  <si>
    <t>Variety; grocery; specialty</t>
  </si>
  <si>
    <t>http://www.flowerfactory.com/p-45323-stirrer-coffee-multi-500-count.aspx</t>
  </si>
  <si>
    <t>Fluorescent Light Bulbs</t>
  </si>
  <si>
    <t>Variety; specialty; home/hardware</t>
  </si>
  <si>
    <t>http://www.amazon.com/Feit-Electric-ESL40TN-Fluorescent-High-Wattage/dp/B001AZOV9K/ -- any 40 watt cool white fluorescent bulb should work for this lesson</t>
  </si>
  <si>
    <t>Light sockets with cords and plugs</t>
  </si>
  <si>
    <t>http://www.amazon.com/Amico-Switch-Holder-Socket-Power/dp/B00880DOKM/</t>
  </si>
  <si>
    <t>home/hardware; specialty</t>
  </si>
  <si>
    <t>http://www.amazon.com/Miltex-15-Disposable-Sterile-Scalpels/dp/B001EMKFBW</t>
  </si>
  <si>
    <t>Cardboard boxes</t>
  </si>
  <si>
    <t>To fit a tray of 50 plants with clearance for the light bulb, use a 22 x 18 x 12 inch box on its side; Uline -- http://www.uline.com/cls_04/Boxes-Corrugated?</t>
  </si>
  <si>
    <t>Seed Starter Greenhouse -- tray, peat starter pots, transparent plastic heat containment dome</t>
  </si>
  <si>
    <t>yes except pots</t>
  </si>
  <si>
    <t>home/hardware; garden, variety</t>
  </si>
  <si>
    <t>Seed Starter Growth Medium -- specially formulated for seed germination. If you use regular soil you need to mix it with peat or sand to make it lighter. Without ample soil space, seeds have lower germination rates</t>
  </si>
  <si>
    <t>Fertilizer, e.g. Osmocote slow release pellets</t>
  </si>
  <si>
    <t>http://www.homedepot.com/p/Jiffy-Mix-10-qt-Seed-Starting-Mix-5088/100349751#.UcuIm_msi-1 (Store only); assume each starter pot needs 1/2 C</t>
  </si>
  <si>
    <t>The MiracleGro used in the high school algae lesson has a different NPK ratio; use something optimized for seed germination or tomatoes; assume a few pellets per starter pot</t>
  </si>
  <si>
    <t>http://www.homedepot.com/p/AcuRite-Thermometer-with-Humidity-00339HDSB/100659742#.UcuLovmsi-1 -- tomatoes like a soil temperature around 80 F</t>
  </si>
  <si>
    <t>Bottled Distilled Water</t>
  </si>
  <si>
    <t>Wood Craft Sticks</t>
  </si>
  <si>
    <t>Styrofoam Cups</t>
  </si>
  <si>
    <t>Solo Cups</t>
  </si>
  <si>
    <t>Cloth (Varying Types)</t>
  </si>
  <si>
    <t>Felt</t>
  </si>
  <si>
    <t>Bubble Wrap</t>
  </si>
  <si>
    <t>Nitrile Gloves</t>
  </si>
  <si>
    <t>Paper (Varying Types)</t>
  </si>
  <si>
    <t>Aluminium Foil</t>
  </si>
  <si>
    <t>Food Grade KCl (Potassium Chloride Salt)</t>
  </si>
  <si>
    <t>$2.99 for 227g (8oz)</t>
  </si>
  <si>
    <t>$11 ea</t>
  </si>
  <si>
    <t>Lab grade is ideal but much more costly (~$30 for the same amount)</t>
  </si>
  <si>
    <t>Bottled water OK too</t>
  </si>
  <si>
    <t>Ordered at Nurnberg Scientific: 485-0009
Long, with no backing</t>
  </si>
  <si>
    <t>Grocery, Science supply co.</t>
  </si>
  <si>
    <t>Must hold around 250mL water</t>
  </si>
  <si>
    <t>Must hold around 250mL water
Stiffness is what's important</t>
  </si>
  <si>
    <t>Cut into 6"x6" squares</t>
  </si>
  <si>
    <t>Scotch tape works too</t>
  </si>
  <si>
    <t>$1 ea</t>
  </si>
  <si>
    <t>Dust Mask</t>
  </si>
  <si>
    <t>Ordered at Nurnberg Scientific: 440-0047</t>
  </si>
  <si>
    <t>Ordered at Nurnberg Scientific: 125-0101
Glass alternative ($3.83): 125-0005</t>
  </si>
  <si>
    <t>Ordered at Nurnberg Scientific: 285-0300
Large size fits most</t>
  </si>
  <si>
    <t>Grocery, Home Improvement, Science supply co.</t>
  </si>
  <si>
    <t>Office, Grocery</t>
  </si>
  <si>
    <t>Bought at Office Depot: 856657</t>
  </si>
  <si>
    <t>Ordered at Walmart: 000359711</t>
  </si>
  <si>
    <t>Ordered at Walmart: 550905940</t>
  </si>
  <si>
    <t>Budget Sheet for Frankenplants</t>
  </si>
  <si>
    <t>Total w/ Shipping</t>
  </si>
  <si>
    <t>Frankenplants</t>
  </si>
  <si>
    <t>Group Size</t>
  </si>
  <si>
    <t>Calorimeter (chemistry)</t>
  </si>
  <si>
    <t>*General Materials</t>
  </si>
  <si>
    <t>Fill in yellow-highlighted values</t>
  </si>
  <si>
    <t>Workshop Assumptions Worksheet</t>
  </si>
  <si>
    <t>Workshop Information</t>
  </si>
  <si>
    <t>Deployment Assumptions Worksheet</t>
  </si>
  <si>
    <t>Deployment in the classrooms</t>
  </si>
  <si>
    <t>Lesson/Cost</t>
  </si>
  <si>
    <t>Material Cost Summary Worksheet</t>
  </si>
  <si>
    <t>Workshop Costs</t>
  </si>
  <si>
    <t>Workshops</t>
  </si>
  <si>
    <t>Pea Gravel</t>
  </si>
  <si>
    <t>Lesson Worksheet: Toad's New Car (ES)</t>
  </si>
  <si>
    <t>Lesson Worksheet: Bricks For Pigs (ES)</t>
  </si>
  <si>
    <t>Lesson Worksheet: Bioswales (MS)</t>
  </si>
  <si>
    <t>Lesson Worksheet: Frankenplants (MS)</t>
  </si>
  <si>
    <t>Lesson Worksheet: The Ultimate Speed Challenge (MS)</t>
  </si>
  <si>
    <t>Lesson Worksheet: Calorimeters (HS)</t>
  </si>
  <si>
    <t>Lesson Worksheet: Littlefoot's Ride (HS)</t>
  </si>
  <si>
    <t>Lesson Worksheet: Biofuel From Algae (HS)</t>
  </si>
  <si>
    <t>Lesson Worksheet: Joanie Appleseed (ES)</t>
  </si>
  <si>
    <t>(NOTE:  The costs shown are estimates only.)</t>
  </si>
  <si>
    <r>
      <t>Items to purchase</t>
    </r>
    <r>
      <rPr>
        <sz val="10"/>
        <color theme="1"/>
        <rFont val="Times New Roman"/>
        <family val="1"/>
      </rPr>
      <t/>
    </r>
  </si>
  <si>
    <t>"MDF" Particle board</t>
  </si>
  <si>
    <t>Wooden craft sticks</t>
  </si>
  <si>
    <t>(Product ID: W970623)</t>
  </si>
  <si>
    <t>(Product ID W991327)</t>
  </si>
  <si>
    <t>LEGO 20-tooth black double conical wheels</t>
  </si>
  <si>
    <t>LEGO 12-tooth black double conical wheels</t>
  </si>
  <si>
    <t>Lego axles size 6M</t>
  </si>
  <si>
    <t>(Product ID W970614)
Sizes 5M or 7M will also work</t>
  </si>
  <si>
    <t>Home Improvement;
Hardware;
Some variety</t>
  </si>
  <si>
    <t>Craft;
Dollar;
Variety</t>
  </si>
  <si>
    <t>Dollar;
Craft</t>
  </si>
  <si>
    <t>These are the small wheels:
http://www.legoeducation.us/eng/product/12_tooth_black_double_conical_wheels/1320</t>
  </si>
  <si>
    <t>NOTE:  The costs shown are estimates only.</t>
  </si>
  <si>
    <r>
      <t xml:space="preserve">Item to Purchase
</t>
    </r>
    <r>
      <rPr>
        <sz val="10"/>
        <color theme="1"/>
        <rFont val="Times New Roman"/>
        <family val="1"/>
      </rPr>
      <t>(item it simulates)</t>
    </r>
  </si>
  <si>
    <t>Fake Flowers
(Apple Blossoms)</t>
  </si>
  <si>
    <t>Paper Towel Rolls
(Apple Tree Trunks)</t>
  </si>
  <si>
    <t>Glitter
(Pollen)</t>
  </si>
  <si>
    <t>Dixie Cups, 3 oz.
(Pistils)</t>
  </si>
  <si>
    <t>*Pipe Cleaners
aka Chenille Stems</t>
  </si>
  <si>
    <t>NOTE: The costs shown are estimates only.</t>
  </si>
  <si>
    <t>Item to purchase</t>
  </si>
  <si>
    <t>Net Workshop
Materials Cost</t>
  </si>
  <si>
    <t>Gross Workshop
Materials Costs</t>
  </si>
  <si>
    <r>
      <t>http://parkseed.com/jiffy-strips-and-jiffy-greenhouses/p/v1591/ -- http://www.amazon.com/Jiffy-5029-Starter-Greenhouse-50-Plant/dp/B0000DI83Y/</t>
    </r>
    <r>
      <rPr>
        <sz val="11"/>
        <color theme="10"/>
        <rFont val="Times New Roman"/>
        <family val="1"/>
      </rPr>
      <t xml:space="preserve"> -- Home Depot store only</t>
    </r>
  </si>
  <si>
    <t>Assumptions</t>
  </si>
  <si>
    <t>LEGO 20-tooth black double conical wheels (Product ID: W970623)</t>
  </si>
  <si>
    <t>$3.83 ea</t>
  </si>
  <si>
    <t>Ordered at Nurnberg Scientific: 125-0005</t>
  </si>
  <si>
    <t>100mL Beakers*</t>
  </si>
  <si>
    <t>Alochol-based Thermometer*</t>
  </si>
  <si>
    <t>Safety Goggles*</t>
  </si>
  <si>
    <t>Total*</t>
  </si>
  <si>
    <t>100mL Graduated Cylinder*</t>
  </si>
  <si>
    <t>3.00 per roll</t>
  </si>
  <si>
    <t>Budget Sheet for Calorimeter</t>
  </si>
  <si>
    <t xml:space="preserve">* Items marked with a "*" are left out of the totals for the cost of Classroom Deployment under the assumption that most high school chemistry classrooms would have these items or their equivalent. </t>
  </si>
  <si>
    <t>* Items marked with a "*" are left out of the totals for the cost of Classroom Deployment under the assumption that most high school chemistry classrooms would have these items or their equivalent.  If this is not true, please adjust the formulas in the Total row.  These items are included in the totals for the workshop because the workshop leader will probably want to purchase them to have them readily available.  If you can borrow these items instead of buying them for your workshops, please adjust the formulas accordingly.</t>
  </si>
  <si>
    <t>Day 1 of the workshops are the same regardless of grade level so we assume teachers of all grade levels will be together.</t>
  </si>
  <si>
    <t>Combined sessions</t>
  </si>
  <si>
    <t>Budget avg class size (N):</t>
  </si>
  <si>
    <t>Retail Costs</t>
  </si>
  <si>
    <t>Online Costs</t>
  </si>
  <si>
    <t>Classroom Deployment</t>
  </si>
  <si>
    <t>Unit Costs</t>
  </si>
  <si>
    <t>Average class size (N):</t>
  </si>
  <si>
    <t>Unit Cost</t>
  </si>
  <si>
    <t>Average class size (N)</t>
  </si>
  <si>
    <t>Online Costs: Class size of…</t>
  </si>
  <si>
    <t xml:space="preserve"> Retail Costs: Class size of…</t>
  </si>
  <si>
    <t>Other activities</t>
  </si>
  <si>
    <t>• Measurement spoon (or other small ml/oz measuring device)</t>
  </si>
  <si>
    <t>For each workshop</t>
  </si>
  <si>
    <t>Retail Cost</t>
  </si>
  <si>
    <t>Online Cost</t>
  </si>
  <si>
    <t>Annual Recurring Cost for deployment</t>
  </si>
  <si>
    <t>Costs for first-year deployment</t>
  </si>
  <si>
    <t>Aluminum foil</t>
  </si>
  <si>
    <t>Used to line light box to increase light received by plants</t>
  </si>
  <si>
    <t>Budget Sheet for Biofule from Algae</t>
  </si>
  <si>
    <t>Buy about 50 ft.</t>
  </si>
  <si>
    <t>• Hot pot (or other warm water source – optional for high school, shared)</t>
  </si>
  <si>
    <t>Annual Recurring Cost for Deployment for class size of N</t>
  </si>
  <si>
    <t>inexpensive kids straws</t>
  </si>
  <si>
    <t>Cost per package</t>
  </si>
  <si>
    <t>72</t>
  </si>
  <si>
    <t>www.officedepot.com</t>
  </si>
  <si>
    <t>150</t>
  </si>
  <si>
    <t>100</t>
  </si>
  <si>
    <t>500</t>
  </si>
  <si>
    <t>45</t>
  </si>
  <si>
    <t>Tiny</t>
  </si>
  <si>
    <t>10</t>
  </si>
  <si>
    <t>Package size</t>
  </si>
  <si>
    <t>3 x 1 ounce</t>
  </si>
  <si>
    <t>200</t>
  </si>
  <si>
    <t>0.75 oz</t>
  </si>
  <si>
    <t>Plan for 2 groups of 2 students (4 students) per "tree". A week or two before you do this lesson, ask students to bring in paper towel rolls.  You also might be able to collect these from the school janitor.  Can also make them from sheet of cardstock</t>
  </si>
  <si>
    <t/>
  </si>
  <si>
    <t xml:space="preserve">Buy at least two different colors so that pairs sharing a tree can distinguish "their" pollen  </t>
  </si>
  <si>
    <t>Buy glitter that has large, distinguishable pieces, in a dark color so that it can be easily seen and counted against the white flowers.</t>
  </si>
  <si>
    <t xml:space="preserve"> Online has various options, 75-150 count; www.flowerfactory.com; various sizes including coffee stirrers, tongue depressors, spoons could all work. Michaels has a “Woodsies” value set that contains 10 different kinds of wood sticks and spoons, 750 pcs total.</t>
  </si>
  <si>
    <t>Package Size</t>
  </si>
  <si>
    <t>Roll</t>
  </si>
  <si>
    <t xml:space="preserve"> 8 ft board that is 5 1/2 in. by 5/8 in. which will make 3 ramps</t>
  </si>
  <si>
    <t>25</t>
  </si>
  <si>
    <t>50</t>
  </si>
  <si>
    <t>50 lbs</t>
  </si>
  <si>
    <t>5 lbs</t>
  </si>
  <si>
    <t>15 lbs</t>
  </si>
  <si>
    <t>1</t>
  </si>
  <si>
    <t>5 llbs</t>
  </si>
  <si>
    <t>5 sq. ft.</t>
  </si>
  <si>
    <t>20 bags</t>
  </si>
  <si>
    <t>8 oz.</t>
  </si>
  <si>
    <t>Lemon Juice or vinegar</t>
  </si>
  <si>
    <t>10 qt.</t>
  </si>
  <si>
    <t>1.25 lb</t>
  </si>
  <si>
    <t>20 seeds</t>
  </si>
  <si>
    <t>30 sq ft</t>
  </si>
  <si>
    <t>Dissection scalpels</t>
  </si>
  <si>
    <t xml:space="preserve">3 ml Clear Gusset Poly Bags - 12X10X24 </t>
  </si>
  <si>
    <t>8 ft board that is 5 1/2 in. by 5/8 in. which will make 3 ramps</t>
  </si>
  <si>
    <t>180 ft. / roll</t>
  </si>
  <si>
    <t>Dollar store masking tape substandard, don't buy.  Blue tape is too expensive</t>
  </si>
  <si>
    <t>25 pieces</t>
  </si>
  <si>
    <t>50 pieces</t>
  </si>
  <si>
    <t>Online www.flowerfactory.com
large quantities www.discountschoolsupply.com</t>
  </si>
  <si>
    <t>Fabric or Variety</t>
  </si>
  <si>
    <t>9 sq ft.</t>
  </si>
  <si>
    <t>gallon</t>
  </si>
  <si>
    <t>50 sheets</t>
  </si>
  <si>
    <t>30 sq ft.</t>
  </si>
  <si>
    <t>Rubber Bands, size 64</t>
  </si>
  <si>
    <t>0.25 lb</t>
  </si>
  <si>
    <t>50 pair</t>
  </si>
  <si>
    <t>Variety</t>
  </si>
  <si>
    <t>Online has various options, 75-150 count; www.flowerfactory.com; various sizes including coffee stirrers, tongue depressors, spoons could all work. Michaels has a “Woodsies” value set that contains 10 different kinds of wood sticks and spoons, 750 pcs total.</t>
  </si>
  <si>
    <t>1 roll</t>
  </si>
  <si>
    <t>Grocery, variety</t>
  </si>
  <si>
    <t>Dollar Store tape not sticky enough but blue is too expensive.  Buy good quality white/yellow.</t>
  </si>
  <si>
    <t>Small container</t>
  </si>
  <si>
    <t>1 lb</t>
  </si>
  <si>
    <t>25 ft</t>
  </si>
  <si>
    <t>8 oz</t>
  </si>
  <si>
    <t>Parts to purchase if building low-cost light stand that doesn't use threaded connectors
(omit all threaded PVC pieces listed above)</t>
  </si>
  <si>
    <r>
      <t xml:space="preserve">For small quantities:
www.davids-garden-seeds.hostedbywebstore.com
www.amazon.com
For large quantities:
www.johnnyseeds.com/p-6895-maxifort-f1.aspx, 250 for $77.75 + $12.25 shipping (in Maine) </t>
    </r>
    <r>
      <rPr>
        <b/>
        <sz val="11"/>
        <color theme="1"/>
        <rFont val="Calibri"/>
        <family val="2"/>
        <scheme val="minor"/>
      </rPr>
      <t>or</t>
    </r>
    <r>
      <rPr>
        <sz val="11"/>
        <color theme="1"/>
        <rFont val="Calibri"/>
        <family val="2"/>
        <scheme val="minor"/>
      </rPr>
      <t xml:space="preserve"> 
www.paramountseeds.com/SeedVarieties/tabid/93/product/13/Default.aspx; http://chem-gro.com/cart/product_info.php?products_id=810</t>
    </r>
  </si>
  <si>
    <t>25 seeds</t>
  </si>
  <si>
    <t xml:space="preserve">For smaller quanities, buy Tomata Grafting Kits from http://betterheirlooms.com which include bag, clips, rootstock seeds, etc.
For large quanties buy 250 piece case at $84 with shipping from http://www.packandseal.com/c-1002-gusseted-poly-bags.aspx 
</t>
  </si>
  <si>
    <t xml:space="preserve">For small quantities, see suppliers of rootstock seeds above.
If you buy Tomato Grafting Kits (see bags below), you won't need to buy clips separately.
For large quantities:
http://www.neseed.com/Grafting-Supplies-TC1p7-Tomato-Eggplant-tube-clips-p/65215.htm
If you re-use them, wash them first.  </t>
  </si>
  <si>
    <t>Initial Classroom Deployment Costs</t>
  </si>
  <si>
    <t>Recurring Classroom Deployment Costs</t>
  </si>
  <si>
    <t>Costs for activities for teacher training workshops using values in Workshop Assumptions Sheet</t>
  </si>
  <si>
    <t>Lesson activity materials costs for class sizes of 30 and 40 and forecasted class size "N" from Deployment Assumptions Worksheet</t>
  </si>
  <si>
    <t>Chuggington Wooden Railway Elevated Track Pack (1 set will cover two groups)</t>
  </si>
  <si>
    <t>Maxim Enterprise Inc. Stone Bridge Set (1 per group)</t>
  </si>
  <si>
    <t>8" Straight Tracks (1 set will cover two groups)</t>
  </si>
  <si>
    <t>3.5" Curved Wooden Train Tracks (1 set will cover two groups)</t>
  </si>
  <si>
    <t>Orbrium Toys Cargo Train Car Set for Wooden Railway, 5-Piece (1 set will cover 2 groups)</t>
  </si>
  <si>
    <t>6+4+4</t>
  </si>
  <si>
    <t>Scale, e.g. American Weigh Scales AWS-1KG-BLK Signature Series Black Digital Pocket Scale, 1000 by 0.1</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</si>
</sst>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0_);\(0\)"/>
    <numFmt numFmtId="167" formatCode="_(* #,##0_);_(* \(#,##0\);_(* &quot;-&quot;??_);_(@_)"/>
    <numFmt numFmtId="168" formatCode="_(&quot;$&quot;* #,##0_);_(&quot;$&quot;* \(#,##0\);_(&quot;$&quot;* &quot;-&quot;??_);_(@_)"/>
    <numFmt numFmtId="169" formatCode="0.0"/>
    <numFmt numFmtId="170" formatCode="0.000"/>
  </numFmts>
  <fonts count="58" x14ac:knownFonts="1">
    <font>
      <sz val="11"/>
      <color theme="1"/>
      <name val="Calibri"/>
      <family val="2"/>
      <scheme val="minor"/>
    </font>
    <font>
      <sz val="10"/>
      <color theme="1"/>
      <name val="Times New Roman"/>
      <family val="1"/>
    </font>
    <font>
      <b/>
      <sz val="10"/>
      <color theme="1"/>
      <name val="Times New Roman"/>
      <family val="1"/>
    </font>
    <font>
      <sz val="11"/>
      <color theme="1"/>
      <name val="Times New Roman"/>
      <family val="1"/>
    </font>
    <font>
      <b/>
      <sz val="11"/>
      <color theme="1"/>
      <name val="Calibri"/>
      <family val="2"/>
      <scheme val="minor"/>
    </font>
    <font>
      <b/>
      <sz val="12"/>
      <color theme="1"/>
      <name val="Calibri"/>
      <family val="2"/>
      <scheme val="minor"/>
    </font>
    <font>
      <b/>
      <sz val="14"/>
      <color theme="1"/>
      <name val="Calibri"/>
      <family val="2"/>
      <scheme val="minor"/>
    </font>
    <font>
      <b/>
      <sz val="12"/>
      <color theme="1"/>
      <name val="Times New Roman"/>
      <family val="1"/>
    </font>
    <font>
      <u/>
      <sz val="11"/>
      <color theme="10"/>
      <name val="Calibri"/>
      <family val="2"/>
      <scheme val="minor"/>
    </font>
    <font>
      <sz val="11"/>
      <name val="Calibri"/>
      <family val="2"/>
      <scheme val="minor"/>
    </font>
    <font>
      <sz val="12"/>
      <color theme="1"/>
      <name val="Calibri"/>
      <family val="2"/>
      <scheme val="minor"/>
    </font>
    <font>
      <sz val="10"/>
      <color theme="1"/>
      <name val="Calibri"/>
      <family val="2"/>
      <scheme val="minor"/>
    </font>
    <font>
      <sz val="8"/>
      <color theme="1"/>
      <name val="Calibri"/>
      <family val="2"/>
      <scheme val="minor"/>
    </font>
    <font>
      <sz val="8"/>
      <name val="Calibri"/>
      <family val="2"/>
      <scheme val="minor"/>
    </font>
    <font>
      <b/>
      <i/>
      <sz val="11"/>
      <color theme="1"/>
      <name val="Calibri"/>
      <family val="2"/>
      <scheme val="minor"/>
    </font>
    <font>
      <i/>
      <sz val="11"/>
      <color theme="1"/>
      <name val="Calibri"/>
      <family val="2"/>
      <scheme val="minor"/>
    </font>
    <font>
      <i/>
      <sz val="11"/>
      <color rgb="FF7F7F7F"/>
      <name val="Calibri"/>
      <family val="2"/>
      <scheme val="minor"/>
    </font>
    <font>
      <u/>
      <sz val="11"/>
      <color theme="1"/>
      <name val="Calibri"/>
      <family val="2"/>
      <scheme val="minor"/>
    </font>
    <font>
      <sz val="11"/>
      <color theme="1"/>
      <name val="Calibri"/>
      <family val="2"/>
      <scheme val="minor"/>
    </font>
    <font>
      <b/>
      <sz val="14"/>
      <color theme="1"/>
      <name val="Calibri"/>
      <family val="2"/>
    </font>
    <font>
      <b/>
      <sz val="10"/>
      <color theme="1"/>
      <name val="Calibri"/>
      <family val="2"/>
      <scheme val="minor"/>
    </font>
    <font>
      <sz val="12"/>
      <color theme="1"/>
      <name val="Times New Roman"/>
      <family val="1"/>
    </font>
    <font>
      <sz val="12"/>
      <color rgb="FF141413"/>
      <name val="Times New Roman"/>
      <family val="1"/>
    </font>
    <font>
      <sz val="12"/>
      <color rgb="FF231F20"/>
      <name val="Times New Roman"/>
      <family val="1"/>
    </font>
    <font>
      <b/>
      <vertAlign val="subscript"/>
      <sz val="12"/>
      <color theme="1"/>
      <name val="Calibri"/>
      <family val="2"/>
      <scheme val="minor"/>
    </font>
    <font>
      <b/>
      <sz val="12"/>
      <color rgb="FF141413"/>
      <name val="Times New Roman"/>
      <family val="1"/>
    </font>
    <font>
      <b/>
      <i/>
      <sz val="12"/>
      <color theme="1"/>
      <name val="Calibri"/>
      <family val="2"/>
      <scheme val="minor"/>
    </font>
    <font>
      <b/>
      <sz val="18"/>
      <color theme="1"/>
      <name val="Calibri"/>
      <family val="2"/>
      <scheme val="minor"/>
    </font>
    <font>
      <b/>
      <sz val="16"/>
      <color theme="1"/>
      <name val="Calibri"/>
      <family val="2"/>
      <scheme val="minor"/>
    </font>
    <font>
      <i/>
      <sz val="12"/>
      <color theme="1"/>
      <name val="Times New Roman"/>
      <family val="1"/>
    </font>
    <font>
      <u/>
      <sz val="20"/>
      <color theme="1"/>
      <name val="Times New Roman"/>
      <family val="1"/>
    </font>
    <font>
      <i/>
      <sz val="11"/>
      <color theme="1"/>
      <name val="Times New Roman"/>
      <family val="1"/>
    </font>
    <font>
      <b/>
      <sz val="11"/>
      <color theme="1"/>
      <name val="Times New Roman"/>
      <family val="1"/>
    </font>
    <font>
      <b/>
      <i/>
      <sz val="11"/>
      <color theme="1"/>
      <name val="Times New Roman"/>
      <family val="1"/>
    </font>
    <font>
      <u/>
      <sz val="11"/>
      <color theme="10"/>
      <name val="Times New Roman"/>
      <family val="1"/>
    </font>
    <font>
      <sz val="11"/>
      <name val="Times New Roman"/>
      <family val="1"/>
    </font>
    <font>
      <sz val="14"/>
      <color theme="1"/>
      <name val="Times New Roman"/>
      <family val="1"/>
    </font>
    <font>
      <b/>
      <sz val="14"/>
      <color theme="1"/>
      <name val="Times New Roman"/>
      <family val="1"/>
    </font>
    <font>
      <b/>
      <sz val="20"/>
      <color theme="1"/>
      <name val="Calibri"/>
      <family val="2"/>
      <scheme val="minor"/>
    </font>
    <font>
      <i/>
      <sz val="10"/>
      <color theme="1"/>
      <name val="Calibri"/>
      <family val="2"/>
      <scheme val="minor"/>
    </font>
    <font>
      <sz val="20"/>
      <color theme="1"/>
      <name val="Calibri"/>
      <family val="2"/>
      <scheme val="minor"/>
    </font>
    <font>
      <sz val="16"/>
      <color theme="1"/>
      <name val="Calibri"/>
      <family val="2"/>
      <scheme val="minor"/>
    </font>
    <font>
      <sz val="11"/>
      <color theme="0" tint="-0.14999847407452621"/>
      <name val="Calibri"/>
      <family val="2"/>
      <scheme val="minor"/>
    </font>
    <font>
      <b/>
      <sz val="12"/>
      <color theme="0" tint="-0.14999847407452621"/>
      <name val="Calibri"/>
      <family val="2"/>
      <scheme val="minor"/>
    </font>
    <font>
      <b/>
      <sz val="16"/>
      <color theme="1"/>
      <name val="Times New Roman"/>
      <family val="1"/>
    </font>
    <font>
      <sz val="16"/>
      <color theme="1"/>
      <name val="Times New Roman"/>
      <family val="1"/>
    </font>
    <font>
      <u/>
      <sz val="11"/>
      <color theme="1"/>
      <name val="Times New Roman"/>
      <family val="1"/>
    </font>
    <font>
      <u/>
      <sz val="12"/>
      <color theme="1"/>
      <name val="Times New Roman"/>
      <family val="1"/>
    </font>
    <font>
      <b/>
      <i/>
      <sz val="14"/>
      <color theme="1"/>
      <name val="Calibri"/>
      <family val="2"/>
      <scheme val="minor"/>
    </font>
    <font>
      <b/>
      <i/>
      <sz val="12"/>
      <color theme="1"/>
      <name val="Times New Roman"/>
      <family val="1"/>
    </font>
    <font>
      <u/>
      <sz val="10"/>
      <color theme="10"/>
      <name val="Times New Roman"/>
      <family val="1"/>
    </font>
    <font>
      <b/>
      <i/>
      <sz val="10"/>
      <color theme="1"/>
      <name val="Times New Roman"/>
      <family val="1"/>
    </font>
    <font>
      <b/>
      <sz val="20"/>
      <color theme="1"/>
      <name val="Times New Roman"/>
      <family val="1"/>
    </font>
    <font>
      <sz val="20"/>
      <color theme="1"/>
      <name val="Times New Roman"/>
      <family val="1"/>
    </font>
    <font>
      <u/>
      <sz val="10"/>
      <color theme="1"/>
      <name val="Times New Roman"/>
      <family val="1"/>
    </font>
    <font>
      <sz val="11"/>
      <color theme="10"/>
      <name val="Times New Roman"/>
      <family val="1"/>
    </font>
    <font>
      <b/>
      <u/>
      <sz val="11"/>
      <color theme="1"/>
      <name val="Times New Roman"/>
      <family val="1"/>
    </font>
    <font>
      <b/>
      <i/>
      <sz val="14"/>
      <color theme="1"/>
      <name val="Times New Roman"/>
      <family val="1"/>
    </font>
  </fonts>
  <fills count="19">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0" tint="-0.249977111117893"/>
        <bgColor indexed="64"/>
      </patternFill>
    </fill>
    <fill>
      <patternFill patternType="solid">
        <fgColor theme="0" tint="-0.499984740745262"/>
        <bgColor indexed="64"/>
      </patternFill>
    </fill>
  </fills>
  <borders count="79">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style="thin">
        <color auto="1"/>
      </left>
      <right style="thin">
        <color auto="1"/>
      </right>
      <top/>
      <bottom style="thin">
        <color auto="1"/>
      </bottom>
      <diagonal/>
    </border>
    <border>
      <left/>
      <right style="medium">
        <color indexed="64"/>
      </right>
      <top style="thin">
        <color auto="1"/>
      </top>
      <bottom style="thin">
        <color auto="1"/>
      </bottom>
      <diagonal/>
    </border>
    <border>
      <left style="medium">
        <color auto="1"/>
      </left>
      <right style="medium">
        <color indexed="64"/>
      </right>
      <top style="thin">
        <color auto="1"/>
      </top>
      <bottom style="medium">
        <color indexed="64"/>
      </bottom>
      <diagonal/>
    </border>
    <border>
      <left/>
      <right style="thin">
        <color auto="1"/>
      </right>
      <top/>
      <bottom/>
      <diagonal/>
    </border>
    <border>
      <left/>
      <right style="thin">
        <color indexed="64"/>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indexed="64"/>
      </right>
      <top style="thin">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top/>
      <bottom style="medium">
        <color indexed="64"/>
      </bottom>
      <diagonal/>
    </border>
    <border>
      <left style="medium">
        <color indexed="64"/>
      </left>
      <right/>
      <top style="thin">
        <color auto="1"/>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bottom style="medium">
        <color indexed="64"/>
      </bottom>
      <diagonal/>
    </border>
    <border>
      <left style="medium">
        <color indexed="64"/>
      </left>
      <right style="thin">
        <color auto="1"/>
      </right>
      <top style="medium">
        <color indexed="64"/>
      </top>
      <bottom style="thin">
        <color indexed="64"/>
      </bottom>
      <diagonal/>
    </border>
    <border>
      <left/>
      <right style="medium">
        <color indexed="64"/>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auto="1"/>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top style="medium">
        <color indexed="64"/>
      </top>
      <bottom style="medium">
        <color indexed="64"/>
      </bottom>
      <diagonal/>
    </border>
    <border>
      <left style="medium">
        <color indexed="64"/>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thin">
        <color auto="1"/>
      </bottom>
      <diagonal/>
    </border>
    <border>
      <left/>
      <right style="medium">
        <color indexed="64"/>
      </right>
      <top/>
      <bottom style="thin">
        <color auto="1"/>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auto="1"/>
      </left>
      <right style="medium">
        <color indexed="64"/>
      </right>
      <top style="thin">
        <color auto="1"/>
      </top>
      <bottom/>
      <diagonal/>
    </border>
    <border>
      <left style="thin">
        <color auto="1"/>
      </left>
      <right style="medium">
        <color indexed="64"/>
      </right>
      <top/>
      <bottom/>
      <diagonal/>
    </border>
    <border>
      <left style="thin">
        <color auto="1"/>
      </left>
      <right style="thin">
        <color auto="1"/>
      </right>
      <top style="medium">
        <color indexed="64"/>
      </top>
      <bottom/>
      <diagonal/>
    </border>
    <border>
      <left/>
      <right style="thin">
        <color indexed="64"/>
      </right>
      <top style="medium">
        <color indexed="64"/>
      </top>
      <bottom/>
      <diagonal/>
    </border>
  </borders>
  <cellStyleXfs count="5">
    <xf numFmtId="0" fontId="0" fillId="0" borderId="0"/>
    <xf numFmtId="0" fontId="8" fillId="0" borderId="0" applyNumberFormat="0" applyFill="0" applyBorder="0" applyAlignment="0" applyProtection="0"/>
    <xf numFmtId="0" fontId="16" fillId="0" borderId="0" applyNumberFormat="0" applyFill="0" applyBorder="0" applyAlignment="0" applyProtection="0"/>
    <xf numFmtId="44" fontId="18" fillId="0" borderId="0" applyFont="0" applyFill="0" applyBorder="0" applyAlignment="0" applyProtection="0"/>
    <xf numFmtId="43" fontId="18" fillId="0" borderId="0" applyFont="0" applyFill="0" applyBorder="0" applyAlignment="0" applyProtection="0"/>
  </cellStyleXfs>
  <cellXfs count="1885">
    <xf numFmtId="0" fontId="0" fillId="0" borderId="0" xfId="0"/>
    <xf numFmtId="0" fontId="0" fillId="0" borderId="0" xfId="0" applyAlignment="1">
      <alignment wrapText="1"/>
    </xf>
    <xf numFmtId="164" fontId="0" fillId="0" borderId="0" xfId="0" applyNumberFormat="1" applyAlignment="1">
      <alignment wrapText="1"/>
    </xf>
    <xf numFmtId="4" fontId="0" fillId="0" borderId="0" xfId="0" applyNumberFormat="1" applyAlignment="1">
      <alignment wrapText="1"/>
    </xf>
    <xf numFmtId="165" fontId="0" fillId="0" borderId="0" xfId="0" applyNumberFormat="1"/>
    <xf numFmtId="0" fontId="0" fillId="0" borderId="2" xfId="0" applyBorder="1" applyAlignment="1">
      <alignment wrapText="1"/>
    </xf>
    <xf numFmtId="0" fontId="5" fillId="0" borderId="0" xfId="0" applyFont="1"/>
    <xf numFmtId="0" fontId="6" fillId="0" borderId="0" xfId="0" applyFont="1"/>
    <xf numFmtId="4" fontId="4" fillId="0" borderId="0" xfId="0" applyNumberFormat="1" applyFont="1" applyAlignment="1">
      <alignment wrapText="1"/>
    </xf>
    <xf numFmtId="0" fontId="4" fillId="0" borderId="0" xfId="0" applyFont="1" applyAlignment="1">
      <alignment wrapText="1"/>
    </xf>
    <xf numFmtId="0" fontId="0" fillId="0" borderId="2" xfId="0" applyBorder="1" applyAlignment="1">
      <alignment horizontal="center" vertical="center" wrapText="1"/>
    </xf>
    <xf numFmtId="0" fontId="0" fillId="0" borderId="0" xfId="0" applyNumberFormat="1" applyAlignment="1">
      <alignment horizontal="center" wrapText="1"/>
    </xf>
    <xf numFmtId="165" fontId="5" fillId="0" borderId="0" xfId="0" applyNumberFormat="1" applyFont="1"/>
    <xf numFmtId="4" fontId="0" fillId="0" borderId="0" xfId="0" applyNumberFormat="1" applyBorder="1" applyAlignment="1">
      <alignment wrapText="1"/>
    </xf>
    <xf numFmtId="3" fontId="0" fillId="0" borderId="0" xfId="0" applyNumberFormat="1"/>
    <xf numFmtId="0" fontId="4" fillId="0" borderId="0" xfId="0" applyFont="1"/>
    <xf numFmtId="0" fontId="5" fillId="0" borderId="0" xfId="0" applyFont="1" applyAlignment="1"/>
    <xf numFmtId="0" fontId="0" fillId="0" borderId="5" xfId="0" applyBorder="1"/>
    <xf numFmtId="0" fontId="0" fillId="0" borderId="6" xfId="0" applyBorder="1"/>
    <xf numFmtId="0" fontId="0" fillId="0" borderId="7" xfId="0" applyBorder="1"/>
    <xf numFmtId="0" fontId="0" fillId="0" borderId="0" xfId="0" applyBorder="1"/>
    <xf numFmtId="165" fontId="0" fillId="0" borderId="0" xfId="0" applyNumberFormat="1" applyBorder="1"/>
    <xf numFmtId="0" fontId="0" fillId="0" borderId="8" xfId="0" applyBorder="1"/>
    <xf numFmtId="0" fontId="0" fillId="0" borderId="9" xfId="0" applyBorder="1"/>
    <xf numFmtId="0" fontId="0" fillId="0" borderId="0" xfId="0" applyFill="1" applyBorder="1"/>
    <xf numFmtId="0" fontId="0" fillId="0" borderId="0" xfId="0" applyAlignment="1">
      <alignment horizontal="right" wrapText="1"/>
    </xf>
    <xf numFmtId="165" fontId="0" fillId="0" borderId="0" xfId="0" applyNumberFormat="1" applyAlignment="1">
      <alignment horizontal="right" wrapText="1"/>
    </xf>
    <xf numFmtId="0" fontId="0" fillId="0" borderId="0" xfId="0" applyFill="1" applyAlignment="1">
      <alignment wrapText="1"/>
    </xf>
    <xf numFmtId="165" fontId="0" fillId="0" borderId="2" xfId="0" applyNumberFormat="1" applyBorder="1"/>
    <xf numFmtId="0" fontId="0" fillId="0" borderId="0" xfId="0" applyFill="1"/>
    <xf numFmtId="0" fontId="0" fillId="2" borderId="2" xfId="0" applyFill="1" applyBorder="1"/>
    <xf numFmtId="165" fontId="0" fillId="2" borderId="2" xfId="0" applyNumberFormat="1" applyFill="1" applyBorder="1"/>
    <xf numFmtId="0" fontId="4" fillId="0" borderId="0" xfId="0" applyFont="1" applyFill="1" applyBorder="1"/>
    <xf numFmtId="3" fontId="0" fillId="3" borderId="2" xfId="0" applyNumberFormat="1" applyFill="1" applyBorder="1"/>
    <xf numFmtId="0" fontId="5" fillId="0" borderId="2" xfId="0" applyFont="1" applyBorder="1" applyAlignment="1">
      <alignment wrapText="1"/>
    </xf>
    <xf numFmtId="0" fontId="0" fillId="0" borderId="2" xfId="0" applyBorder="1" applyAlignment="1">
      <alignment horizontal="right" wrapText="1"/>
    </xf>
    <xf numFmtId="165" fontId="0" fillId="0" borderId="2" xfId="0" applyNumberFormat="1" applyBorder="1" applyAlignment="1">
      <alignment horizontal="right" wrapText="1"/>
    </xf>
    <xf numFmtId="0" fontId="0" fillId="0" borderId="2" xfId="0" applyBorder="1"/>
    <xf numFmtId="3" fontId="0" fillId="0" borderId="2" xfId="0" applyNumberFormat="1" applyFill="1" applyBorder="1"/>
    <xf numFmtId="0" fontId="0" fillId="0" borderId="0" xfId="0" applyFill="1" applyBorder="1" applyAlignment="1">
      <alignment horizontal="left"/>
    </xf>
    <xf numFmtId="3" fontId="0" fillId="0" borderId="2" xfId="0" applyNumberFormat="1" applyBorder="1" applyAlignment="1">
      <alignment wrapText="1"/>
    </xf>
    <xf numFmtId="3" fontId="0" fillId="0" borderId="2" xfId="0" applyNumberFormat="1" applyBorder="1"/>
    <xf numFmtId="3" fontId="0" fillId="0" borderId="1" xfId="0" applyNumberFormat="1" applyFill="1" applyBorder="1" applyAlignment="1">
      <alignment wrapText="1"/>
    </xf>
    <xf numFmtId="3" fontId="0" fillId="0" borderId="3" xfId="0" applyNumberFormat="1" applyBorder="1" applyAlignment="1">
      <alignment wrapText="1"/>
    </xf>
    <xf numFmtId="3" fontId="0" fillId="4" borderId="1" xfId="0" applyNumberFormat="1" applyFill="1" applyBorder="1"/>
    <xf numFmtId="3" fontId="0" fillId="3" borderId="3" xfId="0" applyNumberFormat="1" applyFill="1" applyBorder="1"/>
    <xf numFmtId="3" fontId="0" fillId="3" borderId="1" xfId="0" applyNumberFormat="1" applyFill="1" applyBorder="1"/>
    <xf numFmtId="3" fontId="0" fillId="0" borderId="1" xfId="0" applyNumberFormat="1" applyBorder="1"/>
    <xf numFmtId="3" fontId="0" fillId="0" borderId="3" xfId="0" applyNumberFormat="1" applyBorder="1"/>
    <xf numFmtId="3" fontId="0" fillId="0" borderId="1" xfId="0" applyNumberFormat="1" applyFill="1" applyBorder="1"/>
    <xf numFmtId="3" fontId="0" fillId="0" borderId="3" xfId="0" applyNumberFormat="1" applyFill="1" applyBorder="1"/>
    <xf numFmtId="3" fontId="0" fillId="0" borderId="1" xfId="0" applyNumberFormat="1" applyBorder="1" applyAlignment="1">
      <alignment wrapText="1"/>
    </xf>
    <xf numFmtId="3" fontId="0" fillId="2" borderId="1" xfId="0" applyNumberFormat="1" applyFill="1" applyBorder="1"/>
    <xf numFmtId="3" fontId="0" fillId="4" borderId="3" xfId="0" applyNumberFormat="1" applyFill="1" applyBorder="1"/>
    <xf numFmtId="0" fontId="0" fillId="0" borderId="3" xfId="0" applyBorder="1"/>
    <xf numFmtId="3" fontId="0" fillId="3" borderId="4" xfId="0" applyNumberFormat="1" applyFill="1" applyBorder="1"/>
    <xf numFmtId="165" fontId="0" fillId="0" borderId="7" xfId="0" applyNumberFormat="1" applyBorder="1"/>
    <xf numFmtId="0" fontId="0" fillId="0" borderId="2" xfId="0" applyBorder="1" applyAlignment="1">
      <alignment horizontal="left" indent="1"/>
    </xf>
    <xf numFmtId="0" fontId="4" fillId="0" borderId="2" xfId="0" applyFont="1" applyBorder="1" applyAlignment="1">
      <alignment horizontal="right" wrapText="1"/>
    </xf>
    <xf numFmtId="0" fontId="5" fillId="0" borderId="2" xfId="0" applyFont="1" applyBorder="1"/>
    <xf numFmtId="165" fontId="0" fillId="0" borderId="2" xfId="0" applyNumberFormat="1" applyBorder="1" applyAlignment="1">
      <alignment wrapText="1"/>
    </xf>
    <xf numFmtId="0" fontId="10" fillId="0" borderId="2" xfId="0" applyFont="1" applyBorder="1" applyAlignment="1">
      <alignment horizontal="left" wrapText="1"/>
    </xf>
    <xf numFmtId="0" fontId="0" fillId="0" borderId="2" xfId="0" applyFill="1" applyBorder="1" applyAlignment="1">
      <alignment horizontal="left" wrapText="1"/>
    </xf>
    <xf numFmtId="0" fontId="11" fillId="0" borderId="2" xfId="0" applyFont="1" applyBorder="1" applyAlignment="1">
      <alignment horizontal="center" vertical="center" wrapText="1"/>
    </xf>
    <xf numFmtId="165" fontId="9" fillId="0" borderId="2" xfId="0" applyNumberFormat="1" applyFont="1" applyBorder="1" applyAlignment="1">
      <alignment horizontal="right" wrapText="1"/>
    </xf>
    <xf numFmtId="165" fontId="0" fillId="0" borderId="0" xfId="0" applyNumberFormat="1" applyFill="1"/>
    <xf numFmtId="3" fontId="0" fillId="3" borderId="16" xfId="0" applyNumberFormat="1" applyFill="1" applyBorder="1"/>
    <xf numFmtId="0" fontId="0" fillId="0" borderId="5" xfId="0" applyBorder="1" applyAlignment="1">
      <alignment wrapText="1"/>
    </xf>
    <xf numFmtId="3" fontId="0" fillId="0" borderId="12" xfId="0" applyNumberFormat="1" applyFill="1" applyBorder="1"/>
    <xf numFmtId="3" fontId="0" fillId="0" borderId="15" xfId="0" applyNumberFormat="1" applyFill="1" applyBorder="1"/>
    <xf numFmtId="0" fontId="0" fillId="0" borderId="2" xfId="0" applyBorder="1" applyAlignment="1">
      <alignment horizontal="left" indent="1"/>
    </xf>
    <xf numFmtId="0" fontId="4" fillId="0" borderId="2" xfId="0" applyFont="1" applyFill="1" applyBorder="1"/>
    <xf numFmtId="0" fontId="4" fillId="0" borderId="2" xfId="0" applyFont="1" applyFill="1" applyBorder="1" applyAlignment="1">
      <alignment horizontal="left" indent="1"/>
    </xf>
    <xf numFmtId="0" fontId="0" fillId="0" borderId="2" xfId="0" applyFill="1" applyBorder="1" applyAlignment="1">
      <alignment horizontal="left" indent="1"/>
    </xf>
    <xf numFmtId="165" fontId="0" fillId="0" borderId="2" xfId="0" applyNumberFormat="1" applyBorder="1" applyAlignment="1">
      <alignment horizontal="left" indent="1"/>
    </xf>
    <xf numFmtId="0" fontId="4" fillId="0" borderId="2" xfId="0" applyFont="1" applyFill="1" applyBorder="1" applyAlignment="1">
      <alignment horizontal="left" vertical="top" wrapText="1" indent="1"/>
    </xf>
    <xf numFmtId="0" fontId="0" fillId="0" borderId="2" xfId="0" applyFill="1" applyBorder="1"/>
    <xf numFmtId="165" fontId="0" fillId="2" borderId="2" xfId="0" applyNumberFormat="1" applyFill="1" applyBorder="1" applyAlignment="1">
      <alignment horizontal="left"/>
    </xf>
    <xf numFmtId="165" fontId="0" fillId="0" borderId="10" xfId="0" applyNumberFormat="1" applyBorder="1"/>
    <xf numFmtId="0" fontId="5" fillId="0" borderId="10" xfId="0"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xf>
    <xf numFmtId="0" fontId="0" fillId="4" borderId="2" xfId="0" applyFill="1" applyBorder="1" applyAlignment="1">
      <alignment horizontal="left"/>
    </xf>
    <xf numFmtId="0" fontId="0" fillId="0" borderId="10" xfId="0" applyBorder="1"/>
    <xf numFmtId="165" fontId="0" fillId="0" borderId="10" xfId="0" applyNumberFormat="1" applyBorder="1" applyAlignment="1">
      <alignment horizontal="left" wrapText="1"/>
    </xf>
    <xf numFmtId="0" fontId="0" fillId="0" borderId="10" xfId="0" applyBorder="1" applyAlignment="1">
      <alignment wrapText="1"/>
    </xf>
    <xf numFmtId="0" fontId="0" fillId="0" borderId="10" xfId="0" applyFill="1" applyBorder="1" applyAlignment="1">
      <alignment wrapText="1"/>
    </xf>
    <xf numFmtId="0" fontId="9" fillId="0" borderId="10" xfId="0" applyFont="1" applyFill="1" applyBorder="1" applyAlignment="1">
      <alignment wrapText="1"/>
    </xf>
    <xf numFmtId="0" fontId="0" fillId="0" borderId="10" xfId="0" applyBorder="1" applyAlignment="1">
      <alignment horizontal="left" indent="1"/>
    </xf>
    <xf numFmtId="0" fontId="12" fillId="0" borderId="10" xfId="0" applyFont="1" applyBorder="1" applyAlignment="1">
      <alignment wrapText="1"/>
    </xf>
    <xf numFmtId="0" fontId="4" fillId="0" borderId="10" xfId="0" applyFont="1" applyBorder="1" applyAlignment="1">
      <alignment wrapText="1"/>
    </xf>
    <xf numFmtId="3" fontId="4" fillId="0" borderId="2" xfId="0" applyNumberFormat="1" applyFont="1" applyFill="1" applyBorder="1" applyAlignment="1">
      <alignment horizontal="right" wrapText="1"/>
    </xf>
    <xf numFmtId="3" fontId="4" fillId="0" borderId="2" xfId="0" applyNumberFormat="1" applyFont="1" applyBorder="1" applyAlignment="1">
      <alignment horizontal="right" wrapText="1"/>
    </xf>
    <xf numFmtId="0" fontId="4" fillId="0" borderId="2" xfId="0" applyFont="1" applyBorder="1" applyAlignment="1"/>
    <xf numFmtId="164" fontId="0" fillId="0" borderId="0" xfId="0" applyNumberFormat="1" applyAlignment="1">
      <alignment horizontal="center" wrapText="1"/>
    </xf>
    <xf numFmtId="0" fontId="4" fillId="0" borderId="0" xfId="0" applyFont="1" applyBorder="1" applyAlignment="1">
      <alignment wrapText="1"/>
    </xf>
    <xf numFmtId="0" fontId="15" fillId="0" borderId="0" xfId="0" applyFont="1"/>
    <xf numFmtId="0" fontId="15" fillId="2" borderId="0" xfId="0" applyFont="1" applyFill="1"/>
    <xf numFmtId="0" fontId="0" fillId="2" borderId="0" xfId="0" applyFill="1"/>
    <xf numFmtId="164" fontId="0" fillId="0" borderId="0" xfId="0" applyNumberFormat="1" applyFill="1" applyAlignment="1">
      <alignment horizontal="center" wrapText="1"/>
    </xf>
    <xf numFmtId="164" fontId="0" fillId="0" borderId="0" xfId="0" applyNumberFormat="1" applyFill="1" applyAlignment="1">
      <alignment wrapText="1"/>
    </xf>
    <xf numFmtId="4" fontId="0" fillId="0" borderId="0" xfId="0" applyNumberFormat="1" applyFill="1" applyAlignment="1">
      <alignment wrapText="1"/>
    </xf>
    <xf numFmtId="4" fontId="0" fillId="0" borderId="2" xfId="0" applyNumberFormat="1" applyFill="1" applyBorder="1" applyAlignment="1">
      <alignment wrapText="1"/>
    </xf>
    <xf numFmtId="3" fontId="0" fillId="0" borderId="2" xfId="0" applyNumberFormat="1" applyFill="1" applyBorder="1" applyAlignment="1">
      <alignment horizontal="center" vertical="center" wrapText="1"/>
    </xf>
    <xf numFmtId="165" fontId="4" fillId="0" borderId="0" xfId="0" applyNumberFormat="1" applyFont="1" applyAlignment="1">
      <alignment wrapText="1"/>
    </xf>
    <xf numFmtId="0" fontId="9" fillId="0" borderId="2" xfId="0" applyFont="1" applyBorder="1" applyAlignment="1">
      <alignment horizontal="right" wrapText="1"/>
    </xf>
    <xf numFmtId="0" fontId="4" fillId="0" borderId="2" xfId="0" applyFont="1" applyBorder="1" applyAlignment="1">
      <alignment horizontal="center" vertical="center" wrapText="1"/>
    </xf>
    <xf numFmtId="0" fontId="17" fillId="0" borderId="0" xfId="0" applyFont="1"/>
    <xf numFmtId="0" fontId="0" fillId="0" borderId="2" xfId="0" applyBorder="1" applyAlignment="1">
      <alignment horizontal="left" wrapText="1" indent="1"/>
    </xf>
    <xf numFmtId="4" fontId="4" fillId="0" borderId="2" xfId="0" applyNumberFormat="1" applyFont="1" applyFill="1" applyBorder="1" applyAlignment="1">
      <alignment horizontal="right" wrapText="1"/>
    </xf>
    <xf numFmtId="4" fontId="4" fillId="0" borderId="2" xfId="0" applyNumberFormat="1" applyFont="1" applyBorder="1" applyAlignment="1">
      <alignment horizontal="right" wrapText="1"/>
    </xf>
    <xf numFmtId="0" fontId="17" fillId="0" borderId="2" xfId="0" applyFont="1" applyBorder="1"/>
    <xf numFmtId="0" fontId="4" fillId="0" borderId="2" xfId="0" applyFont="1" applyBorder="1" applyAlignment="1">
      <alignment horizontal="right" vertical="center"/>
    </xf>
    <xf numFmtId="0" fontId="4" fillId="0" borderId="2" xfId="0" applyFont="1" applyBorder="1" applyAlignment="1">
      <alignment horizontal="center" vertical="center"/>
    </xf>
    <xf numFmtId="0" fontId="7" fillId="0" borderId="2" xfId="0" applyFont="1" applyBorder="1" applyAlignment="1">
      <alignment horizontal="left"/>
    </xf>
    <xf numFmtId="0" fontId="4" fillId="0" borderId="2" xfId="0" applyFont="1" applyBorder="1" applyAlignment="1">
      <alignment horizontal="right"/>
    </xf>
    <xf numFmtId="0" fontId="22" fillId="0" borderId="2" xfId="0" applyFont="1" applyBorder="1" applyAlignment="1">
      <alignment horizontal="left" indent="2"/>
    </xf>
    <xf numFmtId="44" fontId="0" fillId="0" borderId="2" xfId="3" applyFont="1" applyBorder="1"/>
    <xf numFmtId="167" fontId="0" fillId="0" borderId="2" xfId="4" applyNumberFormat="1" applyFont="1" applyBorder="1"/>
    <xf numFmtId="44" fontId="0" fillId="0" borderId="2" xfId="0" applyNumberFormat="1" applyBorder="1"/>
    <xf numFmtId="0" fontId="23" fillId="0" borderId="2" xfId="0" applyFont="1" applyBorder="1" applyAlignment="1">
      <alignment horizontal="left" indent="2"/>
    </xf>
    <xf numFmtId="0" fontId="25" fillId="0" borderId="2" xfId="0" applyFont="1" applyBorder="1" applyAlignment="1">
      <alignment horizontal="left" indent="1"/>
    </xf>
    <xf numFmtId="4" fontId="4" fillId="0" borderId="2" xfId="0" applyNumberFormat="1"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167" fontId="0" fillId="0" borderId="2" xfId="0" applyNumberFormat="1" applyBorder="1"/>
    <xf numFmtId="44" fontId="0" fillId="0" borderId="14" xfId="3" applyFont="1" applyBorder="1"/>
    <xf numFmtId="168" fontId="9" fillId="0" borderId="2" xfId="0" applyNumberFormat="1" applyFont="1" applyFill="1" applyBorder="1" applyAlignment="1">
      <alignment horizontal="right" wrapText="1"/>
    </xf>
    <xf numFmtId="0" fontId="0" fillId="0" borderId="2" xfId="0" applyBorder="1" applyAlignment="1"/>
    <xf numFmtId="165" fontId="0" fillId="0" borderId="2" xfId="0" applyNumberFormat="1" applyBorder="1" applyAlignment="1">
      <alignment horizontal="right"/>
    </xf>
    <xf numFmtId="0" fontId="0" fillId="2" borderId="14" xfId="0" applyFill="1" applyBorder="1"/>
    <xf numFmtId="165" fontId="0" fillId="0" borderId="14" xfId="0" applyNumberFormat="1" applyBorder="1"/>
    <xf numFmtId="165" fontId="0" fillId="0" borderId="8" xfId="0" applyNumberFormat="1" applyBorder="1"/>
    <xf numFmtId="1" fontId="14" fillId="0" borderId="2" xfId="0" applyNumberFormat="1" applyFont="1" applyBorder="1" applyAlignment="1">
      <alignment horizontal="center" vertical="center" wrapText="1"/>
    </xf>
    <xf numFmtId="167" fontId="0" fillId="2" borderId="2" xfId="4" applyNumberFormat="1" applyFont="1" applyFill="1" applyBorder="1"/>
    <xf numFmtId="44" fontId="0" fillId="0" borderId="14" xfId="0" applyNumberFormat="1" applyBorder="1"/>
    <xf numFmtId="165" fontId="0" fillId="0" borderId="2" xfId="0" applyNumberFormat="1" applyFill="1" applyBorder="1" applyAlignment="1">
      <alignment horizontal="right" wrapText="1"/>
    </xf>
    <xf numFmtId="0" fontId="0" fillId="0" borderId="0" xfId="0" applyAlignment="1"/>
    <xf numFmtId="0" fontId="4" fillId="0" borderId="0" xfId="0" applyFont="1" applyAlignment="1">
      <alignment horizontal="center"/>
    </xf>
    <xf numFmtId="0" fontId="0" fillId="0" borderId="0" xfId="0" quotePrefix="1"/>
    <xf numFmtId="3" fontId="0" fillId="0" borderId="0" xfId="0" quotePrefix="1" applyNumberFormat="1"/>
    <xf numFmtId="0" fontId="0" fillId="3" borderId="0" xfId="0" applyFill="1"/>
    <xf numFmtId="0" fontId="0" fillId="3" borderId="0" xfId="0" quotePrefix="1" applyFill="1"/>
    <xf numFmtId="3" fontId="0" fillId="3" borderId="0" xfId="0" quotePrefix="1" applyNumberFormat="1" applyFill="1"/>
    <xf numFmtId="3" fontId="0" fillId="3" borderId="0" xfId="0" applyNumberFormat="1" applyFill="1"/>
    <xf numFmtId="0" fontId="1" fillId="3" borderId="20" xfId="0" applyFont="1" applyFill="1" applyBorder="1" applyAlignment="1">
      <alignment vertical="center" wrapText="1"/>
    </xf>
    <xf numFmtId="0" fontId="1" fillId="3" borderId="0" xfId="0" applyFont="1" applyFill="1" applyBorder="1" applyAlignment="1">
      <alignment vertical="center" wrapText="1"/>
    </xf>
    <xf numFmtId="0" fontId="4" fillId="0" borderId="0" xfId="0" applyFont="1" applyAlignment="1">
      <alignment horizontal="center"/>
    </xf>
    <xf numFmtId="0" fontId="0" fillId="0" borderId="0" xfId="0" applyNumberFormat="1" applyAlignment="1">
      <alignment wrapText="1"/>
    </xf>
    <xf numFmtId="4" fontId="27" fillId="0" borderId="0" xfId="0" applyNumberFormat="1" applyFont="1" applyAlignment="1"/>
    <xf numFmtId="1" fontId="0" fillId="0" borderId="0" xfId="0" applyNumberFormat="1" applyAlignment="1">
      <alignment wrapText="1"/>
    </xf>
    <xf numFmtId="164" fontId="0" fillId="0" borderId="0" xfId="0" applyNumberFormat="1" applyBorder="1" applyAlignment="1">
      <alignment horizontal="center" vertical="center" wrapText="1"/>
    </xf>
    <xf numFmtId="4" fontId="28" fillId="0" borderId="24" xfId="0" applyNumberFormat="1" applyFont="1" applyBorder="1" applyAlignment="1">
      <alignment horizontal="left" vertical="center" wrapText="1"/>
    </xf>
    <xf numFmtId="1" fontId="28" fillId="0" borderId="24" xfId="0" applyNumberFormat="1" applyFont="1" applyBorder="1" applyAlignment="1">
      <alignment horizontal="center" vertical="center" wrapText="1"/>
    </xf>
    <xf numFmtId="164" fontId="0" fillId="0" borderId="2" xfId="0" applyNumberFormat="1" applyBorder="1" applyAlignment="1">
      <alignment horizontal="center" vertical="center" wrapText="1"/>
    </xf>
    <xf numFmtId="164" fontId="0" fillId="0" borderId="3" xfId="0" applyNumberFormat="1" applyBorder="1" applyAlignment="1">
      <alignment horizontal="center" vertical="center" wrapText="1"/>
    </xf>
    <xf numFmtId="4" fontId="28" fillId="0" borderId="32" xfId="0" applyNumberFormat="1" applyFont="1" applyBorder="1" applyAlignment="1">
      <alignment horizontal="left" vertical="center" wrapText="1"/>
    </xf>
    <xf numFmtId="164" fontId="28" fillId="0" borderId="33" xfId="0" applyNumberFormat="1" applyFont="1" applyBorder="1" applyAlignment="1">
      <alignment horizontal="center" vertical="center" wrapText="1"/>
    </xf>
    <xf numFmtId="164" fontId="28" fillId="0" borderId="34" xfId="0" applyNumberFormat="1" applyFont="1" applyBorder="1" applyAlignment="1">
      <alignment horizontal="center" vertical="center" wrapText="1"/>
    </xf>
    <xf numFmtId="164" fontId="28" fillId="0" borderId="35" xfId="0" applyNumberFormat="1" applyFont="1" applyBorder="1" applyAlignment="1">
      <alignment horizontal="center" vertical="center" wrapText="1"/>
    </xf>
    <xf numFmtId="164" fontId="28" fillId="0" borderId="39" xfId="0" applyNumberFormat="1" applyFont="1" applyBorder="1" applyAlignment="1">
      <alignment horizontal="center" vertical="center" wrapText="1"/>
    </xf>
    <xf numFmtId="0" fontId="7" fillId="0" borderId="1" xfId="0" applyNumberFormat="1" applyFont="1" applyBorder="1" applyAlignment="1">
      <alignment horizontal="center" wrapText="1"/>
    </xf>
    <xf numFmtId="0" fontId="7" fillId="0" borderId="2" xfId="0" applyNumberFormat="1" applyFont="1" applyBorder="1" applyAlignment="1">
      <alignment horizontal="center" wrapText="1"/>
    </xf>
    <xf numFmtId="1" fontId="7" fillId="0" borderId="2" xfId="0" applyNumberFormat="1" applyFont="1" applyBorder="1" applyAlignment="1">
      <alignment horizontal="center" wrapText="1"/>
    </xf>
    <xf numFmtId="0" fontId="7" fillId="0" borderId="3" xfId="0" applyNumberFormat="1" applyFont="1" applyBorder="1" applyAlignment="1">
      <alignment horizontal="center" wrapText="1"/>
    </xf>
    <xf numFmtId="1" fontId="21" fillId="0" borderId="2" xfId="0" applyNumberFormat="1" applyFont="1" applyBorder="1" applyAlignment="1">
      <alignment horizontal="center" vertical="center" wrapText="1"/>
    </xf>
    <xf numFmtId="164" fontId="21" fillId="0" borderId="2" xfId="0" applyNumberFormat="1" applyFont="1" applyBorder="1" applyAlignment="1">
      <alignment horizontal="center" vertical="center" wrapText="1"/>
    </xf>
    <xf numFmtId="164" fontId="21" fillId="0" borderId="3" xfId="0" applyNumberFormat="1" applyFont="1" applyBorder="1" applyAlignment="1">
      <alignment horizontal="center" vertical="center" wrapText="1"/>
    </xf>
    <xf numFmtId="4" fontId="7" fillId="0" borderId="26" xfId="0" applyNumberFormat="1" applyFont="1" applyBorder="1" applyAlignment="1">
      <alignment horizontal="left" vertical="center" wrapText="1"/>
    </xf>
    <xf numFmtId="4" fontId="7" fillId="0" borderId="6" xfId="0" applyNumberFormat="1" applyFont="1" applyBorder="1" applyAlignment="1">
      <alignment horizontal="left" vertical="center" wrapText="1"/>
    </xf>
    <xf numFmtId="1" fontId="7" fillId="0" borderId="6" xfId="0" applyNumberFormat="1" applyFont="1" applyBorder="1" applyAlignment="1">
      <alignment horizontal="center" vertical="center" wrapText="1"/>
    </xf>
    <xf numFmtId="164" fontId="7" fillId="0" borderId="6" xfId="0" applyNumberFormat="1" applyFont="1" applyBorder="1" applyAlignment="1">
      <alignment horizontal="center" vertical="center" wrapText="1"/>
    </xf>
    <xf numFmtId="164" fontId="7" fillId="0" borderId="20" xfId="0" applyNumberFormat="1" applyFont="1" applyBorder="1" applyAlignment="1">
      <alignment horizontal="center" vertical="center" wrapText="1"/>
    </xf>
    <xf numFmtId="164" fontId="7" fillId="0" borderId="27" xfId="0" applyNumberFormat="1" applyFont="1" applyBorder="1" applyAlignment="1">
      <alignment horizontal="center" vertical="center" wrapText="1"/>
    </xf>
    <xf numFmtId="164" fontId="21" fillId="0" borderId="11" xfId="0" applyNumberFormat="1" applyFont="1" applyBorder="1" applyAlignment="1">
      <alignment horizontal="center" vertical="center" wrapText="1"/>
    </xf>
    <xf numFmtId="1" fontId="21" fillId="0" borderId="14" xfId="0" applyNumberFormat="1" applyFont="1" applyBorder="1" applyAlignment="1">
      <alignment horizontal="center" vertical="center" wrapText="1"/>
    </xf>
    <xf numFmtId="164" fontId="21" fillId="0" borderId="8" xfId="0" applyNumberFormat="1" applyFont="1" applyBorder="1" applyAlignment="1">
      <alignment horizontal="center" vertical="center" wrapText="1"/>
    </xf>
    <xf numFmtId="164" fontId="21" fillId="0" borderId="14" xfId="0" applyNumberFormat="1" applyFont="1" applyBorder="1" applyAlignment="1">
      <alignment horizontal="center" vertical="center" wrapText="1"/>
    </xf>
    <xf numFmtId="164" fontId="21" fillId="0" borderId="9" xfId="0" applyNumberFormat="1" applyFont="1" applyBorder="1" applyAlignment="1">
      <alignment horizontal="center" vertical="center" wrapText="1"/>
    </xf>
    <xf numFmtId="164" fontId="21" fillId="0" borderId="29" xfId="0" applyNumberFormat="1" applyFont="1" applyBorder="1" applyAlignment="1">
      <alignment horizontal="center" vertical="center" wrapText="1"/>
    </xf>
    <xf numFmtId="1" fontId="21" fillId="0" borderId="20" xfId="0" applyNumberFormat="1" applyFont="1" applyBorder="1" applyAlignment="1">
      <alignment horizontal="center" vertical="center" wrapText="1"/>
    </xf>
    <xf numFmtId="164" fontId="21" fillId="0" borderId="5" xfId="0" applyNumberFormat="1" applyFont="1" applyBorder="1" applyAlignment="1">
      <alignment horizontal="center" vertical="center" wrapText="1"/>
    </xf>
    <xf numFmtId="4" fontId="7" fillId="0" borderId="25" xfId="0" applyNumberFormat="1" applyFont="1" applyBorder="1" applyAlignment="1">
      <alignment horizontal="left" vertical="center" wrapText="1"/>
    </xf>
    <xf numFmtId="164" fontId="7" fillId="0" borderId="21" xfId="0" applyNumberFormat="1" applyFont="1" applyBorder="1" applyAlignment="1">
      <alignment horizontal="center" vertical="center" wrapText="1"/>
    </xf>
    <xf numFmtId="164" fontId="7" fillId="0" borderId="12" xfId="0" applyNumberFormat="1" applyFont="1" applyBorder="1" applyAlignment="1">
      <alignment horizontal="center" vertical="center" wrapText="1"/>
    </xf>
    <xf numFmtId="164" fontId="7" fillId="0" borderId="2" xfId="0" applyNumberFormat="1" applyFont="1" applyBorder="1" applyAlignment="1">
      <alignment horizontal="center" vertical="center" wrapText="1"/>
    </xf>
    <xf numFmtId="164" fontId="7" fillId="0" borderId="3" xfId="0" applyNumberFormat="1" applyFont="1" applyBorder="1" applyAlignment="1">
      <alignment horizontal="center" vertical="center" wrapText="1"/>
    </xf>
    <xf numFmtId="164" fontId="7" fillId="0" borderId="2" xfId="0" applyNumberFormat="1" applyFont="1" applyBorder="1" applyAlignment="1">
      <alignment horizontal="center" wrapText="1"/>
    </xf>
    <xf numFmtId="164" fontId="7" fillId="0" borderId="3" xfId="0" applyNumberFormat="1" applyFont="1" applyBorder="1" applyAlignment="1">
      <alignment horizontal="center" wrapText="1"/>
    </xf>
    <xf numFmtId="1" fontId="21" fillId="0" borderId="2" xfId="0" applyNumberFormat="1" applyFont="1" applyBorder="1" applyAlignment="1">
      <alignment horizontal="center" wrapText="1"/>
    </xf>
    <xf numFmtId="164" fontId="21" fillId="0" borderId="2" xfId="0" applyNumberFormat="1" applyFont="1" applyBorder="1" applyAlignment="1">
      <alignment horizontal="center" wrapText="1"/>
    </xf>
    <xf numFmtId="164" fontId="21" fillId="0" borderId="3" xfId="0" applyNumberFormat="1" applyFont="1" applyBorder="1" applyAlignment="1">
      <alignment horizontal="center" wrapText="1"/>
    </xf>
    <xf numFmtId="0" fontId="21" fillId="0" borderId="0" xfId="0" applyNumberFormat="1" applyFont="1" applyBorder="1" applyAlignment="1">
      <alignment horizontal="center" wrapText="1"/>
    </xf>
    <xf numFmtId="1" fontId="21" fillId="0" borderId="0" xfId="0" applyNumberFormat="1" applyFont="1" applyBorder="1" applyAlignment="1">
      <alignment horizontal="center" wrapText="1"/>
    </xf>
    <xf numFmtId="164" fontId="21" fillId="0" borderId="0" xfId="0" applyNumberFormat="1" applyFont="1" applyBorder="1" applyAlignment="1">
      <alignment horizontal="center" wrapText="1"/>
    </xf>
    <xf numFmtId="164" fontId="21" fillId="0" borderId="18" xfId="0" applyNumberFormat="1" applyFont="1" applyBorder="1" applyAlignment="1">
      <alignment horizontal="center" wrapText="1"/>
    </xf>
    <xf numFmtId="164" fontId="7" fillId="0" borderId="20" xfId="0" applyNumberFormat="1" applyFont="1" applyBorder="1" applyAlignment="1">
      <alignment horizontal="center" wrapText="1"/>
    </xf>
    <xf numFmtId="0" fontId="7" fillId="0" borderId="32" xfId="0" applyNumberFormat="1" applyFont="1" applyBorder="1" applyAlignment="1">
      <alignment horizontal="center" wrapText="1"/>
    </xf>
    <xf numFmtId="0" fontId="7" fillId="0" borderId="34" xfId="0" applyNumberFormat="1" applyFont="1" applyBorder="1" applyAlignment="1">
      <alignment horizontal="center" wrapText="1"/>
    </xf>
    <xf numFmtId="0" fontId="7" fillId="0" borderId="44" xfId="0" applyNumberFormat="1" applyFont="1" applyBorder="1" applyAlignment="1">
      <alignment horizontal="center" wrapText="1"/>
    </xf>
    <xf numFmtId="1" fontId="7" fillId="0" borderId="44" xfId="0" applyNumberFormat="1" applyFont="1" applyBorder="1" applyAlignment="1">
      <alignment horizontal="center" wrapText="1"/>
    </xf>
    <xf numFmtId="1" fontId="7" fillId="0" borderId="34" xfId="0" applyNumberFormat="1" applyFont="1" applyBorder="1" applyAlignment="1">
      <alignment horizontal="center" wrapText="1"/>
    </xf>
    <xf numFmtId="1" fontId="7" fillId="0" borderId="45" xfId="0" applyNumberFormat="1" applyFont="1" applyBorder="1" applyAlignment="1">
      <alignment horizontal="center" wrapText="1"/>
    </xf>
    <xf numFmtId="164" fontId="7" fillId="0" borderId="34" xfId="0" applyNumberFormat="1" applyFont="1" applyBorder="1" applyAlignment="1">
      <alignment horizontal="center" wrapText="1"/>
    </xf>
    <xf numFmtId="164" fontId="7" fillId="0" borderId="45" xfId="0" applyNumberFormat="1" applyFont="1" applyBorder="1" applyAlignment="1">
      <alignment horizontal="center" wrapText="1"/>
    </xf>
    <xf numFmtId="164" fontId="7" fillId="0" borderId="46" xfId="0" applyNumberFormat="1" applyFont="1" applyBorder="1" applyAlignment="1">
      <alignment horizontal="center" wrapText="1"/>
    </xf>
    <xf numFmtId="0" fontId="7" fillId="0" borderId="43" xfId="0" applyNumberFormat="1" applyFont="1" applyBorder="1" applyAlignment="1">
      <alignment horizontal="center" wrapText="1"/>
    </xf>
    <xf numFmtId="0" fontId="21" fillId="0" borderId="2" xfId="0" applyNumberFormat="1" applyFont="1" applyBorder="1" applyAlignment="1">
      <alignment horizontal="center" wrapText="1"/>
    </xf>
    <xf numFmtId="0" fontId="21" fillId="0" borderId="48" xfId="0" applyNumberFormat="1" applyFont="1" applyBorder="1" applyAlignment="1">
      <alignment horizontal="center" wrapText="1"/>
    </xf>
    <xf numFmtId="164" fontId="21" fillId="0" borderId="23" xfId="0" applyNumberFormat="1" applyFont="1" applyBorder="1" applyAlignment="1">
      <alignment horizontal="center" wrapText="1"/>
    </xf>
    <xf numFmtId="164" fontId="21" fillId="0" borderId="22" xfId="0" applyNumberFormat="1" applyFont="1" applyBorder="1" applyAlignment="1">
      <alignment horizontal="center" wrapText="1"/>
    </xf>
    <xf numFmtId="0" fontId="21" fillId="0" borderId="14" xfId="0" applyNumberFormat="1" applyFont="1" applyBorder="1" applyAlignment="1">
      <alignment horizontal="center" wrapText="1"/>
    </xf>
    <xf numFmtId="1" fontId="21" fillId="0" borderId="14" xfId="0" applyNumberFormat="1" applyFont="1" applyBorder="1" applyAlignment="1">
      <alignment horizontal="center" wrapText="1"/>
    </xf>
    <xf numFmtId="164" fontId="21" fillId="0" borderId="14" xfId="0" applyNumberFormat="1" applyFont="1" applyBorder="1" applyAlignment="1">
      <alignment horizontal="center" wrapText="1"/>
    </xf>
    <xf numFmtId="0" fontId="21" fillId="0" borderId="26" xfId="0" applyNumberFormat="1" applyFont="1" applyBorder="1" applyAlignment="1">
      <alignment horizontal="center" wrapText="1"/>
    </xf>
    <xf numFmtId="0" fontId="21" fillId="0" borderId="25" xfId="0" applyNumberFormat="1" applyFont="1" applyBorder="1" applyAlignment="1">
      <alignment horizontal="center" wrapText="1"/>
    </xf>
    <xf numFmtId="1" fontId="21" fillId="0" borderId="33" xfId="0" applyNumberFormat="1" applyFont="1" applyBorder="1" applyAlignment="1">
      <alignment horizontal="center" wrapText="1"/>
    </xf>
    <xf numFmtId="164" fontId="21" fillId="0" borderId="20" xfId="0" applyNumberFormat="1" applyFont="1" applyBorder="1" applyAlignment="1">
      <alignment horizontal="center" wrapText="1"/>
    </xf>
    <xf numFmtId="0" fontId="7" fillId="0" borderId="11" xfId="0" applyNumberFormat="1" applyFont="1" applyBorder="1" applyAlignment="1">
      <alignment wrapText="1"/>
    </xf>
    <xf numFmtId="164" fontId="21" fillId="0" borderId="34" xfId="0" applyNumberFormat="1" applyFont="1" applyBorder="1" applyAlignment="1">
      <alignment horizontal="center" wrapText="1"/>
    </xf>
    <xf numFmtId="164" fontId="7" fillId="0" borderId="35" xfId="0" applyNumberFormat="1" applyFont="1" applyBorder="1" applyAlignment="1">
      <alignment horizontal="center" wrapText="1"/>
    </xf>
    <xf numFmtId="0" fontId="7" fillId="0" borderId="15" xfId="0" applyNumberFormat="1" applyFont="1" applyBorder="1" applyAlignment="1">
      <alignment wrapText="1"/>
    </xf>
    <xf numFmtId="164" fontId="21" fillId="0" borderId="19" xfId="0" applyNumberFormat="1" applyFont="1" applyBorder="1" applyAlignment="1">
      <alignment horizontal="center" wrapText="1"/>
    </xf>
    <xf numFmtId="164" fontId="21" fillId="0" borderId="39" xfId="0" applyNumberFormat="1" applyFont="1" applyBorder="1" applyAlignment="1">
      <alignment horizontal="center" wrapText="1"/>
    </xf>
    <xf numFmtId="1" fontId="21" fillId="0" borderId="20" xfId="0" applyNumberFormat="1" applyFont="1" applyBorder="1" applyAlignment="1">
      <alignment horizontal="center" wrapText="1"/>
    </xf>
    <xf numFmtId="1" fontId="21" fillId="0" borderId="19" xfId="0" applyNumberFormat="1" applyFont="1" applyBorder="1" applyAlignment="1">
      <alignment horizontal="center" wrapText="1"/>
    </xf>
    <xf numFmtId="1" fontId="21" fillId="0" borderId="7" xfId="0" applyNumberFormat="1" applyFont="1" applyBorder="1" applyAlignment="1">
      <alignment horizontal="center" wrapText="1"/>
    </xf>
    <xf numFmtId="0" fontId="7" fillId="0" borderId="0" xfId="0" applyNumberFormat="1" applyFont="1" applyBorder="1" applyAlignment="1">
      <alignment wrapText="1"/>
    </xf>
    <xf numFmtId="0" fontId="0" fillId="0" borderId="13" xfId="0" applyBorder="1"/>
    <xf numFmtId="1" fontId="21" fillId="0" borderId="6" xfId="0" applyNumberFormat="1" applyFont="1" applyBorder="1" applyAlignment="1">
      <alignment horizontal="center" wrapText="1"/>
    </xf>
    <xf numFmtId="1" fontId="21" fillId="0" borderId="34" xfId="0" applyNumberFormat="1" applyFont="1" applyBorder="1" applyAlignment="1">
      <alignment horizontal="center" wrapText="1"/>
    </xf>
    <xf numFmtId="0" fontId="7" fillId="0" borderId="45" xfId="0" applyNumberFormat="1" applyFont="1" applyBorder="1" applyAlignment="1">
      <alignment horizontal="center" wrapText="1"/>
    </xf>
    <xf numFmtId="0" fontId="21" fillId="0" borderId="42" xfId="0" applyNumberFormat="1" applyFont="1" applyBorder="1" applyAlignment="1">
      <alignment horizontal="center" vertical="center" wrapText="1"/>
    </xf>
    <xf numFmtId="0" fontId="7" fillId="0" borderId="24" xfId="0" applyNumberFormat="1" applyFont="1" applyBorder="1" applyAlignment="1">
      <alignment horizontal="center" wrapText="1"/>
    </xf>
    <xf numFmtId="0" fontId="7" fillId="0" borderId="35" xfId="0" applyNumberFormat="1" applyFont="1" applyBorder="1" applyAlignment="1">
      <alignment horizontal="center" wrapText="1"/>
    </xf>
    <xf numFmtId="0" fontId="7" fillId="0" borderId="33" xfId="0" applyNumberFormat="1" applyFont="1" applyBorder="1" applyAlignment="1">
      <alignment horizontal="center" wrapText="1"/>
    </xf>
    <xf numFmtId="0" fontId="7" fillId="0" borderId="4" xfId="0" applyNumberFormat="1" applyFont="1" applyBorder="1" applyAlignment="1">
      <alignment horizontal="center" wrapText="1"/>
    </xf>
    <xf numFmtId="164" fontId="21" fillId="0" borderId="55" xfId="0" applyNumberFormat="1" applyFont="1" applyBorder="1" applyAlignment="1">
      <alignment horizontal="center" wrapText="1"/>
    </xf>
    <xf numFmtId="164" fontId="21" fillId="0" borderId="35" xfId="0" applyNumberFormat="1" applyFont="1" applyBorder="1" applyAlignment="1">
      <alignment horizontal="center" wrapText="1"/>
    </xf>
    <xf numFmtId="0" fontId="21" fillId="0" borderId="22" xfId="0" applyNumberFormat="1" applyFont="1" applyBorder="1" applyAlignment="1">
      <alignment horizontal="center" wrapText="1"/>
    </xf>
    <xf numFmtId="1" fontId="21" fillId="0" borderId="22" xfId="0" applyNumberFormat="1" applyFont="1" applyBorder="1" applyAlignment="1">
      <alignment horizontal="center" wrapText="1"/>
    </xf>
    <xf numFmtId="0" fontId="21" fillId="0" borderId="33" xfId="0" applyNumberFormat="1" applyFont="1" applyBorder="1" applyAlignment="1">
      <alignment horizontal="center" wrapText="1"/>
    </xf>
    <xf numFmtId="0" fontId="21" fillId="0" borderId="57" xfId="0" applyNumberFormat="1" applyFont="1" applyBorder="1" applyAlignment="1">
      <alignment horizontal="center" vertical="center" wrapText="1"/>
    </xf>
    <xf numFmtId="0" fontId="21" fillId="0" borderId="28" xfId="0" applyNumberFormat="1" applyFont="1" applyBorder="1" applyAlignment="1">
      <alignment horizontal="center" vertical="center" wrapText="1"/>
    </xf>
    <xf numFmtId="0" fontId="21" fillId="0" borderId="1" xfId="0" applyNumberFormat="1" applyFont="1" applyBorder="1" applyAlignment="1">
      <alignment horizontal="center" vertical="center" wrapText="1"/>
    </xf>
    <xf numFmtId="0" fontId="21" fillId="0" borderId="48" xfId="0" applyNumberFormat="1" applyFont="1" applyBorder="1" applyAlignment="1">
      <alignment horizontal="center" vertical="center" wrapText="1"/>
    </xf>
    <xf numFmtId="164" fontId="21" fillId="0" borderId="33" xfId="0" applyNumberFormat="1" applyFont="1" applyBorder="1" applyAlignment="1">
      <alignment horizontal="center" wrapText="1"/>
    </xf>
    <xf numFmtId="0" fontId="21" fillId="0" borderId="31" xfId="0" applyNumberFormat="1" applyFont="1" applyBorder="1" applyAlignment="1">
      <alignment horizontal="center" vertical="center" wrapText="1"/>
    </xf>
    <xf numFmtId="0" fontId="21" fillId="0" borderId="21" xfId="0" applyNumberFormat="1" applyFont="1" applyBorder="1" applyAlignment="1">
      <alignment horizontal="center" wrapText="1"/>
    </xf>
    <xf numFmtId="1" fontId="21" fillId="0" borderId="21" xfId="0" applyNumberFormat="1" applyFont="1" applyBorder="1" applyAlignment="1">
      <alignment horizontal="center" wrapText="1"/>
    </xf>
    <xf numFmtId="164" fontId="21" fillId="0" borderId="21" xfId="0" applyNumberFormat="1" applyFont="1" applyBorder="1" applyAlignment="1">
      <alignment horizontal="center" wrapText="1"/>
    </xf>
    <xf numFmtId="164" fontId="21" fillId="0" borderId="27" xfId="0" applyNumberFormat="1" applyFont="1" applyBorder="1" applyAlignment="1">
      <alignment horizontal="center" wrapText="1"/>
    </xf>
    <xf numFmtId="0" fontId="21" fillId="0" borderId="20" xfId="0" applyNumberFormat="1" applyFont="1" applyBorder="1" applyAlignment="1">
      <alignment horizontal="center" wrapText="1"/>
    </xf>
    <xf numFmtId="0" fontId="21" fillId="0" borderId="30" xfId="0" applyNumberFormat="1" applyFont="1" applyBorder="1" applyAlignment="1">
      <alignment horizontal="center" vertical="center" wrapText="1"/>
    </xf>
    <xf numFmtId="164" fontId="21" fillId="0" borderId="29" xfId="0" applyNumberFormat="1" applyFont="1" applyBorder="1" applyAlignment="1">
      <alignment horizontal="center" wrapText="1"/>
    </xf>
    <xf numFmtId="164" fontId="21" fillId="0" borderId="38" xfId="0" applyNumberFormat="1" applyFont="1" applyBorder="1" applyAlignment="1">
      <alignment horizontal="center" wrapText="1"/>
    </xf>
    <xf numFmtId="164" fontId="21" fillId="0" borderId="12" xfId="0" applyNumberFormat="1" applyFont="1" applyBorder="1" applyAlignment="1">
      <alignment horizontal="center" wrapText="1"/>
    </xf>
    <xf numFmtId="164" fontId="21" fillId="0" borderId="59" xfId="0" applyNumberFormat="1" applyFont="1" applyBorder="1" applyAlignment="1">
      <alignment horizontal="center" wrapText="1"/>
    </xf>
    <xf numFmtId="164" fontId="21" fillId="0" borderId="60" xfId="0" applyNumberFormat="1" applyFont="1" applyBorder="1" applyAlignment="1">
      <alignment horizontal="center" wrapText="1"/>
    </xf>
    <xf numFmtId="0" fontId="7" fillId="0" borderId="0" xfId="0" applyNumberFormat="1" applyFont="1" applyBorder="1" applyAlignment="1">
      <alignment horizontal="center" wrapText="1"/>
    </xf>
    <xf numFmtId="0" fontId="21" fillId="0" borderId="34" xfId="0" applyNumberFormat="1" applyFont="1" applyBorder="1" applyAlignment="1">
      <alignment horizontal="center" wrapText="1"/>
    </xf>
    <xf numFmtId="0" fontId="21" fillId="0" borderId="4" xfId="0" applyNumberFormat="1" applyFont="1" applyBorder="1" applyAlignment="1">
      <alignment horizontal="center" vertical="center" wrapText="1"/>
    </xf>
    <xf numFmtId="164" fontId="21" fillId="0" borderId="61" xfId="0" applyNumberFormat="1" applyFont="1" applyBorder="1" applyAlignment="1">
      <alignment horizontal="center" wrapText="1"/>
    </xf>
    <xf numFmtId="164" fontId="21" fillId="0" borderId="30" xfId="0" applyNumberFormat="1" applyFont="1" applyBorder="1" applyAlignment="1">
      <alignment horizontal="center" wrapText="1"/>
    </xf>
    <xf numFmtId="164" fontId="21" fillId="0" borderId="28" xfId="0" applyNumberFormat="1" applyFont="1" applyBorder="1" applyAlignment="1">
      <alignment horizontal="center" wrapText="1"/>
    </xf>
    <xf numFmtId="164" fontId="7" fillId="0" borderId="30" xfId="0" applyNumberFormat="1" applyFont="1" applyBorder="1" applyAlignment="1">
      <alignment horizontal="center" wrapText="1"/>
    </xf>
    <xf numFmtId="164" fontId="7" fillId="0" borderId="27" xfId="0" applyNumberFormat="1" applyFont="1" applyBorder="1" applyAlignment="1">
      <alignment horizontal="center" wrapText="1"/>
    </xf>
    <xf numFmtId="164" fontId="7" fillId="0" borderId="57" xfId="0" applyNumberFormat="1" applyFont="1" applyBorder="1" applyAlignment="1">
      <alignment horizontal="center" wrapText="1"/>
    </xf>
    <xf numFmtId="164" fontId="7" fillId="0" borderId="47" xfId="0" applyNumberFormat="1" applyFont="1" applyBorder="1" applyAlignment="1">
      <alignment horizontal="center" wrapText="1"/>
    </xf>
    <xf numFmtId="164" fontId="7" fillId="0" borderId="62" xfId="0" applyNumberFormat="1" applyFont="1" applyBorder="1" applyAlignment="1">
      <alignment horizontal="center" wrapText="1"/>
    </xf>
    <xf numFmtId="164" fontId="7" fillId="0" borderId="61" xfId="0" applyNumberFormat="1" applyFont="1" applyBorder="1" applyAlignment="1">
      <alignment horizontal="center" wrapText="1"/>
    </xf>
    <xf numFmtId="164" fontId="7" fillId="0" borderId="59" xfId="0" applyNumberFormat="1" applyFont="1" applyBorder="1" applyAlignment="1">
      <alignment horizontal="center" wrapText="1"/>
    </xf>
    <xf numFmtId="164" fontId="7" fillId="0" borderId="60" xfId="0" applyNumberFormat="1" applyFont="1" applyBorder="1" applyAlignment="1">
      <alignment horizontal="center" wrapText="1"/>
    </xf>
    <xf numFmtId="0" fontId="7" fillId="0" borderId="30" xfId="0" applyNumberFormat="1" applyFont="1" applyBorder="1" applyAlignment="1">
      <alignment horizontal="center" wrapText="1"/>
    </xf>
    <xf numFmtId="0" fontId="7" fillId="0" borderId="20" xfId="0" applyNumberFormat="1" applyFont="1" applyBorder="1" applyAlignment="1">
      <alignment horizontal="center" wrapText="1"/>
    </xf>
    <xf numFmtId="4" fontId="21" fillId="0" borderId="20" xfId="0" applyNumberFormat="1" applyFont="1" applyBorder="1" applyAlignment="1">
      <alignment horizontal="center" vertical="center" wrapText="1"/>
    </xf>
    <xf numFmtId="4" fontId="21" fillId="0" borderId="14" xfId="0" applyNumberFormat="1" applyFont="1" applyBorder="1" applyAlignment="1">
      <alignment horizontal="center" vertical="center" wrapText="1"/>
    </xf>
    <xf numFmtId="164" fontId="7" fillId="0" borderId="56" xfId="0" applyNumberFormat="1" applyFont="1" applyBorder="1" applyAlignment="1">
      <alignment horizontal="center" wrapText="1"/>
    </xf>
    <xf numFmtId="164" fontId="7" fillId="0" borderId="22" xfId="0" applyNumberFormat="1" applyFont="1" applyBorder="1" applyAlignment="1">
      <alignment horizontal="center" wrapText="1"/>
    </xf>
    <xf numFmtId="164" fontId="7" fillId="0" borderId="54" xfId="0" applyNumberFormat="1" applyFont="1" applyBorder="1" applyAlignment="1">
      <alignment horizontal="center" wrapText="1"/>
    </xf>
    <xf numFmtId="164" fontId="7" fillId="0" borderId="55" xfId="0" applyNumberFormat="1" applyFont="1" applyBorder="1" applyAlignment="1">
      <alignment horizontal="center" wrapText="1"/>
    </xf>
    <xf numFmtId="164" fontId="7" fillId="0" borderId="4" xfId="0" applyNumberFormat="1" applyFont="1" applyBorder="1" applyAlignment="1">
      <alignment horizontal="center" wrapText="1"/>
    </xf>
    <xf numFmtId="4" fontId="21" fillId="0" borderId="2" xfId="0" applyNumberFormat="1" applyFont="1" applyBorder="1" applyAlignment="1">
      <alignment horizontal="center" vertical="center" wrapText="1"/>
    </xf>
    <xf numFmtId="4" fontId="21" fillId="0" borderId="1" xfId="0" applyNumberFormat="1" applyFont="1" applyBorder="1" applyAlignment="1">
      <alignment horizontal="center" vertical="center" wrapText="1"/>
    </xf>
    <xf numFmtId="4" fontId="21" fillId="0" borderId="28" xfId="0" applyNumberFormat="1" applyFont="1" applyBorder="1" applyAlignment="1">
      <alignment horizontal="center" vertical="center" wrapText="1"/>
    </xf>
    <xf numFmtId="4" fontId="21" fillId="0" borderId="30" xfId="0" applyNumberFormat="1" applyFont="1" applyBorder="1" applyAlignment="1">
      <alignment horizontal="center" vertical="center" wrapText="1"/>
    </xf>
    <xf numFmtId="4" fontId="21" fillId="0" borderId="1" xfId="0" applyNumberFormat="1" applyFont="1" applyBorder="1" applyAlignment="1">
      <alignment horizontal="center" vertical="center" wrapText="1"/>
    </xf>
    <xf numFmtId="4" fontId="21" fillId="0" borderId="20" xfId="0" applyNumberFormat="1" applyFont="1" applyBorder="1" applyAlignment="1">
      <alignment horizontal="center" vertical="center" wrapText="1"/>
    </xf>
    <xf numFmtId="0" fontId="21" fillId="0" borderId="42" xfId="0" applyNumberFormat="1" applyFont="1" applyBorder="1" applyAlignment="1">
      <alignment horizontal="center" wrapText="1"/>
    </xf>
    <xf numFmtId="0" fontId="21" fillId="0" borderId="28" xfId="0" applyNumberFormat="1" applyFont="1" applyFill="1" applyBorder="1" applyAlignment="1">
      <alignment horizontal="center" vertical="center" wrapText="1"/>
    </xf>
    <xf numFmtId="0" fontId="21" fillId="0" borderId="2" xfId="0" applyNumberFormat="1" applyFont="1" applyFill="1" applyBorder="1" applyAlignment="1">
      <alignment horizontal="center" wrapText="1"/>
    </xf>
    <xf numFmtId="1" fontId="21" fillId="0" borderId="2" xfId="0" applyNumberFormat="1" applyFont="1" applyFill="1" applyBorder="1" applyAlignment="1">
      <alignment horizontal="center" wrapText="1"/>
    </xf>
    <xf numFmtId="164" fontId="21" fillId="0" borderId="2" xfId="0" applyNumberFormat="1" applyFont="1" applyFill="1" applyBorder="1" applyAlignment="1">
      <alignment horizontal="center" wrapText="1"/>
    </xf>
    <xf numFmtId="164" fontId="21" fillId="0" borderId="3" xfId="0" applyNumberFormat="1" applyFont="1" applyFill="1" applyBorder="1" applyAlignment="1">
      <alignment horizontal="center" wrapText="1"/>
    </xf>
    <xf numFmtId="0" fontId="21" fillId="0" borderId="1" xfId="0" applyNumberFormat="1" applyFont="1" applyBorder="1" applyAlignment="1">
      <alignment horizontal="center" vertical="center" wrapText="1"/>
    </xf>
    <xf numFmtId="0" fontId="21" fillId="0" borderId="2" xfId="0" applyNumberFormat="1" applyFont="1" applyBorder="1" applyAlignment="1">
      <alignment horizontal="center" wrapText="1"/>
    </xf>
    <xf numFmtId="0" fontId="21" fillId="0" borderId="1" xfId="0" applyNumberFormat="1" applyFont="1" applyBorder="1" applyAlignment="1">
      <alignment horizontal="center" vertical="center" wrapText="1"/>
    </xf>
    <xf numFmtId="0" fontId="21" fillId="0" borderId="2" xfId="0" applyNumberFormat="1" applyFont="1" applyBorder="1" applyAlignment="1">
      <alignment horizontal="center" wrapText="1"/>
    </xf>
    <xf numFmtId="0" fontId="21" fillId="0" borderId="34" xfId="0" applyNumberFormat="1" applyFont="1" applyBorder="1" applyAlignment="1">
      <alignment horizontal="center" wrapText="1"/>
    </xf>
    <xf numFmtId="4" fontId="0" fillId="0" borderId="12" xfId="0" applyNumberFormat="1" applyBorder="1" applyAlignment="1">
      <alignment horizontal="left" vertical="center" wrapText="1"/>
    </xf>
    <xf numFmtId="4" fontId="0" fillId="0" borderId="2" xfId="0" applyNumberFormat="1" applyBorder="1" applyAlignment="1">
      <alignment horizontal="center" vertical="center" wrapText="1"/>
    </xf>
    <xf numFmtId="4" fontId="4" fillId="0" borderId="61" xfId="0" applyNumberFormat="1" applyFont="1" applyBorder="1" applyAlignment="1">
      <alignment horizontal="center" wrapText="1"/>
    </xf>
    <xf numFmtId="4" fontId="4" fillId="0" borderId="60" xfId="0" applyNumberFormat="1" applyFont="1" applyBorder="1" applyAlignment="1">
      <alignment horizontal="center" wrapText="1"/>
    </xf>
    <xf numFmtId="4" fontId="0" fillId="0" borderId="14" xfId="0" applyNumberFormat="1" applyBorder="1" applyAlignment="1">
      <alignment horizontal="center" vertical="center" wrapText="1"/>
    </xf>
    <xf numFmtId="4" fontId="0" fillId="0" borderId="14" xfId="0" applyNumberFormat="1" applyBorder="1" applyAlignment="1">
      <alignment horizontal="left" vertical="center" wrapText="1"/>
    </xf>
    <xf numFmtId="4" fontId="0" fillId="0" borderId="2" xfId="0" applyNumberFormat="1" applyBorder="1" applyAlignment="1">
      <alignment horizontal="left" vertical="center" wrapText="1"/>
    </xf>
    <xf numFmtId="4" fontId="0" fillId="0" borderId="0" xfId="0" applyNumberFormat="1" applyBorder="1" applyAlignment="1">
      <alignment horizontal="center" vertical="center" wrapText="1"/>
    </xf>
    <xf numFmtId="4" fontId="0" fillId="0" borderId="0" xfId="0" applyNumberFormat="1" applyBorder="1" applyAlignment="1">
      <alignment horizontal="left" vertical="center" wrapText="1"/>
    </xf>
    <xf numFmtId="4" fontId="1" fillId="0" borderId="28" xfId="0" applyNumberFormat="1" applyFont="1" applyBorder="1" applyAlignment="1">
      <alignment horizontal="center" vertical="center" wrapText="1"/>
    </xf>
    <xf numFmtId="4" fontId="1" fillId="0" borderId="29" xfId="0" applyNumberFormat="1" applyFont="1" applyBorder="1" applyAlignment="1">
      <alignment horizontal="left" vertical="center" wrapText="1"/>
    </xf>
    <xf numFmtId="4" fontId="1"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4" fontId="1" fillId="0" borderId="4" xfId="0" applyNumberFormat="1" applyFont="1" applyBorder="1" applyAlignment="1">
      <alignment horizontal="center" vertical="center" wrapText="1"/>
    </xf>
    <xf numFmtId="4" fontId="1" fillId="0" borderId="35" xfId="0" applyNumberFormat="1" applyFont="1" applyBorder="1" applyAlignment="1">
      <alignment horizontal="left" vertical="center" wrapText="1"/>
    </xf>
    <xf numFmtId="4" fontId="7" fillId="0" borderId="61" xfId="0" applyNumberFormat="1" applyFont="1" applyBorder="1" applyAlignment="1">
      <alignment horizontal="center" wrapText="1"/>
    </xf>
    <xf numFmtId="4" fontId="7" fillId="0" borderId="60" xfId="0" applyNumberFormat="1" applyFont="1" applyBorder="1" applyAlignment="1">
      <alignment horizontal="center" wrapText="1"/>
    </xf>
    <xf numFmtId="0" fontId="21" fillId="0" borderId="28" xfId="0" applyNumberFormat="1" applyFont="1" applyBorder="1" applyAlignment="1">
      <alignment horizontal="center" vertical="center" wrapText="1"/>
    </xf>
    <xf numFmtId="0" fontId="21" fillId="0" borderId="2" xfId="0" applyNumberFormat="1" applyFont="1" applyBorder="1" applyAlignment="1">
      <alignment horizontal="center" wrapText="1"/>
    </xf>
    <xf numFmtId="4" fontId="1" fillId="0" borderId="0" xfId="0" applyNumberFormat="1" applyFont="1" applyBorder="1" applyAlignment="1">
      <alignment horizontal="center" vertical="center" wrapText="1"/>
    </xf>
    <xf numFmtId="4" fontId="1" fillId="0" borderId="0" xfId="0" applyNumberFormat="1" applyFont="1" applyBorder="1" applyAlignment="1">
      <alignment horizontal="left" vertical="center" wrapText="1"/>
    </xf>
    <xf numFmtId="4" fontId="7" fillId="0" borderId="56" xfId="0" applyNumberFormat="1" applyFont="1" applyBorder="1" applyAlignment="1">
      <alignment horizontal="center" wrapText="1"/>
    </xf>
    <xf numFmtId="4" fontId="7" fillId="0" borderId="55" xfId="0" applyNumberFormat="1" applyFont="1" applyBorder="1" applyAlignment="1">
      <alignment horizontal="center" wrapText="1"/>
    </xf>
    <xf numFmtId="4" fontId="1" fillId="0" borderId="48" xfId="0" applyNumberFormat="1" applyFont="1" applyBorder="1" applyAlignment="1">
      <alignment horizontal="center" vertical="center" wrapText="1"/>
    </xf>
    <xf numFmtId="4" fontId="1" fillId="0" borderId="23" xfId="0" applyNumberFormat="1" applyFont="1" applyBorder="1" applyAlignment="1">
      <alignment horizontal="left" vertical="center" wrapText="1"/>
    </xf>
    <xf numFmtId="0" fontId="21" fillId="0" borderId="42" xfId="0" applyNumberFormat="1" applyFont="1" applyFill="1" applyBorder="1" applyAlignment="1">
      <alignment horizontal="center" wrapText="1"/>
    </xf>
    <xf numFmtId="0" fontId="21" fillId="0" borderId="30" xfId="0" applyNumberFormat="1" applyFont="1" applyBorder="1" applyAlignment="1">
      <alignment horizontal="center" vertical="center" wrapText="1"/>
    </xf>
    <xf numFmtId="0" fontId="21" fillId="0" borderId="28" xfId="0" applyNumberFormat="1" applyFont="1" applyBorder="1" applyAlignment="1">
      <alignment horizontal="center" vertical="center" wrapText="1"/>
    </xf>
    <xf numFmtId="4" fontId="1" fillId="0" borderId="28" xfId="0" applyNumberFormat="1" applyFont="1" applyBorder="1" applyAlignment="1">
      <alignment horizontal="center" vertical="center" wrapText="1"/>
    </xf>
    <xf numFmtId="0" fontId="21" fillId="0" borderId="31" xfId="0" applyNumberFormat="1" applyFont="1" applyBorder="1" applyAlignment="1">
      <alignment horizontal="center" vertical="center" wrapText="1"/>
    </xf>
    <xf numFmtId="0" fontId="7" fillId="0" borderId="34" xfId="0" applyNumberFormat="1" applyFont="1" applyBorder="1" applyAlignment="1">
      <alignment horizontal="center" wrapText="1"/>
    </xf>
    <xf numFmtId="0" fontId="7" fillId="0" borderId="44" xfId="0" applyNumberFormat="1" applyFont="1" applyBorder="1" applyAlignment="1">
      <alignment horizontal="center" wrapText="1"/>
    </xf>
    <xf numFmtId="0" fontId="21" fillId="0" borderId="48" xfId="0" applyNumberFormat="1" applyFont="1" applyBorder="1" applyAlignment="1">
      <alignment horizontal="center" vertical="center" wrapText="1"/>
    </xf>
    <xf numFmtId="0" fontId="21" fillId="0" borderId="22" xfId="0" applyNumberFormat="1" applyFont="1" applyBorder="1" applyAlignment="1">
      <alignment horizontal="center" wrapText="1"/>
    </xf>
    <xf numFmtId="0" fontId="21" fillId="0" borderId="1" xfId="0" applyNumberFormat="1" applyFont="1" applyBorder="1" applyAlignment="1">
      <alignment horizontal="center" vertical="center" wrapText="1"/>
    </xf>
    <xf numFmtId="0" fontId="21" fillId="0" borderId="2" xfId="0" applyNumberFormat="1" applyFont="1" applyBorder="1" applyAlignment="1">
      <alignment horizontal="center" wrapText="1"/>
    </xf>
    <xf numFmtId="0" fontId="3" fillId="0" borderId="0" xfId="0" applyFont="1"/>
    <xf numFmtId="0" fontId="3" fillId="0" borderId="2" xfId="0" applyFont="1" applyBorder="1" applyAlignment="1">
      <alignment horizontal="center" vertical="center" wrapText="1"/>
    </xf>
    <xf numFmtId="0" fontId="21" fillId="0" borderId="30" xfId="0" applyNumberFormat="1" applyFont="1" applyBorder="1" applyAlignment="1">
      <alignment vertical="center" wrapText="1"/>
    </xf>
    <xf numFmtId="0" fontId="21" fillId="0" borderId="1" xfId="0" applyNumberFormat="1" applyFont="1" applyFill="1" applyBorder="1" applyAlignment="1">
      <alignment horizontal="center" vertical="center" wrapText="1"/>
    </xf>
    <xf numFmtId="0" fontId="3" fillId="0" borderId="20" xfId="0" applyFont="1" applyBorder="1" applyAlignment="1">
      <alignment horizontal="center" vertical="center" wrapText="1"/>
    </xf>
    <xf numFmtId="0" fontId="7" fillId="0" borderId="42" xfId="0" applyNumberFormat="1" applyFont="1" applyBorder="1" applyAlignment="1">
      <alignment horizontal="center" wrapText="1"/>
    </xf>
    <xf numFmtId="0" fontId="7" fillId="0" borderId="27" xfId="0" applyNumberFormat="1" applyFont="1" applyBorder="1" applyAlignment="1">
      <alignment horizontal="center" wrapText="1"/>
    </xf>
    <xf numFmtId="0" fontId="7" fillId="0" borderId="6" xfId="0" applyNumberFormat="1" applyFont="1" applyBorder="1" applyAlignment="1">
      <alignment horizontal="center" wrapText="1"/>
    </xf>
    <xf numFmtId="0" fontId="7" fillId="0" borderId="5" xfId="0" applyNumberFormat="1" applyFont="1" applyBorder="1" applyAlignment="1">
      <alignment horizontal="center" wrapText="1"/>
    </xf>
    <xf numFmtId="0" fontId="7" fillId="0" borderId="21" xfId="0" applyNumberFormat="1" applyFont="1" applyBorder="1" applyAlignment="1">
      <alignment horizontal="center" wrapText="1"/>
    </xf>
    <xf numFmtId="0" fontId="3" fillId="0" borderId="48" xfId="0" applyFont="1" applyBorder="1" applyAlignment="1">
      <alignment vertical="center" wrapText="1"/>
    </xf>
    <xf numFmtId="0" fontId="3" fillId="0" borderId="1" xfId="0" applyFont="1" applyBorder="1" applyAlignment="1">
      <alignment vertical="center" wrapText="1"/>
    </xf>
    <xf numFmtId="0" fontId="3" fillId="0" borderId="30" xfId="0" applyFont="1" applyBorder="1" applyAlignment="1">
      <alignment vertical="center" wrapText="1"/>
    </xf>
    <xf numFmtId="8" fontId="3" fillId="0" borderId="22" xfId="0" applyNumberFormat="1" applyFont="1" applyBorder="1" applyAlignment="1">
      <alignment horizontal="center" vertical="center" wrapText="1"/>
    </xf>
    <xf numFmtId="0" fontId="3" fillId="0" borderId="22" xfId="0" applyFont="1" applyBorder="1" applyAlignment="1">
      <alignment horizontal="center" vertical="center" wrapText="1"/>
    </xf>
    <xf numFmtId="0" fontId="3" fillId="0" borderId="22" xfId="0" applyFont="1" applyBorder="1" applyAlignment="1">
      <alignment horizontal="center" vertical="center"/>
    </xf>
    <xf numFmtId="164" fontId="3" fillId="0" borderId="22" xfId="0" applyNumberFormat="1" applyFont="1" applyBorder="1" applyAlignment="1">
      <alignment horizontal="center" vertical="center"/>
    </xf>
    <xf numFmtId="164" fontId="3" fillId="0" borderId="23" xfId="0" applyNumberFormat="1" applyFont="1" applyBorder="1" applyAlignment="1">
      <alignment horizontal="center" vertical="center"/>
    </xf>
    <xf numFmtId="8" fontId="3"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xf>
    <xf numFmtId="164" fontId="3" fillId="0" borderId="3" xfId="0" applyNumberFormat="1" applyFont="1" applyBorder="1" applyAlignment="1">
      <alignment horizontal="center" vertical="center"/>
    </xf>
    <xf numFmtId="8" fontId="3" fillId="0" borderId="20" xfId="0" applyNumberFormat="1" applyFont="1" applyBorder="1" applyAlignment="1">
      <alignment horizontal="center" vertical="center" wrapText="1"/>
    </xf>
    <xf numFmtId="0" fontId="3" fillId="0" borderId="20" xfId="0" applyFont="1" applyBorder="1" applyAlignment="1">
      <alignment horizontal="center" vertical="center"/>
    </xf>
    <xf numFmtId="164" fontId="3" fillId="0" borderId="20" xfId="0" applyNumberFormat="1" applyFont="1" applyBorder="1" applyAlignment="1">
      <alignment horizontal="center" vertical="center"/>
    </xf>
    <xf numFmtId="164" fontId="3" fillId="0" borderId="27" xfId="0" applyNumberFormat="1" applyFont="1" applyBorder="1" applyAlignment="1">
      <alignment horizontal="center" vertical="center"/>
    </xf>
    <xf numFmtId="164" fontId="21" fillId="0" borderId="48" xfId="0" applyNumberFormat="1" applyFont="1" applyBorder="1" applyAlignment="1">
      <alignment horizontal="center" vertical="center"/>
    </xf>
    <xf numFmtId="164" fontId="21" fillId="0" borderId="22" xfId="0" applyNumberFormat="1" applyFont="1" applyBorder="1" applyAlignment="1">
      <alignment horizontal="center" vertical="center"/>
    </xf>
    <xf numFmtId="164" fontId="21" fillId="0" borderId="23" xfId="0" applyNumberFormat="1" applyFont="1" applyBorder="1" applyAlignment="1">
      <alignment horizontal="center" vertical="center"/>
    </xf>
    <xf numFmtId="164" fontId="21" fillId="0" borderId="1" xfId="0" applyNumberFormat="1" applyFont="1" applyBorder="1" applyAlignment="1">
      <alignment horizontal="center" vertical="center"/>
    </xf>
    <xf numFmtId="164" fontId="21" fillId="0" borderId="2" xfId="0" applyNumberFormat="1" applyFont="1" applyBorder="1" applyAlignment="1">
      <alignment horizontal="center" vertical="center"/>
    </xf>
    <xf numFmtId="164" fontId="21" fillId="0" borderId="3" xfId="0" applyNumberFormat="1" applyFont="1" applyBorder="1" applyAlignment="1">
      <alignment horizontal="center" vertical="center"/>
    </xf>
    <xf numFmtId="164" fontId="21" fillId="0" borderId="4" xfId="0" applyNumberFormat="1" applyFont="1" applyBorder="1" applyAlignment="1">
      <alignment horizontal="center" vertical="center"/>
    </xf>
    <xf numFmtId="164" fontId="21" fillId="0" borderId="34" xfId="0" applyNumberFormat="1" applyFont="1" applyBorder="1" applyAlignment="1">
      <alignment horizontal="center" vertical="center"/>
    </xf>
    <xf numFmtId="164" fontId="21" fillId="0" borderId="35" xfId="0" applyNumberFormat="1" applyFont="1" applyBorder="1" applyAlignment="1">
      <alignment horizontal="center" vertical="center"/>
    </xf>
    <xf numFmtId="0" fontId="3" fillId="0" borderId="48" xfId="0" applyFont="1" applyBorder="1" applyAlignment="1">
      <alignment horizontal="left" vertical="center" wrapText="1"/>
    </xf>
    <xf numFmtId="0" fontId="3" fillId="0" borderId="23"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35" xfId="0" applyFont="1" applyBorder="1" applyAlignment="1">
      <alignment horizontal="left" vertical="center" wrapText="1"/>
    </xf>
    <xf numFmtId="4" fontId="21" fillId="0" borderId="0" xfId="0" applyNumberFormat="1" applyFont="1" applyBorder="1" applyAlignment="1">
      <alignment vertical="center" wrapText="1"/>
    </xf>
    <xf numFmtId="4" fontId="3" fillId="0" borderId="1" xfId="0" applyNumberFormat="1" applyFont="1" applyBorder="1" applyAlignment="1">
      <alignment horizontal="center" vertical="center" wrapText="1"/>
    </xf>
    <xf numFmtId="4" fontId="3" fillId="0" borderId="4"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29"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3" fillId="0" borderId="35" xfId="0" applyNumberFormat="1" applyFont="1" applyBorder="1" applyAlignment="1">
      <alignment horizontal="left" vertical="center" wrapText="1"/>
    </xf>
    <xf numFmtId="4" fontId="7" fillId="0" borderId="61" xfId="0" applyNumberFormat="1" applyFont="1" applyBorder="1" applyAlignment="1">
      <alignment horizontal="center" vertical="center" wrapText="1"/>
    </xf>
    <xf numFmtId="4" fontId="7" fillId="0" borderId="60" xfId="0" applyNumberFormat="1" applyFont="1" applyBorder="1" applyAlignment="1">
      <alignment horizontal="center" vertical="center" wrapText="1"/>
    </xf>
    <xf numFmtId="4" fontId="21" fillId="0" borderId="0" xfId="0" applyNumberFormat="1" applyFont="1" applyBorder="1" applyAlignment="1">
      <alignment horizontal="center" wrapText="1"/>
    </xf>
    <xf numFmtId="0" fontId="3" fillId="0" borderId="0" xfId="0" applyFont="1" applyAlignment="1">
      <alignment horizontal="center" vertical="center" wrapText="1"/>
    </xf>
    <xf numFmtId="0" fontId="3" fillId="0" borderId="0" xfId="0" applyFont="1" applyAlignment="1">
      <alignment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left" vertical="center" wrapText="1"/>
    </xf>
    <xf numFmtId="0" fontId="21" fillId="0" borderId="28" xfId="0" applyNumberFormat="1" applyFont="1" applyBorder="1" applyAlignment="1">
      <alignment horizontal="center" vertical="center" wrapText="1"/>
    </xf>
    <xf numFmtId="4" fontId="1" fillId="0" borderId="28" xfId="0" applyNumberFormat="1" applyFont="1" applyBorder="1" applyAlignment="1">
      <alignment horizontal="center" vertical="center" wrapText="1"/>
    </xf>
    <xf numFmtId="0" fontId="0" fillId="0" borderId="0" xfId="0" applyBorder="1" applyAlignment="1"/>
    <xf numFmtId="0" fontId="0" fillId="2" borderId="3" xfId="0" applyFill="1" applyBorder="1" applyAlignment="1">
      <alignment horizontal="center" vertical="center"/>
    </xf>
    <xf numFmtId="0" fontId="0" fillId="5" borderId="2" xfId="0" applyFill="1" applyBorder="1"/>
    <xf numFmtId="0" fontId="0" fillId="5" borderId="2" xfId="0" applyFill="1" applyBorder="1" applyAlignment="1">
      <alignment horizontal="right" wrapText="1"/>
    </xf>
    <xf numFmtId="166" fontId="18" fillId="5" borderId="20" xfId="4" applyNumberFormat="1" applyFont="1" applyFill="1" applyBorder="1" applyAlignment="1">
      <alignment horizontal="left"/>
    </xf>
    <xf numFmtId="0" fontId="0" fillId="2" borderId="27" xfId="0" applyFill="1" applyBorder="1" applyAlignment="1">
      <alignment horizontal="center" vertical="center"/>
    </xf>
    <xf numFmtId="0" fontId="0" fillId="2" borderId="12" xfId="0" applyFill="1" applyBorder="1" applyAlignment="1">
      <alignment horizontal="center" vertical="center"/>
    </xf>
    <xf numFmtId="0" fontId="0" fillId="2" borderId="21" xfId="0" applyFill="1" applyBorder="1" applyAlignment="1">
      <alignment horizontal="center" vertical="center"/>
    </xf>
    <xf numFmtId="0" fontId="0" fillId="2" borderId="15" xfId="0" applyFill="1" applyBorder="1" applyAlignment="1">
      <alignment horizontal="center" vertical="center"/>
    </xf>
    <xf numFmtId="0" fontId="0" fillId="2" borderId="46" xfId="0" applyFill="1" applyBorder="1" applyAlignment="1">
      <alignment horizontal="center" vertical="center"/>
    </xf>
    <xf numFmtId="0" fontId="0" fillId="2" borderId="69" xfId="0" applyFill="1" applyBorder="1" applyAlignment="1">
      <alignment horizontal="center" vertical="center"/>
    </xf>
    <xf numFmtId="0" fontId="6" fillId="0" borderId="0" xfId="0" applyFont="1" applyBorder="1" applyAlignment="1"/>
    <xf numFmtId="0" fontId="11" fillId="0" borderId="0" xfId="0" applyFont="1"/>
    <xf numFmtId="0" fontId="11" fillId="0" borderId="0" xfId="0" applyFont="1" applyAlignment="1">
      <alignment wrapText="1"/>
    </xf>
    <xf numFmtId="0" fontId="0" fillId="0" borderId="0" xfId="0" applyFill="1" applyBorder="1" applyAlignment="1">
      <alignment horizontal="center" vertical="center"/>
    </xf>
    <xf numFmtId="0" fontId="0" fillId="2" borderId="28" xfId="0" applyFill="1" applyBorder="1" applyAlignment="1">
      <alignment horizontal="center" vertical="center"/>
    </xf>
    <xf numFmtId="166" fontId="18" fillId="2" borderId="7" xfId="4" applyNumberFormat="1" applyFont="1" applyFill="1" applyBorder="1" applyAlignment="1">
      <alignment horizontal="center" vertical="center"/>
    </xf>
    <xf numFmtId="164" fontId="0" fillId="7" borderId="2" xfId="0" applyNumberFormat="1" applyFill="1" applyBorder="1" applyAlignment="1">
      <alignment wrapText="1"/>
    </xf>
    <xf numFmtId="4" fontId="40" fillId="0" borderId="0" xfId="0" applyNumberFormat="1" applyFont="1" applyAlignment="1">
      <alignment wrapText="1"/>
    </xf>
    <xf numFmtId="164" fontId="40" fillId="0" borderId="0" xfId="0" applyNumberFormat="1" applyFont="1" applyAlignment="1">
      <alignment wrapText="1"/>
    </xf>
    <xf numFmtId="0" fontId="40" fillId="0" borderId="0" xfId="0" applyNumberFormat="1" applyFont="1" applyAlignment="1">
      <alignment horizontal="center" wrapText="1"/>
    </xf>
    <xf numFmtId="1" fontId="40" fillId="0" borderId="0" xfId="0" applyNumberFormat="1" applyFont="1" applyAlignment="1">
      <alignment wrapText="1"/>
    </xf>
    <xf numFmtId="0" fontId="40" fillId="0" borderId="0" xfId="0" applyFont="1"/>
    <xf numFmtId="0" fontId="38" fillId="0" borderId="0" xfId="0" applyFont="1" applyAlignment="1">
      <alignment horizontal="left" vertical="center"/>
    </xf>
    <xf numFmtId="0" fontId="0" fillId="13" borderId="61" xfId="0" applyFill="1" applyBorder="1"/>
    <xf numFmtId="165" fontId="0" fillId="13" borderId="64" xfId="0" applyNumberFormat="1" applyFill="1" applyBorder="1"/>
    <xf numFmtId="0" fontId="0" fillId="17" borderId="2" xfId="0" applyFill="1" applyBorder="1" applyAlignment="1">
      <alignment horizontal="center" vertical="center"/>
    </xf>
    <xf numFmtId="0" fontId="42" fillId="18" borderId="2" xfId="0" applyFont="1" applyFill="1" applyBorder="1" applyAlignment="1">
      <alignment horizontal="center" vertical="center"/>
    </xf>
    <xf numFmtId="164" fontId="40" fillId="0" borderId="0" xfId="0" applyNumberFormat="1" applyFont="1" applyFill="1" applyAlignment="1">
      <alignment horizontal="center" wrapText="1"/>
    </xf>
    <xf numFmtId="164" fontId="40" fillId="0" borderId="0" xfId="0" applyNumberFormat="1" applyFont="1" applyFill="1" applyAlignment="1">
      <alignment wrapText="1"/>
    </xf>
    <xf numFmtId="4" fontId="40" fillId="0" borderId="0" xfId="0" applyNumberFormat="1" applyFont="1" applyFill="1" applyAlignment="1">
      <alignment wrapText="1"/>
    </xf>
    <xf numFmtId="0" fontId="41" fillId="0" borderId="0" xfId="0" applyFont="1" applyAlignment="1">
      <alignment vertical="center"/>
    </xf>
    <xf numFmtId="4" fontId="28" fillId="0" borderId="0" xfId="0" applyNumberFormat="1" applyFont="1" applyAlignment="1">
      <alignment vertical="center"/>
    </xf>
    <xf numFmtId="4" fontId="41" fillId="0" borderId="0" xfId="0" applyNumberFormat="1" applyFont="1" applyAlignment="1">
      <alignment vertical="center" wrapText="1"/>
    </xf>
    <xf numFmtId="1" fontId="41" fillId="0" borderId="0" xfId="0" applyNumberFormat="1" applyFont="1" applyAlignment="1">
      <alignment vertical="center" wrapText="1"/>
    </xf>
    <xf numFmtId="0" fontId="45" fillId="0" borderId="0" xfId="0" applyFont="1" applyAlignment="1">
      <alignment vertical="center"/>
    </xf>
    <xf numFmtId="4" fontId="38" fillId="0" borderId="20" xfId="0" applyNumberFormat="1" applyFont="1" applyBorder="1" applyAlignment="1">
      <alignment horizontal="left"/>
    </xf>
    <xf numFmtId="164" fontId="0" fillId="12" borderId="2" xfId="0" applyNumberFormat="1" applyFill="1" applyBorder="1" applyAlignment="1">
      <alignment wrapText="1"/>
    </xf>
    <xf numFmtId="164" fontId="0" fillId="9" borderId="2" xfId="0" applyNumberFormat="1" applyFill="1" applyBorder="1" applyAlignment="1">
      <alignment wrapText="1"/>
    </xf>
    <xf numFmtId="0" fontId="2" fillId="16" borderId="4" xfId="0" applyFont="1" applyFill="1" applyBorder="1" applyAlignment="1">
      <alignment horizontal="center" vertical="center" wrapText="1"/>
    </xf>
    <xf numFmtId="0" fontId="2" fillId="16" borderId="34" xfId="0" applyFont="1" applyFill="1" applyBorder="1" applyAlignment="1">
      <alignment horizontal="center" vertical="center" wrapText="1"/>
    </xf>
    <xf numFmtId="4" fontId="5" fillId="0" borderId="0" xfId="0" applyNumberFormat="1" applyFont="1" applyBorder="1" applyAlignment="1"/>
    <xf numFmtId="1" fontId="0" fillId="0" borderId="0" xfId="0" applyNumberFormat="1" applyBorder="1" applyAlignment="1">
      <alignment wrapText="1"/>
    </xf>
    <xf numFmtId="4" fontId="1" fillId="7" borderId="2" xfId="0" applyNumberFormat="1" applyFont="1" applyFill="1" applyBorder="1" applyAlignment="1">
      <alignment vertical="center" wrapText="1"/>
    </xf>
    <xf numFmtId="0" fontId="1" fillId="7" borderId="2" xfId="0" applyFont="1" applyFill="1" applyBorder="1" applyAlignment="1">
      <alignment vertical="center" wrapText="1"/>
    </xf>
    <xf numFmtId="6" fontId="1" fillId="7" borderId="2" xfId="0" applyNumberFormat="1" applyFont="1" applyFill="1" applyBorder="1" applyAlignment="1">
      <alignment vertical="center" wrapText="1"/>
    </xf>
    <xf numFmtId="0" fontId="1" fillId="7" borderId="20" xfId="0" applyFont="1" applyFill="1" applyBorder="1" applyAlignment="1">
      <alignment horizontal="center" vertical="center" wrapText="1"/>
    </xf>
    <xf numFmtId="6" fontId="1" fillId="7" borderId="2" xfId="0" quotePrefix="1" applyNumberFormat="1" applyFont="1" applyFill="1" applyBorder="1" applyAlignment="1">
      <alignment vertical="center" wrapText="1"/>
    </xf>
    <xf numFmtId="0" fontId="1" fillId="7" borderId="2" xfId="0" applyFont="1" applyFill="1" applyBorder="1" applyAlignment="1">
      <alignment horizontal="center" vertical="center" wrapText="1"/>
    </xf>
    <xf numFmtId="0" fontId="1" fillId="7" borderId="2" xfId="0" applyFont="1" applyFill="1" applyBorder="1" applyAlignment="1">
      <alignment horizontal="left" vertical="center" wrapText="1"/>
    </xf>
    <xf numFmtId="0" fontId="4" fillId="13" borderId="4" xfId="0" applyNumberFormat="1" applyFont="1" applyFill="1" applyBorder="1" applyAlignment="1">
      <alignment horizontal="right" vertical="center" wrapText="1"/>
    </xf>
    <xf numFmtId="0" fontId="4" fillId="13" borderId="34" xfId="0" applyNumberFormat="1" applyFont="1" applyFill="1" applyBorder="1" applyAlignment="1">
      <alignment horizontal="right" vertical="center" wrapText="1"/>
    </xf>
    <xf numFmtId="0" fontId="14" fillId="13" borderId="34" xfId="0" applyNumberFormat="1" applyFont="1" applyFill="1" applyBorder="1" applyAlignment="1">
      <alignment horizontal="right" vertical="center" wrapText="1"/>
    </xf>
    <xf numFmtId="0" fontId="14" fillId="13" borderId="35" xfId="0" applyNumberFormat="1" applyFont="1" applyFill="1" applyBorder="1" applyAlignment="1">
      <alignment horizontal="right" vertical="center" wrapText="1"/>
    </xf>
    <xf numFmtId="0" fontId="4" fillId="11" borderId="4" xfId="0" applyNumberFormat="1" applyFont="1" applyFill="1" applyBorder="1" applyAlignment="1">
      <alignment horizontal="right" vertical="center" wrapText="1"/>
    </xf>
    <xf numFmtId="0" fontId="4" fillId="11" borderId="34" xfId="0" applyNumberFormat="1" applyFont="1" applyFill="1" applyBorder="1" applyAlignment="1">
      <alignment horizontal="right" vertical="center" wrapText="1"/>
    </xf>
    <xf numFmtId="0" fontId="14" fillId="11" borderId="34" xfId="0" applyNumberFormat="1" applyFont="1" applyFill="1" applyBorder="1" applyAlignment="1">
      <alignment horizontal="right" vertical="center" wrapText="1"/>
    </xf>
    <xf numFmtId="0" fontId="14" fillId="11" borderId="35" xfId="0" applyNumberFormat="1" applyFont="1" applyFill="1" applyBorder="1" applyAlignment="1">
      <alignment horizontal="right" vertical="center" wrapText="1"/>
    </xf>
    <xf numFmtId="0" fontId="2" fillId="16" borderId="4" xfId="0" applyNumberFormat="1" applyFont="1" applyFill="1" applyBorder="1" applyAlignment="1">
      <alignment vertical="center" wrapText="1"/>
    </xf>
    <xf numFmtId="0" fontId="2" fillId="16" borderId="34" xfId="0" applyNumberFormat="1" applyFont="1" applyFill="1" applyBorder="1" applyAlignment="1">
      <alignment vertical="center" wrapText="1"/>
    </xf>
    <xf numFmtId="164" fontId="0" fillId="9" borderId="20" xfId="0" applyNumberFormat="1" applyFill="1" applyBorder="1" applyAlignment="1">
      <alignment horizontal="center" wrapText="1"/>
    </xf>
    <xf numFmtId="164" fontId="0" fillId="9" borderId="20" xfId="0" applyNumberFormat="1" applyFill="1" applyBorder="1" applyAlignment="1">
      <alignment wrapText="1"/>
    </xf>
    <xf numFmtId="0" fontId="0" fillId="13" borderId="0" xfId="0" applyFill="1"/>
    <xf numFmtId="0" fontId="15" fillId="0" borderId="0" xfId="0" applyFont="1" applyFill="1"/>
    <xf numFmtId="0" fontId="3" fillId="13" borderId="14" xfId="0" applyFont="1" applyFill="1" applyBorder="1" applyAlignment="1">
      <alignment horizontal="center" vertical="center" wrapText="1"/>
    </xf>
    <xf numFmtId="0" fontId="3" fillId="7" borderId="2" xfId="0" applyFont="1" applyFill="1" applyBorder="1" applyAlignment="1">
      <alignment vertical="center" wrapText="1"/>
    </xf>
    <xf numFmtId="6" fontId="3" fillId="7" borderId="2" xfId="0" applyNumberFormat="1" applyFont="1" applyFill="1" applyBorder="1" applyAlignment="1">
      <alignment vertical="center" wrapText="1"/>
    </xf>
    <xf numFmtId="0" fontId="3" fillId="7" borderId="2" xfId="0" applyFont="1" applyFill="1" applyBorder="1" applyAlignment="1" applyProtection="1">
      <alignment vertical="center" wrapText="1"/>
      <protection locked="0"/>
    </xf>
    <xf numFmtId="6" fontId="3" fillId="7" borderId="2" xfId="0" applyNumberFormat="1" applyFont="1" applyFill="1" applyBorder="1" applyAlignment="1" applyProtection="1">
      <alignment vertical="center" wrapText="1"/>
      <protection locked="0"/>
    </xf>
    <xf numFmtId="0" fontId="31" fillId="7" borderId="2" xfId="0" applyFont="1" applyFill="1" applyBorder="1" applyAlignment="1">
      <alignment vertical="center" wrapText="1"/>
    </xf>
    <xf numFmtId="0" fontId="7" fillId="16" borderId="4" xfId="0" applyNumberFormat="1" applyFont="1" applyFill="1" applyBorder="1" applyAlignment="1">
      <alignment vertical="center" wrapText="1"/>
    </xf>
    <xf numFmtId="0" fontId="7" fillId="16" borderId="34" xfId="0" applyNumberFormat="1" applyFont="1" applyFill="1" applyBorder="1" applyAlignment="1">
      <alignment vertical="center" wrapText="1"/>
    </xf>
    <xf numFmtId="0" fontId="3" fillId="15" borderId="34" xfId="0" applyFont="1" applyFill="1" applyBorder="1" applyAlignment="1">
      <alignment wrapText="1"/>
    </xf>
    <xf numFmtId="0" fontId="1" fillId="7" borderId="28" xfId="0" applyFont="1" applyFill="1" applyBorder="1" applyAlignment="1">
      <alignment vertical="center" wrapText="1"/>
    </xf>
    <xf numFmtId="0" fontId="3" fillId="7" borderId="14" xfId="0" applyFont="1" applyFill="1" applyBorder="1"/>
    <xf numFmtId="0" fontId="3" fillId="7" borderId="14" xfId="0" applyFont="1" applyFill="1" applyBorder="1" applyAlignment="1">
      <alignment wrapText="1"/>
    </xf>
    <xf numFmtId="0" fontId="1" fillId="7" borderId="1" xfId="0" applyFont="1" applyFill="1" applyBorder="1" applyAlignment="1">
      <alignment vertical="center" wrapText="1"/>
    </xf>
    <xf numFmtId="0" fontId="3" fillId="7" borderId="2" xfId="0" applyFont="1" applyFill="1" applyBorder="1"/>
    <xf numFmtId="0" fontId="3" fillId="7" borderId="2" xfId="0" applyFont="1" applyFill="1" applyBorder="1" applyAlignment="1">
      <alignment wrapText="1"/>
    </xf>
    <xf numFmtId="0" fontId="35" fillId="7" borderId="2" xfId="0" applyFont="1" applyFill="1" applyBorder="1"/>
    <xf numFmtId="0" fontId="35" fillId="7" borderId="2" xfId="0" applyFont="1" applyFill="1" applyBorder="1" applyAlignment="1">
      <alignment wrapText="1"/>
    </xf>
    <xf numFmtId="0" fontId="1" fillId="7" borderId="4" xfId="0" applyFont="1" applyFill="1" applyBorder="1" applyAlignment="1">
      <alignment vertical="center" wrapText="1"/>
    </xf>
    <xf numFmtId="0" fontId="32" fillId="11" borderId="4" xfId="0" applyNumberFormat="1" applyFont="1" applyFill="1" applyBorder="1" applyAlignment="1">
      <alignment horizontal="right" vertical="center" wrapText="1"/>
    </xf>
    <xf numFmtId="0" fontId="33" fillId="11" borderId="4" xfId="0" applyNumberFormat="1" applyFont="1" applyFill="1" applyBorder="1" applyAlignment="1">
      <alignment horizontal="right" vertical="center" wrapText="1"/>
    </xf>
    <xf numFmtId="0" fontId="33" fillId="11" borderId="34" xfId="0" applyNumberFormat="1" applyFont="1" applyFill="1" applyBorder="1" applyAlignment="1">
      <alignment horizontal="right" vertical="center" wrapText="1"/>
    </xf>
    <xf numFmtId="0" fontId="33" fillId="11" borderId="35" xfId="0" applyNumberFormat="1" applyFont="1" applyFill="1" applyBorder="1" applyAlignment="1">
      <alignment horizontal="right" vertical="center" wrapText="1"/>
    </xf>
    <xf numFmtId="0" fontId="3" fillId="9" borderId="28" xfId="0" applyFont="1" applyFill="1" applyBorder="1"/>
    <xf numFmtId="0" fontId="3" fillId="9" borderId="29" xfId="0" applyFont="1" applyFill="1" applyBorder="1"/>
    <xf numFmtId="164" fontId="3" fillId="9" borderId="14" xfId="0" applyNumberFormat="1" applyFont="1" applyFill="1" applyBorder="1" applyAlignment="1">
      <alignment wrapText="1"/>
    </xf>
    <xf numFmtId="164" fontId="3" fillId="9" borderId="14" xfId="0" applyNumberFormat="1" applyFont="1" applyFill="1" applyBorder="1"/>
    <xf numFmtId="164" fontId="3" fillId="9" borderId="29" xfId="0" applyNumberFormat="1" applyFont="1" applyFill="1" applyBorder="1"/>
    <xf numFmtId="0" fontId="3" fillId="9" borderId="1" xfId="0" applyFont="1" applyFill="1" applyBorder="1"/>
    <xf numFmtId="0" fontId="3" fillId="9" borderId="3" xfId="0" applyFont="1" applyFill="1" applyBorder="1"/>
    <xf numFmtId="0" fontId="3" fillId="9" borderId="2" xfId="0" applyFont="1" applyFill="1" applyBorder="1"/>
    <xf numFmtId="164" fontId="3" fillId="9" borderId="2" xfId="0" applyNumberFormat="1" applyFont="1" applyFill="1" applyBorder="1" applyAlignment="1">
      <alignment wrapText="1"/>
    </xf>
    <xf numFmtId="164" fontId="3" fillId="9" borderId="2" xfId="0" applyNumberFormat="1" applyFont="1" applyFill="1" applyBorder="1"/>
    <xf numFmtId="164" fontId="3" fillId="9" borderId="3" xfId="0" applyNumberFormat="1" applyFont="1" applyFill="1" applyBorder="1"/>
    <xf numFmtId="0" fontId="32" fillId="13" borderId="34" xfId="0" applyNumberFormat="1" applyFont="1" applyFill="1" applyBorder="1" applyAlignment="1">
      <alignment horizontal="right" vertical="center" wrapText="1"/>
    </xf>
    <xf numFmtId="0" fontId="33" fillId="13" borderId="35" xfId="0" applyNumberFormat="1" applyFont="1" applyFill="1" applyBorder="1" applyAlignment="1">
      <alignment horizontal="right" vertical="center" wrapText="1"/>
    </xf>
    <xf numFmtId="0" fontId="33" fillId="13" borderId="4" xfId="0" applyNumberFormat="1" applyFont="1" applyFill="1" applyBorder="1" applyAlignment="1">
      <alignment horizontal="right" vertical="center" wrapText="1"/>
    </xf>
    <xf numFmtId="0" fontId="33" fillId="13" borderId="34" xfId="0" applyNumberFormat="1" applyFont="1" applyFill="1" applyBorder="1" applyAlignment="1">
      <alignment horizontal="right" vertical="center" wrapText="1"/>
    </xf>
    <xf numFmtId="1" fontId="3" fillId="12" borderId="28" xfId="0" applyNumberFormat="1" applyFont="1" applyFill="1" applyBorder="1"/>
    <xf numFmtId="1" fontId="3" fillId="12" borderId="14" xfId="0" applyNumberFormat="1" applyFont="1" applyFill="1" applyBorder="1"/>
    <xf numFmtId="3" fontId="3" fillId="12" borderId="29" xfId="0" applyNumberFormat="1" applyFont="1" applyFill="1" applyBorder="1" applyAlignment="1">
      <alignment wrapText="1"/>
    </xf>
    <xf numFmtId="164" fontId="3" fillId="12" borderId="28" xfId="0" applyNumberFormat="1" applyFont="1" applyFill="1" applyBorder="1" applyAlignment="1">
      <alignment wrapText="1"/>
    </xf>
    <xf numFmtId="164" fontId="3" fillId="12" borderId="29" xfId="0" applyNumberFormat="1" applyFont="1" applyFill="1" applyBorder="1"/>
    <xf numFmtId="3" fontId="3" fillId="12" borderId="14" xfId="0" applyNumberFormat="1" applyFont="1" applyFill="1" applyBorder="1" applyAlignment="1">
      <alignment wrapText="1"/>
    </xf>
    <xf numFmtId="44" fontId="3" fillId="12" borderId="14" xfId="3" applyFont="1" applyFill="1" applyBorder="1" applyAlignment="1">
      <alignment wrapText="1"/>
    </xf>
    <xf numFmtId="1" fontId="3" fillId="12" borderId="1" xfId="0" applyNumberFormat="1" applyFont="1" applyFill="1" applyBorder="1"/>
    <xf numFmtId="1" fontId="3" fillId="12" borderId="2" xfId="0" applyNumberFormat="1" applyFont="1" applyFill="1" applyBorder="1"/>
    <xf numFmtId="3" fontId="3" fillId="12" borderId="3" xfId="0" applyNumberFormat="1" applyFont="1" applyFill="1" applyBorder="1" applyAlignment="1">
      <alignment wrapText="1"/>
    </xf>
    <xf numFmtId="164" fontId="3" fillId="12" borderId="1" xfId="0" applyNumberFormat="1" applyFont="1" applyFill="1" applyBorder="1" applyAlignment="1">
      <alignment wrapText="1"/>
    </xf>
    <xf numFmtId="164" fontId="3" fillId="12" borderId="3" xfId="0" applyNumberFormat="1" applyFont="1" applyFill="1" applyBorder="1"/>
    <xf numFmtId="3" fontId="3" fillId="12" borderId="2" xfId="0" applyNumberFormat="1" applyFont="1" applyFill="1" applyBorder="1" applyAlignment="1">
      <alignment wrapText="1"/>
    </xf>
    <xf numFmtId="44" fontId="3" fillId="12" borderId="2" xfId="3" applyFont="1" applyFill="1" applyBorder="1" applyAlignment="1">
      <alignment wrapText="1"/>
    </xf>
    <xf numFmtId="0" fontId="21" fillId="0" borderId="30" xfId="0" applyNumberFormat="1" applyFont="1" applyFill="1" applyBorder="1" applyAlignment="1">
      <alignment horizontal="center" vertical="center" wrapText="1"/>
    </xf>
    <xf numFmtId="0" fontId="21" fillId="0" borderId="20" xfId="0" applyNumberFormat="1" applyFont="1" applyFill="1" applyBorder="1" applyAlignment="1">
      <alignment horizontal="center" wrapText="1"/>
    </xf>
    <xf numFmtId="1" fontId="21" fillId="0" borderId="20" xfId="0" applyNumberFormat="1" applyFont="1" applyFill="1" applyBorder="1" applyAlignment="1">
      <alignment horizontal="center" wrapText="1"/>
    </xf>
    <xf numFmtId="164" fontId="21" fillId="0" borderId="20" xfId="0" applyNumberFormat="1" applyFont="1" applyFill="1" applyBorder="1" applyAlignment="1">
      <alignment horizontal="center" wrapText="1"/>
    </xf>
    <xf numFmtId="164" fontId="21" fillId="0" borderId="27" xfId="0" applyNumberFormat="1" applyFont="1" applyFill="1" applyBorder="1" applyAlignment="1">
      <alignment horizontal="center" wrapText="1"/>
    </xf>
    <xf numFmtId="4" fontId="1" fillId="0" borderId="48" xfId="0" applyNumberFormat="1" applyFont="1" applyFill="1" applyBorder="1" applyAlignment="1">
      <alignment horizontal="center" vertical="center" wrapText="1"/>
    </xf>
    <xf numFmtId="4" fontId="1" fillId="0" borderId="23" xfId="0" applyNumberFormat="1" applyFont="1" applyFill="1" applyBorder="1" applyAlignment="1">
      <alignment horizontal="left" vertical="center" wrapText="1"/>
    </xf>
    <xf numFmtId="0" fontId="1" fillId="16" borderId="4" xfId="0" applyFont="1" applyFill="1" applyBorder="1" applyAlignment="1">
      <alignment vertical="center" wrapText="1"/>
    </xf>
    <xf numFmtId="0" fontId="1" fillId="16" borderId="34" xfId="0" applyFont="1" applyFill="1" applyBorder="1"/>
    <xf numFmtId="0" fontId="2" fillId="15" borderId="36" xfId="0" applyFont="1" applyFill="1" applyBorder="1" applyAlignment="1">
      <alignment wrapText="1"/>
    </xf>
    <xf numFmtId="0" fontId="2" fillId="15" borderId="37" xfId="0" applyFont="1" applyFill="1" applyBorder="1" applyAlignment="1">
      <alignment wrapText="1"/>
    </xf>
    <xf numFmtId="0" fontId="2" fillId="15" borderId="38" xfId="0" applyFont="1" applyFill="1" applyBorder="1" applyAlignment="1">
      <alignment wrapText="1"/>
    </xf>
    <xf numFmtId="0" fontId="1" fillId="12" borderId="2" xfId="0" applyFont="1" applyFill="1" applyBorder="1"/>
    <xf numFmtId="0" fontId="1" fillId="7" borderId="14" xfId="0" applyFont="1" applyFill="1" applyBorder="1" applyAlignment="1">
      <alignment vertical="center" wrapText="1"/>
    </xf>
    <xf numFmtId="8" fontId="1" fillId="7" borderId="2" xfId="0" quotePrefix="1" applyNumberFormat="1" applyFont="1" applyFill="1" applyBorder="1" applyAlignment="1">
      <alignment vertical="center" wrapText="1"/>
    </xf>
    <xf numFmtId="0" fontId="1" fillId="7" borderId="1" xfId="0" applyFont="1" applyFill="1" applyBorder="1" applyAlignment="1" applyProtection="1">
      <alignment vertical="center" wrapText="1"/>
      <protection locked="0"/>
    </xf>
    <xf numFmtId="6" fontId="1" fillId="7" borderId="2" xfId="0" applyNumberFormat="1" applyFont="1" applyFill="1" applyBorder="1" applyAlignment="1" applyProtection="1">
      <alignment vertical="center" wrapText="1"/>
      <protection locked="0"/>
    </xf>
    <xf numFmtId="0" fontId="1" fillId="7" borderId="2" xfId="0" applyFont="1" applyFill="1" applyBorder="1" applyAlignment="1" applyProtection="1">
      <alignment vertical="center" wrapText="1"/>
      <protection locked="0"/>
    </xf>
    <xf numFmtId="6" fontId="1" fillId="7" borderId="34" xfId="0" applyNumberFormat="1" applyFont="1" applyFill="1" applyBorder="1" applyAlignment="1">
      <alignment vertical="center" wrapText="1"/>
    </xf>
    <xf numFmtId="0" fontId="1" fillId="7" borderId="34" xfId="0" applyFont="1" applyFill="1" applyBorder="1" applyAlignment="1">
      <alignment vertical="center" wrapText="1"/>
    </xf>
    <xf numFmtId="0" fontId="1" fillId="7" borderId="2" xfId="0" applyFont="1" applyFill="1" applyBorder="1"/>
    <xf numFmtId="164" fontId="1" fillId="13" borderId="34" xfId="0" applyNumberFormat="1" applyFont="1" applyFill="1" applyBorder="1"/>
    <xf numFmtId="0" fontId="1" fillId="11" borderId="34" xfId="0" applyFont="1" applyFill="1" applyBorder="1"/>
    <xf numFmtId="164" fontId="1" fillId="11" borderId="34" xfId="0" applyNumberFormat="1" applyFont="1" applyFill="1" applyBorder="1"/>
    <xf numFmtId="164" fontId="2" fillId="6" borderId="14" xfId="0" applyNumberFormat="1" applyFont="1" applyFill="1" applyBorder="1" applyAlignment="1">
      <alignment wrapText="1"/>
    </xf>
    <xf numFmtId="0" fontId="1" fillId="7" borderId="14" xfId="0" applyFont="1" applyFill="1" applyBorder="1" applyAlignment="1">
      <alignment horizontal="center" vertical="center" wrapText="1"/>
    </xf>
    <xf numFmtId="0" fontId="1" fillId="8" borderId="14" xfId="0" applyFont="1" applyFill="1" applyBorder="1" applyAlignment="1">
      <alignment horizontal="center" vertical="center" wrapText="1"/>
    </xf>
    <xf numFmtId="164" fontId="2" fillId="8" borderId="14" xfId="0" applyNumberFormat="1" applyFont="1" applyFill="1" applyBorder="1" applyAlignment="1">
      <alignment wrapText="1"/>
    </xf>
    <xf numFmtId="0" fontId="1" fillId="9" borderId="28" xfId="0" applyFont="1" applyFill="1" applyBorder="1" applyAlignment="1">
      <alignment horizontal="center" vertical="center" wrapText="1"/>
    </xf>
    <xf numFmtId="0" fontId="1" fillId="9" borderId="29" xfId="0" applyFont="1" applyFill="1" applyBorder="1" applyAlignment="1">
      <alignment horizontal="center" vertical="center" wrapText="1"/>
    </xf>
    <xf numFmtId="169" fontId="1" fillId="9" borderId="28" xfId="4" applyNumberFormat="1" applyFont="1" applyFill="1" applyBorder="1" applyAlignment="1">
      <alignment horizontal="center" vertical="center" wrapText="1"/>
    </xf>
    <xf numFmtId="169" fontId="1" fillId="9" borderId="14" xfId="4" applyNumberFormat="1" applyFont="1" applyFill="1" applyBorder="1" applyAlignment="1">
      <alignment horizontal="center" vertical="center" wrapText="1"/>
    </xf>
    <xf numFmtId="3" fontId="1" fillId="9" borderId="29" xfId="0" applyNumberFormat="1"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3" xfId="0" applyFont="1" applyFill="1" applyBorder="1" applyAlignment="1">
      <alignment horizontal="center" vertical="center" wrapText="1"/>
    </xf>
    <xf numFmtId="169" fontId="1" fillId="9" borderId="1" xfId="4" applyNumberFormat="1" applyFont="1" applyFill="1" applyBorder="1" applyAlignment="1">
      <alignment horizontal="center" vertical="center" wrapText="1"/>
    </xf>
    <xf numFmtId="169" fontId="1" fillId="9" borderId="2" xfId="4" applyNumberFormat="1" applyFont="1" applyFill="1" applyBorder="1" applyAlignment="1">
      <alignment horizontal="center" vertical="center" wrapText="1"/>
    </xf>
    <xf numFmtId="3" fontId="1" fillId="9" borderId="3" xfId="0" applyNumberFormat="1" applyFont="1" applyFill="1" applyBorder="1" applyAlignment="1">
      <alignment horizontal="center" vertical="center" wrapText="1"/>
    </xf>
    <xf numFmtId="164" fontId="1" fillId="9" borderId="2" xfId="0" applyNumberFormat="1" applyFont="1" applyFill="1" applyBorder="1" applyAlignment="1">
      <alignment wrapText="1"/>
    </xf>
    <xf numFmtId="164" fontId="1" fillId="9" borderId="3" xfId="0" applyNumberFormat="1" applyFont="1" applyFill="1" applyBorder="1" applyAlignment="1">
      <alignment wrapText="1"/>
    </xf>
    <xf numFmtId="0" fontId="1" fillId="9" borderId="4" xfId="0" applyFont="1" applyFill="1" applyBorder="1" applyAlignment="1">
      <alignment horizontal="center" vertical="center" wrapText="1"/>
    </xf>
    <xf numFmtId="0" fontId="1" fillId="9" borderId="35" xfId="0" applyFont="1" applyFill="1" applyBorder="1" applyAlignment="1">
      <alignment horizontal="center" vertical="center" wrapText="1"/>
    </xf>
    <xf numFmtId="169" fontId="1" fillId="9" borderId="34" xfId="4" applyNumberFormat="1" applyFont="1" applyFill="1" applyBorder="1" applyAlignment="1">
      <alignment horizontal="center" vertical="center" wrapText="1"/>
    </xf>
    <xf numFmtId="3" fontId="1" fillId="9" borderId="35" xfId="0" applyNumberFormat="1" applyFont="1" applyFill="1" applyBorder="1" applyAlignment="1">
      <alignment horizontal="center" vertical="center" wrapText="1"/>
    </xf>
    <xf numFmtId="0" fontId="1" fillId="9" borderId="2" xfId="0" applyFont="1" applyFill="1" applyBorder="1"/>
    <xf numFmtId="164" fontId="1" fillId="9" borderId="2" xfId="0" applyNumberFormat="1" applyFont="1" applyFill="1" applyBorder="1"/>
    <xf numFmtId="164" fontId="1" fillId="13" borderId="35" xfId="0" applyNumberFormat="1" applyFont="1" applyFill="1" applyBorder="1"/>
    <xf numFmtId="0" fontId="1" fillId="6" borderId="14" xfId="0" applyFont="1" applyFill="1" applyBorder="1" applyAlignment="1">
      <alignment wrapText="1"/>
    </xf>
    <xf numFmtId="0" fontId="1" fillId="6" borderId="14" xfId="0" applyFont="1" applyFill="1" applyBorder="1"/>
    <xf numFmtId="164" fontId="2" fillId="6" borderId="29" xfId="0" applyNumberFormat="1" applyFont="1" applyFill="1" applyBorder="1" applyAlignment="1">
      <alignment wrapText="1"/>
    </xf>
    <xf numFmtId="164" fontId="1" fillId="12" borderId="2" xfId="0" applyNumberFormat="1" applyFont="1" applyFill="1" applyBorder="1"/>
    <xf numFmtId="44" fontId="1" fillId="12" borderId="2" xfId="3" applyFont="1" applyFill="1" applyBorder="1"/>
    <xf numFmtId="164" fontId="1" fillId="12" borderId="3" xfId="0" applyNumberFormat="1" applyFont="1" applyFill="1" applyBorder="1"/>
    <xf numFmtId="0" fontId="7" fillId="0" borderId="1" xfId="0" applyNumberFormat="1" applyFont="1" applyFill="1" applyBorder="1" applyAlignment="1">
      <alignment horizontal="center" wrapText="1"/>
    </xf>
    <xf numFmtId="0" fontId="7" fillId="0" borderId="2" xfId="0" applyNumberFormat="1" applyFont="1" applyFill="1" applyBorder="1" applyAlignment="1">
      <alignment horizontal="center" wrapText="1"/>
    </xf>
    <xf numFmtId="164" fontId="7" fillId="0" borderId="2" xfId="0" applyNumberFormat="1" applyFont="1" applyFill="1" applyBorder="1" applyAlignment="1">
      <alignment horizontal="center" wrapText="1"/>
    </xf>
    <xf numFmtId="164" fontId="7" fillId="0" borderId="3" xfId="0" applyNumberFormat="1" applyFont="1" applyFill="1" applyBorder="1" applyAlignment="1">
      <alignment horizont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left" vertical="center" wrapText="1"/>
    </xf>
    <xf numFmtId="4" fontId="0" fillId="16" borderId="2" xfId="0" applyNumberFormat="1" applyFill="1" applyBorder="1" applyAlignment="1">
      <alignment wrapText="1"/>
    </xf>
    <xf numFmtId="4" fontId="1" fillId="7" borderId="20" xfId="0" applyNumberFormat="1" applyFont="1" applyFill="1" applyBorder="1" applyAlignment="1">
      <alignment vertical="center" wrapText="1"/>
    </xf>
    <xf numFmtId="4" fontId="1" fillId="7" borderId="14" xfId="0" applyNumberFormat="1" applyFont="1" applyFill="1" applyBorder="1" applyAlignment="1">
      <alignment vertical="center" wrapText="1"/>
    </xf>
    <xf numFmtId="0" fontId="1" fillId="7" borderId="30" xfId="0" applyFont="1" applyFill="1" applyBorder="1" applyAlignment="1">
      <alignment horizontal="center" vertical="center" wrapText="1"/>
    </xf>
    <xf numFmtId="6" fontId="1" fillId="7" borderId="2" xfId="0" applyNumberFormat="1" applyFont="1" applyFill="1" applyBorder="1" applyAlignment="1">
      <alignment horizontal="center" vertical="center" wrapText="1"/>
    </xf>
    <xf numFmtId="0" fontId="1" fillId="7" borderId="30" xfId="0" applyFont="1" applyFill="1" applyBorder="1" applyAlignment="1">
      <alignment vertical="center" wrapText="1"/>
    </xf>
    <xf numFmtId="6" fontId="1" fillId="7" borderId="20" xfId="0" applyNumberFormat="1" applyFont="1" applyFill="1" applyBorder="1" applyAlignment="1">
      <alignment vertical="center" wrapText="1"/>
    </xf>
    <xf numFmtId="0" fontId="1" fillId="7" borderId="20" xfId="0" applyFont="1" applyFill="1" applyBorder="1" applyAlignment="1">
      <alignment vertical="center" wrapText="1"/>
    </xf>
    <xf numFmtId="164" fontId="0" fillId="7" borderId="34" xfId="0" applyNumberFormat="1" applyFill="1" applyBorder="1" applyAlignment="1">
      <alignment wrapText="1"/>
    </xf>
    <xf numFmtId="164" fontId="0" fillId="9" borderId="34" xfId="0" applyNumberFormat="1" applyFill="1" applyBorder="1" applyAlignment="1">
      <alignment wrapText="1"/>
    </xf>
    <xf numFmtId="4" fontId="0" fillId="13" borderId="22" xfId="0" applyNumberFormat="1" applyFill="1" applyBorder="1" applyAlignment="1">
      <alignment horizontal="center" vertical="center" wrapText="1"/>
    </xf>
    <xf numFmtId="164" fontId="0" fillId="12" borderId="34" xfId="0" applyNumberFormat="1" applyFill="1" applyBorder="1" applyAlignment="1">
      <alignment wrapText="1"/>
    </xf>
    <xf numFmtId="4" fontId="0" fillId="16" borderId="2" xfId="0" applyNumberFormat="1" applyFill="1" applyBorder="1" applyAlignment="1"/>
    <xf numFmtId="0" fontId="0" fillId="12" borderId="51" xfId="0" applyFill="1" applyBorder="1" applyAlignment="1"/>
    <xf numFmtId="0" fontId="0" fillId="12" borderId="52" xfId="0" applyFill="1" applyBorder="1" applyAlignment="1"/>
    <xf numFmtId="0" fontId="0" fillId="12" borderId="53" xfId="0" applyFill="1" applyBorder="1" applyAlignment="1"/>
    <xf numFmtId="0" fontId="15" fillId="12" borderId="66" xfId="0" applyFont="1" applyFill="1" applyBorder="1" applyAlignment="1">
      <alignment horizontal="center" vertical="center" wrapText="1"/>
    </xf>
    <xf numFmtId="0" fontId="0" fillId="12" borderId="68" xfId="0" applyFill="1" applyBorder="1" applyAlignment="1">
      <alignment horizontal="left" wrapText="1" indent="1"/>
    </xf>
    <xf numFmtId="0" fontId="0" fillId="12" borderId="67" xfId="0" applyFill="1" applyBorder="1" applyAlignment="1">
      <alignment horizontal="left" indent="1"/>
    </xf>
    <xf numFmtId="0" fontId="0" fillId="12" borderId="16" xfId="0" applyFill="1" applyBorder="1" applyAlignment="1">
      <alignment horizontal="left" indent="1"/>
    </xf>
    <xf numFmtId="0" fontId="0" fillId="12" borderId="58" xfId="0" applyFill="1" applyBorder="1" applyAlignment="1">
      <alignment horizontal="center" wrapText="1"/>
    </xf>
    <xf numFmtId="0" fontId="0" fillId="12" borderId="60" xfId="0" applyFill="1" applyBorder="1" applyAlignment="1">
      <alignment horizontal="center" wrapText="1"/>
    </xf>
    <xf numFmtId="165" fontId="0" fillId="12" borderId="60" xfId="0" applyNumberFormat="1" applyFont="1" applyFill="1" applyBorder="1" applyAlignment="1">
      <alignment wrapText="1"/>
    </xf>
    <xf numFmtId="165" fontId="0" fillId="12" borderId="31" xfId="0" applyNumberFormat="1" applyFont="1" applyFill="1" applyBorder="1" applyAlignment="1">
      <alignment wrapText="1"/>
    </xf>
    <xf numFmtId="0" fontId="38" fillId="13" borderId="51" xfId="0" applyFont="1" applyFill="1" applyBorder="1" applyAlignment="1">
      <alignment vertical="center"/>
    </xf>
    <xf numFmtId="0" fontId="38" fillId="13" borderId="52" xfId="0" applyFont="1" applyFill="1" applyBorder="1" applyAlignment="1">
      <alignment vertical="center"/>
    </xf>
    <xf numFmtId="0" fontId="38" fillId="11" borderId="51" xfId="0" applyFont="1" applyFill="1" applyBorder="1" applyAlignment="1">
      <alignment vertical="center"/>
    </xf>
    <xf numFmtId="0" fontId="38" fillId="11" borderId="52" xfId="0" applyFont="1" applyFill="1" applyBorder="1" applyAlignment="1">
      <alignment vertical="center"/>
    </xf>
    <xf numFmtId="0" fontId="15" fillId="9" borderId="74" xfId="0" applyFont="1" applyFill="1" applyBorder="1" applyAlignment="1">
      <alignment horizontal="center" vertical="center" wrapText="1"/>
    </xf>
    <xf numFmtId="0" fontId="0" fillId="9" borderId="68" xfId="0" applyFill="1" applyBorder="1" applyAlignment="1">
      <alignment horizontal="left" indent="1"/>
    </xf>
    <xf numFmtId="0" fontId="0" fillId="9" borderId="67" xfId="0" applyFill="1" applyBorder="1" applyAlignment="1">
      <alignment horizontal="left" indent="1"/>
    </xf>
    <xf numFmtId="0" fontId="0" fillId="9" borderId="16" xfId="0" applyFill="1" applyBorder="1" applyAlignment="1">
      <alignment horizontal="left" indent="1"/>
    </xf>
    <xf numFmtId="0" fontId="0" fillId="9" borderId="71" xfId="0" applyFill="1" applyBorder="1" applyAlignment="1">
      <alignment horizontal="center" wrapText="1"/>
    </xf>
    <xf numFmtId="0" fontId="0" fillId="9" borderId="66" xfId="0" applyFill="1" applyBorder="1"/>
    <xf numFmtId="0" fontId="0" fillId="9" borderId="70" xfId="0" applyFill="1" applyBorder="1"/>
    <xf numFmtId="0" fontId="0" fillId="9" borderId="71" xfId="0" applyFill="1" applyBorder="1"/>
    <xf numFmtId="0" fontId="11" fillId="0" borderId="0" xfId="0" applyFont="1" applyAlignment="1">
      <alignment vertical="top"/>
    </xf>
    <xf numFmtId="0" fontId="28" fillId="12" borderId="66" xfId="0" applyFont="1" applyFill="1" applyBorder="1" applyAlignment="1">
      <alignment wrapText="1"/>
    </xf>
    <xf numFmtId="0" fontId="39" fillId="12" borderId="52" xfId="0" applyFont="1" applyFill="1" applyBorder="1" applyAlignment="1">
      <alignment horizontal="left"/>
    </xf>
    <xf numFmtId="0" fontId="20" fillId="12" borderId="52" xfId="0" applyFont="1" applyFill="1" applyBorder="1" applyAlignment="1">
      <alignment horizontal="center"/>
    </xf>
    <xf numFmtId="0" fontId="0" fillId="12" borderId="31" xfId="0" applyFill="1" applyBorder="1"/>
    <xf numFmtId="165" fontId="0" fillId="12" borderId="7" xfId="0" applyNumberFormat="1" applyFill="1" applyBorder="1"/>
    <xf numFmtId="165" fontId="0" fillId="12" borderId="0" xfId="0" applyNumberFormat="1" applyFill="1" applyBorder="1"/>
    <xf numFmtId="165" fontId="0" fillId="12" borderId="17" xfId="0" applyNumberFormat="1" applyFill="1" applyBorder="1"/>
    <xf numFmtId="165" fontId="0" fillId="12" borderId="70" xfId="0" applyNumberFormat="1" applyFill="1" applyBorder="1"/>
    <xf numFmtId="0" fontId="11" fillId="12" borderId="52" xfId="0" applyFont="1" applyFill="1" applyBorder="1"/>
    <xf numFmtId="0" fontId="11" fillId="12" borderId="53" xfId="0" applyFont="1" applyFill="1" applyBorder="1"/>
    <xf numFmtId="0" fontId="28" fillId="9" borderId="66" xfId="0" applyFont="1" applyFill="1" applyBorder="1" applyAlignment="1">
      <alignment horizontal="center" wrapText="1"/>
    </xf>
    <xf numFmtId="0" fontId="11" fillId="9" borderId="52" xfId="0" applyFont="1" applyFill="1" applyBorder="1" applyAlignment="1">
      <alignment horizontal="left"/>
    </xf>
    <xf numFmtId="0" fontId="20" fillId="9" borderId="52" xfId="0" applyFont="1" applyFill="1" applyBorder="1" applyAlignment="1"/>
    <xf numFmtId="0" fontId="20" fillId="9" borderId="53" xfId="0" applyFont="1" applyFill="1" applyBorder="1" applyAlignment="1"/>
    <xf numFmtId="4" fontId="2" fillId="15" borderId="61" xfId="0" applyNumberFormat="1" applyFont="1" applyFill="1" applyBorder="1" applyAlignment="1">
      <alignment vertical="center" wrapText="1"/>
    </xf>
    <xf numFmtId="0" fontId="1" fillId="7" borderId="14" xfId="0" applyFont="1" applyFill="1" applyBorder="1" applyAlignment="1">
      <alignment horizontal="left" vertical="center" wrapText="1"/>
    </xf>
    <xf numFmtId="0" fontId="1" fillId="7" borderId="75" xfId="0" applyFont="1" applyFill="1" applyBorder="1" applyAlignment="1">
      <alignment horizontal="left" vertical="center" wrapText="1"/>
    </xf>
    <xf numFmtId="0" fontId="4" fillId="16" borderId="61" xfId="0" applyFont="1" applyFill="1" applyBorder="1" applyAlignment="1">
      <alignment wrapText="1"/>
    </xf>
    <xf numFmtId="4" fontId="1" fillId="7" borderId="25" xfId="0" applyNumberFormat="1" applyFont="1" applyFill="1" applyBorder="1" applyAlignment="1">
      <alignment horizontal="left" vertical="center" wrapText="1"/>
    </xf>
    <xf numFmtId="0" fontId="1" fillId="7" borderId="25" xfId="0" applyFont="1" applyFill="1" applyBorder="1" applyAlignment="1">
      <alignment horizontal="left" vertical="center" wrapText="1"/>
    </xf>
    <xf numFmtId="0" fontId="1" fillId="7" borderId="26" xfId="0" applyFont="1" applyFill="1" applyBorder="1" applyAlignment="1">
      <alignment horizontal="left" vertical="center" wrapText="1"/>
    </xf>
    <xf numFmtId="0" fontId="1" fillId="7" borderId="1" xfId="0" applyFont="1" applyFill="1" applyBorder="1" applyAlignment="1">
      <alignment horizontal="center" vertical="center" wrapText="1"/>
    </xf>
    <xf numFmtId="0" fontId="2" fillId="16" borderId="30" xfId="0" applyNumberFormat="1" applyFont="1" applyFill="1" applyBorder="1" applyAlignment="1">
      <alignment vertical="center" wrapText="1"/>
    </xf>
    <xf numFmtId="0" fontId="2" fillId="16" borderId="20" xfId="0" applyNumberFormat="1" applyFont="1" applyFill="1" applyBorder="1" applyAlignment="1">
      <alignment vertical="center" wrapText="1"/>
    </xf>
    <xf numFmtId="4" fontId="1" fillId="7" borderId="65" xfId="0" applyNumberFormat="1" applyFont="1" applyFill="1" applyBorder="1" applyAlignment="1">
      <alignment horizontal="left" vertical="center" wrapText="1"/>
    </xf>
    <xf numFmtId="4" fontId="1" fillId="7" borderId="28" xfId="0" applyNumberFormat="1" applyFont="1" applyFill="1" applyBorder="1" applyAlignment="1">
      <alignment vertical="center" wrapText="1"/>
    </xf>
    <xf numFmtId="4" fontId="1" fillId="7" borderId="26" xfId="0" applyNumberFormat="1" applyFont="1" applyFill="1" applyBorder="1" applyAlignment="1">
      <alignment horizontal="left" vertical="center" wrapText="1"/>
    </xf>
    <xf numFmtId="4" fontId="1" fillId="7" borderId="30" xfId="0" applyNumberFormat="1" applyFont="1" applyFill="1" applyBorder="1" applyAlignment="1">
      <alignment vertical="center" wrapText="1"/>
    </xf>
    <xf numFmtId="0" fontId="1" fillId="7" borderId="65" xfId="0" applyFont="1" applyFill="1" applyBorder="1" applyAlignment="1">
      <alignment horizontal="left" vertical="center" wrapText="1"/>
    </xf>
    <xf numFmtId="6" fontId="1" fillId="7" borderId="14" xfId="0" applyNumberFormat="1" applyFont="1" applyFill="1" applyBorder="1" applyAlignment="1">
      <alignment vertical="center" wrapText="1"/>
    </xf>
    <xf numFmtId="4" fontId="10" fillId="0" borderId="0" xfId="0" applyNumberFormat="1" applyFont="1" applyAlignment="1">
      <alignment vertical="center" wrapText="1"/>
    </xf>
    <xf numFmtId="0" fontId="10" fillId="0" borderId="0" xfId="0" applyNumberFormat="1" applyFont="1" applyAlignment="1">
      <alignment vertical="center" wrapText="1"/>
    </xf>
    <xf numFmtId="164" fontId="0" fillId="9" borderId="14" xfId="0" applyNumberFormat="1" applyFill="1" applyBorder="1" applyAlignment="1">
      <alignment wrapText="1"/>
    </xf>
    <xf numFmtId="164" fontId="0" fillId="12" borderId="14" xfId="0" applyNumberFormat="1" applyFill="1" applyBorder="1" applyAlignment="1">
      <alignment wrapText="1"/>
    </xf>
    <xf numFmtId="164" fontId="0" fillId="7" borderId="20" xfId="0" applyNumberFormat="1" applyFill="1" applyBorder="1" applyAlignment="1">
      <alignment wrapText="1"/>
    </xf>
    <xf numFmtId="164" fontId="0" fillId="12" borderId="20" xfId="0" applyNumberFormat="1" applyFill="1" applyBorder="1" applyAlignment="1">
      <alignment wrapText="1"/>
    </xf>
    <xf numFmtId="164" fontId="5" fillId="6" borderId="59" xfId="0" applyNumberFormat="1" applyFont="1" applyFill="1" applyBorder="1" applyAlignment="1">
      <alignment wrapText="1"/>
    </xf>
    <xf numFmtId="164" fontId="0" fillId="7" borderId="14" xfId="0" applyNumberFormat="1" applyFill="1" applyBorder="1" applyAlignment="1">
      <alignment wrapText="1"/>
    </xf>
    <xf numFmtId="3" fontId="5" fillId="13" borderId="23" xfId="0" applyNumberFormat="1" applyFont="1" applyFill="1" applyBorder="1" applyAlignment="1">
      <alignment horizontal="center" vertical="center" wrapText="1"/>
    </xf>
    <xf numFmtId="0" fontId="49" fillId="16" borderId="36" xfId="0" applyNumberFormat="1" applyFont="1" applyFill="1" applyBorder="1" applyAlignment="1">
      <alignment vertical="center" wrapText="1"/>
    </xf>
    <xf numFmtId="0" fontId="7" fillId="16" borderId="37" xfId="0" applyNumberFormat="1" applyFont="1" applyFill="1" applyBorder="1" applyAlignment="1">
      <alignment vertical="center" wrapText="1"/>
    </xf>
    <xf numFmtId="0" fontId="21" fillId="11" borderId="37" xfId="0" applyNumberFormat="1" applyFont="1" applyFill="1" applyBorder="1" applyAlignment="1">
      <alignment horizontal="center" vertical="center" wrapText="1"/>
    </xf>
    <xf numFmtId="1" fontId="7" fillId="11" borderId="22" xfId="0" applyNumberFormat="1" applyFont="1" applyFill="1" applyBorder="1" applyAlignment="1">
      <alignment horizontal="center" vertical="center" wrapText="1"/>
    </xf>
    <xf numFmtId="164" fontId="7" fillId="11" borderId="37" xfId="0" applyNumberFormat="1" applyFont="1" applyFill="1" applyBorder="1" applyAlignment="1">
      <alignment horizontal="center" vertical="center" wrapText="1"/>
    </xf>
    <xf numFmtId="0" fontId="33" fillId="13" borderId="13" xfId="0" applyFont="1" applyFill="1" applyBorder="1" applyAlignment="1">
      <alignment horizontal="right" vertical="center"/>
    </xf>
    <xf numFmtId="0" fontId="7" fillId="13" borderId="50" xfId="0" applyFont="1" applyFill="1" applyBorder="1" applyAlignment="1">
      <alignment horizontal="center" vertical="center" wrapText="1"/>
    </xf>
    <xf numFmtId="4" fontId="21" fillId="13" borderId="50" xfId="0" applyNumberFormat="1" applyFont="1" applyFill="1" applyBorder="1" applyAlignment="1">
      <alignment vertical="center" wrapText="1"/>
    </xf>
    <xf numFmtId="4" fontId="21" fillId="13" borderId="13" xfId="0" applyNumberFormat="1" applyFont="1" applyFill="1" applyBorder="1" applyAlignment="1">
      <alignment vertical="center" wrapText="1"/>
    </xf>
    <xf numFmtId="4" fontId="33" fillId="13" borderId="13" xfId="0" applyNumberFormat="1" applyFont="1" applyFill="1" applyBorder="1" applyAlignment="1">
      <alignment horizontal="right" vertical="center"/>
    </xf>
    <xf numFmtId="3" fontId="7" fillId="13" borderId="23" xfId="0" applyNumberFormat="1" applyFont="1" applyFill="1" applyBorder="1" applyAlignment="1">
      <alignment horizontal="center" vertical="center" wrapText="1"/>
    </xf>
    <xf numFmtId="0" fontId="33" fillId="13" borderId="44" xfId="0" applyNumberFormat="1" applyFont="1" applyFill="1" applyBorder="1" applyAlignment="1">
      <alignment horizontal="right" vertical="center" wrapText="1"/>
    </xf>
    <xf numFmtId="164" fontId="32" fillId="6" borderId="64" xfId="0" applyNumberFormat="1" applyFont="1" applyFill="1" applyBorder="1" applyAlignment="1">
      <alignment horizontal="right" vertical="center" wrapText="1"/>
    </xf>
    <xf numFmtId="164" fontId="32" fillId="6" borderId="24" xfId="0" applyNumberFormat="1" applyFont="1" applyFill="1" applyBorder="1" applyAlignment="1">
      <alignment horizontal="right" vertical="center" wrapText="1"/>
    </xf>
    <xf numFmtId="164" fontId="33" fillId="6" borderId="24" xfId="0" applyNumberFormat="1" applyFont="1" applyFill="1" applyBorder="1" applyAlignment="1">
      <alignment horizontal="right" vertical="center" wrapText="1"/>
    </xf>
    <xf numFmtId="0" fontId="33" fillId="6" borderId="24" xfId="0" applyFont="1" applyFill="1" applyBorder="1" applyAlignment="1">
      <alignment horizontal="right" vertical="center" wrapText="1"/>
    </xf>
    <xf numFmtId="4" fontId="33" fillId="6" borderId="24" xfId="0" applyNumberFormat="1" applyFont="1" applyFill="1" applyBorder="1" applyAlignment="1">
      <alignment horizontal="right" vertical="center" wrapText="1"/>
    </xf>
    <xf numFmtId="0" fontId="33" fillId="6" borderId="71" xfId="0" applyFont="1" applyFill="1" applyBorder="1" applyAlignment="1">
      <alignment horizontal="right" vertical="center" wrapText="1"/>
    </xf>
    <xf numFmtId="4" fontId="3" fillId="12" borderId="29" xfId="0" applyNumberFormat="1" applyFont="1" applyFill="1" applyBorder="1" applyAlignment="1">
      <alignment wrapText="1"/>
    </xf>
    <xf numFmtId="4" fontId="3" fillId="12" borderId="3" xfId="0" applyNumberFormat="1" applyFont="1" applyFill="1" applyBorder="1" applyAlignment="1">
      <alignment wrapText="1"/>
    </xf>
    <xf numFmtId="164" fontId="3" fillId="9" borderId="20" xfId="0" applyNumberFormat="1" applyFont="1" applyFill="1" applyBorder="1" applyAlignment="1">
      <alignment wrapText="1"/>
    </xf>
    <xf numFmtId="3" fontId="3" fillId="12" borderId="20" xfId="0" applyNumberFormat="1" applyFont="1" applyFill="1" applyBorder="1" applyAlignment="1">
      <alignment wrapText="1"/>
    </xf>
    <xf numFmtId="44" fontId="3" fillId="12" borderId="20" xfId="3" applyFont="1" applyFill="1" applyBorder="1" applyAlignment="1">
      <alignment wrapText="1"/>
    </xf>
    <xf numFmtId="4" fontId="3" fillId="12" borderId="27" xfId="0" applyNumberFormat="1" applyFont="1" applyFill="1" applyBorder="1" applyAlignment="1">
      <alignment wrapText="1"/>
    </xf>
    <xf numFmtId="0" fontId="32" fillId="15" borderId="4" xfId="0" applyFont="1" applyFill="1" applyBorder="1" applyAlignment="1">
      <alignment horizontal="left" vertical="center" wrapText="1"/>
    </xf>
    <xf numFmtId="0" fontId="32" fillId="15" borderId="45" xfId="0" applyFont="1" applyFill="1" applyBorder="1" applyAlignment="1">
      <alignment wrapText="1"/>
    </xf>
    <xf numFmtId="4" fontId="3" fillId="15" borderId="45" xfId="0" applyNumberFormat="1" applyFont="1" applyFill="1" applyBorder="1" applyAlignment="1">
      <alignment wrapText="1"/>
    </xf>
    <xf numFmtId="4" fontId="32" fillId="15" borderId="61" xfId="0" applyNumberFormat="1" applyFont="1" applyFill="1" applyBorder="1" applyAlignment="1">
      <alignment wrapText="1"/>
    </xf>
    <xf numFmtId="4" fontId="32" fillId="15" borderId="52" xfId="0" applyNumberFormat="1" applyFont="1" applyFill="1" applyBorder="1" applyAlignment="1">
      <alignment wrapText="1"/>
    </xf>
    <xf numFmtId="0" fontId="32" fillId="16" borderId="61" xfId="0" applyFont="1" applyFill="1" applyBorder="1" applyAlignment="1">
      <alignment wrapText="1"/>
    </xf>
    <xf numFmtId="0" fontId="32" fillId="16" borderId="52" xfId="0" applyFont="1" applyFill="1" applyBorder="1" applyAlignment="1">
      <alignment wrapText="1"/>
    </xf>
    <xf numFmtId="4" fontId="3" fillId="16" borderId="52" xfId="0" applyNumberFormat="1" applyFont="1" applyFill="1" applyBorder="1" applyAlignment="1">
      <alignment wrapText="1"/>
    </xf>
    <xf numFmtId="4" fontId="50" fillId="7" borderId="65" xfId="1" applyNumberFormat="1" applyFont="1" applyFill="1" applyBorder="1" applyAlignment="1"/>
    <xf numFmtId="4" fontId="1" fillId="7" borderId="9" xfId="0" applyNumberFormat="1" applyFont="1" applyFill="1" applyBorder="1" applyAlignment="1"/>
    <xf numFmtId="4" fontId="1" fillId="7" borderId="25" xfId="0" applyNumberFormat="1" applyFont="1" applyFill="1" applyBorder="1" applyAlignment="1"/>
    <xf numFmtId="4" fontId="1" fillId="7" borderId="11" xfId="0" applyNumberFormat="1" applyFont="1" applyFill="1" applyBorder="1" applyAlignment="1"/>
    <xf numFmtId="4" fontId="50" fillId="7" borderId="25" xfId="1" applyNumberFormat="1" applyFont="1" applyFill="1" applyBorder="1" applyAlignment="1"/>
    <xf numFmtId="4" fontId="50" fillId="7" borderId="26" xfId="1" applyNumberFormat="1" applyFont="1" applyFill="1" applyBorder="1" applyAlignment="1"/>
    <xf numFmtId="4" fontId="1" fillId="7" borderId="6" xfId="0" applyNumberFormat="1" applyFont="1" applyFill="1" applyBorder="1" applyAlignment="1"/>
    <xf numFmtId="4" fontId="32" fillId="15" borderId="61" xfId="0" applyNumberFormat="1" applyFont="1" applyFill="1" applyBorder="1" applyAlignment="1">
      <alignment horizontal="left" vertical="center"/>
    </xf>
    <xf numFmtId="4" fontId="32" fillId="15" borderId="52" xfId="0" applyNumberFormat="1" applyFont="1" applyFill="1" applyBorder="1" applyAlignment="1"/>
    <xf numFmtId="4" fontId="32" fillId="15" borderId="61" xfId="0" applyNumberFormat="1" applyFont="1" applyFill="1" applyBorder="1" applyAlignment="1">
      <alignment vertical="center" wrapText="1"/>
    </xf>
    <xf numFmtId="4" fontId="32" fillId="15" borderId="52" xfId="0" applyNumberFormat="1" applyFont="1" applyFill="1" applyBorder="1" applyAlignment="1">
      <alignment vertical="center" wrapText="1"/>
    </xf>
    <xf numFmtId="0" fontId="32" fillId="15" borderId="52" xfId="0" applyFont="1" applyFill="1" applyBorder="1" applyAlignment="1">
      <alignment vertical="center" wrapText="1"/>
    </xf>
    <xf numFmtId="4" fontId="3" fillId="16" borderId="65" xfId="0" applyNumberFormat="1" applyFont="1" applyFill="1" applyBorder="1" applyAlignment="1">
      <alignment horizontal="center" vertical="center"/>
    </xf>
    <xf numFmtId="4" fontId="3" fillId="16" borderId="9" xfId="0" applyNumberFormat="1" applyFont="1" applyFill="1" applyBorder="1" applyAlignment="1">
      <alignment horizontal="center" vertical="center"/>
    </xf>
    <xf numFmtId="4" fontId="3" fillId="16" borderId="9" xfId="0" applyNumberFormat="1" applyFont="1" applyFill="1" applyBorder="1" applyAlignment="1">
      <alignment horizontal="left" vertical="center"/>
    </xf>
    <xf numFmtId="0" fontId="51" fillId="13" borderId="33" xfId="0" applyNumberFormat="1" applyFont="1" applyFill="1" applyBorder="1" applyAlignment="1">
      <alignment horizontal="center" vertical="center" wrapText="1"/>
    </xf>
    <xf numFmtId="0" fontId="51" fillId="13" borderId="44" xfId="0" applyNumberFormat="1" applyFont="1" applyFill="1" applyBorder="1" applyAlignment="1">
      <alignment horizontal="center" vertical="center" wrapText="1"/>
    </xf>
    <xf numFmtId="0" fontId="51" fillId="13" borderId="45" xfId="0" applyNumberFormat="1" applyFont="1" applyFill="1" applyBorder="1" applyAlignment="1">
      <alignment horizontal="center" vertical="center" wrapText="1"/>
    </xf>
    <xf numFmtId="0" fontId="51" fillId="13" borderId="46" xfId="0" applyNumberFormat="1" applyFont="1" applyFill="1" applyBorder="1" applyAlignment="1">
      <alignment horizontal="center" vertical="center" wrapText="1"/>
    </xf>
    <xf numFmtId="164" fontId="1" fillId="9" borderId="14" xfId="0" applyNumberFormat="1" applyFont="1" applyFill="1" applyBorder="1" applyAlignment="1">
      <alignment horizontal="right" wrapText="1"/>
    </xf>
    <xf numFmtId="164" fontId="1" fillId="9" borderId="8" xfId="0" applyNumberFormat="1" applyFont="1" applyFill="1" applyBorder="1" applyAlignment="1">
      <alignment horizontal="right" wrapText="1"/>
    </xf>
    <xf numFmtId="164" fontId="1" fillId="12" borderId="14" xfId="0" applyNumberFormat="1" applyFont="1" applyFill="1" applyBorder="1" applyAlignment="1">
      <alignment horizontal="right" wrapText="1"/>
    </xf>
    <xf numFmtId="164" fontId="1" fillId="12" borderId="8" xfId="0" applyNumberFormat="1" applyFont="1" applyFill="1" applyBorder="1" applyAlignment="1">
      <alignment horizontal="right" wrapText="1"/>
    </xf>
    <xf numFmtId="164" fontId="1" fillId="7" borderId="2" xfId="0" applyNumberFormat="1" applyFont="1" applyFill="1" applyBorder="1" applyAlignment="1">
      <alignment horizontal="right" wrapText="1"/>
    </xf>
    <xf numFmtId="164" fontId="1" fillId="9" borderId="2" xfId="0" applyNumberFormat="1" applyFont="1" applyFill="1" applyBorder="1" applyAlignment="1">
      <alignment horizontal="right" wrapText="1"/>
    </xf>
    <xf numFmtId="164" fontId="1" fillId="9" borderId="10" xfId="0" applyNumberFormat="1" applyFont="1" applyFill="1" applyBorder="1" applyAlignment="1">
      <alignment horizontal="right" wrapText="1"/>
    </xf>
    <xf numFmtId="164" fontId="1" fillId="12" borderId="2" xfId="0" applyNumberFormat="1" applyFont="1" applyFill="1" applyBorder="1" applyAlignment="1">
      <alignment horizontal="right" wrapText="1"/>
    </xf>
    <xf numFmtId="164" fontId="1" fillId="12" borderId="10" xfId="0" applyNumberFormat="1" applyFont="1" applyFill="1" applyBorder="1" applyAlignment="1">
      <alignment horizontal="right" wrapText="1"/>
    </xf>
    <xf numFmtId="164" fontId="1" fillId="7" borderId="20" xfId="0" applyNumberFormat="1" applyFont="1" applyFill="1" applyBorder="1" applyAlignment="1">
      <alignment horizontal="right" wrapText="1"/>
    </xf>
    <xf numFmtId="164" fontId="1" fillId="9" borderId="20" xfId="0" applyNumberFormat="1" applyFont="1" applyFill="1" applyBorder="1" applyAlignment="1">
      <alignment horizontal="right" wrapText="1"/>
    </xf>
    <xf numFmtId="164" fontId="1" fillId="9" borderId="5" xfId="0" applyNumberFormat="1" applyFont="1" applyFill="1" applyBorder="1" applyAlignment="1">
      <alignment horizontal="right" wrapText="1"/>
    </xf>
    <xf numFmtId="164" fontId="1" fillId="12" borderId="20" xfId="0" applyNumberFormat="1" applyFont="1" applyFill="1" applyBorder="1" applyAlignment="1">
      <alignment horizontal="right" wrapText="1"/>
    </xf>
    <xf numFmtId="164" fontId="1" fillId="12" borderId="5" xfId="0" applyNumberFormat="1" applyFont="1" applyFill="1" applyBorder="1" applyAlignment="1">
      <alignment horizontal="right" wrapText="1"/>
    </xf>
    <xf numFmtId="164" fontId="32" fillId="8" borderId="45" xfId="0" applyNumberFormat="1" applyFont="1" applyFill="1" applyBorder="1" applyAlignment="1">
      <alignment horizontal="right" wrapText="1"/>
    </xf>
    <xf numFmtId="164" fontId="32" fillId="6" borderId="45" xfId="0" applyNumberFormat="1" applyFont="1" applyFill="1" applyBorder="1" applyAlignment="1">
      <alignment horizontal="right" wrapText="1"/>
    </xf>
    <xf numFmtId="164" fontId="32" fillId="6" borderId="46" xfId="0" applyNumberFormat="1" applyFont="1" applyFill="1" applyBorder="1" applyAlignment="1">
      <alignment horizontal="right" wrapText="1"/>
    </xf>
    <xf numFmtId="164" fontId="1" fillId="7" borderId="14" xfId="0" applyNumberFormat="1" applyFont="1" applyFill="1" applyBorder="1" applyAlignment="1">
      <alignment horizontal="right" wrapText="1"/>
    </xf>
    <xf numFmtId="164" fontId="32" fillId="8" borderId="52" xfId="0" applyNumberFormat="1" applyFont="1" applyFill="1" applyBorder="1" applyAlignment="1">
      <alignment horizontal="right" wrapText="1"/>
    </xf>
    <xf numFmtId="164" fontId="32" fillId="6" borderId="52" xfId="0" applyNumberFormat="1" applyFont="1" applyFill="1" applyBorder="1" applyAlignment="1">
      <alignment horizontal="right" wrapText="1"/>
    </xf>
    <xf numFmtId="164" fontId="32" fillId="6" borderId="53" xfId="0" applyNumberFormat="1" applyFont="1" applyFill="1" applyBorder="1" applyAlignment="1">
      <alignment horizontal="right" wrapText="1"/>
    </xf>
    <xf numFmtId="164" fontId="1" fillId="12" borderId="37" xfId="0" applyNumberFormat="1" applyFont="1" applyFill="1" applyBorder="1" applyAlignment="1">
      <alignment horizontal="right" wrapText="1"/>
    </xf>
    <xf numFmtId="164" fontId="1" fillId="12" borderId="11" xfId="0" applyNumberFormat="1" applyFont="1" applyFill="1" applyBorder="1" applyAlignment="1">
      <alignment horizontal="right" wrapText="1"/>
    </xf>
    <xf numFmtId="164" fontId="32" fillId="13" borderId="59" xfId="0" applyNumberFormat="1" applyFont="1" applyFill="1" applyBorder="1" applyAlignment="1">
      <alignment horizontal="right" wrapText="1"/>
    </xf>
    <xf numFmtId="164" fontId="32" fillId="13" borderId="60" xfId="0" applyNumberFormat="1" applyFont="1" applyFill="1" applyBorder="1" applyAlignment="1">
      <alignment horizontal="right" wrapText="1"/>
    </xf>
    <xf numFmtId="164" fontId="1" fillId="12" borderId="0" xfId="0" applyNumberFormat="1" applyFont="1" applyFill="1" applyBorder="1" applyAlignment="1">
      <alignment horizontal="right" wrapText="1"/>
    </xf>
    <xf numFmtId="164" fontId="1" fillId="12" borderId="14" xfId="3" applyNumberFormat="1" applyFont="1" applyFill="1" applyBorder="1" applyAlignment="1">
      <alignment horizontal="right" wrapText="1"/>
    </xf>
    <xf numFmtId="164" fontId="1" fillId="12" borderId="29" xfId="0" applyNumberFormat="1" applyFont="1" applyFill="1" applyBorder="1" applyAlignment="1">
      <alignment horizontal="right" wrapText="1"/>
    </xf>
    <xf numFmtId="164" fontId="1" fillId="12" borderId="2" xfId="3" applyNumberFormat="1" applyFont="1" applyFill="1" applyBorder="1" applyAlignment="1">
      <alignment horizontal="right" wrapText="1"/>
    </xf>
    <xf numFmtId="164" fontId="1" fillId="12" borderId="3" xfId="0" applyNumberFormat="1" applyFont="1" applyFill="1" applyBorder="1" applyAlignment="1">
      <alignment horizontal="right" wrapText="1"/>
    </xf>
    <xf numFmtId="164" fontId="1" fillId="12" borderId="20" xfId="3" applyNumberFormat="1" applyFont="1" applyFill="1" applyBorder="1" applyAlignment="1">
      <alignment horizontal="right" wrapText="1"/>
    </xf>
    <xf numFmtId="164" fontId="1" fillId="12" borderId="27" xfId="0" applyNumberFormat="1" applyFont="1" applyFill="1" applyBorder="1" applyAlignment="1">
      <alignment horizontal="right" wrapText="1"/>
    </xf>
    <xf numFmtId="164" fontId="3" fillId="6" borderId="52" xfId="0" applyNumberFormat="1" applyFont="1" applyFill="1" applyBorder="1" applyAlignment="1">
      <alignment horizontal="right" wrapText="1"/>
    </xf>
    <xf numFmtId="164" fontId="3" fillId="6" borderId="53" xfId="0" applyNumberFormat="1" applyFont="1" applyFill="1" applyBorder="1" applyAlignment="1">
      <alignment horizontal="right" wrapText="1"/>
    </xf>
    <xf numFmtId="164" fontId="1" fillId="12" borderId="49" xfId="0" applyNumberFormat="1" applyFont="1" applyFill="1" applyBorder="1" applyAlignment="1">
      <alignment horizontal="right" wrapText="1"/>
    </xf>
    <xf numFmtId="164" fontId="1" fillId="12" borderId="15" xfId="0" applyNumberFormat="1" applyFont="1" applyFill="1" applyBorder="1" applyAlignment="1">
      <alignment horizontal="right" wrapText="1"/>
    </xf>
    <xf numFmtId="164" fontId="1" fillId="12" borderId="70" xfId="0" applyNumberFormat="1" applyFont="1" applyFill="1" applyBorder="1" applyAlignment="1">
      <alignment horizontal="right" wrapText="1"/>
    </xf>
    <xf numFmtId="1" fontId="1" fillId="9" borderId="18" xfId="0" applyNumberFormat="1" applyFont="1" applyFill="1" applyBorder="1" applyAlignment="1">
      <alignment horizontal="right" wrapText="1"/>
    </xf>
    <xf numFmtId="1" fontId="1" fillId="9" borderId="14" xfId="0" applyNumberFormat="1" applyFont="1" applyFill="1" applyBorder="1" applyAlignment="1">
      <alignment horizontal="right" wrapText="1"/>
    </xf>
    <xf numFmtId="1" fontId="1" fillId="9" borderId="14" xfId="4" applyNumberFormat="1" applyFont="1" applyFill="1" applyBorder="1" applyAlignment="1">
      <alignment horizontal="right" wrapText="1"/>
    </xf>
    <xf numFmtId="1" fontId="1" fillId="9" borderId="12" xfId="0" applyNumberFormat="1" applyFont="1" applyFill="1" applyBorder="1" applyAlignment="1">
      <alignment horizontal="right" wrapText="1"/>
    </xf>
    <xf numFmtId="1" fontId="1" fillId="9" borderId="2" xfId="0" applyNumberFormat="1" applyFont="1" applyFill="1" applyBorder="1" applyAlignment="1">
      <alignment horizontal="right" wrapText="1"/>
    </xf>
    <xf numFmtId="1" fontId="1" fillId="9" borderId="2" xfId="4" applyNumberFormat="1" applyFont="1" applyFill="1" applyBorder="1" applyAlignment="1">
      <alignment horizontal="right" wrapText="1"/>
    </xf>
    <xf numFmtId="1" fontId="1" fillId="9" borderId="21" xfId="0" applyNumberFormat="1" applyFont="1" applyFill="1" applyBorder="1" applyAlignment="1">
      <alignment horizontal="right" wrapText="1"/>
    </xf>
    <xf numFmtId="1" fontId="1" fillId="9" borderId="20" xfId="0" applyNumberFormat="1" applyFont="1" applyFill="1" applyBorder="1" applyAlignment="1">
      <alignment horizontal="right" wrapText="1"/>
    </xf>
    <xf numFmtId="1" fontId="1" fillId="9" borderId="20" xfId="4" applyNumberFormat="1" applyFont="1" applyFill="1" applyBorder="1" applyAlignment="1">
      <alignment horizontal="right" wrapText="1"/>
    </xf>
    <xf numFmtId="1" fontId="3" fillId="8" borderId="45" xfId="0" applyNumberFormat="1" applyFont="1" applyFill="1" applyBorder="1" applyAlignment="1">
      <alignment horizontal="right" wrapText="1"/>
    </xf>
    <xf numFmtId="1" fontId="32" fillId="8" borderId="52" xfId="0" applyNumberFormat="1" applyFont="1" applyFill="1" applyBorder="1" applyAlignment="1">
      <alignment horizontal="right" wrapText="1"/>
    </xf>
    <xf numFmtId="1" fontId="1" fillId="12" borderId="22" xfId="0" applyNumberFormat="1" applyFont="1" applyFill="1" applyBorder="1" applyAlignment="1">
      <alignment horizontal="right" wrapText="1"/>
    </xf>
    <xf numFmtId="1" fontId="1" fillId="12" borderId="14" xfId="0" applyNumberFormat="1" applyFont="1" applyFill="1" applyBorder="1" applyAlignment="1">
      <alignment horizontal="right" wrapText="1"/>
    </xf>
    <xf numFmtId="1" fontId="1" fillId="12" borderId="2" xfId="0" applyNumberFormat="1" applyFont="1" applyFill="1" applyBorder="1" applyAlignment="1">
      <alignment horizontal="right" wrapText="1"/>
    </xf>
    <xf numFmtId="1" fontId="1" fillId="12" borderId="20" xfId="0" applyNumberFormat="1" applyFont="1" applyFill="1" applyBorder="1" applyAlignment="1">
      <alignment horizontal="right" wrapText="1"/>
    </xf>
    <xf numFmtId="1" fontId="3" fillId="6" borderId="44" xfId="0" applyNumberFormat="1" applyFont="1" applyFill="1" applyBorder="1" applyAlignment="1">
      <alignment horizontal="right" wrapText="1"/>
    </xf>
    <xf numFmtId="1" fontId="3" fillId="6" borderId="45" xfId="0" applyNumberFormat="1" applyFont="1" applyFill="1" applyBorder="1" applyAlignment="1">
      <alignment horizontal="right" wrapText="1"/>
    </xf>
    <xf numFmtId="1" fontId="32" fillId="6" borderId="64" xfId="0" applyNumberFormat="1" applyFont="1" applyFill="1" applyBorder="1" applyAlignment="1">
      <alignment horizontal="right" wrapText="1"/>
    </xf>
    <xf numFmtId="1" fontId="32" fillId="6" borderId="52" xfId="0" applyNumberFormat="1" applyFont="1" applyFill="1" applyBorder="1" applyAlignment="1">
      <alignment horizontal="right" wrapText="1"/>
    </xf>
    <xf numFmtId="1" fontId="1" fillId="12" borderId="37" xfId="0" applyNumberFormat="1" applyFont="1" applyFill="1" applyBorder="1" applyAlignment="1">
      <alignment horizontal="right" wrapText="1"/>
    </xf>
    <xf numFmtId="1" fontId="1" fillId="12" borderId="11" xfId="0" applyNumberFormat="1" applyFont="1" applyFill="1" applyBorder="1" applyAlignment="1">
      <alignment horizontal="right" wrapText="1"/>
    </xf>
    <xf numFmtId="1" fontId="1" fillId="12" borderId="0" xfId="0" applyNumberFormat="1" applyFont="1" applyFill="1" applyBorder="1" applyAlignment="1">
      <alignment horizontal="right" wrapText="1"/>
    </xf>
    <xf numFmtId="1" fontId="3" fillId="13" borderId="59" xfId="0" applyNumberFormat="1" applyFont="1" applyFill="1" applyBorder="1" applyAlignment="1">
      <alignment horizontal="right" wrapText="1"/>
    </xf>
    <xf numFmtId="1" fontId="3" fillId="6" borderId="52" xfId="0" applyNumberFormat="1" applyFont="1" applyFill="1" applyBorder="1" applyAlignment="1">
      <alignment horizontal="right" wrapText="1"/>
    </xf>
    <xf numFmtId="0" fontId="53" fillId="0" borderId="0" xfId="0" applyFont="1"/>
    <xf numFmtId="4" fontId="3" fillId="13" borderId="2" xfId="0" applyNumberFormat="1" applyFont="1" applyFill="1" applyBorder="1" applyAlignment="1">
      <alignment wrapText="1"/>
    </xf>
    <xf numFmtId="0" fontId="3" fillId="16" borderId="42" xfId="0" applyFont="1" applyFill="1" applyBorder="1"/>
    <xf numFmtId="0" fontId="3" fillId="16" borderId="0" xfId="0" applyFont="1" applyFill="1" applyBorder="1"/>
    <xf numFmtId="0" fontId="3" fillId="7" borderId="14" xfId="0" applyFont="1" applyFill="1" applyBorder="1" applyAlignment="1">
      <alignment vertical="center" wrapText="1"/>
    </xf>
    <xf numFmtId="164" fontId="3" fillId="7" borderId="14" xfId="0" applyNumberFormat="1" applyFont="1" applyFill="1" applyBorder="1" applyAlignment="1">
      <alignment horizontal="right" wrapText="1"/>
    </xf>
    <xf numFmtId="164" fontId="3" fillId="9" borderId="2" xfId="0" applyNumberFormat="1" applyFont="1" applyFill="1" applyBorder="1" applyAlignment="1">
      <alignment horizontal="right" wrapText="1"/>
    </xf>
    <xf numFmtId="164" fontId="3" fillId="12" borderId="2" xfId="0" applyNumberFormat="1" applyFont="1" applyFill="1" applyBorder="1" applyAlignment="1">
      <alignment horizontal="right" wrapText="1"/>
    </xf>
    <xf numFmtId="164" fontId="3" fillId="7" borderId="2" xfId="0" applyNumberFormat="1" applyFont="1" applyFill="1" applyBorder="1" applyAlignment="1">
      <alignment horizontal="right" wrapText="1"/>
    </xf>
    <xf numFmtId="6" fontId="1" fillId="7" borderId="2" xfId="0" quotePrefix="1" applyNumberFormat="1" applyFont="1" applyFill="1" applyBorder="1" applyAlignment="1">
      <alignment horizontal="left" vertical="center" wrapText="1"/>
    </xf>
    <xf numFmtId="0" fontId="54" fillId="7" borderId="2" xfId="1" applyFont="1" applyFill="1" applyBorder="1" applyAlignment="1">
      <alignment horizontal="left" vertical="center" wrapText="1"/>
    </xf>
    <xf numFmtId="0" fontId="33" fillId="11" borderId="34" xfId="0" applyNumberFormat="1" applyFont="1" applyFill="1" applyBorder="1" applyAlignment="1">
      <alignment horizontal="center" vertical="center" wrapText="1"/>
    </xf>
    <xf numFmtId="164" fontId="32" fillId="13" borderId="4" xfId="0" applyNumberFormat="1" applyFont="1" applyFill="1" applyBorder="1" applyAlignment="1">
      <alignment horizontal="right" vertical="center" wrapText="1"/>
    </xf>
    <xf numFmtId="164" fontId="32" fillId="13" borderId="34" xfId="0" applyNumberFormat="1" applyFont="1" applyFill="1" applyBorder="1" applyAlignment="1">
      <alignment horizontal="right" vertical="center" wrapText="1"/>
    </xf>
    <xf numFmtId="164" fontId="33" fillId="13" borderId="34" xfId="0" applyNumberFormat="1" applyFont="1" applyFill="1" applyBorder="1" applyAlignment="1">
      <alignment horizontal="right" vertical="center" wrapText="1"/>
    </xf>
    <xf numFmtId="0" fontId="33" fillId="13" borderId="34" xfId="0" applyFont="1" applyFill="1" applyBorder="1" applyAlignment="1">
      <alignment horizontal="center" vertical="center" wrapText="1"/>
    </xf>
    <xf numFmtId="4" fontId="33" fillId="13" borderId="34" xfId="0" applyNumberFormat="1" applyFont="1" applyFill="1" applyBorder="1" applyAlignment="1">
      <alignment horizontal="right" vertical="center" wrapText="1"/>
    </xf>
    <xf numFmtId="0" fontId="33" fillId="13" borderId="34" xfId="0" applyFont="1" applyFill="1" applyBorder="1" applyAlignment="1">
      <alignment horizontal="right" vertical="center" wrapText="1"/>
    </xf>
    <xf numFmtId="0" fontId="33" fillId="13" borderId="35" xfId="0" applyFont="1" applyFill="1" applyBorder="1" applyAlignment="1">
      <alignment horizontal="right" vertical="center" wrapText="1"/>
    </xf>
    <xf numFmtId="0" fontId="31" fillId="16" borderId="24" xfId="0" applyFont="1" applyFill="1" applyBorder="1" applyAlignment="1">
      <alignment vertical="center"/>
    </xf>
    <xf numFmtId="164" fontId="32" fillId="11" borderId="34" xfId="0" applyNumberFormat="1" applyFont="1" applyFill="1" applyBorder="1" applyAlignment="1">
      <alignment horizontal="right" wrapText="1"/>
    </xf>
    <xf numFmtId="164" fontId="32" fillId="13" borderId="34" xfId="0" applyNumberFormat="1" applyFont="1" applyFill="1" applyBorder="1" applyAlignment="1">
      <alignment horizontal="right" wrapText="1"/>
    </xf>
    <xf numFmtId="164" fontId="32" fillId="13" borderId="35" xfId="0" applyNumberFormat="1" applyFont="1" applyFill="1" applyBorder="1" applyAlignment="1">
      <alignment horizontal="right" wrapText="1"/>
    </xf>
    <xf numFmtId="0" fontId="1" fillId="7" borderId="6" xfId="0" applyFont="1" applyFill="1" applyBorder="1" applyAlignment="1">
      <alignment vertical="center"/>
    </xf>
    <xf numFmtId="164" fontId="1" fillId="12" borderId="20" xfId="0" applyNumberFormat="1" applyFont="1" applyFill="1" applyBorder="1" applyAlignment="1">
      <alignment horizontal="right"/>
    </xf>
    <xf numFmtId="49" fontId="31" fillId="16" borderId="13" xfId="2" applyNumberFormat="1" applyFont="1" applyFill="1" applyBorder="1" applyAlignment="1">
      <alignment vertical="center"/>
    </xf>
    <xf numFmtId="164" fontId="3" fillId="11" borderId="22" xfId="0" applyNumberFormat="1" applyFont="1" applyFill="1" applyBorder="1" applyAlignment="1">
      <alignment horizontal="right" wrapText="1"/>
    </xf>
    <xf numFmtId="164" fontId="32" fillId="11" borderId="22" xfId="0" applyNumberFormat="1" applyFont="1" applyFill="1" applyBorder="1" applyAlignment="1">
      <alignment horizontal="right" wrapText="1"/>
    </xf>
    <xf numFmtId="164" fontId="32" fillId="13" borderId="22" xfId="0" applyNumberFormat="1" applyFont="1" applyFill="1" applyBorder="1" applyAlignment="1">
      <alignment horizontal="right" wrapText="1"/>
    </xf>
    <xf numFmtId="0" fontId="54" fillId="7" borderId="20" xfId="1" applyFont="1" applyFill="1" applyBorder="1" applyAlignment="1">
      <alignment horizontal="left" wrapText="1"/>
    </xf>
    <xf numFmtId="0" fontId="1" fillId="7" borderId="9" xfId="0" applyFont="1" applyFill="1" applyBorder="1" applyAlignment="1">
      <alignment vertical="center"/>
    </xf>
    <xf numFmtId="164" fontId="1" fillId="9" borderId="14" xfId="0" applyNumberFormat="1" applyFont="1" applyFill="1" applyBorder="1" applyAlignment="1">
      <alignment horizontal="right"/>
    </xf>
    <xf numFmtId="164" fontId="1" fillId="12" borderId="14" xfId="0" applyNumberFormat="1" applyFont="1" applyFill="1" applyBorder="1" applyAlignment="1">
      <alignment horizontal="right"/>
    </xf>
    <xf numFmtId="164" fontId="1" fillId="12" borderId="29" xfId="0" applyNumberFormat="1" applyFont="1" applyFill="1" applyBorder="1" applyAlignment="1">
      <alignment horizontal="right"/>
    </xf>
    <xf numFmtId="0" fontId="32" fillId="15" borderId="51" xfId="0" applyFont="1" applyFill="1" applyBorder="1" applyAlignment="1">
      <alignment vertical="center" wrapText="1"/>
    </xf>
    <xf numFmtId="164" fontId="32" fillId="8" borderId="59" xfId="0" applyNumberFormat="1" applyFont="1" applyFill="1" applyBorder="1" applyAlignment="1">
      <alignment horizontal="right" wrapText="1"/>
    </xf>
    <xf numFmtId="164" fontId="32" fillId="6" borderId="59" xfId="0" applyNumberFormat="1" applyFont="1" applyFill="1" applyBorder="1" applyAlignment="1">
      <alignment horizontal="right" wrapText="1"/>
    </xf>
    <xf numFmtId="164" fontId="32" fillId="6" borderId="60" xfId="0" applyNumberFormat="1" applyFont="1" applyFill="1" applyBorder="1" applyAlignment="1">
      <alignment horizontal="right" wrapText="1"/>
    </xf>
    <xf numFmtId="4" fontId="49" fillId="16" borderId="65" xfId="0" applyNumberFormat="1" applyFont="1" applyFill="1" applyBorder="1" applyAlignment="1">
      <alignment vertical="center"/>
    </xf>
    <xf numFmtId="4" fontId="3" fillId="16" borderId="9" xfId="0" applyNumberFormat="1" applyFont="1" applyFill="1" applyBorder="1" applyAlignment="1">
      <alignment vertical="center" wrapText="1"/>
    </xf>
    <xf numFmtId="164" fontId="32" fillId="11" borderId="8" xfId="0" applyNumberFormat="1" applyFont="1" applyFill="1" applyBorder="1" applyAlignment="1">
      <alignment vertical="center" wrapText="1"/>
    </xf>
    <xf numFmtId="4" fontId="3" fillId="13" borderId="14" xfId="0" applyNumberFormat="1" applyFont="1" applyFill="1" applyBorder="1" applyAlignment="1">
      <alignment wrapText="1"/>
    </xf>
    <xf numFmtId="164" fontId="33" fillId="11" borderId="14" xfId="0" applyNumberFormat="1" applyFont="1" applyFill="1" applyBorder="1" applyAlignment="1">
      <alignment horizontal="right" vertical="center"/>
    </xf>
    <xf numFmtId="3" fontId="7" fillId="13" borderId="14" xfId="0" applyNumberFormat="1" applyFont="1" applyFill="1" applyBorder="1" applyAlignment="1">
      <alignment horizontal="center" vertical="center" wrapText="1"/>
    </xf>
    <xf numFmtId="0" fontId="7" fillId="13" borderId="14" xfId="0" applyFont="1" applyFill="1" applyBorder="1" applyAlignment="1">
      <alignment horizontal="center" vertical="center" wrapText="1"/>
    </xf>
    <xf numFmtId="1" fontId="7" fillId="11" borderId="14" xfId="0" applyNumberFormat="1" applyFont="1" applyFill="1" applyBorder="1" applyAlignment="1">
      <alignment horizontal="center" vertical="center" wrapText="1"/>
    </xf>
    <xf numFmtId="0" fontId="51" fillId="13" borderId="28" xfId="0" applyFont="1" applyFill="1" applyBorder="1" applyAlignment="1">
      <alignment horizontal="right" vertical="center"/>
    </xf>
    <xf numFmtId="0" fontId="51" fillId="13" borderId="14" xfId="0" applyFont="1" applyFill="1" applyBorder="1" applyAlignment="1">
      <alignment horizontal="right" vertical="center"/>
    </xf>
    <xf numFmtId="4" fontId="51" fillId="13" borderId="14" xfId="0" applyNumberFormat="1" applyFont="1" applyFill="1" applyBorder="1" applyAlignment="1">
      <alignment horizontal="right" vertical="center"/>
    </xf>
    <xf numFmtId="1" fontId="3" fillId="8" borderId="59" xfId="0" applyNumberFormat="1" applyFont="1" applyFill="1" applyBorder="1" applyAlignment="1">
      <alignment horizontal="right" wrapText="1"/>
    </xf>
    <xf numFmtId="1" fontId="3" fillId="11" borderId="22" xfId="0" applyNumberFormat="1" applyFont="1" applyFill="1" applyBorder="1" applyAlignment="1">
      <alignment horizontal="right" wrapText="1"/>
    </xf>
    <xf numFmtId="1" fontId="3" fillId="11" borderId="34" xfId="0" applyNumberFormat="1" applyFont="1" applyFill="1" applyBorder="1" applyAlignment="1">
      <alignment horizontal="right" wrapText="1"/>
    </xf>
    <xf numFmtId="1" fontId="1" fillId="12" borderId="14" xfId="0" applyNumberFormat="1" applyFont="1" applyFill="1" applyBorder="1" applyAlignment="1">
      <alignment horizontal="right"/>
    </xf>
    <xf numFmtId="1" fontId="1" fillId="12" borderId="2" xfId="0" applyNumberFormat="1" applyFont="1" applyFill="1" applyBorder="1" applyAlignment="1">
      <alignment horizontal="right"/>
    </xf>
    <xf numFmtId="1" fontId="1" fillId="12" borderId="20" xfId="0" applyNumberFormat="1" applyFont="1" applyFill="1" applyBorder="1" applyAlignment="1">
      <alignment horizontal="right"/>
    </xf>
    <xf numFmtId="1" fontId="3" fillId="6" borderId="59" xfId="0" applyNumberFormat="1" applyFont="1" applyFill="1" applyBorder="1" applyAlignment="1">
      <alignment horizontal="right"/>
    </xf>
    <xf numFmtId="1" fontId="3" fillId="13" borderId="22" xfId="0" applyNumberFormat="1" applyFont="1" applyFill="1" applyBorder="1" applyAlignment="1">
      <alignment horizontal="right"/>
    </xf>
    <xf numFmtId="1" fontId="32" fillId="13" borderId="34" xfId="0" applyNumberFormat="1" applyFont="1" applyFill="1" applyBorder="1" applyAlignment="1">
      <alignment horizontal="right" wrapText="1"/>
    </xf>
    <xf numFmtId="1" fontId="3" fillId="13" borderId="34" xfId="0" applyNumberFormat="1" applyFont="1" applyFill="1" applyBorder="1" applyAlignment="1">
      <alignment horizontal="right"/>
    </xf>
    <xf numFmtId="164" fontId="3" fillId="13" borderId="22" xfId="0" applyNumberFormat="1" applyFont="1" applyFill="1" applyBorder="1" applyAlignment="1">
      <alignment horizontal="right"/>
    </xf>
    <xf numFmtId="164" fontId="1" fillId="12" borderId="27" xfId="0" applyNumberFormat="1" applyFont="1" applyFill="1" applyBorder="1" applyAlignment="1">
      <alignment horizontal="right"/>
    </xf>
    <xf numFmtId="164" fontId="3" fillId="13" borderId="23" xfId="0" applyNumberFormat="1" applyFont="1" applyFill="1" applyBorder="1" applyAlignment="1">
      <alignment horizontal="right"/>
    </xf>
    <xf numFmtId="0" fontId="52" fillId="0" borderId="7" xfId="0" applyFont="1" applyBorder="1" applyAlignment="1"/>
    <xf numFmtId="0" fontId="52" fillId="0" borderId="0" xfId="0" applyFont="1" applyBorder="1" applyAlignment="1"/>
    <xf numFmtId="4" fontId="37" fillId="16" borderId="65" xfId="0" applyNumberFormat="1" applyFont="1" applyFill="1" applyBorder="1" applyAlignment="1">
      <alignment vertical="center" wrapText="1"/>
    </xf>
    <xf numFmtId="164" fontId="32" fillId="11" borderId="18" xfId="0" applyNumberFormat="1" applyFont="1" applyFill="1" applyBorder="1" applyAlignment="1">
      <alignment horizontal="right" vertical="center"/>
    </xf>
    <xf numFmtId="0" fontId="32" fillId="11" borderId="34" xfId="0" applyNumberFormat="1" applyFont="1" applyFill="1" applyBorder="1" applyAlignment="1">
      <alignment horizontal="right" vertical="center" wrapText="1"/>
    </xf>
    <xf numFmtId="0" fontId="3" fillId="7" borderId="28" xfId="0" applyFont="1" applyFill="1" applyBorder="1" applyAlignment="1">
      <alignment vertical="center" wrapText="1"/>
    </xf>
    <xf numFmtId="0" fontId="3" fillId="7" borderId="1" xfId="0" applyFont="1" applyFill="1" applyBorder="1" applyAlignment="1">
      <alignment vertical="center" wrapText="1"/>
    </xf>
    <xf numFmtId="8" fontId="3" fillId="7" borderId="2" xfId="0" applyNumberFormat="1" applyFont="1" applyFill="1" applyBorder="1" applyAlignment="1">
      <alignment vertical="center" wrapText="1"/>
    </xf>
    <xf numFmtId="0" fontId="31" fillId="7" borderId="0" xfId="0" applyFont="1" applyFill="1" applyBorder="1" applyAlignment="1">
      <alignment wrapText="1"/>
    </xf>
    <xf numFmtId="0" fontId="31" fillId="7" borderId="20" xfId="0" applyFont="1" applyFill="1" applyBorder="1" applyAlignment="1">
      <alignment vertical="center" wrapText="1"/>
    </xf>
    <xf numFmtId="0" fontId="3" fillId="16" borderId="59" xfId="0" applyFont="1" applyFill="1" applyBorder="1" applyAlignment="1">
      <alignment wrapText="1"/>
    </xf>
    <xf numFmtId="0" fontId="31" fillId="7" borderId="2" xfId="0" applyFont="1" applyFill="1" applyBorder="1" applyAlignment="1">
      <alignment wrapText="1"/>
    </xf>
    <xf numFmtId="0" fontId="2" fillId="16" borderId="34" xfId="0" applyFont="1" applyFill="1" applyBorder="1" applyAlignment="1">
      <alignment vertical="center" wrapText="1"/>
    </xf>
    <xf numFmtId="1" fontId="32" fillId="11" borderId="4" xfId="0" applyNumberFormat="1" applyFont="1" applyFill="1" applyBorder="1" applyAlignment="1">
      <alignment horizontal="center" vertical="center" wrapText="1"/>
    </xf>
    <xf numFmtId="1" fontId="32" fillId="11" borderId="34" xfId="0" applyNumberFormat="1" applyFont="1" applyFill="1" applyBorder="1" applyAlignment="1">
      <alignment horizontal="center" vertical="center" wrapText="1"/>
    </xf>
    <xf numFmtId="164" fontId="33" fillId="11" borderId="34" xfId="0" applyNumberFormat="1" applyFont="1" applyFill="1" applyBorder="1" applyAlignment="1">
      <alignment horizontal="center" vertical="center" wrapText="1"/>
    </xf>
    <xf numFmtId="0" fontId="33" fillId="11" borderId="35" xfId="0" applyNumberFormat="1" applyFont="1" applyFill="1" applyBorder="1" applyAlignment="1">
      <alignment horizontal="center" vertical="center" wrapText="1"/>
    </xf>
    <xf numFmtId="164" fontId="32" fillId="13" borderId="34" xfId="0" applyNumberFormat="1" applyFont="1" applyFill="1" applyBorder="1" applyAlignment="1">
      <alignment horizontal="center" vertical="center" wrapText="1"/>
    </xf>
    <xf numFmtId="164" fontId="33" fillId="13" borderId="34" xfId="0" applyNumberFormat="1" applyFont="1" applyFill="1" applyBorder="1" applyAlignment="1">
      <alignment horizontal="center" vertical="center" wrapText="1"/>
    </xf>
    <xf numFmtId="4" fontId="33" fillId="13" borderId="34" xfId="0" applyNumberFormat="1" applyFont="1" applyFill="1" applyBorder="1" applyAlignment="1">
      <alignment horizontal="center" vertical="center" wrapText="1"/>
    </xf>
    <xf numFmtId="164" fontId="31" fillId="7" borderId="20" xfId="0" applyNumberFormat="1" applyFont="1" applyFill="1" applyBorder="1" applyAlignment="1">
      <alignment horizontal="right" wrapText="1"/>
    </xf>
    <xf numFmtId="164" fontId="3" fillId="16" borderId="59" xfId="0" applyNumberFormat="1" applyFont="1" applyFill="1" applyBorder="1" applyAlignment="1">
      <alignment horizontal="right" wrapText="1"/>
    </xf>
    <xf numFmtId="164" fontId="3" fillId="9" borderId="14" xfId="0" applyNumberFormat="1" applyFont="1" applyFill="1" applyBorder="1" applyAlignment="1">
      <alignment horizontal="right" wrapText="1"/>
    </xf>
    <xf numFmtId="164" fontId="31" fillId="9" borderId="2" xfId="0" applyNumberFormat="1" applyFont="1" applyFill="1" applyBorder="1" applyAlignment="1">
      <alignment horizontal="right" wrapText="1"/>
    </xf>
    <xf numFmtId="164" fontId="31" fillId="9" borderId="20" xfId="0" applyNumberFormat="1" applyFont="1" applyFill="1" applyBorder="1" applyAlignment="1">
      <alignment horizontal="right" wrapText="1"/>
    </xf>
    <xf numFmtId="164" fontId="7" fillId="11" borderId="59" xfId="0" applyNumberFormat="1" applyFont="1" applyFill="1" applyBorder="1" applyAlignment="1">
      <alignment horizontal="right" wrapText="1"/>
    </xf>
    <xf numFmtId="164" fontId="3" fillId="12" borderId="14" xfId="0" applyNumberFormat="1" applyFont="1" applyFill="1" applyBorder="1" applyAlignment="1">
      <alignment horizontal="right" wrapText="1"/>
    </xf>
    <xf numFmtId="164" fontId="3" fillId="12" borderId="20" xfId="0" applyNumberFormat="1" applyFont="1" applyFill="1" applyBorder="1" applyAlignment="1">
      <alignment horizontal="right" wrapText="1"/>
    </xf>
    <xf numFmtId="164" fontId="7" fillId="13" borderId="59" xfId="0" applyNumberFormat="1" applyFont="1" applyFill="1" applyBorder="1" applyAlignment="1">
      <alignment horizontal="right" wrapText="1"/>
    </xf>
    <xf numFmtId="164" fontId="3" fillId="12" borderId="14" xfId="3" applyNumberFormat="1" applyFont="1" applyFill="1" applyBorder="1" applyAlignment="1">
      <alignment horizontal="right" wrapText="1"/>
    </xf>
    <xf numFmtId="164" fontId="3" fillId="12" borderId="29" xfId="0" applyNumberFormat="1" applyFont="1" applyFill="1" applyBorder="1" applyAlignment="1">
      <alignment horizontal="right" wrapText="1"/>
    </xf>
    <xf numFmtId="164" fontId="3" fillId="12" borderId="2" xfId="3" applyNumberFormat="1" applyFont="1" applyFill="1" applyBorder="1" applyAlignment="1">
      <alignment horizontal="right" wrapText="1"/>
    </xf>
    <xf numFmtId="164" fontId="3" fillId="12" borderId="3" xfId="0" applyNumberFormat="1" applyFont="1" applyFill="1" applyBorder="1" applyAlignment="1">
      <alignment horizontal="right" wrapText="1"/>
    </xf>
    <xf numFmtId="164" fontId="31" fillId="12" borderId="44" xfId="0" applyNumberFormat="1" applyFont="1" applyFill="1" applyBorder="1" applyAlignment="1">
      <alignment horizontal="right"/>
    </xf>
    <xf numFmtId="164" fontId="31" fillId="12" borderId="35" xfId="0" applyNumberFormat="1" applyFont="1" applyFill="1" applyBorder="1" applyAlignment="1">
      <alignment horizontal="right"/>
    </xf>
    <xf numFmtId="164" fontId="7" fillId="13" borderId="60" xfId="0" applyNumberFormat="1" applyFont="1" applyFill="1" applyBorder="1" applyAlignment="1">
      <alignment horizontal="right" wrapText="1"/>
    </xf>
    <xf numFmtId="1" fontId="3" fillId="12" borderId="14" xfId="0" applyNumberFormat="1" applyFont="1" applyFill="1" applyBorder="1" applyAlignment="1">
      <alignment wrapText="1"/>
    </xf>
    <xf numFmtId="1" fontId="3" fillId="12" borderId="2" xfId="0" applyNumberFormat="1" applyFont="1" applyFill="1" applyBorder="1" applyAlignment="1">
      <alignment wrapText="1"/>
    </xf>
    <xf numFmtId="1" fontId="31" fillId="12" borderId="0" xfId="0" applyNumberFormat="1" applyFont="1" applyFill="1" applyBorder="1"/>
    <xf numFmtId="1" fontId="31" fillId="12" borderId="44" xfId="0" applyNumberFormat="1" applyFont="1" applyFill="1" applyBorder="1"/>
    <xf numFmtId="1" fontId="3" fillId="13" borderId="52" xfId="0" applyNumberFormat="1" applyFont="1" applyFill="1" applyBorder="1"/>
    <xf numFmtId="1" fontId="31" fillId="12" borderId="2" xfId="0" applyNumberFormat="1" applyFont="1" applyFill="1" applyBorder="1" applyAlignment="1">
      <alignment wrapText="1"/>
    </xf>
    <xf numFmtId="1" fontId="31" fillId="12" borderId="20" xfId="0" applyNumberFormat="1" applyFont="1" applyFill="1" applyBorder="1" applyAlignment="1">
      <alignment wrapText="1"/>
    </xf>
    <xf numFmtId="1" fontId="3" fillId="13" borderId="59" xfId="0" applyNumberFormat="1" applyFont="1" applyFill="1" applyBorder="1" applyAlignment="1">
      <alignment wrapText="1"/>
    </xf>
    <xf numFmtId="1" fontId="3" fillId="9" borderId="14" xfId="0" applyNumberFormat="1" applyFont="1" applyFill="1" applyBorder="1" applyAlignment="1">
      <alignment wrapText="1"/>
    </xf>
    <xf numFmtId="1" fontId="3" fillId="9" borderId="14" xfId="4" applyNumberFormat="1" applyFont="1" applyFill="1" applyBorder="1" applyAlignment="1">
      <alignment horizontal="right" wrapText="1"/>
    </xf>
    <xf numFmtId="1" fontId="3" fillId="9" borderId="2" xfId="0" applyNumberFormat="1" applyFont="1" applyFill="1" applyBorder="1" applyAlignment="1">
      <alignment wrapText="1"/>
    </xf>
    <xf numFmtId="1" fontId="3" fillId="9" borderId="2" xfId="4" applyNumberFormat="1" applyFont="1" applyFill="1" applyBorder="1" applyAlignment="1">
      <alignment horizontal="right" wrapText="1"/>
    </xf>
    <xf numFmtId="1" fontId="31" fillId="9" borderId="2" xfId="0" applyNumberFormat="1" applyFont="1" applyFill="1" applyBorder="1" applyAlignment="1">
      <alignment wrapText="1"/>
    </xf>
    <xf numFmtId="1" fontId="31" fillId="9" borderId="20" xfId="0" applyNumberFormat="1" applyFont="1" applyFill="1" applyBorder="1" applyAlignment="1">
      <alignment wrapText="1"/>
    </xf>
    <xf numFmtId="1" fontId="3" fillId="11" borderId="59" xfId="0" applyNumberFormat="1" applyFont="1" applyFill="1" applyBorder="1" applyAlignment="1">
      <alignment wrapText="1"/>
    </xf>
    <xf numFmtId="0" fontId="33" fillId="13" borderId="14" xfId="0" applyFont="1" applyFill="1" applyBorder="1" applyAlignment="1">
      <alignment horizontal="right" vertical="center"/>
    </xf>
    <xf numFmtId="0" fontId="33" fillId="13" borderId="28" xfId="0" applyFont="1" applyFill="1" applyBorder="1" applyAlignment="1">
      <alignment horizontal="right" vertical="center"/>
    </xf>
    <xf numFmtId="164" fontId="32" fillId="11" borderId="18" xfId="0" applyNumberFormat="1" applyFont="1" applyFill="1" applyBorder="1" applyAlignment="1">
      <alignment horizontal="center" vertical="center" wrapText="1"/>
    </xf>
    <xf numFmtId="164" fontId="33" fillId="11" borderId="18" xfId="0" applyNumberFormat="1" applyFont="1" applyFill="1" applyBorder="1" applyAlignment="1">
      <alignment horizontal="right" vertical="center"/>
    </xf>
    <xf numFmtId="164" fontId="32" fillId="11" borderId="14" xfId="0" applyNumberFormat="1" applyFont="1" applyFill="1" applyBorder="1" applyAlignment="1">
      <alignment horizontal="center" vertical="center" wrapText="1"/>
    </xf>
    <xf numFmtId="4" fontId="33" fillId="13" borderId="14" xfId="0" applyNumberFormat="1" applyFont="1" applyFill="1" applyBorder="1" applyAlignment="1">
      <alignment horizontal="right" vertical="center"/>
    </xf>
    <xf numFmtId="4" fontId="52" fillId="0" borderId="20" xfId="0" applyNumberFormat="1" applyFont="1" applyBorder="1" applyAlignment="1">
      <alignment horizontal="left" vertical="center"/>
    </xf>
    <xf numFmtId="4" fontId="53" fillId="0" borderId="0" xfId="0" applyNumberFormat="1" applyFont="1" applyAlignment="1">
      <alignment wrapText="1"/>
    </xf>
    <xf numFmtId="164" fontId="53" fillId="0" borderId="0" xfId="0" applyNumberFormat="1" applyFont="1" applyAlignment="1">
      <alignment wrapText="1"/>
    </xf>
    <xf numFmtId="0" fontId="53" fillId="0" borderId="0" xfId="0" applyNumberFormat="1" applyFont="1" applyAlignment="1">
      <alignment horizontal="center" wrapText="1"/>
    </xf>
    <xf numFmtId="164" fontId="53" fillId="0" borderId="0" xfId="0" applyNumberFormat="1" applyFont="1" applyAlignment="1">
      <alignment horizontal="center" wrapText="1"/>
    </xf>
    <xf numFmtId="0" fontId="3" fillId="7" borderId="20" xfId="0" applyFont="1" applyFill="1" applyBorder="1" applyAlignment="1">
      <alignment vertical="center" wrapText="1"/>
    </xf>
    <xf numFmtId="6" fontId="3" fillId="7" borderId="20" xfId="0" applyNumberFormat="1" applyFont="1" applyFill="1" applyBorder="1" applyAlignment="1">
      <alignment vertical="center" wrapText="1"/>
    </xf>
    <xf numFmtId="164" fontId="5" fillId="8" borderId="59" xfId="0" applyNumberFormat="1" applyFont="1" applyFill="1" applyBorder="1" applyAlignment="1">
      <alignment wrapText="1"/>
    </xf>
    <xf numFmtId="164" fontId="0" fillId="12" borderId="29" xfId="0" applyNumberFormat="1" applyFill="1" applyBorder="1" applyAlignment="1">
      <alignment wrapText="1"/>
    </xf>
    <xf numFmtId="164" fontId="0" fillId="12" borderId="3" xfId="0" applyNumberFormat="1" applyFill="1" applyBorder="1" applyAlignment="1">
      <alignment wrapText="1"/>
    </xf>
    <xf numFmtId="0" fontId="3" fillId="7" borderId="30" xfId="0" applyFont="1" applyFill="1" applyBorder="1" applyAlignment="1">
      <alignment vertical="center" wrapText="1"/>
    </xf>
    <xf numFmtId="164" fontId="0" fillId="12" borderId="27" xfId="0" applyNumberFormat="1" applyFill="1" applyBorder="1" applyAlignment="1">
      <alignment wrapText="1"/>
    </xf>
    <xf numFmtId="0" fontId="1" fillId="7" borderId="18" xfId="0" applyFont="1" applyFill="1" applyBorder="1" applyAlignment="1">
      <alignment horizontal="left" vertical="center" wrapText="1"/>
    </xf>
    <xf numFmtId="0" fontId="1" fillId="7" borderId="21" xfId="0" applyFont="1" applyFill="1" applyBorder="1" applyAlignment="1">
      <alignment horizontal="left" vertical="center" wrapText="1"/>
    </xf>
    <xf numFmtId="0" fontId="1" fillId="7" borderId="12" xfId="0" applyFont="1" applyFill="1" applyBorder="1" applyAlignment="1">
      <alignment horizontal="left" vertical="center" wrapText="1"/>
    </xf>
    <xf numFmtId="0" fontId="1" fillId="7" borderId="63" xfId="0" applyFont="1" applyFill="1" applyBorder="1" applyAlignment="1">
      <alignment vertical="center" wrapText="1"/>
    </xf>
    <xf numFmtId="0" fontId="1" fillId="7" borderId="67" xfId="0" applyFont="1" applyFill="1" applyBorder="1" applyAlignment="1">
      <alignment vertical="center" wrapText="1"/>
    </xf>
    <xf numFmtId="0" fontId="1" fillId="7" borderId="16" xfId="0" applyFont="1" applyFill="1" applyBorder="1" applyAlignment="1">
      <alignment vertical="center" wrapText="1"/>
    </xf>
    <xf numFmtId="8" fontId="3" fillId="7" borderId="18" xfId="0" quotePrefix="1" applyNumberFormat="1" applyFont="1" applyFill="1" applyBorder="1" applyAlignment="1">
      <alignment vertical="center" wrapText="1"/>
    </xf>
    <xf numFmtId="6" fontId="3" fillId="7" borderId="12" xfId="0" quotePrefix="1" applyNumberFormat="1" applyFont="1" applyFill="1" applyBorder="1" applyAlignment="1">
      <alignment vertical="center" wrapText="1"/>
    </xf>
    <xf numFmtId="8" fontId="3" fillId="7" borderId="12" xfId="0" applyNumberFormat="1" applyFont="1" applyFill="1" applyBorder="1" applyAlignment="1">
      <alignment vertical="center" wrapText="1"/>
    </xf>
    <xf numFmtId="6" fontId="3" fillId="7" borderId="12" xfId="0" applyNumberFormat="1" applyFont="1" applyFill="1" applyBorder="1" applyAlignment="1">
      <alignment vertical="center" wrapText="1"/>
    </xf>
    <xf numFmtId="0" fontId="31" fillId="7" borderId="12" xfId="0" applyFont="1" applyFill="1" applyBorder="1" applyAlignment="1">
      <alignment vertical="center" wrapText="1"/>
    </xf>
    <xf numFmtId="0" fontId="31" fillId="7" borderId="21" xfId="0" applyFont="1" applyFill="1" applyBorder="1" applyAlignment="1">
      <alignment vertical="center" wrapText="1"/>
    </xf>
    <xf numFmtId="0" fontId="3" fillId="7" borderId="63" xfId="0" applyFont="1" applyFill="1" applyBorder="1" applyAlignment="1">
      <alignment vertical="center" wrapText="1"/>
    </xf>
    <xf numFmtId="0" fontId="3" fillId="7" borderId="67" xfId="0" applyFont="1" applyFill="1" applyBorder="1" applyAlignment="1">
      <alignment vertical="center" wrapText="1"/>
    </xf>
    <xf numFmtId="0" fontId="31" fillId="7" borderId="67" xfId="0" applyFont="1" applyFill="1" applyBorder="1" applyAlignment="1">
      <alignment vertical="center" wrapText="1"/>
    </xf>
    <xf numFmtId="0" fontId="31" fillId="7" borderId="16" xfId="0" applyFont="1" applyFill="1" applyBorder="1" applyAlignment="1">
      <alignment vertical="center" wrapText="1"/>
    </xf>
    <xf numFmtId="0" fontId="3" fillId="7" borderId="18" xfId="0" applyFont="1" applyFill="1" applyBorder="1" applyAlignment="1">
      <alignment vertical="center" wrapText="1"/>
    </xf>
    <xf numFmtId="8" fontId="3" fillId="7" borderId="12" xfId="0" quotePrefix="1" applyNumberFormat="1" applyFont="1" applyFill="1" applyBorder="1" applyAlignment="1">
      <alignment vertical="center" wrapText="1"/>
    </xf>
    <xf numFmtId="6" fontId="3" fillId="7" borderId="12" xfId="0" applyNumberFormat="1" applyFont="1" applyFill="1" applyBorder="1" applyAlignment="1" applyProtection="1">
      <alignment vertical="center" wrapText="1"/>
      <protection locked="0"/>
    </xf>
    <xf numFmtId="6" fontId="3" fillId="7" borderId="21" xfId="0" applyNumberFormat="1" applyFont="1" applyFill="1" applyBorder="1" applyAlignment="1">
      <alignment vertical="center" wrapText="1"/>
    </xf>
    <xf numFmtId="0" fontId="3" fillId="16" borderId="57" xfId="0" applyFont="1" applyFill="1" applyBorder="1" applyAlignment="1">
      <alignment vertical="center" wrapText="1"/>
    </xf>
    <xf numFmtId="0" fontId="3" fillId="7" borderId="67" xfId="0" applyFont="1" applyFill="1" applyBorder="1" applyAlignment="1" applyProtection="1">
      <alignment vertical="center" wrapText="1"/>
      <protection locked="0"/>
    </xf>
    <xf numFmtId="0" fontId="3" fillId="7" borderId="66" xfId="0" applyFont="1" applyFill="1" applyBorder="1" applyAlignment="1">
      <alignment vertical="center" wrapText="1"/>
    </xf>
    <xf numFmtId="164" fontId="4" fillId="11" borderId="14" xfId="0" applyNumberFormat="1" applyFont="1" applyFill="1" applyBorder="1" applyAlignment="1">
      <alignment horizontal="center" vertical="center" wrapText="1"/>
    </xf>
    <xf numFmtId="0" fontId="52" fillId="0" borderId="20" xfId="0" applyFont="1" applyBorder="1" applyAlignment="1">
      <alignment horizontal="left"/>
    </xf>
    <xf numFmtId="164" fontId="32" fillId="11" borderId="65" xfId="0" applyNumberFormat="1" applyFont="1" applyFill="1" applyBorder="1" applyAlignment="1">
      <alignment horizontal="center" vertical="center" wrapText="1"/>
    </xf>
    <xf numFmtId="1" fontId="7" fillId="11" borderId="18" xfId="0" applyNumberFormat="1" applyFont="1" applyFill="1" applyBorder="1" applyAlignment="1">
      <alignment horizontal="center" vertical="center" wrapText="1"/>
    </xf>
    <xf numFmtId="0" fontId="3" fillId="13" borderId="0" xfId="0" applyFont="1" applyFill="1" applyAlignment="1">
      <alignment horizontal="center" vertical="center"/>
    </xf>
    <xf numFmtId="0" fontId="32" fillId="15" borderId="57" xfId="0" applyFont="1" applyFill="1" applyBorder="1" applyAlignment="1">
      <alignment wrapText="1"/>
    </xf>
    <xf numFmtId="0" fontId="3" fillId="7" borderId="17" xfId="0" applyFont="1" applyFill="1" applyBorder="1"/>
    <xf numFmtId="0" fontId="3" fillId="7" borderId="19" xfId="0" applyFont="1" applyFill="1" applyBorder="1"/>
    <xf numFmtId="0" fontId="3" fillId="16" borderId="59" xfId="0" applyFont="1" applyFill="1" applyBorder="1"/>
    <xf numFmtId="164" fontId="3" fillId="9" borderId="20" xfId="0" applyNumberFormat="1" applyFont="1" applyFill="1" applyBorder="1" applyAlignment="1">
      <alignment horizontal="right" wrapText="1"/>
    </xf>
    <xf numFmtId="164" fontId="3" fillId="12" borderId="27" xfId="0" applyNumberFormat="1" applyFont="1" applyFill="1" applyBorder="1" applyAlignment="1">
      <alignment horizontal="right" wrapText="1"/>
    </xf>
    <xf numFmtId="164" fontId="7" fillId="8" borderId="34" xfId="0" applyNumberFormat="1" applyFont="1" applyFill="1" applyBorder="1" applyAlignment="1">
      <alignment horizontal="right" wrapText="1"/>
    </xf>
    <xf numFmtId="164" fontId="7" fillId="6" borderId="34" xfId="0" applyNumberFormat="1" applyFont="1" applyFill="1" applyBorder="1" applyAlignment="1">
      <alignment horizontal="right" wrapText="1"/>
    </xf>
    <xf numFmtId="164" fontId="7" fillId="6" borderId="35" xfId="0" applyNumberFormat="1" applyFont="1" applyFill="1" applyBorder="1" applyAlignment="1">
      <alignment horizontal="right" wrapText="1"/>
    </xf>
    <xf numFmtId="164" fontId="3" fillId="9" borderId="19" xfId="0" applyNumberFormat="1" applyFont="1" applyFill="1" applyBorder="1" applyAlignment="1">
      <alignment horizontal="right"/>
    </xf>
    <xf numFmtId="164" fontId="3" fillId="12" borderId="19" xfId="0" applyNumberFormat="1" applyFont="1" applyFill="1" applyBorder="1" applyAlignment="1">
      <alignment horizontal="right"/>
    </xf>
    <xf numFmtId="164" fontId="3" fillId="12" borderId="76" xfId="0" applyNumberFormat="1" applyFont="1" applyFill="1" applyBorder="1" applyAlignment="1">
      <alignment horizontal="right"/>
    </xf>
    <xf numFmtId="164" fontId="3" fillId="13" borderId="59" xfId="0" applyNumberFormat="1" applyFont="1" applyFill="1" applyBorder="1" applyAlignment="1">
      <alignment horizontal="right"/>
    </xf>
    <xf numFmtId="164" fontId="3" fillId="13" borderId="60" xfId="0" applyNumberFormat="1" applyFont="1" applyFill="1" applyBorder="1" applyAlignment="1">
      <alignment horizontal="right"/>
    </xf>
    <xf numFmtId="164" fontId="3" fillId="7" borderId="20" xfId="0" applyNumberFormat="1" applyFont="1" applyFill="1" applyBorder="1" applyAlignment="1">
      <alignment horizontal="right" wrapText="1"/>
    </xf>
    <xf numFmtId="164" fontId="3" fillId="15" borderId="34" xfId="0" applyNumberFormat="1" applyFont="1" applyFill="1" applyBorder="1" applyAlignment="1">
      <alignment horizontal="right" wrapText="1"/>
    </xf>
    <xf numFmtId="1" fontId="3" fillId="9" borderId="14" xfId="0" applyNumberFormat="1" applyFont="1" applyFill="1" applyBorder="1" applyAlignment="1">
      <alignment horizontal="right" wrapText="1"/>
    </xf>
    <xf numFmtId="1" fontId="3" fillId="9" borderId="2" xfId="0" applyNumberFormat="1" applyFont="1" applyFill="1" applyBorder="1" applyAlignment="1">
      <alignment horizontal="right" wrapText="1"/>
    </xf>
    <xf numFmtId="1" fontId="3" fillId="9" borderId="2" xfId="0" applyNumberFormat="1" applyFont="1" applyFill="1" applyBorder="1" applyAlignment="1" applyProtection="1">
      <alignment horizontal="right" wrapText="1"/>
      <protection locked="0"/>
    </xf>
    <xf numFmtId="1" fontId="3" fillId="9" borderId="20" xfId="0" applyNumberFormat="1" applyFont="1" applyFill="1" applyBorder="1" applyAlignment="1">
      <alignment horizontal="right" wrapText="1"/>
    </xf>
    <xf numFmtId="1" fontId="3" fillId="9" borderId="20" xfId="4" applyNumberFormat="1" applyFont="1" applyFill="1" applyBorder="1" applyAlignment="1">
      <alignment horizontal="right" wrapText="1"/>
    </xf>
    <xf numFmtId="1" fontId="3" fillId="8" borderId="34" xfId="0" applyNumberFormat="1" applyFont="1" applyFill="1" applyBorder="1" applyAlignment="1">
      <alignment horizontal="right" wrapText="1"/>
    </xf>
    <xf numFmtId="1" fontId="3" fillId="9" borderId="19" xfId="0" applyNumberFormat="1" applyFont="1" applyFill="1" applyBorder="1" applyAlignment="1">
      <alignment horizontal="right"/>
    </xf>
    <xf numFmtId="1" fontId="3" fillId="11" borderId="59" xfId="0" applyNumberFormat="1" applyFont="1" applyFill="1" applyBorder="1" applyAlignment="1">
      <alignment horizontal="right"/>
    </xf>
    <xf numFmtId="1" fontId="3" fillId="12" borderId="14" xfId="0" applyNumberFormat="1" applyFont="1" applyFill="1" applyBorder="1" applyAlignment="1">
      <alignment horizontal="right" wrapText="1"/>
    </xf>
    <xf numFmtId="1" fontId="3" fillId="12" borderId="2" xfId="0" applyNumberFormat="1" applyFont="1" applyFill="1" applyBorder="1" applyAlignment="1">
      <alignment horizontal="right" wrapText="1"/>
    </xf>
    <xf numFmtId="1" fontId="3" fillId="12" borderId="2" xfId="0" applyNumberFormat="1" applyFont="1" applyFill="1" applyBorder="1" applyAlignment="1" applyProtection="1">
      <alignment horizontal="right" wrapText="1"/>
      <protection locked="0"/>
    </xf>
    <xf numFmtId="1" fontId="3" fillId="12" borderId="20" xfId="0" applyNumberFormat="1" applyFont="1" applyFill="1" applyBorder="1" applyAlignment="1">
      <alignment horizontal="right" wrapText="1"/>
    </xf>
    <xf numFmtId="1" fontId="3" fillId="6" borderId="34" xfId="0" applyNumberFormat="1" applyFont="1" applyFill="1" applyBorder="1" applyAlignment="1">
      <alignment horizontal="right" wrapText="1"/>
    </xf>
    <xf numFmtId="1" fontId="3" fillId="12" borderId="19" xfId="0" applyNumberFormat="1" applyFont="1" applyFill="1" applyBorder="1" applyAlignment="1">
      <alignment horizontal="right"/>
    </xf>
    <xf numFmtId="1" fontId="3" fillId="13" borderId="59" xfId="0" applyNumberFormat="1" applyFont="1" applyFill="1" applyBorder="1" applyAlignment="1">
      <alignment horizontal="right"/>
    </xf>
    <xf numFmtId="1" fontId="3" fillId="12" borderId="2" xfId="0" applyNumberFormat="1" applyFont="1" applyFill="1" applyBorder="1" applyAlignment="1">
      <alignment horizontal="right"/>
    </xf>
    <xf numFmtId="1" fontId="3" fillId="12" borderId="20" xfId="0" applyNumberFormat="1" applyFont="1" applyFill="1" applyBorder="1" applyAlignment="1">
      <alignment horizontal="right"/>
    </xf>
    <xf numFmtId="1" fontId="3" fillId="6" borderId="34" xfId="0" applyNumberFormat="1" applyFont="1" applyFill="1" applyBorder="1" applyAlignment="1">
      <alignment horizontal="right"/>
    </xf>
    <xf numFmtId="1" fontId="3" fillId="12" borderId="19" xfId="3" applyNumberFormat="1" applyFont="1" applyFill="1" applyBorder="1" applyAlignment="1">
      <alignment horizontal="right"/>
    </xf>
    <xf numFmtId="164" fontId="3" fillId="16" borderId="59" xfId="0" applyNumberFormat="1" applyFont="1" applyFill="1" applyBorder="1" applyAlignment="1">
      <alignment horizontal="right"/>
    </xf>
    <xf numFmtId="0" fontId="34" fillId="7" borderId="2" xfId="1" applyFont="1" applyFill="1" applyBorder="1" applyAlignment="1">
      <alignment wrapText="1"/>
    </xf>
    <xf numFmtId="0" fontId="35" fillId="7" borderId="2" xfId="1" applyFont="1" applyFill="1" applyBorder="1" applyAlignment="1">
      <alignment wrapText="1"/>
    </xf>
    <xf numFmtId="0" fontId="3" fillId="12" borderId="0" xfId="0" applyFont="1" applyFill="1" applyBorder="1"/>
    <xf numFmtId="0" fontId="3" fillId="7" borderId="0" xfId="0" applyFont="1" applyFill="1" applyBorder="1"/>
    <xf numFmtId="0" fontId="3" fillId="12" borderId="70" xfId="0" applyFont="1" applyFill="1" applyBorder="1"/>
    <xf numFmtId="0" fontId="37" fillId="16" borderId="51" xfId="0" applyFont="1" applyFill="1" applyBorder="1" applyAlignment="1">
      <alignment horizontal="left" vertical="center" indent="5"/>
    </xf>
    <xf numFmtId="0" fontId="3" fillId="16" borderId="52" xfId="0" applyFont="1" applyFill="1" applyBorder="1"/>
    <xf numFmtId="164" fontId="3" fillId="13" borderId="53" xfId="0" applyNumberFormat="1" applyFont="1" applyFill="1" applyBorder="1"/>
    <xf numFmtId="0" fontId="35" fillId="7" borderId="20" xfId="0" applyFont="1" applyFill="1" applyBorder="1" applyAlignment="1">
      <alignment wrapText="1"/>
    </xf>
    <xf numFmtId="0" fontId="3" fillId="7" borderId="20" xfId="0" applyFont="1" applyFill="1" applyBorder="1" applyAlignment="1">
      <alignment wrapText="1"/>
    </xf>
    <xf numFmtId="0" fontId="34" fillId="7" borderId="20" xfId="1" applyFont="1" applyFill="1" applyBorder="1"/>
    <xf numFmtId="0" fontId="3" fillId="9" borderId="30" xfId="0" applyFont="1" applyFill="1" applyBorder="1"/>
    <xf numFmtId="0" fontId="3" fillId="9" borderId="27" xfId="0" applyFont="1" applyFill="1" applyBorder="1"/>
    <xf numFmtId="164" fontId="3" fillId="9" borderId="20" xfId="0" applyNumberFormat="1" applyFont="1" applyFill="1" applyBorder="1"/>
    <xf numFmtId="164" fontId="3" fillId="9" borderId="27" xfId="0" applyNumberFormat="1" applyFont="1" applyFill="1" applyBorder="1"/>
    <xf numFmtId="1" fontId="3" fillId="12" borderId="30" xfId="0" applyNumberFormat="1" applyFont="1" applyFill="1" applyBorder="1"/>
    <xf numFmtId="1" fontId="3" fillId="12" borderId="20" xfId="0" applyNumberFormat="1" applyFont="1" applyFill="1" applyBorder="1"/>
    <xf numFmtId="3" fontId="3" fillId="12" borderId="27" xfId="0" applyNumberFormat="1" applyFont="1" applyFill="1" applyBorder="1" applyAlignment="1">
      <alignment wrapText="1"/>
    </xf>
    <xf numFmtId="164" fontId="3" fillId="12" borderId="30" xfId="0" applyNumberFormat="1" applyFont="1" applyFill="1" applyBorder="1" applyAlignment="1">
      <alignment wrapText="1"/>
    </xf>
    <xf numFmtId="164" fontId="3" fillId="12" borderId="27" xfId="0" applyNumberFormat="1" applyFont="1" applyFill="1" applyBorder="1"/>
    <xf numFmtId="0" fontId="37" fillId="15" borderId="51" xfId="0" applyFont="1" applyFill="1" applyBorder="1" applyAlignment="1">
      <alignment horizontal="left" vertical="center" indent="5"/>
    </xf>
    <xf numFmtId="0" fontId="3" fillId="15" borderId="52" xfId="0" applyFont="1" applyFill="1" applyBorder="1"/>
    <xf numFmtId="164" fontId="3" fillId="6" borderId="53" xfId="0" applyNumberFormat="1" applyFont="1" applyFill="1" applyBorder="1"/>
    <xf numFmtId="8" fontId="3" fillId="7" borderId="12" xfId="0" applyNumberFormat="1" applyFont="1" applyFill="1" applyBorder="1" applyAlignment="1">
      <alignment wrapText="1"/>
    </xf>
    <xf numFmtId="0" fontId="36" fillId="7" borderId="66" xfId="0" applyFont="1" applyFill="1" applyBorder="1" applyAlignment="1">
      <alignment horizontal="left" vertical="center" indent="5"/>
    </xf>
    <xf numFmtId="0" fontId="3" fillId="12" borderId="28" xfId="0" applyFont="1" applyFill="1" applyBorder="1"/>
    <xf numFmtId="0" fontId="3" fillId="12" borderId="1" xfId="0" applyFont="1" applyFill="1" applyBorder="1"/>
    <xf numFmtId="0" fontId="53" fillId="0" borderId="0" xfId="0" applyFont="1" applyFill="1"/>
    <xf numFmtId="0" fontId="32" fillId="13" borderId="2" xfId="0" applyFont="1" applyFill="1" applyBorder="1" applyAlignment="1">
      <alignment horizontal="center" wrapText="1"/>
    </xf>
    <xf numFmtId="0" fontId="46" fillId="7" borderId="2" xfId="1" applyFont="1" applyFill="1" applyBorder="1" applyAlignment="1">
      <alignment vertical="center" wrapText="1"/>
    </xf>
    <xf numFmtId="164" fontId="3" fillId="12" borderId="10" xfId="0" applyNumberFormat="1" applyFont="1" applyFill="1" applyBorder="1" applyAlignment="1">
      <alignment horizontal="right" wrapText="1"/>
    </xf>
    <xf numFmtId="0" fontId="52" fillId="0" borderId="5" xfId="0" applyFont="1" applyBorder="1" applyAlignment="1"/>
    <xf numFmtId="0" fontId="52" fillId="0" borderId="6" xfId="0" applyFont="1" applyBorder="1" applyAlignment="1"/>
    <xf numFmtId="0" fontId="3" fillId="11" borderId="0" xfId="0" applyFont="1" applyFill="1" applyBorder="1"/>
    <xf numFmtId="0" fontId="3" fillId="11" borderId="70" xfId="0" applyFont="1" applyFill="1" applyBorder="1"/>
    <xf numFmtId="164" fontId="3" fillId="12" borderId="8" xfId="0" applyNumberFormat="1" applyFont="1" applyFill="1" applyBorder="1" applyAlignment="1">
      <alignment horizontal="right" wrapText="1"/>
    </xf>
    <xf numFmtId="0" fontId="3" fillId="7" borderId="0" xfId="0" applyFont="1" applyFill="1" applyBorder="1" applyAlignment="1">
      <alignment wrapText="1"/>
    </xf>
    <xf numFmtId="0" fontId="32" fillId="16" borderId="4" xfId="0" applyFont="1" applyFill="1" applyBorder="1" applyAlignment="1">
      <alignment vertical="center" wrapText="1"/>
    </xf>
    <xf numFmtId="0" fontId="3" fillId="16" borderId="34" xfId="0" applyFont="1" applyFill="1" applyBorder="1"/>
    <xf numFmtId="164" fontId="32" fillId="11" borderId="34" xfId="0" applyNumberFormat="1" applyFont="1" applyFill="1" applyBorder="1" applyAlignment="1">
      <alignment horizontal="right"/>
    </xf>
    <xf numFmtId="164" fontId="32" fillId="13" borderId="34" xfId="0" applyNumberFormat="1" applyFont="1" applyFill="1" applyBorder="1" applyAlignment="1">
      <alignment horizontal="right"/>
    </xf>
    <xf numFmtId="164" fontId="32" fillId="13" borderId="35" xfId="0" applyNumberFormat="1" applyFont="1" applyFill="1" applyBorder="1" applyAlignment="1">
      <alignment horizontal="right"/>
    </xf>
    <xf numFmtId="0" fontId="32" fillId="16" borderId="48" xfId="0" applyFont="1" applyFill="1" applyBorder="1" applyAlignment="1">
      <alignment wrapText="1"/>
    </xf>
    <xf numFmtId="0" fontId="3" fillId="16" borderId="22" xfId="0" applyFont="1" applyFill="1" applyBorder="1" applyAlignment="1">
      <alignment vertical="center" wrapText="1"/>
    </xf>
    <xf numFmtId="0" fontId="32" fillId="16" borderId="22" xfId="0" applyFont="1" applyFill="1" applyBorder="1" applyAlignment="1">
      <alignment wrapText="1"/>
    </xf>
    <xf numFmtId="164" fontId="3" fillId="16" borderId="22" xfId="0" applyNumberFormat="1" applyFont="1" applyFill="1" applyBorder="1" applyAlignment="1">
      <alignment horizontal="right" wrapText="1"/>
    </xf>
    <xf numFmtId="164" fontId="3" fillId="12" borderId="5" xfId="0" applyNumberFormat="1" applyFont="1" applyFill="1" applyBorder="1" applyAlignment="1">
      <alignment horizontal="right" wrapText="1"/>
    </xf>
    <xf numFmtId="0" fontId="2" fillId="15" borderId="61" xfId="0" applyFont="1" applyFill="1" applyBorder="1" applyAlignment="1">
      <alignment vertical="center" wrapText="1"/>
    </xf>
    <xf numFmtId="6" fontId="2" fillId="15" borderId="59" xfId="0" applyNumberFormat="1" applyFont="1" applyFill="1" applyBorder="1" applyAlignment="1">
      <alignment vertical="center" wrapText="1"/>
    </xf>
    <xf numFmtId="0" fontId="2" fillId="15" borderId="59" xfId="0" applyFont="1" applyFill="1" applyBorder="1" applyAlignment="1">
      <alignment vertical="center" wrapText="1"/>
    </xf>
    <xf numFmtId="164" fontId="32" fillId="15" borderId="59" xfId="0" applyNumberFormat="1" applyFont="1" applyFill="1" applyBorder="1" applyAlignment="1">
      <alignment horizontal="right" wrapText="1"/>
    </xf>
    <xf numFmtId="0" fontId="34" fillId="7" borderId="20" xfId="1" applyFont="1" applyFill="1" applyBorder="1" applyAlignment="1">
      <alignment wrapText="1"/>
    </xf>
    <xf numFmtId="0" fontId="32" fillId="15" borderId="61" xfId="0" applyFont="1" applyFill="1" applyBorder="1" applyAlignment="1">
      <alignment vertical="center" wrapText="1"/>
    </xf>
    <xf numFmtId="0" fontId="32" fillId="15" borderId="59" xfId="0" applyFont="1" applyFill="1" applyBorder="1" applyAlignment="1">
      <alignment vertical="center" wrapText="1"/>
    </xf>
    <xf numFmtId="0" fontId="56" fillId="15" borderId="59" xfId="1" applyFont="1" applyFill="1" applyBorder="1" applyAlignment="1">
      <alignment wrapText="1"/>
    </xf>
    <xf numFmtId="4" fontId="57" fillId="16" borderId="65" xfId="0" applyNumberFormat="1" applyFont="1" applyFill="1" applyBorder="1" applyAlignment="1">
      <alignment vertical="center" wrapText="1"/>
    </xf>
    <xf numFmtId="1" fontId="32" fillId="8" borderId="59" xfId="0" applyNumberFormat="1" applyFont="1" applyFill="1" applyBorder="1" applyAlignment="1">
      <alignment horizontal="right" wrapText="1"/>
    </xf>
    <xf numFmtId="1" fontId="3" fillId="11" borderId="34" xfId="0" applyNumberFormat="1" applyFont="1" applyFill="1" applyBorder="1" applyAlignment="1">
      <alignment horizontal="right"/>
    </xf>
    <xf numFmtId="1" fontId="32" fillId="6" borderId="59" xfId="0" applyNumberFormat="1" applyFont="1" applyFill="1" applyBorder="1" applyAlignment="1">
      <alignment horizontal="right" wrapText="1"/>
    </xf>
    <xf numFmtId="1" fontId="3" fillId="6" borderId="59" xfId="0" applyNumberFormat="1" applyFont="1" applyFill="1" applyBorder="1" applyAlignment="1">
      <alignment horizontal="right" wrapText="1"/>
    </xf>
    <xf numFmtId="1" fontId="3" fillId="13" borderId="22" xfId="0" applyNumberFormat="1" applyFont="1" applyFill="1" applyBorder="1" applyAlignment="1">
      <alignment horizontal="right" wrapText="1"/>
    </xf>
    <xf numFmtId="1" fontId="32" fillId="13" borderId="34" xfId="0" applyNumberFormat="1" applyFont="1" applyFill="1" applyBorder="1" applyAlignment="1">
      <alignment horizontal="right"/>
    </xf>
    <xf numFmtId="1" fontId="32" fillId="6" borderId="59" xfId="0" applyNumberFormat="1" applyFont="1" applyFill="1" applyBorder="1" applyAlignment="1">
      <alignment horizontal="right"/>
    </xf>
    <xf numFmtId="1" fontId="3" fillId="12" borderId="14" xfId="0" applyNumberFormat="1" applyFont="1" applyFill="1" applyBorder="1" applyAlignment="1">
      <alignment horizontal="right"/>
    </xf>
    <xf numFmtId="164" fontId="3" fillId="16" borderId="34" xfId="0" applyNumberFormat="1" applyFont="1" applyFill="1" applyBorder="1" applyAlignment="1">
      <alignment horizontal="right"/>
    </xf>
    <xf numFmtId="164" fontId="3" fillId="11" borderId="34" xfId="0" applyNumberFormat="1" applyFont="1" applyFill="1" applyBorder="1" applyAlignment="1">
      <alignment horizontal="right"/>
    </xf>
    <xf numFmtId="164" fontId="3" fillId="12" borderId="0" xfId="0" applyNumberFormat="1" applyFont="1" applyFill="1" applyBorder="1" applyAlignment="1">
      <alignment horizontal="right"/>
    </xf>
    <xf numFmtId="164" fontId="3" fillId="12" borderId="20" xfId="0" applyNumberFormat="1" applyFont="1" applyFill="1" applyBorder="1" applyAlignment="1">
      <alignment horizontal="right"/>
    </xf>
    <xf numFmtId="164" fontId="3" fillId="12" borderId="20" xfId="3" applyNumberFormat="1" applyFont="1" applyFill="1" applyBorder="1" applyAlignment="1">
      <alignment horizontal="right" wrapText="1"/>
    </xf>
    <xf numFmtId="164" fontId="3" fillId="12" borderId="14" xfId="0" applyNumberFormat="1" applyFont="1" applyFill="1" applyBorder="1" applyAlignment="1">
      <alignment horizontal="right"/>
    </xf>
    <xf numFmtId="164" fontId="3" fillId="12" borderId="27" xfId="0" applyNumberFormat="1" applyFont="1" applyFill="1" applyBorder="1" applyAlignment="1">
      <alignment horizontal="right"/>
    </xf>
    <xf numFmtId="0" fontId="7" fillId="16" borderId="4" xfId="0" applyFont="1" applyFill="1" applyBorder="1" applyAlignment="1">
      <alignment vertical="center" wrapText="1"/>
    </xf>
    <xf numFmtId="0" fontId="7" fillId="16" borderId="34" xfId="0" applyFont="1" applyFill="1" applyBorder="1" applyAlignment="1">
      <alignment vertical="center" wrapText="1"/>
    </xf>
    <xf numFmtId="164" fontId="4" fillId="9" borderId="14" xfId="0" applyNumberFormat="1" applyFont="1" applyFill="1" applyBorder="1" applyAlignment="1">
      <alignment wrapText="1"/>
    </xf>
    <xf numFmtId="164" fontId="4" fillId="12" borderId="14" xfId="0" applyNumberFormat="1" applyFont="1" applyFill="1" applyBorder="1" applyAlignment="1">
      <alignment wrapText="1"/>
    </xf>
    <xf numFmtId="164" fontId="4" fillId="12" borderId="29" xfId="0" applyNumberFormat="1" applyFont="1" applyFill="1" applyBorder="1" applyAlignment="1">
      <alignment wrapText="1"/>
    </xf>
    <xf numFmtId="3" fontId="0" fillId="8" borderId="59" xfId="0" applyNumberFormat="1" applyFill="1" applyBorder="1" applyAlignment="1">
      <alignment wrapText="1"/>
    </xf>
    <xf numFmtId="164" fontId="4" fillId="8" borderId="34" xfId="0" applyNumberFormat="1" applyFont="1" applyFill="1" applyBorder="1" applyAlignment="1">
      <alignment wrapText="1"/>
    </xf>
    <xf numFmtId="164" fontId="4" fillId="6" borderId="34" xfId="0" applyNumberFormat="1" applyFont="1" applyFill="1" applyBorder="1" applyAlignment="1">
      <alignment wrapText="1"/>
    </xf>
    <xf numFmtId="164" fontId="4" fillId="6" borderId="35" xfId="0" applyNumberFormat="1" applyFont="1" applyFill="1" applyBorder="1" applyAlignment="1">
      <alignment wrapText="1"/>
    </xf>
    <xf numFmtId="0" fontId="32" fillId="0" borderId="20" xfId="0" applyFont="1" applyBorder="1" applyAlignment="1">
      <alignment horizontal="left"/>
    </xf>
    <xf numFmtId="164" fontId="32" fillId="0" borderId="6" xfId="0" applyNumberFormat="1" applyFont="1" applyBorder="1" applyAlignment="1">
      <alignment horizontal="center" wrapText="1"/>
    </xf>
    <xf numFmtId="164" fontId="32" fillId="0" borderId="21" xfId="0" applyNumberFormat="1" applyFont="1" applyBorder="1" applyAlignment="1">
      <alignment horizontal="center" wrapText="1"/>
    </xf>
    <xf numFmtId="0" fontId="32" fillId="0" borderId="7" xfId="0" applyFont="1" applyBorder="1" applyAlignment="1">
      <alignment horizontal="center" wrapText="1"/>
    </xf>
    <xf numFmtId="0" fontId="32" fillId="0" borderId="0" xfId="0" applyFont="1" applyBorder="1" applyAlignment="1">
      <alignment horizontal="center" wrapText="1"/>
    </xf>
    <xf numFmtId="164" fontId="3" fillId="11" borderId="65" xfId="0" applyNumberFormat="1" applyFont="1" applyFill="1" applyBorder="1" applyAlignment="1">
      <alignment wrapText="1"/>
    </xf>
    <xf numFmtId="164" fontId="3" fillId="11" borderId="9" xfId="0" applyNumberFormat="1" applyFont="1" applyFill="1" applyBorder="1" applyAlignment="1">
      <alignment wrapText="1"/>
    </xf>
    <xf numFmtId="0" fontId="3" fillId="7" borderId="28" xfId="0" applyFont="1" applyFill="1" applyBorder="1" applyAlignment="1">
      <alignment wrapText="1"/>
    </xf>
    <xf numFmtId="0" fontId="3" fillId="7" borderId="14" xfId="0" applyFont="1" applyFill="1" applyBorder="1" applyAlignment="1">
      <alignment horizontal="right"/>
    </xf>
    <xf numFmtId="0" fontId="3" fillId="16" borderId="22" xfId="0" applyFont="1" applyFill="1" applyBorder="1" applyAlignment="1">
      <alignment wrapText="1"/>
    </xf>
    <xf numFmtId="0" fontId="32" fillId="16" borderId="4" xfId="0" applyFont="1" applyFill="1" applyBorder="1" applyAlignment="1">
      <alignment wrapText="1"/>
    </xf>
    <xf numFmtId="0" fontId="3" fillId="16" borderId="34" xfId="0" applyFont="1" applyFill="1" applyBorder="1" applyAlignment="1">
      <alignment wrapText="1"/>
    </xf>
    <xf numFmtId="164" fontId="32" fillId="8" borderId="34" xfId="0" applyNumberFormat="1" applyFont="1" applyFill="1" applyBorder="1" applyAlignment="1">
      <alignment horizontal="right" wrapText="1"/>
    </xf>
    <xf numFmtId="164" fontId="32" fillId="6" borderId="35" xfId="0" applyNumberFormat="1" applyFont="1" applyFill="1" applyBorder="1" applyAlignment="1">
      <alignment horizontal="right" wrapText="1"/>
    </xf>
    <xf numFmtId="164" fontId="32" fillId="12" borderId="14" xfId="0" applyNumberFormat="1" applyFont="1" applyFill="1" applyBorder="1" applyAlignment="1">
      <alignment horizontal="right" wrapText="1"/>
    </xf>
    <xf numFmtId="164" fontId="32" fillId="9" borderId="14" xfId="0" applyNumberFormat="1" applyFont="1" applyFill="1" applyBorder="1" applyAlignment="1">
      <alignment horizontal="right" wrapText="1"/>
    </xf>
    <xf numFmtId="164" fontId="32" fillId="12" borderId="29" xfId="0" applyNumberFormat="1" applyFont="1" applyFill="1" applyBorder="1" applyAlignment="1">
      <alignment horizontal="right" wrapText="1"/>
    </xf>
    <xf numFmtId="164" fontId="3" fillId="13" borderId="50" xfId="0" applyNumberFormat="1" applyFont="1" applyFill="1" applyBorder="1" applyAlignment="1">
      <alignment horizontal="right" wrapText="1"/>
    </xf>
    <xf numFmtId="164" fontId="3" fillId="16" borderId="34" xfId="0" applyNumberFormat="1" applyFont="1" applyFill="1" applyBorder="1" applyAlignment="1">
      <alignment horizontal="right" wrapText="1"/>
    </xf>
    <xf numFmtId="1" fontId="3" fillId="13" borderId="34" xfId="0" applyNumberFormat="1" applyFont="1" applyFill="1" applyBorder="1" applyAlignment="1">
      <alignment horizontal="right" wrapText="1"/>
    </xf>
    <xf numFmtId="164" fontId="3" fillId="13" borderId="23" xfId="0" applyNumberFormat="1" applyFont="1" applyFill="1" applyBorder="1" applyAlignment="1">
      <alignment horizontal="right" wrapText="1"/>
    </xf>
    <xf numFmtId="0" fontId="3" fillId="7" borderId="1" xfId="0" applyFont="1" applyFill="1" applyBorder="1" applyAlignment="1">
      <alignment horizontal="left" wrapText="1"/>
    </xf>
    <xf numFmtId="0" fontId="26" fillId="0" borderId="0" xfId="0" applyFont="1"/>
    <xf numFmtId="4" fontId="0" fillId="16" borderId="1" xfId="0" applyNumberFormat="1" applyFill="1" applyBorder="1" applyAlignment="1">
      <alignment wrapText="1"/>
    </xf>
    <xf numFmtId="4" fontId="0" fillId="7" borderId="30" xfId="0" applyNumberFormat="1" applyFill="1" applyBorder="1" applyAlignment="1">
      <alignment wrapText="1"/>
    </xf>
    <xf numFmtId="4" fontId="0" fillId="7" borderId="20" xfId="0" applyNumberFormat="1" applyFill="1" applyBorder="1" applyAlignment="1">
      <alignment wrapText="1"/>
    </xf>
    <xf numFmtId="4" fontId="0" fillId="16" borderId="59" xfId="0" applyNumberFormat="1" applyFill="1" applyBorder="1" applyAlignment="1">
      <alignment wrapText="1"/>
    </xf>
    <xf numFmtId="164" fontId="20" fillId="11" borderId="59" xfId="0" applyNumberFormat="1" applyFont="1" applyFill="1" applyBorder="1" applyAlignment="1">
      <alignment wrapText="1"/>
    </xf>
    <xf numFmtId="164" fontId="20" fillId="13" borderId="59" xfId="0" applyNumberFormat="1" applyFont="1" applyFill="1" applyBorder="1" applyAlignment="1">
      <alignment wrapText="1"/>
    </xf>
    <xf numFmtId="164" fontId="20" fillId="13" borderId="60" xfId="0" applyNumberFormat="1" applyFont="1" applyFill="1" applyBorder="1" applyAlignment="1">
      <alignment wrapText="1"/>
    </xf>
    <xf numFmtId="4" fontId="5" fillId="15" borderId="61" xfId="0" applyNumberFormat="1" applyFont="1" applyFill="1" applyBorder="1" applyAlignment="1">
      <alignment wrapText="1"/>
    </xf>
    <xf numFmtId="4" fontId="5" fillId="15" borderId="59" xfId="0" applyNumberFormat="1" applyFont="1" applyFill="1" applyBorder="1" applyAlignment="1">
      <alignment wrapText="1"/>
    </xf>
    <xf numFmtId="164" fontId="11" fillId="9" borderId="20" xfId="0" applyNumberFormat="1" applyFont="1" applyFill="1" applyBorder="1" applyAlignment="1">
      <alignment wrapText="1"/>
    </xf>
    <xf numFmtId="164" fontId="11" fillId="12" borderId="20" xfId="0" applyNumberFormat="1" applyFont="1" applyFill="1" applyBorder="1" applyAlignment="1">
      <alignment wrapText="1"/>
    </xf>
    <xf numFmtId="4" fontId="4" fillId="7" borderId="28" xfId="0" applyNumberFormat="1" applyFont="1" applyFill="1" applyBorder="1" applyAlignment="1">
      <alignment wrapText="1"/>
    </xf>
    <xf numFmtId="4" fontId="4" fillId="7" borderId="14" xfId="0" applyNumberFormat="1" applyFont="1" applyFill="1" applyBorder="1" applyAlignment="1">
      <alignment wrapText="1"/>
    </xf>
    <xf numFmtId="164" fontId="4" fillId="7" borderId="14" xfId="0" applyNumberFormat="1" applyFont="1" applyFill="1" applyBorder="1" applyAlignment="1">
      <alignment wrapText="1"/>
    </xf>
    <xf numFmtId="0" fontId="2" fillId="15" borderId="4" xfId="0" applyFont="1" applyFill="1" applyBorder="1" applyAlignment="1">
      <alignment vertical="center" wrapText="1"/>
    </xf>
    <xf numFmtId="0" fontId="1" fillId="15" borderId="59" xfId="0" applyFont="1" applyFill="1" applyBorder="1" applyAlignment="1">
      <alignment vertical="center" wrapText="1"/>
    </xf>
    <xf numFmtId="0" fontId="4" fillId="15" borderId="30" xfId="0" applyFont="1" applyFill="1" applyBorder="1" applyAlignment="1">
      <alignment wrapText="1"/>
    </xf>
    <xf numFmtId="4" fontId="0" fillId="15" borderId="20" xfId="0" applyNumberFormat="1" applyFill="1" applyBorder="1" applyAlignment="1">
      <alignment wrapText="1"/>
    </xf>
    <xf numFmtId="164" fontId="0" fillId="15" borderId="20" xfId="0" applyNumberFormat="1" applyFill="1" applyBorder="1" applyAlignment="1">
      <alignment wrapText="1"/>
    </xf>
    <xf numFmtId="164" fontId="4" fillId="8" borderId="20" xfId="0" applyNumberFormat="1" applyFont="1" applyFill="1" applyBorder="1" applyAlignment="1">
      <alignment wrapText="1"/>
    </xf>
    <xf numFmtId="164" fontId="4" fillId="6" borderId="20" xfId="0" applyNumberFormat="1" applyFont="1" applyFill="1" applyBorder="1" applyAlignment="1">
      <alignment wrapText="1"/>
    </xf>
    <xf numFmtId="164" fontId="4" fillId="6" borderId="27" xfId="0" applyNumberFormat="1" applyFont="1" applyFill="1" applyBorder="1" applyAlignment="1">
      <alignment wrapText="1"/>
    </xf>
    <xf numFmtId="4" fontId="2" fillId="15" borderId="59" xfId="0" applyNumberFormat="1" applyFont="1" applyFill="1" applyBorder="1" applyAlignment="1">
      <alignment vertical="center" wrapText="1"/>
    </xf>
    <xf numFmtId="4" fontId="2" fillId="8" borderId="59" xfId="0" applyNumberFormat="1" applyFont="1" applyFill="1" applyBorder="1" applyAlignment="1">
      <alignment vertical="center" wrapText="1"/>
    </xf>
    <xf numFmtId="43" fontId="0" fillId="8" borderId="59" xfId="4" applyFont="1" applyFill="1" applyBorder="1" applyAlignment="1">
      <alignment horizontal="right" wrapText="1"/>
    </xf>
    <xf numFmtId="43" fontId="18" fillId="8" borderId="59" xfId="4" applyFont="1" applyFill="1" applyBorder="1" applyAlignment="1">
      <alignment horizontal="right" wrapText="1"/>
    </xf>
    <xf numFmtId="4" fontId="2" fillId="6" borderId="59" xfId="0" applyNumberFormat="1" applyFont="1" applyFill="1" applyBorder="1" applyAlignment="1">
      <alignment vertical="center" wrapText="1"/>
    </xf>
    <xf numFmtId="4" fontId="2" fillId="6" borderId="60" xfId="0" applyNumberFormat="1" applyFont="1" applyFill="1" applyBorder="1" applyAlignment="1">
      <alignment vertical="center" wrapText="1"/>
    </xf>
    <xf numFmtId="6" fontId="2" fillId="15" borderId="34" xfId="0" applyNumberFormat="1" applyFont="1" applyFill="1" applyBorder="1" applyAlignment="1">
      <alignment vertical="center" wrapText="1"/>
    </xf>
    <xf numFmtId="0" fontId="2" fillId="15" borderId="34" xfId="0" applyFont="1" applyFill="1" applyBorder="1" applyAlignment="1">
      <alignment vertical="center" wrapText="1"/>
    </xf>
    <xf numFmtId="164" fontId="4" fillId="15" borderId="34" xfId="0" applyNumberFormat="1" applyFont="1" applyFill="1" applyBorder="1" applyAlignment="1">
      <alignment wrapText="1"/>
    </xf>
    <xf numFmtId="4" fontId="4" fillId="15" borderId="4" xfId="0" applyNumberFormat="1" applyFont="1" applyFill="1" applyBorder="1" applyAlignment="1">
      <alignment wrapText="1"/>
    </xf>
    <xf numFmtId="4" fontId="4" fillId="15" borderId="34" xfId="0" applyNumberFormat="1" applyFont="1" applyFill="1" applyBorder="1" applyAlignment="1">
      <alignment wrapText="1"/>
    </xf>
    <xf numFmtId="164" fontId="20" fillId="8" borderId="34" xfId="0" applyNumberFormat="1" applyFont="1" applyFill="1" applyBorder="1" applyAlignment="1">
      <alignment wrapText="1"/>
    </xf>
    <xf numFmtId="164" fontId="20" fillId="6" borderId="34" xfId="0" applyNumberFormat="1" applyFont="1" applyFill="1" applyBorder="1" applyAlignment="1">
      <alignment wrapText="1"/>
    </xf>
    <xf numFmtId="164" fontId="20" fillId="6" borderId="35" xfId="0" applyNumberFormat="1" applyFont="1" applyFill="1" applyBorder="1" applyAlignment="1">
      <alignment wrapText="1"/>
    </xf>
    <xf numFmtId="4" fontId="0" fillId="16" borderId="9" xfId="0" applyNumberFormat="1" applyFill="1" applyBorder="1" applyAlignment="1">
      <alignment horizontal="center" vertical="center" wrapText="1"/>
    </xf>
    <xf numFmtId="164" fontId="0" fillId="11" borderId="65" xfId="0" applyNumberFormat="1" applyFont="1" applyFill="1" applyBorder="1" applyAlignment="1">
      <alignment horizontal="center" vertical="center" wrapText="1"/>
    </xf>
    <xf numFmtId="164" fontId="0" fillId="11" borderId="9" xfId="0" applyNumberFormat="1" applyFont="1" applyFill="1" applyBorder="1" applyAlignment="1">
      <alignment horizontal="center" vertical="center" wrapText="1"/>
    </xf>
    <xf numFmtId="164" fontId="0" fillId="11" borderId="18" xfId="0" applyNumberFormat="1" applyFont="1" applyFill="1" applyBorder="1" applyAlignment="1">
      <alignment horizontal="center" vertical="center"/>
    </xf>
    <xf numFmtId="164" fontId="0" fillId="11" borderId="14" xfId="0" applyNumberFormat="1" applyFill="1" applyBorder="1" applyAlignment="1">
      <alignment horizontal="center" vertical="center" wrapText="1"/>
    </xf>
    <xf numFmtId="164" fontId="0" fillId="11" borderId="29" xfId="0" applyNumberFormat="1" applyFill="1" applyBorder="1" applyAlignment="1">
      <alignment horizontal="center" vertical="center" wrapText="1"/>
    </xf>
    <xf numFmtId="1" fontId="4" fillId="11" borderId="14" xfId="0" applyNumberFormat="1" applyFont="1" applyFill="1" applyBorder="1" applyAlignment="1">
      <alignment horizontal="center" vertical="center" wrapText="1"/>
    </xf>
    <xf numFmtId="4" fontId="48" fillId="16" borderId="65" xfId="0" applyNumberFormat="1" applyFont="1" applyFill="1" applyBorder="1" applyAlignment="1">
      <alignment horizontal="left" vertical="center" wrapText="1"/>
    </xf>
    <xf numFmtId="164" fontId="14" fillId="11" borderId="14" xfId="0" applyNumberFormat="1" applyFont="1" applyFill="1" applyBorder="1" applyAlignment="1">
      <alignment horizontal="right" vertical="center"/>
    </xf>
    <xf numFmtId="1" fontId="5" fillId="11" borderId="14" xfId="0" applyNumberFormat="1" applyFont="1" applyFill="1" applyBorder="1" applyAlignment="1">
      <alignment horizontal="center" vertical="center" wrapText="1"/>
    </xf>
    <xf numFmtId="164" fontId="0" fillId="12" borderId="14" xfId="3" applyNumberFormat="1" applyFont="1" applyFill="1" applyBorder="1" applyAlignment="1">
      <alignment wrapText="1"/>
    </xf>
    <xf numFmtId="164" fontId="0" fillId="12" borderId="2" xfId="3" applyNumberFormat="1" applyFont="1" applyFill="1" applyBorder="1" applyAlignment="1">
      <alignment wrapText="1"/>
    </xf>
    <xf numFmtId="164" fontId="0" fillId="6" borderId="59" xfId="0" applyNumberFormat="1" applyFill="1" applyBorder="1" applyAlignment="1">
      <alignment wrapText="1"/>
    </xf>
    <xf numFmtId="164" fontId="0" fillId="6" borderId="60" xfId="0" applyNumberFormat="1" applyFill="1" applyBorder="1" applyAlignment="1">
      <alignment wrapText="1"/>
    </xf>
    <xf numFmtId="164" fontId="0" fillId="12" borderId="20" xfId="3" applyNumberFormat="1" applyFont="1" applyFill="1" applyBorder="1" applyAlignment="1">
      <alignment wrapText="1"/>
    </xf>
    <xf numFmtId="164" fontId="1" fillId="6" borderId="59" xfId="0" applyNumberFormat="1" applyFont="1" applyFill="1" applyBorder="1" applyAlignment="1">
      <alignment vertical="center" wrapText="1"/>
    </xf>
    <xf numFmtId="164" fontId="1" fillId="6" borderId="60" xfId="0" applyNumberFormat="1" applyFont="1" applyFill="1" applyBorder="1" applyAlignment="1">
      <alignment vertical="center" wrapText="1"/>
    </xf>
    <xf numFmtId="164" fontId="11" fillId="12" borderId="20" xfId="3" applyNumberFormat="1" applyFont="1" applyFill="1" applyBorder="1" applyAlignment="1">
      <alignment wrapText="1"/>
    </xf>
    <xf numFmtId="164" fontId="11" fillId="12" borderId="27" xfId="0" applyNumberFormat="1" applyFont="1" applyFill="1" applyBorder="1" applyAlignment="1">
      <alignment wrapText="1"/>
    </xf>
    <xf numFmtId="164" fontId="0" fillId="12" borderId="34" xfId="3" applyNumberFormat="1" applyFont="1" applyFill="1" applyBorder="1" applyAlignment="1">
      <alignment wrapText="1"/>
    </xf>
    <xf numFmtId="164" fontId="0" fillId="12" borderId="35" xfId="0" applyNumberFormat="1" applyFill="1" applyBorder="1" applyAlignment="1">
      <alignment wrapText="1"/>
    </xf>
    <xf numFmtId="164" fontId="1" fillId="8" borderId="59" xfId="0" applyNumberFormat="1" applyFont="1" applyFill="1" applyBorder="1" applyAlignment="1">
      <alignment vertical="center" wrapText="1"/>
    </xf>
    <xf numFmtId="164" fontId="5" fillId="15" borderId="59" xfId="0" applyNumberFormat="1" applyFont="1" applyFill="1" applyBorder="1" applyAlignment="1">
      <alignment wrapText="1"/>
    </xf>
    <xf numFmtId="164" fontId="1" fillId="15" borderId="59" xfId="0" applyNumberFormat="1" applyFont="1" applyFill="1" applyBorder="1" applyAlignment="1">
      <alignment vertical="center" wrapText="1"/>
    </xf>
    <xf numFmtId="1" fontId="0" fillId="9" borderId="14" xfId="0" applyNumberFormat="1" applyFill="1" applyBorder="1" applyAlignment="1">
      <alignment horizontal="center" wrapText="1"/>
    </xf>
    <xf numFmtId="1" fontId="0" fillId="9" borderId="14" xfId="0" applyNumberFormat="1" applyFill="1" applyBorder="1" applyAlignment="1">
      <alignment wrapText="1"/>
    </xf>
    <xf numFmtId="1" fontId="0" fillId="9" borderId="14" xfId="4" applyNumberFormat="1" applyFont="1" applyFill="1" applyBorder="1" applyAlignment="1">
      <alignment horizontal="right" wrapText="1"/>
    </xf>
    <xf numFmtId="1" fontId="18" fillId="9" borderId="14" xfId="4" applyNumberFormat="1" applyFont="1" applyFill="1" applyBorder="1" applyAlignment="1">
      <alignment horizontal="right" wrapText="1"/>
    </xf>
    <xf numFmtId="1" fontId="0" fillId="9" borderId="2" xfId="0" applyNumberFormat="1" applyFill="1" applyBorder="1" applyAlignment="1">
      <alignment horizontal="center" wrapText="1"/>
    </xf>
    <xf numFmtId="1" fontId="0" fillId="9" borderId="2" xfId="0" applyNumberFormat="1" applyFill="1" applyBorder="1" applyAlignment="1">
      <alignment wrapText="1"/>
    </xf>
    <xf numFmtId="1" fontId="0" fillId="9" borderId="2" xfId="4" applyNumberFormat="1" applyFont="1" applyFill="1" applyBorder="1" applyAlignment="1">
      <alignment horizontal="right" wrapText="1"/>
    </xf>
    <xf numFmtId="1" fontId="18" fillId="9" borderId="2" xfId="4" applyNumberFormat="1" applyFont="1" applyFill="1" applyBorder="1" applyAlignment="1">
      <alignment horizontal="right" wrapText="1"/>
    </xf>
    <xf numFmtId="1" fontId="0" fillId="8" borderId="20" xfId="0" applyNumberFormat="1" applyFill="1" applyBorder="1" applyAlignment="1">
      <alignment horizontal="center" wrapText="1"/>
    </xf>
    <xf numFmtId="1" fontId="0" fillId="8" borderId="20" xfId="0" applyNumberFormat="1" applyFill="1" applyBorder="1" applyAlignment="1">
      <alignment wrapText="1"/>
    </xf>
    <xf numFmtId="1" fontId="5" fillId="8" borderId="59" xfId="0" applyNumberFormat="1" applyFont="1" applyFill="1" applyBorder="1" applyAlignment="1">
      <alignment wrapText="1"/>
    </xf>
    <xf numFmtId="1" fontId="0" fillId="9" borderId="20" xfId="0" applyNumberFormat="1" applyFill="1" applyBorder="1" applyAlignment="1">
      <alignment horizontal="center" wrapText="1"/>
    </xf>
    <xf numFmtId="1" fontId="0" fillId="9" borderId="20" xfId="0" applyNumberFormat="1" applyFill="1" applyBorder="1" applyAlignment="1">
      <alignment wrapText="1"/>
    </xf>
    <xf numFmtId="1" fontId="0" fillId="9" borderId="20" xfId="4" applyNumberFormat="1" applyFont="1" applyFill="1" applyBorder="1" applyAlignment="1">
      <alignment horizontal="right" wrapText="1"/>
    </xf>
    <xf numFmtId="1" fontId="18" fillId="9" borderId="20" xfId="4" applyNumberFormat="1" applyFont="1" applyFill="1" applyBorder="1" applyAlignment="1">
      <alignment horizontal="right" wrapText="1"/>
    </xf>
    <xf numFmtId="1" fontId="4" fillId="8" borderId="34" xfId="0" applyNumberFormat="1" applyFont="1" applyFill="1" applyBorder="1" applyAlignment="1">
      <alignment horizontal="center" wrapText="1"/>
    </xf>
    <xf numFmtId="1" fontId="4" fillId="8" borderId="34" xfId="0" applyNumberFormat="1" applyFont="1" applyFill="1" applyBorder="1" applyAlignment="1">
      <alignment wrapText="1"/>
    </xf>
    <xf numFmtId="1" fontId="1" fillId="8" borderId="59" xfId="0" applyNumberFormat="1" applyFont="1" applyFill="1" applyBorder="1" applyAlignment="1">
      <alignment vertical="center" wrapText="1"/>
    </xf>
    <xf numFmtId="1" fontId="0" fillId="9" borderId="2" xfId="0" applyNumberFormat="1" applyFill="1" applyBorder="1" applyAlignment="1">
      <alignment horizontal="right" wrapText="1" indent="1"/>
    </xf>
    <xf numFmtId="1" fontId="0" fillId="9" borderId="2" xfId="0" applyNumberFormat="1" applyFill="1" applyBorder="1" applyAlignment="1">
      <alignment horizontal="right" wrapText="1"/>
    </xf>
    <xf numFmtId="1" fontId="0" fillId="9" borderId="20" xfId="0" applyNumberFormat="1" applyFill="1" applyBorder="1" applyAlignment="1">
      <alignment horizontal="right" wrapText="1" indent="1"/>
    </xf>
    <xf numFmtId="1" fontId="4" fillId="9" borderId="14" xfId="0" applyNumberFormat="1" applyFont="1" applyFill="1" applyBorder="1" applyAlignment="1">
      <alignment horizontal="center" wrapText="1"/>
    </xf>
    <xf numFmtId="1" fontId="0" fillId="11" borderId="59" xfId="0" applyNumberFormat="1" applyFill="1" applyBorder="1" applyAlignment="1">
      <alignment horizontal="center" wrapText="1"/>
    </xf>
    <xf numFmtId="1" fontId="0" fillId="9" borderId="34" xfId="0" applyNumberFormat="1" applyFill="1" applyBorder="1" applyAlignment="1">
      <alignment horizontal="center" wrapText="1"/>
    </xf>
    <xf numFmtId="1" fontId="0" fillId="9" borderId="34" xfId="0" applyNumberFormat="1" applyFill="1" applyBorder="1" applyAlignment="1">
      <alignment wrapText="1"/>
    </xf>
    <xf numFmtId="1" fontId="0" fillId="9" borderId="34" xfId="4" applyNumberFormat="1" applyFont="1" applyFill="1" applyBorder="1" applyAlignment="1">
      <alignment horizontal="right" wrapText="1"/>
    </xf>
    <xf numFmtId="1" fontId="18" fillId="9" borderId="34" xfId="4" applyNumberFormat="1" applyFont="1" applyFill="1" applyBorder="1" applyAlignment="1">
      <alignment horizontal="right" wrapText="1"/>
    </xf>
    <xf numFmtId="1" fontId="0" fillId="12" borderId="14" xfId="0" applyNumberFormat="1" applyFill="1" applyBorder="1" applyAlignment="1">
      <alignment wrapText="1"/>
    </xf>
    <xf numFmtId="1" fontId="0" fillId="12" borderId="2" xfId="0" applyNumberFormat="1" applyFill="1" applyBorder="1" applyAlignment="1">
      <alignment wrapText="1"/>
    </xf>
    <xf numFmtId="1" fontId="0" fillId="6" borderId="20" xfId="0" applyNumberFormat="1" applyFill="1" applyBorder="1" applyAlignment="1">
      <alignment wrapText="1"/>
    </xf>
    <xf numFmtId="1" fontId="5" fillId="6" borderId="59" xfId="0" applyNumberFormat="1" applyFont="1" applyFill="1" applyBorder="1" applyAlignment="1">
      <alignment wrapText="1"/>
    </xf>
    <xf numFmtId="1" fontId="0" fillId="12" borderId="20" xfId="0" applyNumberFormat="1" applyFill="1" applyBorder="1" applyAlignment="1">
      <alignment wrapText="1"/>
    </xf>
    <xf numFmtId="1" fontId="4" fillId="6" borderId="34" xfId="0" applyNumberFormat="1" applyFont="1" applyFill="1" applyBorder="1" applyAlignment="1">
      <alignment wrapText="1"/>
    </xf>
    <xf numFmtId="1" fontId="1" fillId="6" borderId="59" xfId="0" applyNumberFormat="1" applyFont="1" applyFill="1" applyBorder="1" applyAlignment="1">
      <alignment vertical="center" wrapText="1"/>
    </xf>
    <xf numFmtId="1" fontId="11" fillId="12" borderId="20" xfId="0" applyNumberFormat="1" applyFont="1" applyFill="1" applyBorder="1" applyAlignment="1">
      <alignment wrapText="1"/>
    </xf>
    <xf numFmtId="1" fontId="20" fillId="6" borderId="34" xfId="0" applyNumberFormat="1" applyFont="1" applyFill="1" applyBorder="1" applyAlignment="1">
      <alignment wrapText="1"/>
    </xf>
    <xf numFmtId="1" fontId="4" fillId="12" borderId="14" xfId="0" applyNumberFormat="1" applyFont="1" applyFill="1" applyBorder="1" applyAlignment="1">
      <alignment wrapText="1"/>
    </xf>
    <xf numFmtId="1" fontId="20" fillId="13" borderId="59" xfId="0" applyNumberFormat="1" applyFont="1" applyFill="1" applyBorder="1" applyAlignment="1">
      <alignment wrapText="1"/>
    </xf>
    <xf numFmtId="1" fontId="0" fillId="12" borderId="34" xfId="0" applyNumberFormat="1" applyFill="1" applyBorder="1" applyAlignment="1">
      <alignment wrapText="1"/>
    </xf>
    <xf numFmtId="1" fontId="0" fillId="6" borderId="59" xfId="0" applyNumberFormat="1" applyFill="1" applyBorder="1" applyAlignment="1">
      <alignment wrapText="1"/>
    </xf>
    <xf numFmtId="4" fontId="0" fillId="13" borderId="40" xfId="0" applyNumberFormat="1" applyFill="1" applyBorder="1" applyAlignment="1">
      <alignment wrapText="1"/>
    </xf>
    <xf numFmtId="0" fontId="14" fillId="13" borderId="48" xfId="0" applyFont="1" applyFill="1" applyBorder="1" applyAlignment="1">
      <alignment horizontal="right" vertical="center"/>
    </xf>
    <xf numFmtId="0" fontId="5" fillId="13" borderId="22" xfId="0" applyFont="1" applyFill="1" applyBorder="1" applyAlignment="1">
      <alignment horizontal="center" vertical="center" wrapText="1"/>
    </xf>
    <xf numFmtId="4" fontId="0" fillId="13" borderId="13" xfId="0" applyNumberFormat="1" applyFill="1" applyBorder="1" applyAlignment="1">
      <alignment wrapText="1"/>
    </xf>
    <xf numFmtId="0" fontId="14" fillId="13" borderId="22" xfId="0" applyFont="1" applyFill="1" applyBorder="1" applyAlignment="1">
      <alignment horizontal="right" vertical="center"/>
    </xf>
    <xf numFmtId="4" fontId="14" fillId="13" borderId="22" xfId="0" applyNumberFormat="1" applyFont="1" applyFill="1" applyBorder="1" applyAlignment="1">
      <alignment horizontal="right" vertical="center"/>
    </xf>
    <xf numFmtId="0" fontId="32" fillId="13" borderId="2" xfId="0" applyFont="1" applyFill="1" applyBorder="1" applyAlignment="1">
      <alignment horizontal="center" wrapText="1"/>
    </xf>
    <xf numFmtId="0" fontId="1" fillId="7" borderId="14" xfId="0" applyFont="1" applyFill="1" applyBorder="1" applyAlignment="1">
      <alignment horizontal="center" vertical="center" wrapText="1"/>
    </xf>
    <xf numFmtId="164" fontId="1" fillId="9" borderId="14" xfId="0" applyNumberFormat="1" applyFont="1" applyFill="1" applyBorder="1" applyAlignment="1">
      <alignment vertical="center" wrapText="1"/>
    </xf>
    <xf numFmtId="164" fontId="1" fillId="9" borderId="29" xfId="0" applyNumberFormat="1" applyFont="1" applyFill="1" applyBorder="1" applyAlignment="1">
      <alignment vertical="center" wrapText="1"/>
    </xf>
    <xf numFmtId="164" fontId="1" fillId="9" borderId="2" xfId="0" applyNumberFormat="1" applyFont="1" applyFill="1" applyBorder="1" applyAlignment="1">
      <alignment vertical="center" wrapText="1"/>
    </xf>
    <xf numFmtId="164" fontId="1" fillId="9" borderId="3" xfId="0" applyNumberFormat="1" applyFont="1" applyFill="1" applyBorder="1" applyAlignment="1">
      <alignment vertical="center" wrapText="1"/>
    </xf>
    <xf numFmtId="164" fontId="1" fillId="9" borderId="34" xfId="0" applyNumberFormat="1" applyFont="1" applyFill="1" applyBorder="1" applyAlignment="1">
      <alignment vertical="center" wrapText="1"/>
    </xf>
    <xf numFmtId="164" fontId="1" fillId="9" borderId="35" xfId="0" applyNumberFormat="1" applyFont="1" applyFill="1" applyBorder="1" applyAlignment="1">
      <alignment vertical="center" wrapText="1"/>
    </xf>
    <xf numFmtId="0" fontId="1" fillId="12" borderId="28" xfId="0" applyFont="1" applyFill="1" applyBorder="1" applyAlignment="1">
      <alignment vertical="center" wrapText="1"/>
    </xf>
    <xf numFmtId="0" fontId="1" fillId="12" borderId="14" xfId="0" applyFont="1" applyFill="1" applyBorder="1" applyAlignment="1">
      <alignment vertical="center" wrapText="1"/>
    </xf>
    <xf numFmtId="0" fontId="1" fillId="12" borderId="29" xfId="0" applyFont="1" applyFill="1" applyBorder="1" applyAlignment="1">
      <alignment vertical="center" wrapText="1"/>
    </xf>
    <xf numFmtId="164" fontId="1" fillId="12" borderId="28" xfId="0" applyNumberFormat="1" applyFont="1" applyFill="1" applyBorder="1" applyAlignment="1">
      <alignment vertical="center" wrapText="1"/>
    </xf>
    <xf numFmtId="164" fontId="1" fillId="12" borderId="29" xfId="0" applyNumberFormat="1" applyFont="1" applyFill="1" applyBorder="1" applyAlignment="1">
      <alignment vertical="center" wrapText="1"/>
    </xf>
    <xf numFmtId="3" fontId="1" fillId="12" borderId="28" xfId="0" applyNumberFormat="1" applyFont="1" applyFill="1" applyBorder="1" applyAlignment="1">
      <alignment vertical="center" wrapText="1"/>
    </xf>
    <xf numFmtId="3" fontId="1" fillId="12" borderId="14" xfId="0" applyNumberFormat="1" applyFont="1" applyFill="1" applyBorder="1" applyAlignment="1">
      <alignment vertical="center" wrapText="1"/>
    </xf>
    <xf numFmtId="3" fontId="1" fillId="12" borderId="29" xfId="0" applyNumberFormat="1" applyFont="1" applyFill="1" applyBorder="1" applyAlignment="1">
      <alignment vertical="center" wrapText="1"/>
    </xf>
    <xf numFmtId="0" fontId="1" fillId="12" borderId="1" xfId="0" applyFont="1" applyFill="1" applyBorder="1" applyAlignment="1">
      <alignment vertical="center" wrapText="1"/>
    </xf>
    <xf numFmtId="0" fontId="1" fillId="12" borderId="2" xfId="0" applyFont="1" applyFill="1" applyBorder="1" applyAlignment="1">
      <alignment vertical="center" wrapText="1"/>
    </xf>
    <xf numFmtId="0" fontId="1" fillId="12" borderId="3" xfId="0" applyFont="1" applyFill="1" applyBorder="1" applyAlignment="1">
      <alignment vertical="center" wrapText="1"/>
    </xf>
    <xf numFmtId="164" fontId="1" fillId="12" borderId="1" xfId="0" applyNumberFormat="1" applyFont="1" applyFill="1" applyBorder="1" applyAlignment="1">
      <alignment vertical="center" wrapText="1"/>
    </xf>
    <xf numFmtId="164" fontId="1" fillId="12" borderId="3" xfId="0" applyNumberFormat="1" applyFont="1" applyFill="1" applyBorder="1" applyAlignment="1">
      <alignment vertical="center" wrapText="1"/>
    </xf>
    <xf numFmtId="0" fontId="1" fillId="12" borderId="1" xfId="0" applyFont="1" applyFill="1" applyBorder="1" applyAlignment="1">
      <alignment vertical="center"/>
    </xf>
    <xf numFmtId="3" fontId="1" fillId="12" borderId="2" xfId="0" applyNumberFormat="1" applyFont="1" applyFill="1" applyBorder="1" applyAlignment="1">
      <alignment vertical="center" wrapText="1"/>
    </xf>
    <xf numFmtId="3" fontId="1" fillId="12" borderId="3" xfId="0" applyNumberFormat="1" applyFont="1" applyFill="1" applyBorder="1" applyAlignment="1">
      <alignment vertical="center" wrapText="1"/>
    </xf>
    <xf numFmtId="0" fontId="1" fillId="12" borderId="1" xfId="0" applyFont="1" applyFill="1" applyBorder="1" applyAlignment="1" applyProtection="1">
      <alignment vertical="center" wrapText="1"/>
      <protection locked="0"/>
    </xf>
    <xf numFmtId="0" fontId="1" fillId="12" borderId="2" xfId="0" applyFont="1" applyFill="1" applyBorder="1" applyAlignment="1" applyProtection="1">
      <alignment vertical="center" wrapText="1"/>
      <protection locked="0"/>
    </xf>
    <xf numFmtId="0" fontId="1" fillId="12" borderId="4" xfId="0" applyFont="1" applyFill="1" applyBorder="1" applyAlignment="1">
      <alignment vertical="center" wrapText="1"/>
    </xf>
    <xf numFmtId="0" fontId="1" fillId="12" borderId="34" xfId="0" applyFont="1" applyFill="1" applyBorder="1" applyAlignment="1">
      <alignment vertical="center" wrapText="1"/>
    </xf>
    <xf numFmtId="0" fontId="1" fillId="12" borderId="35" xfId="0" applyFont="1" applyFill="1" applyBorder="1" applyAlignment="1">
      <alignment vertical="center" wrapText="1"/>
    </xf>
    <xf numFmtId="164" fontId="1" fillId="12" borderId="4" xfId="0" applyNumberFormat="1" applyFont="1" applyFill="1" applyBorder="1" applyAlignment="1">
      <alignment vertical="center" wrapText="1"/>
    </xf>
    <xf numFmtId="164" fontId="1" fillId="12" borderId="35" xfId="0" applyNumberFormat="1" applyFont="1" applyFill="1" applyBorder="1" applyAlignment="1">
      <alignment vertical="center" wrapText="1"/>
    </xf>
    <xf numFmtId="0" fontId="1" fillId="12" borderId="4" xfId="0" applyFont="1" applyFill="1" applyBorder="1" applyAlignment="1">
      <alignment vertical="center"/>
    </xf>
    <xf numFmtId="3" fontId="1" fillId="12" borderId="34" xfId="0" applyNumberFormat="1" applyFont="1" applyFill="1" applyBorder="1" applyAlignment="1">
      <alignment vertical="center" wrapText="1"/>
    </xf>
    <xf numFmtId="3" fontId="1" fillId="12" borderId="35" xfId="0" applyNumberFormat="1" applyFont="1" applyFill="1" applyBorder="1" applyAlignment="1">
      <alignment vertical="center" wrapText="1"/>
    </xf>
    <xf numFmtId="0" fontId="0" fillId="12" borderId="61" xfId="0" applyFill="1" applyBorder="1" applyAlignment="1">
      <alignment horizontal="center" vertical="center"/>
    </xf>
    <xf numFmtId="0" fontId="0" fillId="2" borderId="60" xfId="0" applyFill="1" applyBorder="1" applyAlignment="1">
      <alignment horizontal="center" vertical="center" wrapText="1"/>
    </xf>
    <xf numFmtId="164" fontId="4" fillId="0" borderId="12" xfId="0" applyNumberFormat="1" applyFont="1" applyBorder="1" applyAlignment="1">
      <alignment horizontal="center" wrapText="1"/>
    </xf>
    <xf numFmtId="164" fontId="33" fillId="8" borderId="24" xfId="0" applyNumberFormat="1" applyFont="1" applyFill="1" applyBorder="1" applyAlignment="1">
      <alignment horizontal="right" vertical="center" wrapText="1"/>
    </xf>
    <xf numFmtId="4" fontId="3" fillId="8" borderId="24" xfId="0" applyNumberFormat="1" applyFont="1" applyFill="1" applyBorder="1" applyAlignment="1">
      <alignment horizontal="center" wrapText="1"/>
    </xf>
    <xf numFmtId="164" fontId="3" fillId="8" borderId="24" xfId="0" applyNumberFormat="1" applyFont="1" applyFill="1" applyBorder="1" applyAlignment="1">
      <alignment horizontal="right" wrapText="1"/>
    </xf>
    <xf numFmtId="0" fontId="51" fillId="11" borderId="34" xfId="0" applyNumberFormat="1" applyFont="1" applyFill="1" applyBorder="1" applyAlignment="1">
      <alignment horizontal="center" vertical="center" wrapText="1"/>
    </xf>
    <xf numFmtId="0" fontId="51" fillId="11" borderId="35" xfId="0" applyNumberFormat="1" applyFont="1" applyFill="1" applyBorder="1" applyAlignment="1">
      <alignment horizontal="center" vertical="center" wrapText="1"/>
    </xf>
    <xf numFmtId="164" fontId="33" fillId="11" borderId="37" xfId="0" applyNumberFormat="1" applyFont="1" applyFill="1" applyBorder="1" applyAlignment="1">
      <alignment vertical="center"/>
    </xf>
    <xf numFmtId="164" fontId="33" fillId="11" borderId="38" xfId="0" applyNumberFormat="1" applyFont="1" applyFill="1" applyBorder="1" applyAlignment="1">
      <alignment vertical="center"/>
    </xf>
    <xf numFmtId="0" fontId="51" fillId="11" borderId="33" xfId="0" applyNumberFormat="1" applyFont="1" applyFill="1" applyBorder="1" applyAlignment="1">
      <alignment horizontal="center" vertical="center" wrapText="1"/>
    </xf>
    <xf numFmtId="164" fontId="44" fillId="16" borderId="52" xfId="0" applyNumberFormat="1" applyFont="1" applyFill="1" applyBorder="1" applyAlignment="1">
      <alignment vertical="top" wrapText="1"/>
    </xf>
    <xf numFmtId="0" fontId="32" fillId="16" borderId="10" xfId="0" applyNumberFormat="1" applyFont="1" applyFill="1" applyBorder="1" applyAlignment="1">
      <alignment vertical="center" wrapText="1"/>
    </xf>
    <xf numFmtId="0" fontId="51" fillId="16" borderId="34" xfId="0" applyNumberFormat="1" applyFont="1" applyFill="1" applyBorder="1" applyAlignment="1">
      <alignment horizontal="center" vertical="center" wrapText="1"/>
    </xf>
    <xf numFmtId="164" fontId="33" fillId="15" borderId="24" xfId="0" applyNumberFormat="1" applyFont="1" applyFill="1" applyBorder="1" applyAlignment="1">
      <alignment horizontal="right" vertical="center" wrapText="1"/>
    </xf>
    <xf numFmtId="164" fontId="3" fillId="15" borderId="45" xfId="0" applyNumberFormat="1" applyFont="1" applyFill="1" applyBorder="1" applyAlignment="1">
      <alignment horizontal="right" wrapText="1"/>
    </xf>
    <xf numFmtId="164" fontId="32" fillId="15" borderId="45" xfId="0" applyNumberFormat="1" applyFont="1" applyFill="1" applyBorder="1" applyAlignment="1">
      <alignment horizontal="right" wrapText="1"/>
    </xf>
    <xf numFmtId="164" fontId="32" fillId="15" borderId="52" xfId="0" applyNumberFormat="1" applyFont="1" applyFill="1" applyBorder="1" applyAlignment="1">
      <alignment horizontal="right" wrapText="1"/>
    </xf>
    <xf numFmtId="164" fontId="32" fillId="16" borderId="52" xfId="0" applyNumberFormat="1" applyFont="1" applyFill="1" applyBorder="1" applyAlignment="1">
      <alignment horizontal="right" wrapText="1"/>
    </xf>
    <xf numFmtId="164" fontId="3" fillId="16" borderId="52" xfId="0" applyNumberFormat="1" applyFont="1" applyFill="1" applyBorder="1" applyAlignment="1">
      <alignment horizontal="right" wrapText="1"/>
    </xf>
    <xf numFmtId="164" fontId="1" fillId="7" borderId="9" xfId="0" applyNumberFormat="1" applyFont="1" applyFill="1" applyBorder="1" applyAlignment="1">
      <alignment horizontal="right" wrapText="1"/>
    </xf>
    <xf numFmtId="164" fontId="1" fillId="7" borderId="11" xfId="0" applyNumberFormat="1" applyFont="1" applyFill="1" applyBorder="1" applyAlignment="1">
      <alignment horizontal="right" wrapText="1"/>
    </xf>
    <xf numFmtId="164" fontId="1" fillId="7" borderId="0" xfId="0" applyNumberFormat="1" applyFont="1" applyFill="1" applyBorder="1" applyAlignment="1">
      <alignment horizontal="right" wrapText="1"/>
    </xf>
    <xf numFmtId="164" fontId="44" fillId="16" borderId="53" xfId="0" applyNumberFormat="1" applyFont="1" applyFill="1" applyBorder="1" applyAlignment="1">
      <alignment vertical="top" wrapText="1"/>
    </xf>
    <xf numFmtId="0" fontId="32" fillId="16" borderId="3" xfId="0" applyNumberFormat="1" applyFont="1" applyFill="1" applyBorder="1" applyAlignment="1">
      <alignment vertical="center" wrapText="1"/>
    </xf>
    <xf numFmtId="0" fontId="2" fillId="16" borderId="4" xfId="0" applyNumberFormat="1" applyFont="1" applyFill="1" applyBorder="1" applyAlignment="1">
      <alignment horizontal="center" vertical="center" wrapText="1"/>
    </xf>
    <xf numFmtId="0" fontId="2" fillId="16" borderId="33" xfId="0" applyNumberFormat="1" applyFont="1" applyFill="1" applyBorder="1" applyAlignment="1">
      <alignment horizontal="center" vertical="center" wrapText="1"/>
    </xf>
    <xf numFmtId="0" fontId="2" fillId="16" borderId="34" xfId="0" applyNumberFormat="1" applyFont="1" applyFill="1" applyBorder="1" applyAlignment="1">
      <alignment horizontal="center" vertical="center" wrapText="1"/>
    </xf>
    <xf numFmtId="0" fontId="51" fillId="16" borderId="35" xfId="0" applyNumberFormat="1" applyFont="1" applyFill="1" applyBorder="1" applyAlignment="1">
      <alignment horizontal="center" vertical="center" wrapText="1"/>
    </xf>
    <xf numFmtId="164" fontId="44" fillId="16" borderId="52" xfId="0" applyNumberFormat="1" applyFont="1" applyFill="1" applyBorder="1" applyAlignment="1">
      <alignment wrapText="1"/>
    </xf>
    <xf numFmtId="164" fontId="32" fillId="16" borderId="10" xfId="0" applyNumberFormat="1" applyFont="1" applyFill="1" applyBorder="1" applyAlignment="1">
      <alignment vertical="center" wrapText="1"/>
    </xf>
    <xf numFmtId="0" fontId="33" fillId="16" borderId="34" xfId="0" applyNumberFormat="1" applyFont="1" applyFill="1" applyBorder="1" applyAlignment="1">
      <alignment horizontal="center" vertical="center" wrapText="1"/>
    </xf>
    <xf numFmtId="164" fontId="32" fillId="16" borderId="34" xfId="0" applyNumberFormat="1" applyFont="1" applyFill="1" applyBorder="1" applyAlignment="1">
      <alignment horizontal="right" wrapText="1"/>
    </xf>
    <xf numFmtId="164" fontId="3" fillId="15" borderId="59" xfId="0" applyNumberFormat="1" applyFont="1" applyFill="1" applyBorder="1" applyAlignment="1">
      <alignment horizontal="right" wrapText="1"/>
    </xf>
    <xf numFmtId="2" fontId="1" fillId="9" borderId="2" xfId="4" applyNumberFormat="1" applyFont="1" applyFill="1" applyBorder="1" applyAlignment="1">
      <alignment horizontal="right" wrapText="1"/>
    </xf>
    <xf numFmtId="164" fontId="44" fillId="16" borderId="52" xfId="0" applyNumberFormat="1" applyFont="1" applyFill="1" applyBorder="1" applyAlignment="1">
      <alignment vertical="center" wrapText="1"/>
    </xf>
    <xf numFmtId="164" fontId="32" fillId="16" borderId="10" xfId="0" applyNumberFormat="1" applyFont="1" applyFill="1" applyBorder="1" applyAlignment="1"/>
    <xf numFmtId="4" fontId="32" fillId="16" borderId="10" xfId="0" applyNumberFormat="1" applyFont="1" applyFill="1" applyBorder="1" applyAlignment="1">
      <alignment wrapText="1"/>
    </xf>
    <xf numFmtId="0" fontId="33" fillId="16" borderId="34" xfId="0" applyNumberFormat="1" applyFont="1" applyFill="1" applyBorder="1" applyAlignment="1">
      <alignment horizontal="right" vertical="center" wrapText="1"/>
    </xf>
    <xf numFmtId="0" fontId="3" fillId="7" borderId="68" xfId="0" applyFont="1" applyFill="1" applyBorder="1" applyAlignment="1">
      <alignment vertical="center" wrapText="1"/>
    </xf>
    <xf numFmtId="8" fontId="3" fillId="7" borderId="14" xfId="0" applyNumberFormat="1" applyFont="1" applyFill="1" applyBorder="1" applyAlignment="1">
      <alignment vertical="center" wrapText="1"/>
    </xf>
    <xf numFmtId="164" fontId="44" fillId="16" borderId="2" xfId="0" applyNumberFormat="1" applyFont="1" applyFill="1" applyBorder="1" applyAlignment="1">
      <alignment vertical="center" wrapText="1"/>
    </xf>
    <xf numFmtId="4" fontId="37" fillId="16" borderId="2" xfId="0" applyNumberFormat="1" applyFont="1" applyFill="1" applyBorder="1" applyAlignment="1">
      <alignment vertical="center" wrapText="1"/>
    </xf>
    <xf numFmtId="4" fontId="3" fillId="16" borderId="2" xfId="0" applyNumberFormat="1" applyFont="1" applyFill="1" applyBorder="1" applyAlignment="1">
      <alignment vertical="center" wrapText="1"/>
    </xf>
    <xf numFmtId="164" fontId="32" fillId="11" borderId="2" xfId="0" applyNumberFormat="1" applyFont="1" applyFill="1" applyBorder="1" applyAlignment="1">
      <alignment horizontal="center" wrapText="1"/>
    </xf>
    <xf numFmtId="164" fontId="32" fillId="11" borderId="2" xfId="0" applyNumberFormat="1" applyFont="1" applyFill="1" applyBorder="1" applyAlignment="1">
      <alignment horizontal="center" vertical="center" wrapText="1"/>
    </xf>
    <xf numFmtId="164" fontId="32" fillId="11" borderId="2" xfId="0" applyNumberFormat="1" applyFont="1" applyFill="1" applyBorder="1" applyAlignment="1">
      <alignment horizontal="right" vertical="center"/>
    </xf>
    <xf numFmtId="0" fontId="0" fillId="11" borderId="2" xfId="0" applyFill="1" applyBorder="1" applyAlignment="1">
      <alignment vertical="center"/>
    </xf>
    <xf numFmtId="164" fontId="33" fillId="11" borderId="2" xfId="0" applyNumberFormat="1" applyFont="1" applyFill="1" applyBorder="1" applyAlignment="1">
      <alignment horizontal="right" vertical="center"/>
    </xf>
    <xf numFmtId="1" fontId="49" fillId="11" borderId="2" xfId="0" applyNumberFormat="1" applyFont="1" applyFill="1" applyBorder="1" applyAlignment="1">
      <alignment horizontal="center" vertical="center" wrapText="1"/>
    </xf>
    <xf numFmtId="164" fontId="3" fillId="11" borderId="2" xfId="0" applyNumberFormat="1" applyFont="1" applyFill="1" applyBorder="1" applyAlignment="1">
      <alignment vertical="center" wrapText="1"/>
    </xf>
    <xf numFmtId="0" fontId="3" fillId="16" borderId="2" xfId="0" applyFont="1" applyFill="1" applyBorder="1"/>
    <xf numFmtId="164" fontId="32" fillId="16" borderId="2" xfId="0" applyNumberFormat="1" applyFont="1" applyFill="1" applyBorder="1" applyAlignment="1"/>
    <xf numFmtId="4" fontId="32" fillId="16" borderId="2" xfId="0" applyNumberFormat="1" applyFont="1" applyFill="1" applyBorder="1" applyAlignment="1">
      <alignment wrapText="1"/>
    </xf>
    <xf numFmtId="0" fontId="32" fillId="16" borderId="2" xfId="0" applyNumberFormat="1" applyFont="1" applyFill="1" applyBorder="1" applyAlignment="1">
      <alignment vertical="center" wrapText="1"/>
    </xf>
    <xf numFmtId="0" fontId="33" fillId="16" borderId="2" xfId="0" applyNumberFormat="1" applyFont="1" applyFill="1" applyBorder="1" applyAlignment="1">
      <alignment horizontal="right" vertical="center" wrapText="1"/>
    </xf>
    <xf numFmtId="0" fontId="32" fillId="11" borderId="2" xfId="0" applyNumberFormat="1" applyFont="1" applyFill="1" applyBorder="1" applyAlignment="1">
      <alignment horizontal="right" vertical="center" wrapText="1"/>
    </xf>
    <xf numFmtId="0" fontId="33" fillId="11" borderId="2" xfId="0" applyNumberFormat="1" applyFont="1" applyFill="1" applyBorder="1" applyAlignment="1">
      <alignment horizontal="right" vertical="center" wrapText="1"/>
    </xf>
    <xf numFmtId="0" fontId="0" fillId="13" borderId="2" xfId="0" applyFill="1" applyBorder="1" applyAlignment="1">
      <alignment vertical="center"/>
    </xf>
    <xf numFmtId="0" fontId="33" fillId="13" borderId="2" xfId="0" applyFont="1" applyFill="1" applyBorder="1" applyAlignment="1">
      <alignment horizontal="right" vertical="center"/>
    </xf>
    <xf numFmtId="0" fontId="7" fillId="13" borderId="2" xfId="0" applyFont="1" applyFill="1" applyBorder="1" applyAlignment="1">
      <alignment horizontal="center" vertical="center" wrapText="1"/>
    </xf>
    <xf numFmtId="4" fontId="3" fillId="13" borderId="2" xfId="0" applyNumberFormat="1" applyFont="1" applyFill="1" applyBorder="1" applyAlignment="1">
      <alignment vertical="center" wrapText="1"/>
    </xf>
    <xf numFmtId="4" fontId="33" fillId="13" borderId="2" xfId="0" applyNumberFormat="1" applyFont="1" applyFill="1" applyBorder="1" applyAlignment="1">
      <alignment horizontal="right" vertical="center"/>
    </xf>
    <xf numFmtId="3" fontId="7" fillId="13" borderId="2" xfId="0" applyNumberFormat="1" applyFont="1" applyFill="1" applyBorder="1" applyAlignment="1">
      <alignment horizontal="center" vertical="center" wrapText="1"/>
    </xf>
    <xf numFmtId="0" fontId="32" fillId="13" borderId="2" xfId="0" applyNumberFormat="1" applyFont="1" applyFill="1" applyBorder="1" applyAlignment="1">
      <alignment horizontal="right" vertical="center" wrapText="1"/>
    </xf>
    <xf numFmtId="0" fontId="33" fillId="13" borderId="2" xfId="0" applyNumberFormat="1" applyFont="1" applyFill="1" applyBorder="1" applyAlignment="1">
      <alignment horizontal="right" vertical="center" wrapText="1"/>
    </xf>
    <xf numFmtId="164" fontId="7" fillId="16" borderId="59" xfId="0" applyNumberFormat="1" applyFont="1" applyFill="1" applyBorder="1" applyAlignment="1">
      <alignment horizontal="right" wrapText="1"/>
    </xf>
    <xf numFmtId="0" fontId="44" fillId="16" borderId="51" xfId="0" applyFont="1" applyFill="1" applyBorder="1" applyAlignment="1">
      <alignment vertical="center" wrapText="1"/>
    </xf>
    <xf numFmtId="0" fontId="44" fillId="16" borderId="52" xfId="0" applyFont="1" applyFill="1" applyBorder="1" applyAlignment="1">
      <alignment vertical="center" wrapText="1"/>
    </xf>
    <xf numFmtId="1" fontId="33" fillId="16" borderId="18" xfId="0" applyNumberFormat="1" applyFont="1" applyFill="1" applyBorder="1" applyAlignment="1">
      <alignment horizontal="center" vertical="center" wrapText="1"/>
    </xf>
    <xf numFmtId="1" fontId="33" fillId="16" borderId="49" xfId="0" applyNumberFormat="1" applyFont="1" applyFill="1" applyBorder="1" applyAlignment="1">
      <alignment vertical="center" wrapText="1"/>
    </xf>
    <xf numFmtId="164" fontId="7" fillId="15" borderId="34" xfId="0" applyNumberFormat="1" applyFont="1" applyFill="1" applyBorder="1" applyAlignment="1">
      <alignment horizontal="right" wrapText="1"/>
    </xf>
    <xf numFmtId="164" fontId="3" fillId="16" borderId="52" xfId="0" applyNumberFormat="1" applyFont="1" applyFill="1" applyBorder="1"/>
    <xf numFmtId="164" fontId="3" fillId="15" borderId="52" xfId="0" applyNumberFormat="1" applyFont="1" applyFill="1" applyBorder="1"/>
    <xf numFmtId="164" fontId="3" fillId="7" borderId="1" xfId="0" applyNumberFormat="1" applyFont="1" applyFill="1" applyBorder="1"/>
    <xf numFmtId="164" fontId="3" fillId="7" borderId="30" xfId="0" applyNumberFormat="1" applyFont="1" applyFill="1" applyBorder="1"/>
    <xf numFmtId="164" fontId="3" fillId="7" borderId="0" xfId="0" applyNumberFormat="1" applyFont="1" applyFill="1" applyBorder="1"/>
    <xf numFmtId="0" fontId="1" fillId="7" borderId="68" xfId="0" applyFont="1" applyFill="1" applyBorder="1" applyAlignment="1">
      <alignment vertical="center" wrapText="1"/>
    </xf>
    <xf numFmtId="1" fontId="7" fillId="11" borderId="2" xfId="0" applyNumberFormat="1" applyFont="1" applyFill="1" applyBorder="1" applyAlignment="1">
      <alignment horizontal="center" vertical="center" wrapText="1"/>
    </xf>
    <xf numFmtId="0" fontId="3" fillId="13" borderId="2" xfId="0" applyFont="1" applyFill="1" applyBorder="1" applyAlignment="1">
      <alignment vertical="center"/>
    </xf>
    <xf numFmtId="0" fontId="3" fillId="13" borderId="2" xfId="0" applyFont="1" applyFill="1" applyBorder="1" applyAlignment="1">
      <alignment horizontal="center" vertical="center" wrapText="1"/>
    </xf>
    <xf numFmtId="164" fontId="44" fillId="16" borderId="22" xfId="0" applyNumberFormat="1" applyFont="1" applyFill="1" applyBorder="1" applyAlignment="1">
      <alignment vertical="center" wrapText="1"/>
    </xf>
    <xf numFmtId="4" fontId="37" fillId="16" borderId="1" xfId="0" applyNumberFormat="1" applyFont="1" applyFill="1" applyBorder="1" applyAlignment="1">
      <alignment vertical="center" wrapText="1"/>
    </xf>
    <xf numFmtId="3" fontId="7" fillId="13" borderId="3" xfId="0" applyNumberFormat="1" applyFont="1" applyFill="1" applyBorder="1" applyAlignment="1">
      <alignment horizontal="center" vertical="center" wrapText="1"/>
    </xf>
    <xf numFmtId="0" fontId="3" fillId="16" borderId="1" xfId="0" applyFont="1" applyFill="1" applyBorder="1"/>
    <xf numFmtId="164" fontId="3" fillId="7" borderId="28" xfId="0" applyNumberFormat="1" applyFont="1" applyFill="1" applyBorder="1"/>
    <xf numFmtId="164" fontId="32" fillId="7" borderId="59" xfId="0" applyNumberFormat="1" applyFont="1" applyFill="1" applyBorder="1" applyAlignment="1">
      <alignment horizontal="right" wrapText="1"/>
    </xf>
    <xf numFmtId="0" fontId="3" fillId="11" borderId="2" xfId="0" applyFont="1" applyFill="1" applyBorder="1" applyAlignment="1">
      <alignment vertical="center" wrapText="1"/>
    </xf>
    <xf numFmtId="164" fontId="32" fillId="11" borderId="2" xfId="0" applyNumberFormat="1" applyFont="1" applyFill="1" applyBorder="1" applyAlignment="1">
      <alignment vertical="center" wrapText="1"/>
    </xf>
    <xf numFmtId="0" fontId="33" fillId="11" borderId="2" xfId="0" applyFont="1" applyFill="1" applyBorder="1" applyAlignment="1">
      <alignment horizontal="right" vertical="center"/>
    </xf>
    <xf numFmtId="0" fontId="7" fillId="11" borderId="2" xfId="0" applyFont="1" applyFill="1" applyBorder="1" applyAlignment="1">
      <alignment horizontal="center" vertical="center" wrapText="1"/>
    </xf>
    <xf numFmtId="0" fontId="3" fillId="11" borderId="2" xfId="0" applyFont="1" applyFill="1" applyBorder="1" applyAlignment="1">
      <alignment vertical="center"/>
    </xf>
    <xf numFmtId="164" fontId="32" fillId="16" borderId="2" xfId="0" applyNumberFormat="1" applyFont="1" applyFill="1" applyBorder="1" applyAlignment="1">
      <alignment wrapText="1"/>
    </xf>
    <xf numFmtId="4" fontId="57" fillId="16" borderId="1" xfId="0" applyNumberFormat="1" applyFont="1" applyFill="1" applyBorder="1" applyAlignment="1">
      <alignment vertical="center" wrapText="1"/>
    </xf>
    <xf numFmtId="0" fontId="0" fillId="0" borderId="13" xfId="0" applyBorder="1" applyAlignment="1">
      <alignment wrapText="1"/>
    </xf>
    <xf numFmtId="164" fontId="1" fillId="7" borderId="28" xfId="0" applyNumberFormat="1" applyFont="1" applyFill="1" applyBorder="1" applyAlignment="1">
      <alignment vertical="center" wrapText="1"/>
    </xf>
    <xf numFmtId="164" fontId="1" fillId="7" borderId="1" xfId="0" applyNumberFormat="1" applyFont="1" applyFill="1" applyBorder="1" applyAlignment="1">
      <alignment vertical="center" wrapText="1"/>
    </xf>
    <xf numFmtId="164" fontId="1" fillId="7" borderId="1" xfId="0" applyNumberFormat="1" applyFont="1" applyFill="1" applyBorder="1" applyAlignment="1" applyProtection="1">
      <alignment vertical="center" wrapText="1"/>
      <protection locked="0"/>
    </xf>
    <xf numFmtId="164" fontId="1" fillId="7" borderId="4" xfId="0" applyNumberFormat="1" applyFont="1" applyFill="1" applyBorder="1" applyAlignment="1">
      <alignment vertical="center" wrapText="1"/>
    </xf>
    <xf numFmtId="164" fontId="2" fillId="7" borderId="14" xfId="0" applyNumberFormat="1" applyFont="1" applyFill="1" applyBorder="1" applyAlignment="1">
      <alignment wrapText="1"/>
    </xf>
    <xf numFmtId="0" fontId="1" fillId="7" borderId="34" xfId="0" applyFont="1" applyFill="1" applyBorder="1"/>
    <xf numFmtId="164" fontId="1" fillId="7" borderId="34" xfId="0" applyNumberFormat="1" applyFont="1" applyFill="1" applyBorder="1"/>
    <xf numFmtId="1" fontId="33" fillId="16" borderId="2" xfId="0" applyNumberFormat="1" applyFont="1" applyFill="1" applyBorder="1" applyAlignment="1">
      <alignment horizontal="center" vertical="center" wrapText="1"/>
    </xf>
    <xf numFmtId="164" fontId="32" fillId="16" borderId="2" xfId="0" applyNumberFormat="1" applyFont="1" applyFill="1" applyBorder="1" applyAlignment="1">
      <alignment horizontal="center" wrapText="1"/>
    </xf>
    <xf numFmtId="164" fontId="33" fillId="11" borderId="2" xfId="0" applyNumberFormat="1" applyFont="1" applyFill="1" applyBorder="1" applyAlignment="1">
      <alignment horizontal="right" vertical="center" wrapText="1"/>
    </xf>
    <xf numFmtId="1" fontId="33" fillId="11" borderId="2" xfId="0" applyNumberFormat="1" applyFont="1" applyFill="1" applyBorder="1" applyAlignment="1">
      <alignment horizontal="center" vertical="center" wrapText="1"/>
    </xf>
    <xf numFmtId="164" fontId="32" fillId="11" borderId="2" xfId="0" applyNumberFormat="1" applyFont="1" applyFill="1" applyBorder="1" applyAlignment="1">
      <alignment horizontal="right" vertical="center" wrapText="1"/>
    </xf>
    <xf numFmtId="1" fontId="32" fillId="11" borderId="2" xfId="0" applyNumberFormat="1" applyFont="1" applyFill="1" applyBorder="1" applyAlignment="1">
      <alignment horizontal="center" vertical="center" wrapText="1"/>
    </xf>
    <xf numFmtId="0" fontId="1" fillId="13" borderId="2" xfId="0" applyFont="1" applyFill="1" applyBorder="1" applyAlignment="1">
      <alignment horizontal="center" vertical="center" wrapText="1"/>
    </xf>
    <xf numFmtId="3" fontId="3" fillId="13" borderId="2" xfId="0" applyNumberFormat="1" applyFont="1" applyFill="1" applyBorder="1" applyAlignment="1">
      <alignment horizontal="center" vertical="center" wrapText="1"/>
    </xf>
    <xf numFmtId="0" fontId="3" fillId="13" borderId="2" xfId="0" applyFont="1" applyFill="1" applyBorder="1"/>
    <xf numFmtId="0" fontId="3" fillId="13" borderId="3" xfId="0" applyFont="1" applyFill="1" applyBorder="1"/>
    <xf numFmtId="164" fontId="4" fillId="0" borderId="10" xfId="0" applyNumberFormat="1" applyFont="1" applyBorder="1" applyAlignment="1">
      <alignment horizontal="center" wrapText="1"/>
    </xf>
    <xf numFmtId="164" fontId="4" fillId="0" borderId="11" xfId="0" applyNumberFormat="1" applyFont="1" applyBorder="1" applyAlignment="1">
      <alignment horizontal="center" wrapText="1"/>
    </xf>
    <xf numFmtId="164" fontId="32" fillId="16" borderId="65" xfId="0" applyNumberFormat="1" applyFont="1" applyFill="1" applyBorder="1" applyAlignment="1">
      <alignment wrapText="1"/>
    </xf>
    <xf numFmtId="164" fontId="28" fillId="16" borderId="52" xfId="0" applyNumberFormat="1" applyFont="1" applyFill="1" applyBorder="1" applyAlignment="1">
      <alignment vertical="center" wrapText="1"/>
    </xf>
    <xf numFmtId="164" fontId="4" fillId="16" borderId="10" xfId="0" applyNumberFormat="1" applyFont="1" applyFill="1" applyBorder="1" applyAlignment="1">
      <alignment wrapText="1"/>
    </xf>
    <xf numFmtId="0" fontId="4" fillId="16" borderId="10" xfId="0" applyFont="1" applyFill="1" applyBorder="1" applyAlignment="1">
      <alignment wrapText="1"/>
    </xf>
    <xf numFmtId="0" fontId="14" fillId="16" borderId="34" xfId="0" applyNumberFormat="1" applyFont="1" applyFill="1" applyBorder="1" applyAlignment="1">
      <alignment horizontal="right" vertical="center" wrapText="1"/>
    </xf>
    <xf numFmtId="164" fontId="0" fillId="16" borderId="59" xfId="0" applyNumberFormat="1" applyFill="1" applyBorder="1" applyAlignment="1">
      <alignment horizontal="center" wrapText="1"/>
    </xf>
    <xf numFmtId="164" fontId="20" fillId="16" borderId="59" xfId="0" applyNumberFormat="1" applyFont="1" applyFill="1" applyBorder="1" applyAlignment="1">
      <alignment wrapText="1"/>
    </xf>
    <xf numFmtId="164" fontId="4" fillId="15" borderId="20" xfId="0" applyNumberFormat="1" applyFont="1" applyFill="1" applyBorder="1" applyAlignment="1">
      <alignment wrapText="1"/>
    </xf>
    <xf numFmtId="164" fontId="4" fillId="15" borderId="34" xfId="0" applyNumberFormat="1" applyFont="1" applyFill="1" applyBorder="1" applyAlignment="1">
      <alignment horizontal="center" wrapText="1"/>
    </xf>
    <xf numFmtId="164" fontId="20" fillId="15" borderId="34" xfId="0" applyNumberFormat="1" applyFont="1" applyFill="1" applyBorder="1" applyAlignment="1">
      <alignment wrapText="1"/>
    </xf>
    <xf numFmtId="164" fontId="11" fillId="7" borderId="20" xfId="0" applyNumberFormat="1" applyFont="1" applyFill="1" applyBorder="1" applyAlignment="1">
      <alignment wrapText="1"/>
    </xf>
    <xf numFmtId="164" fontId="4" fillId="7" borderId="14" xfId="0" applyNumberFormat="1" applyFont="1" applyFill="1" applyBorder="1" applyAlignment="1">
      <alignment horizontal="center" wrapText="1"/>
    </xf>
    <xf numFmtId="164" fontId="0" fillId="7" borderId="20" xfId="0" applyNumberFormat="1" applyFill="1" applyBorder="1" applyAlignment="1">
      <alignment horizontal="center" wrapText="1"/>
    </xf>
    <xf numFmtId="0" fontId="6" fillId="12" borderId="42" xfId="0" applyFont="1" applyFill="1" applyBorder="1" applyAlignment="1">
      <alignment horizontal="right"/>
    </xf>
    <xf numFmtId="165" fontId="0" fillId="12" borderId="2" xfId="0" applyNumberFormat="1" applyFill="1" applyBorder="1"/>
    <xf numFmtId="165" fontId="0" fillId="13" borderId="2" xfId="0" applyNumberFormat="1" applyFill="1" applyBorder="1"/>
    <xf numFmtId="0" fontId="0" fillId="11" borderId="57" xfId="0" applyFill="1" applyBorder="1"/>
    <xf numFmtId="165" fontId="0" fillId="11" borderId="73" xfId="0" applyNumberFormat="1" applyFill="1" applyBorder="1"/>
    <xf numFmtId="165" fontId="0" fillId="11" borderId="24" xfId="0" applyNumberFormat="1" applyFill="1" applyBorder="1"/>
    <xf numFmtId="165" fontId="0" fillId="11" borderId="39" xfId="0" applyNumberFormat="1" applyFill="1" applyBorder="1"/>
    <xf numFmtId="165" fontId="0" fillId="11" borderId="71" xfId="0" applyNumberFormat="1" applyFill="1" applyBorder="1"/>
    <xf numFmtId="3" fontId="0" fillId="11" borderId="57" xfId="0" applyNumberFormat="1" applyFill="1" applyBorder="1"/>
    <xf numFmtId="165" fontId="0" fillId="9" borderId="2" xfId="0" applyNumberFormat="1" applyFill="1" applyBorder="1"/>
    <xf numFmtId="165" fontId="0" fillId="11" borderId="2" xfId="0" applyNumberFormat="1" applyFill="1" applyBorder="1"/>
    <xf numFmtId="0" fontId="0" fillId="12" borderId="1" xfId="0" applyFill="1" applyBorder="1"/>
    <xf numFmtId="165" fontId="0" fillId="12" borderId="3" xfId="0" applyNumberFormat="1" applyFill="1" applyBorder="1"/>
    <xf numFmtId="0" fontId="0" fillId="9" borderId="1" xfId="0" applyFill="1" applyBorder="1"/>
    <xf numFmtId="165" fontId="0" fillId="9" borderId="3" xfId="0" applyNumberFormat="1" applyFill="1" applyBorder="1"/>
    <xf numFmtId="0" fontId="6" fillId="9" borderId="40" xfId="0" applyFont="1" applyFill="1" applyBorder="1"/>
    <xf numFmtId="3" fontId="0" fillId="9" borderId="1" xfId="0" applyNumberFormat="1" applyFill="1" applyBorder="1"/>
    <xf numFmtId="0" fontId="6" fillId="12" borderId="40" xfId="0" applyFont="1" applyFill="1" applyBorder="1" applyAlignment="1">
      <alignment horizontal="center"/>
    </xf>
    <xf numFmtId="0" fontId="6" fillId="12" borderId="42" xfId="0" applyFont="1" applyFill="1" applyBorder="1"/>
    <xf numFmtId="0" fontId="5" fillId="12" borderId="42" xfId="0" applyFont="1" applyFill="1" applyBorder="1"/>
    <xf numFmtId="0" fontId="6" fillId="13" borderId="51" xfId="0" applyFont="1" applyFill="1" applyBorder="1" applyAlignment="1">
      <alignment horizontal="right"/>
    </xf>
    <xf numFmtId="3" fontId="0" fillId="12" borderId="1" xfId="0" applyNumberFormat="1" applyFill="1" applyBorder="1"/>
    <xf numFmtId="2" fontId="3" fillId="9" borderId="2" xfId="4" applyNumberFormat="1" applyFont="1" applyFill="1" applyBorder="1" applyAlignment="1">
      <alignment horizontal="right" wrapText="1"/>
    </xf>
    <xf numFmtId="0" fontId="32" fillId="11" borderId="2" xfId="0" applyFont="1" applyFill="1" applyBorder="1" applyAlignment="1">
      <alignment horizontal="center" vertical="center" wrapText="1"/>
    </xf>
    <xf numFmtId="164" fontId="32" fillId="11" borderId="2" xfId="0" applyNumberFormat="1" applyFont="1" applyFill="1" applyBorder="1" applyAlignment="1">
      <alignment horizontal="center" wrapText="1"/>
    </xf>
    <xf numFmtId="164" fontId="44" fillId="11" borderId="22" xfId="0" applyNumberFormat="1" applyFont="1" applyFill="1" applyBorder="1" applyAlignment="1">
      <alignment horizontal="center" vertical="center" wrapText="1"/>
    </xf>
    <xf numFmtId="0" fontId="3" fillId="0" borderId="3" xfId="0" applyFont="1" applyBorder="1" applyAlignment="1">
      <alignment horizontal="left" vertical="center" wrapText="1"/>
    </xf>
    <xf numFmtId="164" fontId="32" fillId="13" borderId="33" xfId="0" applyNumberFormat="1" applyFont="1" applyFill="1" applyBorder="1" applyAlignment="1">
      <alignment horizontal="center" vertical="center" wrapText="1"/>
    </xf>
    <xf numFmtId="0" fontId="33" fillId="16" borderId="44" xfId="0" applyNumberFormat="1" applyFont="1" applyFill="1" applyBorder="1" applyAlignment="1">
      <alignment horizontal="center" vertical="center" wrapText="1"/>
    </xf>
    <xf numFmtId="164" fontId="44" fillId="11" borderId="77" xfId="0" applyNumberFormat="1" applyFont="1" applyFill="1" applyBorder="1" applyAlignment="1">
      <alignment horizontal="center" wrapText="1"/>
    </xf>
    <xf numFmtId="164" fontId="44" fillId="11" borderId="55" xfId="0" applyNumberFormat="1" applyFont="1" applyFill="1" applyBorder="1" applyAlignment="1">
      <alignment horizontal="center" wrapText="1"/>
    </xf>
    <xf numFmtId="164" fontId="32" fillId="11" borderId="48" xfId="0" applyNumberFormat="1" applyFont="1" applyFill="1" applyBorder="1" applyAlignment="1">
      <alignment horizontal="center" wrapText="1"/>
    </xf>
    <xf numFmtId="164" fontId="32" fillId="11" borderId="22" xfId="0" applyNumberFormat="1" applyFont="1" applyFill="1" applyBorder="1" applyAlignment="1">
      <alignment vertical="center" wrapText="1"/>
    </xf>
    <xf numFmtId="164" fontId="37" fillId="11" borderId="22" xfId="0" applyNumberFormat="1" applyFont="1" applyFill="1" applyBorder="1" applyAlignment="1">
      <alignment horizontal="center" wrapText="1"/>
    </xf>
    <xf numFmtId="164" fontId="33" fillId="11" borderId="22" xfId="0" applyNumberFormat="1" applyFont="1" applyFill="1" applyBorder="1" applyAlignment="1">
      <alignment horizontal="right" vertical="center"/>
    </xf>
    <xf numFmtId="0" fontId="32" fillId="11" borderId="3" xfId="0" applyFont="1" applyFill="1" applyBorder="1" applyAlignment="1">
      <alignment horizontal="center" vertical="center" wrapText="1"/>
    </xf>
    <xf numFmtId="1" fontId="1" fillId="9" borderId="19" xfId="0" applyNumberFormat="1" applyFont="1" applyFill="1" applyBorder="1" applyAlignment="1">
      <alignment horizontal="right" wrapText="1"/>
    </xf>
    <xf numFmtId="164" fontId="1" fillId="9" borderId="19" xfId="0" applyNumberFormat="1" applyFont="1" applyFill="1" applyBorder="1" applyAlignment="1">
      <alignment horizontal="right" wrapText="1"/>
    </xf>
    <xf numFmtId="0" fontId="3" fillId="8" borderId="2" xfId="0" applyFont="1" applyFill="1" applyBorder="1"/>
    <xf numFmtId="164" fontId="3" fillId="8" borderId="2" xfId="0" applyNumberFormat="1" applyFont="1" applyFill="1" applyBorder="1"/>
    <xf numFmtId="164" fontId="3" fillId="6" borderId="2" xfId="0" applyNumberFormat="1" applyFont="1" applyFill="1" applyBorder="1"/>
    <xf numFmtId="164" fontId="3" fillId="12" borderId="2" xfId="0" applyNumberFormat="1" applyFont="1" applyFill="1" applyBorder="1"/>
    <xf numFmtId="0" fontId="3" fillId="12" borderId="2" xfId="0" applyFont="1" applyFill="1" applyBorder="1"/>
    <xf numFmtId="0" fontId="3" fillId="11" borderId="2" xfId="0" applyFont="1" applyFill="1" applyBorder="1"/>
    <xf numFmtId="164" fontId="3" fillId="11" borderId="2" xfId="0" applyNumberFormat="1" applyFont="1" applyFill="1" applyBorder="1"/>
    <xf numFmtId="164" fontId="3" fillId="13" borderId="2" xfId="0" applyNumberFormat="1" applyFont="1" applyFill="1" applyBorder="1"/>
    <xf numFmtId="0" fontId="3" fillId="13" borderId="12" xfId="0" applyFont="1" applyFill="1" applyBorder="1" applyAlignment="1">
      <alignment vertical="center"/>
    </xf>
    <xf numFmtId="0" fontId="32" fillId="13" borderId="33" xfId="0" applyNumberFormat="1" applyFont="1" applyFill="1" applyBorder="1" applyAlignment="1">
      <alignment horizontal="right" vertical="center" wrapText="1"/>
    </xf>
    <xf numFmtId="164" fontId="44" fillId="16" borderId="50" xfId="0" applyNumberFormat="1" applyFont="1" applyFill="1" applyBorder="1" applyAlignment="1">
      <alignment vertical="center" wrapText="1"/>
    </xf>
    <xf numFmtId="0" fontId="33" fillId="16" borderId="44" xfId="0" applyNumberFormat="1" applyFont="1" applyFill="1" applyBorder="1" applyAlignment="1">
      <alignment horizontal="right" vertical="center" wrapText="1"/>
    </xf>
    <xf numFmtId="164" fontId="44" fillId="11" borderId="23" xfId="0" applyNumberFormat="1" applyFont="1" applyFill="1" applyBorder="1" applyAlignment="1">
      <alignment horizontal="center" vertical="center" wrapText="1"/>
    </xf>
    <xf numFmtId="164" fontId="32" fillId="11" borderId="1" xfId="0" applyNumberFormat="1" applyFont="1" applyFill="1" applyBorder="1" applyAlignment="1">
      <alignment horizontal="center" wrapText="1"/>
    </xf>
    <xf numFmtId="0" fontId="32" fillId="11" borderId="11" xfId="0" applyNumberFormat="1" applyFont="1" applyFill="1" applyBorder="1" applyAlignment="1">
      <alignment horizontal="center" vertical="center" wrapText="1"/>
    </xf>
    <xf numFmtId="164" fontId="44" fillId="11" borderId="52" xfId="0" applyNumberFormat="1" applyFont="1" applyFill="1" applyBorder="1" applyAlignment="1">
      <alignment horizontal="center" vertical="top" wrapText="1"/>
    </xf>
    <xf numFmtId="164" fontId="44" fillId="11" borderId="2" xfId="0" applyNumberFormat="1" applyFont="1" applyFill="1" applyBorder="1" applyAlignment="1">
      <alignment horizontal="center" vertical="center" wrapText="1"/>
    </xf>
    <xf numFmtId="164" fontId="44" fillId="11" borderId="52" xfId="0" applyNumberFormat="1" applyFont="1" applyFill="1" applyBorder="1" applyAlignment="1">
      <alignment horizontal="center" vertical="center" wrapText="1"/>
    </xf>
    <xf numFmtId="164" fontId="44" fillId="11" borderId="22" xfId="0" applyNumberFormat="1" applyFont="1" applyFill="1" applyBorder="1" applyAlignment="1">
      <alignment horizontal="center" vertical="center" wrapText="1"/>
    </xf>
    <xf numFmtId="164" fontId="28" fillId="11" borderId="52" xfId="0" applyNumberFormat="1" applyFont="1" applyFill="1" applyBorder="1" applyAlignment="1">
      <alignment horizontal="center" vertical="center" wrapText="1"/>
    </xf>
    <xf numFmtId="6" fontId="1" fillId="7" borderId="14" xfId="0" applyNumberFormat="1" applyFont="1" applyFill="1" applyBorder="1" applyAlignment="1">
      <alignment horizontal="center" vertical="center" wrapText="1"/>
    </xf>
    <xf numFmtId="6" fontId="1" fillId="7" borderId="2" xfId="0" applyNumberFormat="1" applyFont="1" applyFill="1" applyBorder="1" applyAlignment="1">
      <alignment horizontal="center" vertical="center" wrapText="1"/>
    </xf>
    <xf numFmtId="164" fontId="32" fillId="11" borderId="2" xfId="0" applyNumberFormat="1" applyFont="1" applyFill="1" applyBorder="1" applyAlignment="1">
      <alignment horizontal="center" vertical="center" wrapText="1"/>
    </xf>
    <xf numFmtId="4" fontId="1" fillId="0" borderId="30" xfId="0" applyNumberFormat="1" applyFont="1" applyBorder="1" applyAlignment="1">
      <alignment horizontal="center" vertical="center" wrapText="1"/>
    </xf>
    <xf numFmtId="0" fontId="21" fillId="0" borderId="30" xfId="0" applyNumberFormat="1" applyFont="1" applyBorder="1" applyAlignment="1">
      <alignment horizontal="center" vertical="center" wrapText="1"/>
    </xf>
    <xf numFmtId="164" fontId="44" fillId="11" borderId="22" xfId="0" applyNumberFormat="1" applyFont="1" applyFill="1" applyBorder="1" applyAlignment="1">
      <alignment horizontal="center" vertical="center" wrapText="1"/>
    </xf>
    <xf numFmtId="0" fontId="1" fillId="7" borderId="1" xfId="0" applyFont="1" applyFill="1" applyBorder="1" applyAlignment="1">
      <alignment horizontal="center" vertical="center" wrapText="1"/>
    </xf>
    <xf numFmtId="6" fontId="1" fillId="7" borderId="14" xfId="0" applyNumberFormat="1" applyFont="1" applyFill="1" applyBorder="1" applyAlignment="1">
      <alignment horizontal="center" vertical="center" wrapText="1"/>
    </xf>
    <xf numFmtId="0" fontId="33" fillId="11" borderId="45" xfId="0" applyNumberFormat="1" applyFont="1" applyFill="1" applyBorder="1" applyAlignment="1">
      <alignment horizontal="right" vertical="center" wrapText="1"/>
    </xf>
    <xf numFmtId="0" fontId="0" fillId="0" borderId="0" xfId="0" applyBorder="1" applyAlignment="1">
      <alignment wrapText="1"/>
    </xf>
    <xf numFmtId="164" fontId="32" fillId="0" borderId="0" xfId="0" applyNumberFormat="1" applyFont="1" applyBorder="1" applyAlignment="1">
      <alignment horizontal="center" wrapText="1"/>
    </xf>
    <xf numFmtId="164" fontId="32" fillId="11" borderId="10" xfId="0" applyNumberFormat="1" applyFont="1" applyFill="1" applyBorder="1" applyAlignment="1">
      <alignment horizontal="center" vertical="center" wrapText="1"/>
    </xf>
    <xf numFmtId="164" fontId="32" fillId="11" borderId="11" xfId="0" applyNumberFormat="1" applyFont="1" applyFill="1" applyBorder="1" applyAlignment="1">
      <alignment horizontal="center" vertical="center" wrapText="1"/>
    </xf>
    <xf numFmtId="164" fontId="32" fillId="11" borderId="15" xfId="0" applyNumberFormat="1" applyFont="1" applyFill="1" applyBorder="1" applyAlignment="1">
      <alignment horizontal="center" vertical="center" wrapText="1"/>
    </xf>
    <xf numFmtId="0" fontId="14" fillId="11" borderId="45" xfId="0" applyNumberFormat="1" applyFont="1" applyFill="1" applyBorder="1" applyAlignment="1">
      <alignment horizontal="right" vertical="center" wrapText="1"/>
    </xf>
    <xf numFmtId="0" fontId="3" fillId="0" borderId="0" xfId="0" applyFont="1" applyAlignment="1">
      <alignment horizontal="center" vertical="center" wrapText="1"/>
    </xf>
    <xf numFmtId="0" fontId="7" fillId="0" borderId="4" xfId="0" applyNumberFormat="1" applyFont="1" applyBorder="1" applyAlignment="1">
      <alignment horizontal="right" wrapText="1" indent="3"/>
    </xf>
    <xf numFmtId="6" fontId="1" fillId="7" borderId="2" xfId="0" quotePrefix="1" applyNumberFormat="1" applyFont="1" applyFill="1" applyBorder="1" applyAlignment="1">
      <alignment horizontal="center" vertical="center" wrapText="1"/>
    </xf>
    <xf numFmtId="0" fontId="8" fillId="7" borderId="2" xfId="1" applyFill="1" applyBorder="1" applyAlignment="1">
      <alignment vertical="center" wrapText="1"/>
    </xf>
    <xf numFmtId="6" fontId="1" fillId="7" borderId="14" xfId="0" quotePrefix="1" applyNumberFormat="1" applyFont="1" applyFill="1" applyBorder="1" applyAlignment="1">
      <alignment vertical="center" wrapText="1"/>
    </xf>
    <xf numFmtId="6" fontId="1" fillId="7" borderId="14" xfId="0" quotePrefix="1" applyNumberFormat="1" applyFont="1" applyFill="1" applyBorder="1" applyAlignment="1">
      <alignment horizontal="center" vertical="center" wrapText="1"/>
    </xf>
    <xf numFmtId="0" fontId="1" fillId="7" borderId="2" xfId="0" quotePrefix="1" applyFont="1" applyFill="1" applyBorder="1" applyAlignment="1">
      <alignment horizontal="center" vertical="center" wrapText="1"/>
    </xf>
    <xf numFmtId="6" fontId="1" fillId="7" borderId="20" xfId="0" quotePrefix="1" applyNumberFormat="1" applyFont="1" applyFill="1" applyBorder="1" applyAlignment="1">
      <alignment vertical="center" wrapText="1"/>
    </xf>
    <xf numFmtId="6" fontId="1" fillId="7" borderId="20" xfId="0" quotePrefix="1" applyNumberFormat="1" applyFont="1" applyFill="1" applyBorder="1" applyAlignment="1">
      <alignment horizontal="center" vertical="center" wrapText="1"/>
    </xf>
    <xf numFmtId="4" fontId="1" fillId="7" borderId="20" xfId="0" quotePrefix="1" applyNumberFormat="1" applyFont="1" applyFill="1" applyBorder="1" applyAlignment="1">
      <alignment vertical="center" wrapText="1"/>
    </xf>
    <xf numFmtId="4" fontId="1" fillId="7" borderId="20" xfId="0" quotePrefix="1" applyNumberFormat="1" applyFont="1" applyFill="1" applyBorder="1" applyAlignment="1">
      <alignment horizontal="center" vertical="center" wrapText="1"/>
    </xf>
    <xf numFmtId="2" fontId="1" fillId="9" borderId="20" xfId="4" applyNumberFormat="1" applyFont="1" applyFill="1" applyBorder="1" applyAlignment="1">
      <alignment horizontal="right" wrapText="1"/>
    </xf>
    <xf numFmtId="1" fontId="3" fillId="13" borderId="58" xfId="0" applyNumberFormat="1" applyFont="1" applyFill="1" applyBorder="1" applyAlignment="1">
      <alignment horizontal="right" wrapText="1"/>
    </xf>
    <xf numFmtId="1" fontId="32" fillId="8" borderId="48" xfId="0" applyNumberFormat="1" applyFont="1" applyFill="1" applyBorder="1" applyAlignment="1">
      <alignment horizontal="right" wrapText="1"/>
    </xf>
    <xf numFmtId="1" fontId="32" fillId="8" borderId="22" xfId="0" applyNumberFormat="1" applyFont="1" applyFill="1" applyBorder="1" applyAlignment="1">
      <alignment horizontal="right" wrapText="1"/>
    </xf>
    <xf numFmtId="164" fontId="32" fillId="8" borderId="22" xfId="0" applyNumberFormat="1" applyFont="1" applyFill="1" applyBorder="1" applyAlignment="1">
      <alignment horizontal="right" wrapText="1"/>
    </xf>
    <xf numFmtId="164" fontId="32" fillId="8" borderId="23" xfId="0" applyNumberFormat="1" applyFont="1" applyFill="1" applyBorder="1" applyAlignment="1">
      <alignment horizontal="right" wrapText="1"/>
    </xf>
    <xf numFmtId="1" fontId="1" fillId="9" borderId="1" xfId="0" applyNumberFormat="1" applyFont="1" applyFill="1" applyBorder="1" applyAlignment="1">
      <alignment horizontal="right" wrapText="1"/>
    </xf>
    <xf numFmtId="164" fontId="1" fillId="9" borderId="3" xfId="0" applyNumberFormat="1" applyFont="1" applyFill="1" applyBorder="1" applyAlignment="1">
      <alignment horizontal="right" wrapText="1"/>
    </xf>
    <xf numFmtId="1" fontId="3" fillId="11" borderId="4" xfId="0" applyNumberFormat="1" applyFont="1" applyFill="1" applyBorder="1" applyAlignment="1">
      <alignment horizontal="right" wrapText="1"/>
    </xf>
    <xf numFmtId="164" fontId="32" fillId="11" borderId="35" xfId="0" applyNumberFormat="1" applyFont="1" applyFill="1" applyBorder="1" applyAlignment="1">
      <alignment horizontal="right" wrapText="1"/>
    </xf>
    <xf numFmtId="6" fontId="1" fillId="7" borderId="20" xfId="0" applyNumberFormat="1" applyFont="1" applyFill="1" applyBorder="1" applyAlignment="1">
      <alignment horizontal="center" vertical="center" wrapText="1"/>
    </xf>
    <xf numFmtId="0" fontId="1" fillId="7" borderId="2" xfId="0" quotePrefix="1" applyFont="1" applyFill="1" applyBorder="1" applyAlignment="1">
      <alignment horizontal="left" vertical="center" wrapText="1"/>
    </xf>
    <xf numFmtId="0" fontId="1" fillId="7" borderId="20" xfId="0" quotePrefix="1" applyFont="1" applyFill="1" applyBorder="1" applyAlignment="1">
      <alignment horizontal="left" vertical="center" wrapText="1"/>
    </xf>
    <xf numFmtId="6" fontId="3" fillId="7" borderId="12" xfId="0" quotePrefix="1" applyNumberFormat="1" applyFont="1" applyFill="1" applyBorder="1" applyAlignment="1">
      <alignment horizontal="left" vertical="center" wrapText="1"/>
    </xf>
    <xf numFmtId="0" fontId="3" fillId="7" borderId="75" xfId="0" applyFont="1" applyFill="1" applyBorder="1" applyAlignment="1">
      <alignment vertical="center" wrapText="1"/>
    </xf>
    <xf numFmtId="170" fontId="3" fillId="9" borderId="2" xfId="4" applyNumberFormat="1" applyFont="1" applyFill="1" applyBorder="1" applyAlignment="1">
      <alignment horizontal="right" wrapText="1"/>
    </xf>
    <xf numFmtId="0" fontId="3" fillId="7" borderId="68" xfId="0" applyFont="1" applyFill="1" applyBorder="1" applyAlignment="1">
      <alignment horizontal="left" vertical="center" wrapText="1"/>
    </xf>
    <xf numFmtId="0" fontId="3" fillId="7" borderId="12" xfId="0" applyFont="1" applyFill="1" applyBorder="1" applyAlignment="1">
      <alignment horizontal="left" vertical="center" wrapText="1"/>
    </xf>
    <xf numFmtId="164" fontId="32" fillId="11" borderId="59" xfId="0" applyNumberFormat="1" applyFont="1" applyFill="1" applyBorder="1" applyAlignment="1">
      <alignment horizontal="right"/>
    </xf>
    <xf numFmtId="170" fontId="3" fillId="9" borderId="20" xfId="0" applyNumberFormat="1" applyFont="1" applyFill="1" applyBorder="1"/>
    <xf numFmtId="170" fontId="3" fillId="9" borderId="2" xfId="0" applyNumberFormat="1" applyFont="1" applyFill="1" applyBorder="1"/>
    <xf numFmtId="8" fontId="3" fillId="7" borderId="12" xfId="0" quotePrefix="1" applyNumberFormat="1" applyFont="1" applyFill="1" applyBorder="1" applyAlignment="1">
      <alignment wrapText="1"/>
    </xf>
    <xf numFmtId="0" fontId="0" fillId="7" borderId="0" xfId="0" applyFill="1" applyAlignment="1">
      <alignment wrapText="1"/>
    </xf>
    <xf numFmtId="8" fontId="3" fillId="7" borderId="21" xfId="0" quotePrefix="1" applyNumberFormat="1" applyFont="1" applyFill="1" applyBorder="1" applyAlignment="1">
      <alignment wrapText="1"/>
    </xf>
    <xf numFmtId="2" fontId="3" fillId="9" borderId="2" xfId="0" applyNumberFormat="1" applyFont="1" applyFill="1" applyBorder="1"/>
    <xf numFmtId="164" fontId="3" fillId="7" borderId="1" xfId="0" applyNumberFormat="1" applyFont="1" applyFill="1" applyBorder="1" applyAlignment="1"/>
    <xf numFmtId="2" fontId="3" fillId="9" borderId="14" xfId="4" applyNumberFormat="1" applyFont="1" applyFill="1" applyBorder="1" applyAlignment="1">
      <alignment horizontal="right" wrapText="1"/>
    </xf>
    <xf numFmtId="0" fontId="3" fillId="7" borderId="2" xfId="0" applyFont="1" applyFill="1" applyBorder="1" applyAlignment="1">
      <alignment horizontal="left" vertical="center" wrapText="1"/>
    </xf>
    <xf numFmtId="1" fontId="1" fillId="9" borderId="1" xfId="4" applyNumberFormat="1" applyFont="1" applyFill="1" applyBorder="1" applyAlignment="1">
      <alignment horizontal="center" vertical="center" wrapText="1"/>
    </xf>
    <xf numFmtId="1" fontId="1" fillId="9" borderId="2" xfId="4" applyNumberFormat="1" applyFont="1" applyFill="1" applyBorder="1" applyAlignment="1">
      <alignment horizontal="left" vertical="center" wrapText="1" indent="2"/>
    </xf>
    <xf numFmtId="6" fontId="1" fillId="7" borderId="2" xfId="0" quotePrefix="1" applyNumberFormat="1" applyFont="1" applyFill="1" applyBorder="1" applyAlignment="1" applyProtection="1">
      <alignment vertical="center" wrapText="1"/>
      <protection locked="0"/>
    </xf>
    <xf numFmtId="1" fontId="1" fillId="9" borderId="2" xfId="4" applyNumberFormat="1" applyFont="1" applyFill="1" applyBorder="1" applyAlignment="1">
      <alignment horizontal="center" vertical="center" wrapText="1"/>
    </xf>
    <xf numFmtId="2" fontId="1" fillId="9" borderId="2" xfId="4" applyNumberFormat="1" applyFont="1" applyFill="1" applyBorder="1" applyAlignment="1">
      <alignment horizontal="center" vertical="center" wrapText="1"/>
    </xf>
    <xf numFmtId="6" fontId="1" fillId="7" borderId="34" xfId="0" quotePrefix="1" applyNumberFormat="1" applyFont="1" applyFill="1" applyBorder="1" applyAlignment="1">
      <alignment vertical="center" wrapText="1"/>
    </xf>
    <xf numFmtId="1" fontId="1" fillId="9" borderId="4" xfId="4" applyNumberFormat="1" applyFont="1" applyFill="1" applyBorder="1" applyAlignment="1">
      <alignment horizontal="center" vertical="center" wrapText="1"/>
    </xf>
    <xf numFmtId="0" fontId="3" fillId="7" borderId="2" xfId="0" applyFont="1" applyFill="1" applyBorder="1" applyAlignment="1">
      <alignment horizontal="left" wrapText="1"/>
    </xf>
    <xf numFmtId="4" fontId="1" fillId="7" borderId="2" xfId="0" quotePrefix="1" applyNumberFormat="1" applyFont="1" applyFill="1" applyBorder="1" applyAlignment="1">
      <alignment vertical="center" wrapText="1"/>
    </xf>
    <xf numFmtId="4" fontId="1" fillId="7" borderId="14" xfId="0" quotePrefix="1" applyNumberFormat="1" applyFont="1" applyFill="1" applyBorder="1" applyAlignment="1">
      <alignment vertical="center" wrapText="1"/>
    </xf>
    <xf numFmtId="165" fontId="4" fillId="9" borderId="2" xfId="0" applyNumberFormat="1" applyFont="1" applyFill="1" applyBorder="1" applyAlignment="1">
      <alignment horizontal="right" vertical="top" wrapText="1"/>
    </xf>
    <xf numFmtId="165" fontId="4" fillId="11" borderId="2" xfId="0" applyNumberFormat="1" applyFont="1" applyFill="1" applyBorder="1" applyAlignment="1">
      <alignment horizontal="right" vertical="top" wrapText="1"/>
    </xf>
    <xf numFmtId="165" fontId="4" fillId="9" borderId="3" xfId="0" applyNumberFormat="1" applyFont="1" applyFill="1" applyBorder="1" applyAlignment="1">
      <alignment horizontal="right" vertical="top" wrapText="1"/>
    </xf>
    <xf numFmtId="165" fontId="4" fillId="11" borderId="1" xfId="0" applyNumberFormat="1" applyFont="1" applyFill="1" applyBorder="1" applyAlignment="1">
      <alignment horizontal="right" vertical="top" wrapText="1"/>
    </xf>
    <xf numFmtId="165" fontId="4" fillId="11" borderId="3" xfId="0" applyNumberFormat="1" applyFont="1" applyFill="1" applyBorder="1" applyAlignment="1">
      <alignment horizontal="right" vertical="top" wrapText="1"/>
    </xf>
    <xf numFmtId="165" fontId="0" fillId="11" borderId="1" xfId="0" applyNumberFormat="1" applyFill="1" applyBorder="1"/>
    <xf numFmtId="165" fontId="0" fillId="11" borderId="3" xfId="0" applyNumberFormat="1" applyFill="1" applyBorder="1"/>
    <xf numFmtId="165" fontId="5" fillId="12" borderId="2" xfId="0" applyNumberFormat="1" applyFont="1" applyFill="1" applyBorder="1"/>
    <xf numFmtId="165" fontId="5" fillId="12" borderId="2" xfId="0" applyNumberFormat="1" applyFont="1" applyFill="1" applyBorder="1" applyAlignment="1">
      <alignment horizontal="right"/>
    </xf>
    <xf numFmtId="165" fontId="5" fillId="13" borderId="2" xfId="0" applyNumberFormat="1" applyFont="1" applyFill="1" applyBorder="1"/>
    <xf numFmtId="165" fontId="5" fillId="13" borderId="2" xfId="0" applyNumberFormat="1" applyFont="1" applyFill="1" applyBorder="1" applyAlignment="1">
      <alignment horizontal="right"/>
    </xf>
    <xf numFmtId="165" fontId="4" fillId="13" borderId="2" xfId="0" applyNumberFormat="1" applyFont="1" applyFill="1" applyBorder="1" applyAlignment="1">
      <alignment horizontal="right" vertical="top" wrapText="1"/>
    </xf>
    <xf numFmtId="165" fontId="5" fillId="12" borderId="3" xfId="0" applyNumberFormat="1" applyFont="1" applyFill="1" applyBorder="1"/>
    <xf numFmtId="165" fontId="5" fillId="13" borderId="1" xfId="0" applyNumberFormat="1" applyFont="1" applyFill="1" applyBorder="1"/>
    <xf numFmtId="165" fontId="4" fillId="13" borderId="3" xfId="0" applyNumberFormat="1" applyFont="1" applyFill="1" applyBorder="1" applyAlignment="1">
      <alignment vertical="top" wrapText="1"/>
    </xf>
    <xf numFmtId="165" fontId="0" fillId="13" borderId="1" xfId="0" applyNumberFormat="1" applyFill="1" applyBorder="1"/>
    <xf numFmtId="165" fontId="0" fillId="13" borderId="3" xfId="0" applyNumberFormat="1" applyFill="1" applyBorder="1"/>
    <xf numFmtId="3" fontId="0" fillId="12" borderId="31" xfId="0" applyNumberFormat="1" applyFill="1" applyBorder="1"/>
    <xf numFmtId="165" fontId="0" fillId="13" borderId="59" xfId="0" applyNumberFormat="1" applyFill="1" applyBorder="1"/>
    <xf numFmtId="165" fontId="0" fillId="13" borderId="60" xfId="0" applyNumberFormat="1" applyFill="1" applyBorder="1"/>
    <xf numFmtId="3" fontId="0" fillId="13" borderId="61" xfId="0" applyNumberFormat="1" applyFill="1" applyBorder="1"/>
    <xf numFmtId="165" fontId="0" fillId="13" borderId="30" xfId="0" applyNumberFormat="1" applyFill="1" applyBorder="1"/>
    <xf numFmtId="165" fontId="0" fillId="13" borderId="20" xfId="0" applyNumberFormat="1" applyFill="1" applyBorder="1"/>
    <xf numFmtId="165" fontId="0" fillId="13" borderId="27" xfId="0" applyNumberFormat="1" applyFill="1" applyBorder="1"/>
    <xf numFmtId="165" fontId="42" fillId="14" borderId="61" xfId="0" applyNumberFormat="1" applyFont="1" applyFill="1" applyBorder="1"/>
    <xf numFmtId="165" fontId="42" fillId="14" borderId="59" xfId="0" applyNumberFormat="1" applyFont="1" applyFill="1" applyBorder="1"/>
    <xf numFmtId="165" fontId="43" fillId="14" borderId="59" xfId="0" applyNumberFormat="1" applyFont="1" applyFill="1" applyBorder="1"/>
    <xf numFmtId="165" fontId="42" fillId="14" borderId="60" xfId="0" applyNumberFormat="1" applyFont="1" applyFill="1" applyBorder="1"/>
    <xf numFmtId="8" fontId="3" fillId="7" borderId="18" xfId="0" quotePrefix="1" applyNumberFormat="1" applyFont="1" applyFill="1" applyBorder="1"/>
    <xf numFmtId="170" fontId="3" fillId="9" borderId="14" xfId="0" applyNumberFormat="1" applyFont="1" applyFill="1" applyBorder="1"/>
    <xf numFmtId="0" fontId="33" fillId="11" borderId="44" xfId="0" applyNumberFormat="1" applyFont="1" applyFill="1" applyBorder="1" applyAlignment="1">
      <alignment horizontal="center" vertical="center" wrapText="1"/>
    </xf>
    <xf numFmtId="4" fontId="21" fillId="13" borderId="40" xfId="0" applyNumberFormat="1" applyFont="1" applyFill="1" applyBorder="1" applyAlignment="1">
      <alignment vertical="center" wrapText="1"/>
    </xf>
    <xf numFmtId="0" fontId="51" fillId="13" borderId="32" xfId="0" applyNumberFormat="1" applyFont="1" applyFill="1" applyBorder="1" applyAlignment="1">
      <alignment horizontal="center" vertical="center" wrapText="1"/>
    </xf>
    <xf numFmtId="2" fontId="1" fillId="9" borderId="14" xfId="4" applyNumberFormat="1" applyFont="1" applyFill="1" applyBorder="1" applyAlignment="1">
      <alignment horizontal="right" wrapText="1"/>
    </xf>
    <xf numFmtId="0" fontId="0" fillId="13" borderId="12" xfId="0" applyFill="1" applyBorder="1" applyAlignment="1">
      <alignment vertical="center"/>
    </xf>
    <xf numFmtId="0" fontId="33" fillId="11" borderId="2" xfId="0" applyNumberFormat="1" applyFont="1" applyFill="1" applyBorder="1" applyAlignment="1">
      <alignment horizontal="center" vertical="center" wrapText="1"/>
    </xf>
    <xf numFmtId="0" fontId="32" fillId="16" borderId="10" xfId="0" applyFont="1" applyFill="1" applyBorder="1" applyAlignment="1">
      <alignment wrapText="1"/>
    </xf>
    <xf numFmtId="0" fontId="3" fillId="11" borderId="1" xfId="0" applyFont="1" applyFill="1" applyBorder="1" applyAlignment="1">
      <alignment vertical="center" wrapText="1"/>
    </xf>
    <xf numFmtId="0" fontId="33" fillId="11" borderId="3" xfId="0" applyNumberFormat="1" applyFont="1" applyFill="1" applyBorder="1" applyAlignment="1">
      <alignment horizontal="center" vertical="center" wrapText="1"/>
    </xf>
    <xf numFmtId="165" fontId="42" fillId="10" borderId="0" xfId="0" applyNumberFormat="1" applyFont="1" applyFill="1" applyBorder="1"/>
    <xf numFmtId="165" fontId="42" fillId="10" borderId="42" xfId="0" applyNumberFormat="1" applyFont="1" applyFill="1" applyBorder="1"/>
    <xf numFmtId="165" fontId="42" fillId="10" borderId="17" xfId="0" applyNumberFormat="1" applyFont="1" applyFill="1" applyBorder="1"/>
    <xf numFmtId="165" fontId="42" fillId="10" borderId="7" xfId="0" applyNumberFormat="1" applyFont="1" applyFill="1" applyBorder="1"/>
    <xf numFmtId="165" fontId="42" fillId="10" borderId="70" xfId="0" applyNumberFormat="1" applyFont="1" applyFill="1" applyBorder="1"/>
    <xf numFmtId="165" fontId="42" fillId="9" borderId="2" xfId="0" applyNumberFormat="1" applyFont="1" applyFill="1" applyBorder="1"/>
    <xf numFmtId="0" fontId="6" fillId="9" borderId="2" xfId="0" applyFont="1" applyFill="1" applyBorder="1" applyAlignment="1">
      <alignment horizontal="right" wrapText="1"/>
    </xf>
    <xf numFmtId="0" fontId="0" fillId="9" borderId="12" xfId="0" applyFill="1" applyBorder="1"/>
    <xf numFmtId="0" fontId="0" fillId="9" borderId="14" xfId="0" applyFill="1" applyBorder="1"/>
    <xf numFmtId="165" fontId="0" fillId="9" borderId="14" xfId="0" applyNumberFormat="1" applyFill="1" applyBorder="1"/>
    <xf numFmtId="3" fontId="0" fillId="9" borderId="12" xfId="0" applyNumberFormat="1" applyFill="1" applyBorder="1"/>
    <xf numFmtId="3" fontId="0" fillId="9" borderId="14" xfId="0" applyNumberFormat="1" applyFill="1" applyBorder="1"/>
    <xf numFmtId="0" fontId="6" fillId="11" borderId="42" xfId="0" applyFont="1" applyFill="1" applyBorder="1" applyAlignment="1">
      <alignment horizontal="right"/>
    </xf>
    <xf numFmtId="0" fontId="6" fillId="9" borderId="63" xfId="0" applyFont="1" applyFill="1" applyBorder="1"/>
    <xf numFmtId="0" fontId="4" fillId="9" borderId="67" xfId="0" applyFont="1" applyFill="1" applyBorder="1" applyAlignment="1">
      <alignment wrapText="1"/>
    </xf>
    <xf numFmtId="0" fontId="6" fillId="9" borderId="67" xfId="0" applyFont="1" applyFill="1" applyBorder="1" applyAlignment="1">
      <alignment horizontal="right"/>
    </xf>
    <xf numFmtId="0" fontId="6" fillId="9" borderId="16" xfId="0" applyFont="1" applyFill="1" applyBorder="1" applyAlignment="1">
      <alignment horizontal="right"/>
    </xf>
    <xf numFmtId="165" fontId="42" fillId="11" borderId="2" xfId="0" applyNumberFormat="1" applyFont="1" applyFill="1" applyBorder="1"/>
    <xf numFmtId="0" fontId="3" fillId="7" borderId="20" xfId="0" applyFont="1" applyFill="1" applyBorder="1" applyAlignment="1">
      <alignment horizontal="left" wrapText="1"/>
    </xf>
    <xf numFmtId="0" fontId="3" fillId="7" borderId="2" xfId="0" applyFont="1" applyFill="1" applyBorder="1" applyAlignment="1">
      <alignment horizontal="center" wrapText="1"/>
    </xf>
    <xf numFmtId="0" fontId="3" fillId="7" borderId="20" xfId="0" applyFont="1" applyFill="1" applyBorder="1" applyAlignment="1">
      <alignment horizontal="center" wrapText="1"/>
    </xf>
    <xf numFmtId="0" fontId="3" fillId="7" borderId="28" xfId="0" applyFont="1" applyFill="1" applyBorder="1" applyAlignment="1">
      <alignment horizontal="left" wrapText="1"/>
    </xf>
    <xf numFmtId="0" fontId="3" fillId="15" borderId="34" xfId="0" applyFont="1" applyFill="1" applyBorder="1" applyAlignment="1">
      <alignment horizontal="left" wrapText="1"/>
    </xf>
    <xf numFmtId="0" fontId="34" fillId="7" borderId="2" xfId="1" applyFont="1" applyFill="1" applyBorder="1" applyAlignment="1">
      <alignment horizontal="left" wrapText="1"/>
    </xf>
    <xf numFmtId="0" fontId="3" fillId="15" borderId="4" xfId="0" applyFont="1" applyFill="1" applyBorder="1" applyAlignment="1">
      <alignment horizontal="left" wrapText="1"/>
    </xf>
    <xf numFmtId="0" fontId="55" fillId="15" borderId="34" xfId="1" applyFont="1" applyFill="1" applyBorder="1" applyAlignment="1">
      <alignment horizontal="left" wrapText="1"/>
    </xf>
    <xf numFmtId="8" fontId="3" fillId="7" borderId="2" xfId="0" quotePrefix="1" applyNumberFormat="1" applyFont="1" applyFill="1" applyBorder="1" applyAlignment="1">
      <alignment horizontal="center" wrapText="1"/>
    </xf>
    <xf numFmtId="0" fontId="3" fillId="15" borderId="34" xfId="0" applyFont="1" applyFill="1" applyBorder="1" applyAlignment="1">
      <alignment horizontal="center" wrapText="1"/>
    </xf>
    <xf numFmtId="0" fontId="3" fillId="7" borderId="14" xfId="0" applyFont="1" applyFill="1" applyBorder="1" applyAlignment="1">
      <alignment horizontal="center" wrapText="1"/>
    </xf>
    <xf numFmtId="0" fontId="3" fillId="16" borderId="22" xfId="0" applyFont="1" applyFill="1" applyBorder="1" applyAlignment="1">
      <alignment horizontal="center" wrapText="1"/>
    </xf>
    <xf numFmtId="0" fontId="3" fillId="16" borderId="34" xfId="0" applyFont="1" applyFill="1" applyBorder="1" applyAlignment="1">
      <alignment horizontal="center" wrapText="1"/>
    </xf>
    <xf numFmtId="0" fontId="35" fillId="7" borderId="2" xfId="1" applyFont="1" applyFill="1" applyBorder="1" applyAlignment="1">
      <alignment horizontal="left" wrapText="1"/>
    </xf>
    <xf numFmtId="0" fontId="3" fillId="7" borderId="2" xfId="0" quotePrefix="1" applyFont="1" applyFill="1" applyBorder="1" applyAlignment="1">
      <alignment horizontal="center" wrapText="1"/>
    </xf>
    <xf numFmtId="38" fontId="3" fillId="7" borderId="20" xfId="0" quotePrefix="1" applyNumberFormat="1" applyFont="1" applyFill="1" applyBorder="1" applyAlignment="1">
      <alignment horizontal="center" wrapText="1"/>
    </xf>
    <xf numFmtId="0" fontId="1" fillId="12" borderId="3" xfId="0" applyFont="1" applyFill="1" applyBorder="1" applyAlignment="1">
      <alignment horizontal="right" wrapText="1"/>
    </xf>
    <xf numFmtId="169" fontId="3" fillId="12" borderId="2" xfId="0" applyNumberFormat="1" applyFont="1" applyFill="1" applyBorder="1" applyAlignment="1">
      <alignment horizontal="right" wrapText="1"/>
    </xf>
    <xf numFmtId="0" fontId="7" fillId="0" borderId="3" xfId="0" applyNumberFormat="1" applyFont="1" applyFill="1" applyBorder="1" applyAlignment="1">
      <alignment horizontal="center" wrapText="1"/>
    </xf>
    <xf numFmtId="0" fontId="5" fillId="6" borderId="51" xfId="0" applyFont="1" applyFill="1" applyBorder="1" applyAlignment="1">
      <alignment horizontal="center" vertical="center" wrapText="1"/>
    </xf>
    <xf numFmtId="0" fontId="5" fillId="6" borderId="52" xfId="0" applyFont="1" applyFill="1" applyBorder="1" applyAlignment="1">
      <alignment horizontal="center" vertical="center" wrapText="1"/>
    </xf>
    <xf numFmtId="0" fontId="5" fillId="6" borderId="53" xfId="0" applyFont="1" applyFill="1" applyBorder="1" applyAlignment="1">
      <alignment horizontal="center" vertical="center" wrapText="1"/>
    </xf>
    <xf numFmtId="0" fontId="5" fillId="6" borderId="51" xfId="0" applyFont="1" applyFill="1" applyBorder="1" applyAlignment="1">
      <alignment horizontal="center" vertical="center"/>
    </xf>
    <xf numFmtId="0" fontId="5" fillId="6" borderId="52" xfId="0" applyFont="1" applyFill="1" applyBorder="1" applyAlignment="1">
      <alignment horizontal="center" vertical="center"/>
    </xf>
    <xf numFmtId="0" fontId="5" fillId="6" borderId="53" xfId="0" applyFont="1" applyFill="1" applyBorder="1" applyAlignment="1">
      <alignment horizontal="center" vertical="center"/>
    </xf>
    <xf numFmtId="0" fontId="5" fillId="8" borderId="51" xfId="0" applyFont="1" applyFill="1" applyBorder="1" applyAlignment="1">
      <alignment horizontal="center" vertical="center"/>
    </xf>
    <xf numFmtId="0" fontId="5" fillId="8" borderId="52" xfId="0" applyFont="1" applyFill="1" applyBorder="1" applyAlignment="1">
      <alignment horizontal="center" vertical="center"/>
    </xf>
    <xf numFmtId="0" fontId="5" fillId="8" borderId="53" xfId="0" applyFont="1" applyFill="1" applyBorder="1" applyAlignment="1">
      <alignment horizontal="center" vertical="center"/>
    </xf>
    <xf numFmtId="165" fontId="0" fillId="0" borderId="20" xfId="0" applyNumberFormat="1" applyFont="1" applyBorder="1" applyAlignment="1">
      <alignment horizontal="left" wrapText="1"/>
    </xf>
    <xf numFmtId="0" fontId="0" fillId="0" borderId="0" xfId="0" applyAlignment="1">
      <alignment horizontal="left" wrapText="1"/>
    </xf>
    <xf numFmtId="0" fontId="0" fillId="0" borderId="0" xfId="0" applyFont="1" applyAlignment="1">
      <alignment horizontal="left" wrapText="1"/>
    </xf>
    <xf numFmtId="0" fontId="0" fillId="0" borderId="10" xfId="0" applyFill="1" applyBorder="1" applyAlignment="1">
      <alignment horizontal="center"/>
    </xf>
    <xf numFmtId="0" fontId="0" fillId="0" borderId="11" xfId="0" applyFill="1" applyBorder="1" applyAlignment="1">
      <alignment horizontal="center"/>
    </xf>
    <xf numFmtId="0" fontId="0" fillId="0" borderId="2" xfId="0" applyBorder="1" applyAlignment="1">
      <alignment horizontal="left" wrapText="1"/>
    </xf>
    <xf numFmtId="0" fontId="0" fillId="3" borderId="2" xfId="0" applyFill="1" applyBorder="1" applyAlignment="1">
      <alignment horizontal="left"/>
    </xf>
    <xf numFmtId="0" fontId="0" fillId="2" borderId="10" xfId="0" applyFill="1" applyBorder="1" applyAlignment="1">
      <alignment horizontal="left"/>
    </xf>
    <xf numFmtId="0" fontId="0" fillId="2" borderId="11" xfId="0" applyFill="1" applyBorder="1" applyAlignment="1">
      <alignment horizontal="left"/>
    </xf>
    <xf numFmtId="0" fontId="0" fillId="2" borderId="12" xfId="0" applyFill="1" applyBorder="1" applyAlignment="1">
      <alignment horizontal="left"/>
    </xf>
    <xf numFmtId="0" fontId="4" fillId="0" borderId="2" xfId="0" applyFont="1" applyFill="1" applyBorder="1" applyAlignment="1">
      <alignment horizontal="left" indent="1"/>
    </xf>
    <xf numFmtId="0" fontId="4" fillId="0" borderId="10" xfId="0" applyFont="1" applyFill="1" applyBorder="1" applyAlignment="1">
      <alignment horizontal="left" indent="1"/>
    </xf>
    <xf numFmtId="0" fontId="4" fillId="0" borderId="10" xfId="0" applyFont="1" applyFill="1" applyBorder="1" applyAlignment="1">
      <alignment horizontal="left"/>
    </xf>
    <xf numFmtId="0" fontId="4" fillId="0" borderId="11" xfId="0" applyFont="1" applyFill="1" applyBorder="1" applyAlignment="1">
      <alignment horizontal="left"/>
    </xf>
    <xf numFmtId="0" fontId="4" fillId="0" borderId="2" xfId="0" applyFont="1" applyFill="1" applyBorder="1" applyAlignment="1">
      <alignment horizontal="left" wrapText="1"/>
    </xf>
    <xf numFmtId="0" fontId="4" fillId="0" borderId="10" xfId="0" applyFont="1" applyFill="1" applyBorder="1" applyAlignment="1">
      <alignment horizontal="left" wrapText="1"/>
    </xf>
    <xf numFmtId="0" fontId="0" fillId="0" borderId="10" xfId="0" applyFill="1" applyBorder="1" applyAlignment="1">
      <alignment vertical="top" wrapText="1"/>
    </xf>
    <xf numFmtId="0" fontId="12" fillId="0" borderId="10" xfId="0" applyFont="1" applyBorder="1" applyAlignment="1">
      <alignment horizontal="left" vertical="center" wrapText="1"/>
    </xf>
    <xf numFmtId="0" fontId="0" fillId="2" borderId="2" xfId="0" applyFill="1" applyBorder="1" applyAlignment="1">
      <alignment horizontal="left" wrapText="1" indent="1"/>
    </xf>
    <xf numFmtId="0" fontId="0" fillId="2" borderId="10" xfId="0" applyFill="1" applyBorder="1" applyAlignment="1">
      <alignment horizontal="left" wrapText="1" indent="1"/>
    </xf>
    <xf numFmtId="0" fontId="0" fillId="0" borderId="2" xfId="0" applyBorder="1" applyAlignment="1">
      <alignment horizontal="left" indent="1"/>
    </xf>
    <xf numFmtId="0" fontId="4" fillId="0" borderId="2" xfId="0" applyFont="1" applyFill="1" applyBorder="1" applyAlignment="1">
      <alignment horizontal="left"/>
    </xf>
    <xf numFmtId="0" fontId="4" fillId="0" borderId="2" xfId="0" applyFont="1" applyBorder="1" applyAlignment="1">
      <alignment horizontal="left" indent="1"/>
    </xf>
    <xf numFmtId="0" fontId="0" fillId="0" borderId="0" xfId="0" applyFill="1" applyAlignment="1">
      <alignment horizontal="left" wrapText="1"/>
    </xf>
    <xf numFmtId="165" fontId="0" fillId="0" borderId="2" xfId="0" applyNumberFormat="1" applyBorder="1" applyAlignment="1">
      <alignment horizontal="left" wrapText="1"/>
    </xf>
    <xf numFmtId="165" fontId="0" fillId="2" borderId="2" xfId="0" applyNumberFormat="1" applyFill="1" applyBorder="1" applyAlignment="1">
      <alignment horizontal="left" wrapText="1"/>
    </xf>
    <xf numFmtId="0" fontId="4" fillId="0" borderId="11" xfId="0" applyFont="1" applyFill="1" applyBorder="1" applyAlignment="1">
      <alignment horizontal="left" indent="1"/>
    </xf>
    <xf numFmtId="0" fontId="4" fillId="0" borderId="12" xfId="0" applyFont="1" applyFill="1" applyBorder="1" applyAlignment="1">
      <alignment horizontal="left" indent="1"/>
    </xf>
    <xf numFmtId="165" fontId="4" fillId="0" borderId="10" xfId="0" applyNumberFormat="1" applyFont="1" applyBorder="1" applyAlignment="1">
      <alignment horizontal="center" wrapText="1"/>
    </xf>
    <xf numFmtId="165" fontId="4" fillId="0" borderId="11" xfId="0" applyNumberFormat="1" applyFont="1" applyBorder="1" applyAlignment="1">
      <alignment horizontal="center" wrapText="1"/>
    </xf>
    <xf numFmtId="165" fontId="4" fillId="0" borderId="12" xfId="0" applyNumberFormat="1" applyFont="1" applyBorder="1" applyAlignment="1">
      <alignment horizontal="center" wrapText="1"/>
    </xf>
    <xf numFmtId="0" fontId="4" fillId="9" borderId="40" xfId="0" applyFont="1" applyFill="1" applyBorder="1" applyAlignment="1">
      <alignment horizontal="center" wrapText="1"/>
    </xf>
    <xf numFmtId="0" fontId="4" fillId="9" borderId="13" xfId="0" applyFont="1" applyFill="1" applyBorder="1" applyAlignment="1">
      <alignment horizontal="center" wrapText="1"/>
    </xf>
    <xf numFmtId="0" fontId="4" fillId="9" borderId="41" xfId="0" applyFont="1" applyFill="1" applyBorder="1" applyAlignment="1">
      <alignment horizontal="center" wrapText="1"/>
    </xf>
    <xf numFmtId="3" fontId="4" fillId="9" borderId="40" xfId="0" applyNumberFormat="1" applyFont="1" applyFill="1" applyBorder="1" applyAlignment="1">
      <alignment horizontal="center" wrapText="1"/>
    </xf>
    <xf numFmtId="3" fontId="4" fillId="9" borderId="13" xfId="0" applyNumberFormat="1" applyFont="1" applyFill="1" applyBorder="1" applyAlignment="1">
      <alignment horizontal="center" wrapText="1"/>
    </xf>
    <xf numFmtId="3" fontId="4" fillId="9" borderId="41" xfId="0" applyNumberFormat="1" applyFont="1" applyFill="1" applyBorder="1" applyAlignment="1">
      <alignment horizontal="center" wrapText="1"/>
    </xf>
    <xf numFmtId="0" fontId="5" fillId="12" borderId="40" xfId="0" applyFont="1" applyFill="1" applyBorder="1" applyAlignment="1">
      <alignment horizontal="center"/>
    </xf>
    <xf numFmtId="0" fontId="5" fillId="12" borderId="13" xfId="0" applyFont="1" applyFill="1" applyBorder="1" applyAlignment="1">
      <alignment horizontal="center"/>
    </xf>
    <xf numFmtId="0" fontId="5" fillId="12" borderId="41" xfId="0" applyFont="1" applyFill="1" applyBorder="1" applyAlignment="1">
      <alignment horizontal="center"/>
    </xf>
    <xf numFmtId="3" fontId="5" fillId="12" borderId="13" xfId="0" applyNumberFormat="1" applyFont="1" applyFill="1" applyBorder="1" applyAlignment="1">
      <alignment horizontal="center"/>
    </xf>
    <xf numFmtId="3" fontId="5" fillId="12" borderId="41" xfId="0" applyNumberFormat="1" applyFont="1" applyFill="1" applyBorder="1" applyAlignment="1">
      <alignment horizontal="center"/>
    </xf>
    <xf numFmtId="0" fontId="15" fillId="9" borderId="78" xfId="0" applyFont="1" applyFill="1" applyBorder="1" applyAlignment="1">
      <alignment horizontal="center" vertical="center"/>
    </xf>
    <xf numFmtId="0" fontId="15" fillId="9" borderId="17" xfId="0" applyFont="1" applyFill="1" applyBorder="1" applyAlignment="1">
      <alignment horizontal="center" vertical="center"/>
    </xf>
    <xf numFmtId="0" fontId="15" fillId="9" borderId="56" xfId="0" applyFont="1" applyFill="1" applyBorder="1" applyAlignment="1">
      <alignment horizontal="center" vertical="center"/>
    </xf>
    <xf numFmtId="0" fontId="15" fillId="9" borderId="31" xfId="0" applyFont="1" applyFill="1" applyBorder="1" applyAlignment="1">
      <alignment horizontal="center" vertical="center"/>
    </xf>
    <xf numFmtId="165" fontId="4" fillId="9" borderId="22" xfId="0" applyNumberFormat="1" applyFont="1" applyFill="1" applyBorder="1" applyAlignment="1">
      <alignment horizontal="center"/>
    </xf>
    <xf numFmtId="165" fontId="4" fillId="9" borderId="23" xfId="0" applyNumberFormat="1" applyFont="1" applyFill="1" applyBorder="1" applyAlignment="1">
      <alignment horizontal="center"/>
    </xf>
    <xf numFmtId="0" fontId="4" fillId="11" borderId="13" xfId="0" applyFont="1" applyFill="1" applyBorder="1" applyAlignment="1">
      <alignment horizontal="center"/>
    </xf>
    <xf numFmtId="0" fontId="4" fillId="11" borderId="41" xfId="0" applyFont="1" applyFill="1" applyBorder="1" applyAlignment="1">
      <alignment horizontal="center"/>
    </xf>
    <xf numFmtId="165" fontId="4" fillId="11" borderId="48" xfId="0" applyNumberFormat="1" applyFont="1" applyFill="1" applyBorder="1" applyAlignment="1">
      <alignment horizontal="center"/>
    </xf>
    <xf numFmtId="165" fontId="4" fillId="11" borderId="22" xfId="0" applyNumberFormat="1" applyFont="1" applyFill="1" applyBorder="1" applyAlignment="1">
      <alignment horizontal="center"/>
    </xf>
    <xf numFmtId="165" fontId="4" fillId="13" borderId="48" xfId="0" applyNumberFormat="1" applyFont="1" applyFill="1" applyBorder="1" applyAlignment="1">
      <alignment horizontal="center"/>
    </xf>
    <xf numFmtId="165" fontId="4" fillId="13" borderId="22" xfId="0" applyNumberFormat="1" applyFont="1" applyFill="1" applyBorder="1" applyAlignment="1">
      <alignment horizontal="center"/>
    </xf>
    <xf numFmtId="165" fontId="4" fillId="11" borderId="23" xfId="0" applyNumberFormat="1" applyFont="1" applyFill="1" applyBorder="1" applyAlignment="1">
      <alignment horizontal="center"/>
    </xf>
    <xf numFmtId="165" fontId="4" fillId="13" borderId="23" xfId="0" applyNumberFormat="1" applyFont="1" applyFill="1" applyBorder="1" applyAlignment="1">
      <alignment horizontal="center"/>
    </xf>
    <xf numFmtId="0" fontId="4" fillId="13" borderId="40" xfId="0" applyFont="1" applyFill="1" applyBorder="1" applyAlignment="1">
      <alignment horizontal="center"/>
    </xf>
    <xf numFmtId="0" fontId="4" fillId="13" borderId="13" xfId="0" applyFont="1" applyFill="1" applyBorder="1" applyAlignment="1">
      <alignment horizontal="center"/>
    </xf>
    <xf numFmtId="0" fontId="4" fillId="13" borderId="41" xfId="0" applyFont="1" applyFill="1" applyBorder="1" applyAlignment="1">
      <alignment horizontal="center"/>
    </xf>
    <xf numFmtId="0" fontId="15" fillId="12" borderId="48" xfId="0" applyFont="1" applyFill="1" applyBorder="1" applyAlignment="1">
      <alignment horizontal="center" vertical="center"/>
    </xf>
    <xf numFmtId="0" fontId="15" fillId="12" borderId="1" xfId="0" applyFont="1" applyFill="1" applyBorder="1" applyAlignment="1">
      <alignment horizontal="center" vertical="center"/>
    </xf>
    <xf numFmtId="165" fontId="4" fillId="12" borderId="22" xfId="0" applyNumberFormat="1" applyFont="1" applyFill="1" applyBorder="1" applyAlignment="1">
      <alignment horizontal="center"/>
    </xf>
    <xf numFmtId="165" fontId="4" fillId="12" borderId="23" xfId="0" applyNumberFormat="1" applyFont="1" applyFill="1" applyBorder="1" applyAlignment="1">
      <alignment horizontal="center"/>
    </xf>
    <xf numFmtId="3" fontId="4" fillId="12" borderId="22" xfId="0" applyNumberFormat="1" applyFont="1" applyFill="1" applyBorder="1" applyAlignment="1">
      <alignment horizontal="center"/>
    </xf>
    <xf numFmtId="0" fontId="15" fillId="12" borderId="56" xfId="0" applyFont="1" applyFill="1" applyBorder="1" applyAlignment="1">
      <alignment horizontal="center" vertical="center"/>
    </xf>
    <xf numFmtId="0" fontId="15" fillId="12" borderId="31" xfId="0" applyFont="1" applyFill="1" applyBorder="1" applyAlignment="1">
      <alignment horizontal="center" vertical="center"/>
    </xf>
    <xf numFmtId="0" fontId="44" fillId="16" borderId="51" xfId="0" applyNumberFormat="1" applyFont="1" applyFill="1" applyBorder="1" applyAlignment="1">
      <alignment horizontal="center" vertical="top" wrapText="1"/>
    </xf>
    <xf numFmtId="0" fontId="44" fillId="16" borderId="52" xfId="0" applyNumberFormat="1" applyFont="1" applyFill="1" applyBorder="1" applyAlignment="1">
      <alignment horizontal="center" vertical="top" wrapText="1"/>
    </xf>
    <xf numFmtId="4" fontId="1" fillId="7" borderId="65" xfId="0" applyNumberFormat="1" applyFont="1" applyFill="1" applyBorder="1" applyAlignment="1">
      <alignment horizontal="center" vertical="center" wrapText="1"/>
    </xf>
    <xf numFmtId="4" fontId="1" fillId="7" borderId="25" xfId="0" applyNumberFormat="1" applyFont="1" applyFill="1" applyBorder="1" applyAlignment="1">
      <alignment horizontal="center" vertical="center" wrapText="1"/>
    </xf>
    <xf numFmtId="4" fontId="1" fillId="7" borderId="26" xfId="0" applyNumberFormat="1" applyFont="1" applyFill="1" applyBorder="1" applyAlignment="1">
      <alignment horizontal="center" vertical="center" wrapText="1"/>
    </xf>
    <xf numFmtId="4" fontId="0" fillId="0" borderId="31" xfId="0" applyNumberFormat="1" applyBorder="1" applyAlignment="1">
      <alignment horizontal="center" vertical="center" wrapText="1"/>
    </xf>
    <xf numFmtId="1" fontId="7" fillId="0" borderId="22" xfId="0" applyNumberFormat="1" applyFont="1" applyBorder="1" applyAlignment="1">
      <alignment horizontal="center" vertical="center" wrapText="1"/>
    </xf>
    <xf numFmtId="4" fontId="0" fillId="0" borderId="10" xfId="0" applyNumberFormat="1" applyBorder="1" applyAlignment="1">
      <alignment horizontal="left" vertical="center" wrapText="1"/>
    </xf>
    <xf numFmtId="4" fontId="0" fillId="0" borderId="11" xfId="0" applyNumberFormat="1" applyBorder="1" applyAlignment="1">
      <alignment horizontal="left" vertical="center" wrapText="1"/>
    </xf>
    <xf numFmtId="4" fontId="0" fillId="0" borderId="12" xfId="0" applyNumberFormat="1" applyBorder="1" applyAlignment="1">
      <alignment horizontal="left" vertical="center" wrapText="1"/>
    </xf>
    <xf numFmtId="164" fontId="33" fillId="16" borderId="50" xfId="0" applyNumberFormat="1" applyFont="1" applyFill="1" applyBorder="1" applyAlignment="1">
      <alignment horizontal="center" vertical="center"/>
    </xf>
    <xf numFmtId="164" fontId="33" fillId="16" borderId="49" xfId="0" applyNumberFormat="1" applyFont="1" applyFill="1" applyBorder="1" applyAlignment="1">
      <alignment horizontal="center" vertical="center"/>
    </xf>
    <xf numFmtId="164" fontId="33" fillId="11" borderId="36" xfId="0" applyNumberFormat="1" applyFont="1" applyFill="1" applyBorder="1" applyAlignment="1">
      <alignment horizontal="right" vertical="center"/>
    </xf>
    <xf numFmtId="164" fontId="33" fillId="11" borderId="37" xfId="0" applyNumberFormat="1" applyFont="1" applyFill="1" applyBorder="1" applyAlignment="1">
      <alignment horizontal="right" vertical="center"/>
    </xf>
    <xf numFmtId="164" fontId="33" fillId="11" borderId="38" xfId="0" applyNumberFormat="1" applyFont="1" applyFill="1" applyBorder="1" applyAlignment="1">
      <alignment horizontal="right" vertical="center"/>
    </xf>
    <xf numFmtId="0" fontId="32" fillId="11" borderId="10" xfId="0" applyNumberFormat="1" applyFont="1" applyFill="1" applyBorder="1" applyAlignment="1">
      <alignment horizontal="center" vertical="center" wrapText="1"/>
    </xf>
    <xf numFmtId="0" fontId="32" fillId="11" borderId="11" xfId="0" applyNumberFormat="1" applyFont="1" applyFill="1" applyBorder="1" applyAlignment="1">
      <alignment horizontal="center" vertical="center" wrapText="1"/>
    </xf>
    <xf numFmtId="0" fontId="32" fillId="11" borderId="15" xfId="0" applyNumberFormat="1" applyFont="1" applyFill="1" applyBorder="1" applyAlignment="1">
      <alignment horizontal="center" vertical="center" wrapText="1"/>
    </xf>
    <xf numFmtId="0" fontId="32" fillId="11" borderId="12" xfId="0" applyNumberFormat="1" applyFont="1" applyFill="1" applyBorder="1" applyAlignment="1">
      <alignment horizontal="center" vertical="center" wrapText="1"/>
    </xf>
    <xf numFmtId="164" fontId="44" fillId="11" borderId="52" xfId="0" applyNumberFormat="1" applyFont="1" applyFill="1" applyBorder="1" applyAlignment="1">
      <alignment horizontal="center" vertical="top" wrapText="1"/>
    </xf>
    <xf numFmtId="164" fontId="44" fillId="11" borderId="53" xfId="0" applyNumberFormat="1" applyFont="1" applyFill="1" applyBorder="1" applyAlignment="1">
      <alignment horizontal="center" vertical="top" wrapText="1"/>
    </xf>
    <xf numFmtId="0" fontId="44" fillId="13" borderId="51" xfId="0" applyFont="1" applyFill="1" applyBorder="1" applyAlignment="1">
      <alignment horizontal="center" vertical="center" wrapText="1"/>
    </xf>
    <xf numFmtId="0" fontId="44" fillId="13" borderId="52" xfId="0" applyFont="1" applyFill="1" applyBorder="1" applyAlignment="1">
      <alignment horizontal="center" vertical="center" wrapText="1"/>
    </xf>
    <xf numFmtId="0" fontId="44" fillId="13" borderId="53" xfId="0" applyFont="1" applyFill="1" applyBorder="1" applyAlignment="1">
      <alignment horizontal="center" vertical="center" wrapText="1"/>
    </xf>
    <xf numFmtId="0" fontId="32" fillId="13" borderId="10" xfId="0" applyNumberFormat="1" applyFont="1" applyFill="1" applyBorder="1" applyAlignment="1">
      <alignment horizontal="center" vertical="center" wrapText="1"/>
    </xf>
    <xf numFmtId="0" fontId="32" fillId="13" borderId="11" xfId="0" applyNumberFormat="1" applyFont="1" applyFill="1" applyBorder="1" applyAlignment="1">
      <alignment horizontal="center" vertical="center" wrapText="1"/>
    </xf>
    <xf numFmtId="0" fontId="32" fillId="13" borderId="12" xfId="0" applyNumberFormat="1" applyFont="1" applyFill="1" applyBorder="1" applyAlignment="1">
      <alignment horizontal="center" vertical="center" wrapText="1"/>
    </xf>
    <xf numFmtId="0" fontId="32" fillId="13" borderId="25" xfId="0" applyNumberFormat="1" applyFont="1" applyFill="1" applyBorder="1" applyAlignment="1">
      <alignment horizontal="center" vertical="center" wrapText="1"/>
    </xf>
    <xf numFmtId="0" fontId="32" fillId="13" borderId="15" xfId="0" applyNumberFormat="1" applyFont="1" applyFill="1" applyBorder="1" applyAlignment="1">
      <alignment horizontal="center" vertical="center" wrapText="1"/>
    </xf>
    <xf numFmtId="4" fontId="29" fillId="0" borderId="25" xfId="0" applyNumberFormat="1" applyFont="1" applyBorder="1" applyAlignment="1">
      <alignment horizontal="left" wrapText="1"/>
    </xf>
    <xf numFmtId="4" fontId="29" fillId="0" borderId="11" xfId="0" applyNumberFormat="1" applyFont="1" applyBorder="1" applyAlignment="1">
      <alignment horizontal="left" wrapText="1"/>
    </xf>
    <xf numFmtId="4" fontId="29" fillId="0" borderId="15" xfId="0" applyNumberFormat="1" applyFont="1" applyBorder="1" applyAlignment="1">
      <alignment horizontal="left" wrapText="1"/>
    </xf>
    <xf numFmtId="4" fontId="29" fillId="0" borderId="25" xfId="0" applyNumberFormat="1" applyFont="1" applyBorder="1" applyAlignment="1">
      <alignment horizontal="center" vertical="center"/>
    </xf>
    <xf numFmtId="4" fontId="29" fillId="0" borderId="11" xfId="0" applyNumberFormat="1" applyFont="1" applyBorder="1" applyAlignment="1">
      <alignment horizontal="center" vertical="center"/>
    </xf>
    <xf numFmtId="4" fontId="29" fillId="0" borderId="15" xfId="0" applyNumberFormat="1" applyFont="1" applyBorder="1" applyAlignment="1">
      <alignment horizontal="center" vertical="center"/>
    </xf>
    <xf numFmtId="4" fontId="31" fillId="0" borderId="61" xfId="0" applyNumberFormat="1" applyFont="1" applyBorder="1" applyAlignment="1">
      <alignment vertical="center" wrapText="1"/>
    </xf>
    <xf numFmtId="4" fontId="31" fillId="0" borderId="60" xfId="0" applyNumberFormat="1" applyFont="1" applyBorder="1" applyAlignment="1">
      <alignment vertical="center" wrapText="1"/>
    </xf>
    <xf numFmtId="4" fontId="3" fillId="0" borderId="30" xfId="0" applyNumberFormat="1" applyFont="1" applyBorder="1" applyAlignment="1">
      <alignment horizontal="center" vertical="center" wrapText="1"/>
    </xf>
    <xf numFmtId="4" fontId="3" fillId="0" borderId="57" xfId="0" applyNumberFormat="1" applyFont="1" applyBorder="1" applyAlignment="1">
      <alignment horizontal="center" vertical="center" wrapText="1"/>
    </xf>
    <xf numFmtId="4" fontId="3" fillId="0" borderId="27" xfId="0" applyNumberFormat="1" applyFont="1" applyBorder="1" applyAlignment="1">
      <alignment horizontal="left" vertical="center" wrapText="1"/>
    </xf>
    <xf numFmtId="4" fontId="3" fillId="0" borderId="62" xfId="0" applyNumberFormat="1" applyFont="1" applyBorder="1" applyAlignment="1">
      <alignment horizontal="left" vertical="center" wrapText="1"/>
    </xf>
    <xf numFmtId="4" fontId="47" fillId="0" borderId="24" xfId="0" applyNumberFormat="1" applyFont="1" applyBorder="1" applyAlignment="1">
      <alignment horizontal="center" vertical="center" wrapText="1"/>
    </xf>
    <xf numFmtId="0" fontId="7" fillId="0" borderId="22" xfId="0" applyNumberFormat="1" applyFont="1" applyBorder="1" applyAlignment="1">
      <alignment horizontal="center" vertical="center" wrapText="1"/>
    </xf>
    <xf numFmtId="0" fontId="7" fillId="0" borderId="23" xfId="0" applyNumberFormat="1" applyFont="1" applyBorder="1" applyAlignment="1">
      <alignment horizontal="center" vertical="center" wrapText="1"/>
    </xf>
    <xf numFmtId="0" fontId="7" fillId="0" borderId="36" xfId="0" applyNumberFormat="1" applyFont="1" applyBorder="1" applyAlignment="1">
      <alignment horizontal="center" vertical="center" wrapText="1"/>
    </xf>
    <xf numFmtId="0" fontId="7" fillId="0" borderId="37" xfId="0" applyNumberFormat="1" applyFont="1" applyBorder="1" applyAlignment="1">
      <alignment horizontal="center" vertical="center" wrapText="1"/>
    </xf>
    <xf numFmtId="0" fontId="7" fillId="0" borderId="38" xfId="0" applyNumberFormat="1" applyFont="1" applyBorder="1" applyAlignment="1">
      <alignment horizontal="center" vertical="center" wrapText="1"/>
    </xf>
    <xf numFmtId="164" fontId="21" fillId="11" borderId="37" xfId="0" applyNumberFormat="1" applyFont="1" applyFill="1" applyBorder="1" applyAlignment="1">
      <alignment horizontal="center" vertical="center" wrapText="1"/>
    </xf>
    <xf numFmtId="164" fontId="21" fillId="11" borderId="49" xfId="0" applyNumberFormat="1" applyFont="1" applyFill="1" applyBorder="1" applyAlignment="1">
      <alignment horizontal="center" vertical="center" wrapText="1"/>
    </xf>
    <xf numFmtId="0" fontId="33" fillId="11" borderId="10" xfId="0" applyNumberFormat="1" applyFont="1" applyFill="1" applyBorder="1" applyAlignment="1">
      <alignment horizontal="center" vertical="center" wrapText="1"/>
    </xf>
    <xf numFmtId="0" fontId="33" fillId="11" borderId="11" xfId="0" applyNumberFormat="1" applyFont="1" applyFill="1" applyBorder="1" applyAlignment="1">
      <alignment horizontal="center" vertical="center" wrapText="1"/>
    </xf>
    <xf numFmtId="0" fontId="33" fillId="11" borderId="12" xfId="0" applyNumberFormat="1" applyFont="1" applyFill="1" applyBorder="1" applyAlignment="1">
      <alignment horizontal="center" vertical="center" wrapText="1"/>
    </xf>
    <xf numFmtId="164" fontId="32" fillId="11" borderId="2" xfId="0" applyNumberFormat="1" applyFont="1" applyFill="1" applyBorder="1" applyAlignment="1">
      <alignment horizontal="center" wrapText="1"/>
    </xf>
    <xf numFmtId="164" fontId="32" fillId="11" borderId="10" xfId="0" applyNumberFormat="1" applyFont="1" applyFill="1" applyBorder="1" applyAlignment="1">
      <alignment horizontal="center" wrapText="1"/>
    </xf>
    <xf numFmtId="4" fontId="30" fillId="0" borderId="51" xfId="0" applyNumberFormat="1" applyFont="1" applyBorder="1" applyAlignment="1">
      <alignment horizontal="center" vertical="center" wrapText="1"/>
    </xf>
    <xf numFmtId="4" fontId="30" fillId="0" borderId="52" xfId="0" applyNumberFormat="1" applyFont="1" applyBorder="1" applyAlignment="1">
      <alignment horizontal="center" vertical="center" wrapText="1"/>
    </xf>
    <xf numFmtId="4" fontId="30" fillId="0" borderId="53" xfId="0" applyNumberFormat="1" applyFont="1" applyBorder="1" applyAlignment="1">
      <alignment horizontal="center" vertical="center" wrapText="1"/>
    </xf>
    <xf numFmtId="0" fontId="7" fillId="0" borderId="25" xfId="0" applyNumberFormat="1" applyFont="1" applyBorder="1" applyAlignment="1">
      <alignment horizontal="right" wrapText="1"/>
    </xf>
    <xf numFmtId="0" fontId="7" fillId="0" borderId="11" xfId="0" applyNumberFormat="1" applyFont="1" applyBorder="1" applyAlignment="1">
      <alignment horizontal="right" wrapText="1"/>
    </xf>
    <xf numFmtId="0" fontId="7" fillId="0" borderId="12" xfId="0" applyNumberFormat="1" applyFont="1" applyBorder="1" applyAlignment="1">
      <alignment horizontal="right" wrapText="1"/>
    </xf>
    <xf numFmtId="0" fontId="21" fillId="0" borderId="25" xfId="0" applyNumberFormat="1" applyFont="1" applyBorder="1" applyAlignment="1">
      <alignment horizontal="right" wrapText="1" indent="3"/>
    </xf>
    <xf numFmtId="0" fontId="21" fillId="0" borderId="11" xfId="0" applyNumberFormat="1" applyFont="1" applyBorder="1" applyAlignment="1">
      <alignment horizontal="right" wrapText="1" indent="3"/>
    </xf>
    <xf numFmtId="0" fontId="21" fillId="0" borderId="12" xfId="0" applyNumberFormat="1" applyFont="1" applyBorder="1" applyAlignment="1">
      <alignment horizontal="right" wrapText="1" indent="3"/>
    </xf>
    <xf numFmtId="0" fontId="7" fillId="0" borderId="50" xfId="0" applyNumberFormat="1" applyFont="1" applyBorder="1" applyAlignment="1">
      <alignment horizontal="center" vertical="center" wrapText="1"/>
    </xf>
    <xf numFmtId="0" fontId="7" fillId="0" borderId="49" xfId="0" applyNumberFormat="1" applyFont="1" applyBorder="1" applyAlignment="1">
      <alignment horizontal="center" vertical="center" wrapText="1"/>
    </xf>
    <xf numFmtId="0" fontId="21" fillId="0" borderId="32" xfId="0" applyNumberFormat="1" applyFont="1" applyBorder="1" applyAlignment="1">
      <alignment horizontal="right" wrapText="1" indent="3"/>
    </xf>
    <xf numFmtId="0" fontId="21" fillId="0" borderId="45" xfId="0" applyNumberFormat="1" applyFont="1" applyBorder="1" applyAlignment="1">
      <alignment horizontal="right" wrapText="1" indent="3"/>
    </xf>
    <xf numFmtId="0" fontId="21" fillId="0" borderId="33" xfId="0" applyNumberFormat="1" applyFont="1" applyBorder="1" applyAlignment="1">
      <alignment horizontal="right" wrapText="1" indent="3"/>
    </xf>
    <xf numFmtId="0" fontId="52" fillId="0" borderId="20" xfId="0" applyFont="1" applyBorder="1" applyAlignment="1">
      <alignment horizontal="left"/>
    </xf>
    <xf numFmtId="0" fontId="53" fillId="0" borderId="20" xfId="0" applyFont="1" applyBorder="1" applyAlignment="1">
      <alignment horizontal="left"/>
    </xf>
    <xf numFmtId="0" fontId="32" fillId="11" borderId="1" xfId="0" applyFont="1" applyFill="1" applyBorder="1" applyAlignment="1">
      <alignment horizontal="center" vertical="center" wrapText="1"/>
    </xf>
    <xf numFmtId="0" fontId="32" fillId="11" borderId="2" xfId="0" applyFont="1" applyFill="1" applyBorder="1" applyAlignment="1">
      <alignment horizontal="center" vertical="center" wrapText="1"/>
    </xf>
    <xf numFmtId="0" fontId="33" fillId="11" borderId="2" xfId="0" applyFont="1" applyFill="1" applyBorder="1" applyAlignment="1">
      <alignment horizontal="center" vertical="center" wrapText="1"/>
    </xf>
    <xf numFmtId="0" fontId="44" fillId="16" borderId="51" xfId="0" applyFont="1" applyFill="1" applyBorder="1" applyAlignment="1">
      <alignment horizontal="center" vertical="center"/>
    </xf>
    <xf numFmtId="0" fontId="44" fillId="16" borderId="52" xfId="0" applyFont="1" applyFill="1" applyBorder="1" applyAlignment="1">
      <alignment horizontal="center" vertical="center"/>
    </xf>
    <xf numFmtId="1" fontId="32" fillId="16" borderId="50" xfId="0" applyNumberFormat="1" applyFont="1" applyFill="1" applyBorder="1" applyAlignment="1">
      <alignment horizontal="center" vertical="center" wrapText="1"/>
    </xf>
    <xf numFmtId="1" fontId="32" fillId="16" borderId="37" xfId="0" applyNumberFormat="1" applyFont="1" applyFill="1" applyBorder="1" applyAlignment="1">
      <alignment horizontal="center" vertical="center" wrapText="1"/>
    </xf>
    <xf numFmtId="164" fontId="44" fillId="11" borderId="40" xfId="0" applyNumberFormat="1" applyFont="1" applyFill="1" applyBorder="1" applyAlignment="1">
      <alignment horizontal="center" wrapText="1"/>
    </xf>
    <xf numFmtId="164" fontId="44" fillId="11" borderId="13" xfId="0" applyNumberFormat="1" applyFont="1" applyFill="1" applyBorder="1" applyAlignment="1">
      <alignment horizontal="center" wrapText="1"/>
    </xf>
    <xf numFmtId="164" fontId="32" fillId="11" borderId="2" xfId="0" applyNumberFormat="1" applyFont="1" applyFill="1" applyBorder="1" applyAlignment="1">
      <alignment horizontal="center" vertical="center" wrapText="1"/>
    </xf>
    <xf numFmtId="0" fontId="32" fillId="16" borderId="40" xfId="0" applyFont="1" applyFill="1" applyBorder="1" applyAlignment="1">
      <alignment horizontal="left" vertical="center"/>
    </xf>
    <xf numFmtId="0" fontId="32" fillId="16" borderId="43" xfId="0" applyFont="1" applyFill="1" applyBorder="1" applyAlignment="1">
      <alignment horizontal="left" vertical="center"/>
    </xf>
    <xf numFmtId="0" fontId="1" fillId="7" borderId="72" xfId="0" applyFont="1" applyFill="1" applyBorder="1" applyAlignment="1">
      <alignment horizontal="left" vertical="center" wrapText="1"/>
    </xf>
    <xf numFmtId="0" fontId="1" fillId="7" borderId="74" xfId="0" applyFont="1" applyFill="1" applyBorder="1" applyAlignment="1">
      <alignment horizontal="left" vertical="center" wrapText="1"/>
    </xf>
    <xf numFmtId="4" fontId="32" fillId="13" borderId="10" xfId="0" applyNumberFormat="1" applyFont="1" applyFill="1" applyBorder="1" applyAlignment="1">
      <alignment horizontal="center" vertical="center" wrapText="1"/>
    </xf>
    <xf numFmtId="4" fontId="32" fillId="13" borderId="15" xfId="0" applyNumberFormat="1" applyFont="1" applyFill="1" applyBorder="1" applyAlignment="1">
      <alignment horizontal="center" vertical="center" wrapText="1"/>
    </xf>
    <xf numFmtId="0" fontId="44" fillId="13" borderId="58" xfId="0" applyFont="1" applyFill="1" applyBorder="1" applyAlignment="1">
      <alignment horizontal="center" wrapText="1"/>
    </xf>
    <xf numFmtId="0" fontId="44" fillId="13" borderId="59" xfId="0" applyFont="1" applyFill="1" applyBorder="1" applyAlignment="1">
      <alignment horizontal="center" wrapText="1"/>
    </xf>
    <xf numFmtId="0" fontId="44" fillId="13" borderId="60" xfId="0" applyFont="1" applyFill="1" applyBorder="1" applyAlignment="1">
      <alignment horizontal="center" wrapText="1"/>
    </xf>
    <xf numFmtId="0" fontId="32" fillId="13" borderId="10" xfId="0" applyFont="1" applyFill="1" applyBorder="1" applyAlignment="1">
      <alignment horizontal="center" vertical="center" wrapText="1"/>
    </xf>
    <xf numFmtId="0" fontId="32" fillId="13" borderId="12" xfId="0" applyFont="1" applyFill="1" applyBorder="1" applyAlignment="1">
      <alignment horizontal="center" vertical="center" wrapText="1"/>
    </xf>
    <xf numFmtId="4" fontId="32" fillId="13" borderId="11" xfId="0" applyNumberFormat="1" applyFont="1" applyFill="1" applyBorder="1" applyAlignment="1">
      <alignment horizontal="center" vertical="center" wrapText="1"/>
    </xf>
    <xf numFmtId="4" fontId="32" fillId="13" borderId="12" xfId="0" applyNumberFormat="1" applyFont="1" applyFill="1" applyBorder="1" applyAlignment="1">
      <alignment horizontal="center" vertical="center" wrapText="1"/>
    </xf>
    <xf numFmtId="0" fontId="32" fillId="13" borderId="11" xfId="0" applyFont="1" applyFill="1" applyBorder="1" applyAlignment="1">
      <alignment horizontal="center" vertical="center" wrapText="1"/>
    </xf>
    <xf numFmtId="164" fontId="32" fillId="11" borderId="3" xfId="0" applyNumberFormat="1" applyFont="1" applyFill="1" applyBorder="1" applyAlignment="1">
      <alignment horizontal="center" wrapText="1"/>
    </xf>
    <xf numFmtId="4" fontId="30" fillId="0" borderId="40" xfId="0" applyNumberFormat="1" applyFont="1" applyBorder="1" applyAlignment="1">
      <alignment horizontal="center" vertical="center" wrapText="1"/>
    </xf>
    <xf numFmtId="4" fontId="30" fillId="0" borderId="13" xfId="0" applyNumberFormat="1" applyFont="1" applyBorder="1" applyAlignment="1">
      <alignment horizontal="center" vertical="center" wrapText="1"/>
    </xf>
    <xf numFmtId="4" fontId="30" fillId="0" borderId="41" xfId="0" applyNumberFormat="1" applyFont="1" applyBorder="1" applyAlignment="1">
      <alignment horizontal="center" vertical="center" wrapText="1"/>
    </xf>
    <xf numFmtId="164" fontId="7" fillId="0" borderId="36" xfId="0" applyNumberFormat="1" applyFont="1" applyBorder="1" applyAlignment="1">
      <alignment horizontal="center" vertical="center" wrapText="1"/>
    </xf>
    <xf numFmtId="4" fontId="7" fillId="0" borderId="36" xfId="0" applyNumberFormat="1" applyFont="1" applyBorder="1" applyAlignment="1">
      <alignment horizontal="center" vertical="center" wrapText="1"/>
    </xf>
    <xf numFmtId="0" fontId="7" fillId="0" borderId="51" xfId="0" applyNumberFormat="1" applyFont="1" applyBorder="1" applyAlignment="1">
      <alignment horizontal="right" wrapText="1" indent="1"/>
    </xf>
    <xf numFmtId="0" fontId="7" fillId="0" borderId="52" xfId="0" applyNumberFormat="1" applyFont="1" applyBorder="1" applyAlignment="1">
      <alignment horizontal="right" wrapText="1" indent="1"/>
    </xf>
    <xf numFmtId="0" fontId="32" fillId="11" borderId="2" xfId="0" applyFont="1" applyFill="1" applyBorder="1" applyAlignment="1">
      <alignment horizontal="center" wrapText="1"/>
    </xf>
    <xf numFmtId="0" fontId="33" fillId="11" borderId="2" xfId="0" applyFont="1" applyFill="1" applyBorder="1" applyAlignment="1">
      <alignment horizontal="center" wrapText="1"/>
    </xf>
    <xf numFmtId="0" fontId="32" fillId="13" borderId="2" xfId="0" applyFont="1" applyFill="1" applyBorder="1" applyAlignment="1">
      <alignment horizontal="center" wrapText="1"/>
    </xf>
    <xf numFmtId="4" fontId="32" fillId="11" borderId="2" xfId="0" applyNumberFormat="1" applyFont="1" applyFill="1" applyBorder="1" applyAlignment="1">
      <alignment horizontal="center" wrapText="1"/>
    </xf>
    <xf numFmtId="0" fontId="44" fillId="16" borderId="2" xfId="0" applyFont="1" applyFill="1" applyBorder="1" applyAlignment="1">
      <alignment horizontal="center" vertical="center" wrapText="1"/>
    </xf>
    <xf numFmtId="4" fontId="32" fillId="13" borderId="2" xfId="0" applyNumberFormat="1" applyFont="1" applyFill="1" applyBorder="1" applyAlignment="1">
      <alignment horizontal="center" wrapText="1"/>
    </xf>
    <xf numFmtId="0" fontId="44" fillId="13" borderId="2" xfId="0" applyFont="1" applyFill="1" applyBorder="1" applyAlignment="1">
      <alignment horizontal="center" vertical="center" wrapText="1"/>
    </xf>
    <xf numFmtId="164" fontId="44" fillId="11" borderId="2" xfId="0" applyNumberFormat="1" applyFont="1" applyFill="1" applyBorder="1" applyAlignment="1">
      <alignment horizontal="center" vertical="center" wrapText="1"/>
    </xf>
    <xf numFmtId="1" fontId="33" fillId="16" borderId="2" xfId="0" applyNumberFormat="1" applyFont="1" applyFill="1" applyBorder="1" applyAlignment="1">
      <alignment horizontal="center" vertical="center" wrapText="1"/>
    </xf>
    <xf numFmtId="164" fontId="32" fillId="11" borderId="10" xfId="0" applyNumberFormat="1" applyFont="1" applyFill="1" applyBorder="1" applyAlignment="1">
      <alignment horizontal="center" vertical="center" wrapText="1"/>
    </xf>
    <xf numFmtId="164" fontId="32" fillId="11" borderId="11" xfId="0" applyNumberFormat="1" applyFont="1" applyFill="1" applyBorder="1" applyAlignment="1">
      <alignment horizontal="center" vertical="center" wrapText="1"/>
    </xf>
    <xf numFmtId="164" fontId="32" fillId="11" borderId="15" xfId="0" applyNumberFormat="1" applyFont="1" applyFill="1" applyBorder="1" applyAlignment="1">
      <alignment horizontal="center" vertical="center" wrapText="1"/>
    </xf>
    <xf numFmtId="164" fontId="44" fillId="11" borderId="51" xfId="0" applyNumberFormat="1" applyFont="1" applyFill="1" applyBorder="1" applyAlignment="1">
      <alignment horizontal="center" vertical="center" wrapText="1"/>
    </xf>
    <xf numFmtId="164" fontId="44" fillId="11" borderId="52" xfId="0" applyNumberFormat="1" applyFont="1" applyFill="1" applyBorder="1" applyAlignment="1">
      <alignment horizontal="center" vertical="center" wrapText="1"/>
    </xf>
    <xf numFmtId="164" fontId="44" fillId="11" borderId="53" xfId="0" applyNumberFormat="1" applyFont="1" applyFill="1" applyBorder="1" applyAlignment="1">
      <alignment horizontal="center" vertical="center" wrapText="1"/>
    </xf>
    <xf numFmtId="4" fontId="4" fillId="0" borderId="0" xfId="0" applyNumberFormat="1" applyFont="1" applyBorder="1" applyAlignment="1">
      <alignment horizontal="center" vertical="center" wrapText="1"/>
    </xf>
    <xf numFmtId="4" fontId="32" fillId="13" borderId="10" xfId="0" applyNumberFormat="1" applyFont="1" applyFill="1" applyBorder="1" applyAlignment="1">
      <alignment horizontal="center" wrapText="1"/>
    </xf>
    <xf numFmtId="4" fontId="32" fillId="13" borderId="11" xfId="0" applyNumberFormat="1" applyFont="1" applyFill="1" applyBorder="1" applyAlignment="1">
      <alignment horizontal="center" wrapText="1"/>
    </xf>
    <xf numFmtId="4" fontId="32" fillId="13" borderId="12" xfId="0" applyNumberFormat="1" applyFont="1" applyFill="1" applyBorder="1" applyAlignment="1">
      <alignment horizontal="center" wrapText="1"/>
    </xf>
    <xf numFmtId="4" fontId="32" fillId="13" borderId="15" xfId="0" applyNumberFormat="1" applyFont="1" applyFill="1" applyBorder="1" applyAlignment="1">
      <alignment horizontal="center" wrapText="1"/>
    </xf>
    <xf numFmtId="0" fontId="7" fillId="0" borderId="48" xfId="0" applyNumberFormat="1" applyFont="1" applyBorder="1" applyAlignment="1">
      <alignment horizontal="right" vertical="center" wrapText="1" indent="3"/>
    </xf>
    <xf numFmtId="0" fontId="7" fillId="0" borderId="22" xfId="0" applyNumberFormat="1" applyFont="1" applyBorder="1" applyAlignment="1">
      <alignment horizontal="right" vertical="center" wrapText="1" indent="3"/>
    </xf>
    <xf numFmtId="0" fontId="7" fillId="0" borderId="1" xfId="0" applyNumberFormat="1" applyFont="1" applyBorder="1" applyAlignment="1">
      <alignment horizontal="right" vertical="center" wrapText="1" indent="3"/>
    </xf>
    <xf numFmtId="0" fontId="7" fillId="0" borderId="2" xfId="0" applyNumberFormat="1" applyFont="1" applyBorder="1" applyAlignment="1">
      <alignment horizontal="right" vertical="center" wrapText="1" indent="3"/>
    </xf>
    <xf numFmtId="0" fontId="7" fillId="0" borderId="4" xfId="0" applyNumberFormat="1" applyFont="1" applyBorder="1" applyAlignment="1">
      <alignment horizontal="right" vertical="center" wrapText="1" indent="3"/>
    </xf>
    <xf numFmtId="0" fontId="7" fillId="0" borderId="34" xfId="0" applyNumberFormat="1" applyFont="1" applyBorder="1" applyAlignment="1">
      <alignment horizontal="right" vertical="center" wrapText="1" indent="3"/>
    </xf>
    <xf numFmtId="0" fontId="32" fillId="13" borderId="25" xfId="0" applyFont="1" applyFill="1" applyBorder="1" applyAlignment="1">
      <alignment horizontal="center" wrapText="1"/>
    </xf>
    <xf numFmtId="0" fontId="32" fillId="13" borderId="11" xfId="0" applyFont="1" applyFill="1" applyBorder="1" applyAlignment="1">
      <alignment horizontal="center" wrapText="1"/>
    </xf>
    <xf numFmtId="0" fontId="32" fillId="13" borderId="12" xfId="0" applyFont="1" applyFill="1" applyBorder="1" applyAlignment="1">
      <alignment horizontal="center" wrapText="1"/>
    </xf>
    <xf numFmtId="0" fontId="32" fillId="13" borderId="10" xfId="0" applyFont="1" applyFill="1" applyBorder="1" applyAlignment="1">
      <alignment horizontal="center" wrapText="1"/>
    </xf>
    <xf numFmtId="164" fontId="3" fillId="11" borderId="9" xfId="0" applyNumberFormat="1" applyFont="1" applyFill="1" applyBorder="1" applyAlignment="1">
      <alignment horizontal="center" vertical="center" wrapText="1"/>
    </xf>
    <xf numFmtId="164" fontId="3" fillId="11" borderId="69" xfId="0" applyNumberFormat="1" applyFont="1" applyFill="1" applyBorder="1" applyAlignment="1">
      <alignment horizontal="center" vertical="center" wrapText="1"/>
    </xf>
    <xf numFmtId="0" fontId="32" fillId="11" borderId="25" xfId="0" applyFont="1" applyFill="1" applyBorder="1" applyAlignment="1">
      <alignment horizontal="center" wrapText="1"/>
    </xf>
    <xf numFmtId="0" fontId="32" fillId="11" borderId="12" xfId="0" applyFont="1" applyFill="1" applyBorder="1" applyAlignment="1">
      <alignment horizontal="center" wrapText="1"/>
    </xf>
    <xf numFmtId="0" fontId="33" fillId="11" borderId="10" xfId="0" applyFont="1" applyFill="1" applyBorder="1" applyAlignment="1">
      <alignment horizontal="center" wrapText="1"/>
    </xf>
    <xf numFmtId="0" fontId="32" fillId="11" borderId="11" xfId="0" applyFont="1" applyFill="1" applyBorder="1" applyAlignment="1">
      <alignment horizontal="center" wrapText="1"/>
    </xf>
    <xf numFmtId="164" fontId="32" fillId="11" borderId="11" xfId="0" applyNumberFormat="1" applyFont="1" applyFill="1" applyBorder="1" applyAlignment="1">
      <alignment horizontal="center" wrapText="1"/>
    </xf>
    <xf numFmtId="164" fontId="32" fillId="11" borderId="12" xfId="0" applyNumberFormat="1" applyFont="1" applyFill="1" applyBorder="1" applyAlignment="1">
      <alignment horizontal="center" wrapText="1"/>
    </xf>
    <xf numFmtId="4" fontId="32" fillId="11" borderId="10" xfId="0" applyNumberFormat="1" applyFont="1" applyFill="1" applyBorder="1" applyAlignment="1">
      <alignment horizontal="center" wrapText="1"/>
    </xf>
    <xf numFmtId="4" fontId="32" fillId="11" borderId="11" xfId="0" applyNumberFormat="1" applyFont="1" applyFill="1" applyBorder="1" applyAlignment="1">
      <alignment horizontal="center" wrapText="1"/>
    </xf>
    <xf numFmtId="4" fontId="32" fillId="11" borderId="15" xfId="0" applyNumberFormat="1" applyFont="1" applyFill="1" applyBorder="1" applyAlignment="1">
      <alignment horizontal="center" wrapText="1"/>
    </xf>
    <xf numFmtId="0" fontId="7" fillId="0" borderId="48" xfId="0" applyFont="1" applyBorder="1" applyAlignment="1">
      <alignment horizontal="right" indent="2"/>
    </xf>
    <xf numFmtId="0" fontId="7" fillId="0" borderId="22" xfId="0" applyFont="1" applyBorder="1" applyAlignment="1">
      <alignment horizontal="right" indent="2"/>
    </xf>
    <xf numFmtId="0" fontId="7" fillId="0" borderId="50" xfId="0" applyFont="1" applyBorder="1" applyAlignment="1">
      <alignment horizontal="right" indent="2"/>
    </xf>
    <xf numFmtId="0" fontId="21" fillId="0" borderId="1" xfId="0" applyFont="1" applyBorder="1" applyAlignment="1">
      <alignment horizontal="right" indent="2"/>
    </xf>
    <xf numFmtId="0" fontId="21" fillId="0" borderId="2" xfId="0" applyFont="1" applyBorder="1" applyAlignment="1">
      <alignment horizontal="right" indent="2"/>
    </xf>
    <xf numFmtId="0" fontId="21" fillId="0" borderId="10" xfId="0" applyFont="1" applyBorder="1" applyAlignment="1">
      <alignment horizontal="right" indent="2"/>
    </xf>
    <xf numFmtId="0" fontId="7" fillId="0" borderId="4" xfId="0" applyFont="1" applyBorder="1" applyAlignment="1">
      <alignment horizontal="right" indent="2"/>
    </xf>
    <xf numFmtId="0" fontId="7" fillId="0" borderId="34" xfId="0" applyFont="1" applyBorder="1" applyAlignment="1">
      <alignment horizontal="right" indent="2"/>
    </xf>
    <xf numFmtId="0" fontId="7" fillId="0" borderId="44" xfId="0" applyFont="1" applyBorder="1" applyAlignment="1">
      <alignment horizontal="right" indent="2"/>
    </xf>
    <xf numFmtId="4" fontId="28" fillId="0" borderId="0" xfId="0" applyNumberFormat="1" applyFont="1" applyAlignment="1">
      <alignment horizontal="center" vertical="center" wrapText="1"/>
    </xf>
    <xf numFmtId="4" fontId="44" fillId="0" borderId="24" xfId="0" applyNumberFormat="1" applyFont="1" applyBorder="1" applyAlignment="1">
      <alignment horizontal="center" vertical="center"/>
    </xf>
    <xf numFmtId="0" fontId="44" fillId="16" borderId="48" xfId="0" applyFont="1" applyFill="1" applyBorder="1" applyAlignment="1">
      <alignment horizontal="center" vertical="center" wrapText="1"/>
    </xf>
    <xf numFmtId="0" fontId="44" fillId="16" borderId="22" xfId="0" applyFont="1" applyFill="1" applyBorder="1" applyAlignment="1">
      <alignment horizontal="center" vertical="center" wrapText="1"/>
    </xf>
    <xf numFmtId="4" fontId="32" fillId="13" borderId="3" xfId="0" applyNumberFormat="1" applyFont="1" applyFill="1" applyBorder="1" applyAlignment="1">
      <alignment horizontal="center" wrapText="1"/>
    </xf>
    <xf numFmtId="0" fontId="32" fillId="11" borderId="1" xfId="0" applyFont="1" applyFill="1" applyBorder="1" applyAlignment="1">
      <alignment horizontal="center" wrapText="1"/>
    </xf>
    <xf numFmtId="1" fontId="7" fillId="16" borderId="2" xfId="0" applyNumberFormat="1" applyFont="1" applyFill="1" applyBorder="1" applyAlignment="1">
      <alignment horizontal="center" vertical="center" wrapText="1"/>
    </xf>
    <xf numFmtId="1" fontId="7" fillId="16" borderId="10" xfId="0" applyNumberFormat="1" applyFont="1" applyFill="1" applyBorder="1" applyAlignment="1">
      <alignment horizontal="center" vertical="center" wrapText="1"/>
    </xf>
    <xf numFmtId="164" fontId="44" fillId="11" borderId="48" xfId="0" applyNumberFormat="1" applyFont="1" applyFill="1" applyBorder="1" applyAlignment="1">
      <alignment horizontal="center" vertical="center" wrapText="1"/>
    </xf>
    <xf numFmtId="164" fontId="44" fillId="11" borderId="22" xfId="0" applyNumberFormat="1" applyFont="1" applyFill="1" applyBorder="1" applyAlignment="1">
      <alignment horizontal="center" vertical="center" wrapText="1"/>
    </xf>
    <xf numFmtId="0" fontId="44" fillId="13" borderId="38" xfId="0" applyFont="1" applyFill="1" applyBorder="1" applyAlignment="1">
      <alignment horizontal="center" vertical="center" wrapText="1"/>
    </xf>
    <xf numFmtId="0" fontId="44" fillId="13" borderId="22" xfId="0" applyFont="1" applyFill="1" applyBorder="1" applyAlignment="1">
      <alignment horizontal="center" vertical="center" wrapText="1"/>
    </xf>
    <xf numFmtId="0" fontId="44" fillId="13" borderId="23" xfId="0" applyFont="1" applyFill="1" applyBorder="1" applyAlignment="1">
      <alignment horizontal="center" vertical="center" wrapText="1"/>
    </xf>
    <xf numFmtId="4" fontId="1" fillId="0" borderId="56" xfId="0" applyNumberFormat="1" applyFont="1" applyBorder="1" applyAlignment="1">
      <alignment horizontal="center" vertical="center" wrapText="1"/>
    </xf>
    <xf numFmtId="4" fontId="1" fillId="0" borderId="57" xfId="0" applyNumberFormat="1" applyFont="1" applyBorder="1" applyAlignment="1">
      <alignment horizontal="center" vertical="center" wrapText="1"/>
    </xf>
    <xf numFmtId="0" fontId="7" fillId="0" borderId="23" xfId="0" applyNumberFormat="1" applyFont="1" applyBorder="1" applyAlignment="1">
      <alignment horizontal="right" vertical="center" wrapText="1" indent="3"/>
    </xf>
    <xf numFmtId="0" fontId="7" fillId="0" borderId="51" xfId="0" applyNumberFormat="1" applyFont="1" applyBorder="1" applyAlignment="1">
      <alignment horizontal="right" vertical="center" wrapText="1" indent="3"/>
    </xf>
    <xf numFmtId="0" fontId="7" fillId="0" borderId="52" xfId="0" applyNumberFormat="1" applyFont="1" applyBorder="1" applyAlignment="1">
      <alignment horizontal="right" vertical="center" wrapText="1" indent="3"/>
    </xf>
    <xf numFmtId="0" fontId="7" fillId="0" borderId="58" xfId="0" applyNumberFormat="1" applyFont="1" applyBorder="1" applyAlignment="1">
      <alignment horizontal="right" vertical="center" wrapText="1" indent="3"/>
    </xf>
    <xf numFmtId="0" fontId="7" fillId="0" borderId="3" xfId="0" applyNumberFormat="1" applyFont="1" applyBorder="1" applyAlignment="1">
      <alignment horizontal="right" vertical="center" wrapText="1" indent="3"/>
    </xf>
    <xf numFmtId="0" fontId="7" fillId="0" borderId="35" xfId="0" applyNumberFormat="1" applyFont="1" applyBorder="1" applyAlignment="1">
      <alignment horizontal="right" vertical="center" wrapText="1" indent="3"/>
    </xf>
    <xf numFmtId="0" fontId="7" fillId="0" borderId="0" xfId="0" applyNumberFormat="1" applyFont="1" applyBorder="1" applyAlignment="1">
      <alignment horizontal="right" vertical="center" wrapText="1" indent="3"/>
    </xf>
    <xf numFmtId="0" fontId="21" fillId="0" borderId="2" xfId="0" applyNumberFormat="1" applyFont="1" applyBorder="1" applyAlignment="1">
      <alignment horizontal="left" wrapText="1"/>
    </xf>
    <xf numFmtId="0" fontId="21" fillId="0" borderId="3" xfId="0" applyNumberFormat="1" applyFont="1" applyBorder="1" applyAlignment="1">
      <alignment horizontal="left" wrapText="1"/>
    </xf>
    <xf numFmtId="0" fontId="7" fillId="0" borderId="30" xfId="0" applyNumberFormat="1" applyFont="1" applyBorder="1" applyAlignment="1">
      <alignment horizontal="right" vertical="center" wrapText="1" indent="3"/>
    </xf>
    <xf numFmtId="0" fontId="7" fillId="0" borderId="28" xfId="0" applyNumberFormat="1" applyFont="1" applyBorder="1" applyAlignment="1">
      <alignment horizontal="right" vertical="center" wrapText="1" indent="3"/>
    </xf>
    <xf numFmtId="0" fontId="3" fillId="16" borderId="2" xfId="0" applyFont="1" applyFill="1" applyBorder="1" applyAlignment="1">
      <alignment horizontal="center" vertical="center" wrapText="1"/>
    </xf>
    <xf numFmtId="0" fontId="3" fillId="16" borderId="10" xfId="0" applyFont="1" applyFill="1" applyBorder="1" applyAlignment="1">
      <alignment horizontal="center" vertical="center" wrapText="1"/>
    </xf>
    <xf numFmtId="164" fontId="32" fillId="11" borderId="3" xfId="0" applyNumberFormat="1" applyFont="1" applyFill="1" applyBorder="1" applyAlignment="1">
      <alignment horizontal="center" vertical="center" wrapText="1"/>
    </xf>
    <xf numFmtId="0" fontId="0" fillId="0" borderId="13" xfId="0" applyBorder="1" applyAlignment="1">
      <alignment horizontal="left" wrapText="1"/>
    </xf>
    <xf numFmtId="164" fontId="32" fillId="11" borderId="2" xfId="0" applyNumberFormat="1" applyFont="1" applyFill="1" applyBorder="1" applyAlignment="1">
      <alignment horizontal="center"/>
    </xf>
    <xf numFmtId="0" fontId="7" fillId="0" borderId="51" xfId="0" applyNumberFormat="1" applyFont="1" applyBorder="1" applyAlignment="1">
      <alignment horizontal="right" wrapText="1" indent="3"/>
    </xf>
    <xf numFmtId="0" fontId="7" fillId="0" borderId="52" xfId="0" applyNumberFormat="1" applyFont="1" applyBorder="1" applyAlignment="1">
      <alignment horizontal="right" wrapText="1" indent="3"/>
    </xf>
    <xf numFmtId="0" fontId="7" fillId="0" borderId="34" xfId="0" applyNumberFormat="1" applyFont="1" applyBorder="1" applyAlignment="1">
      <alignment horizontal="center" wrapText="1"/>
    </xf>
    <xf numFmtId="0" fontId="7" fillId="0" borderId="44" xfId="0" applyNumberFormat="1" applyFont="1" applyBorder="1" applyAlignment="1">
      <alignment horizontal="center" wrapText="1"/>
    </xf>
    <xf numFmtId="0" fontId="7" fillId="0" borderId="40" xfId="0" applyNumberFormat="1" applyFont="1" applyBorder="1" applyAlignment="1">
      <alignment horizontal="center" vertical="center" wrapText="1"/>
    </xf>
    <xf numFmtId="0" fontId="7" fillId="0" borderId="13" xfId="0" applyNumberFormat="1" applyFont="1" applyBorder="1" applyAlignment="1">
      <alignment horizontal="center" vertical="center" wrapText="1"/>
    </xf>
    <xf numFmtId="0" fontId="7" fillId="0" borderId="41" xfId="0" applyNumberFormat="1" applyFont="1" applyBorder="1" applyAlignment="1">
      <alignment horizontal="center" vertical="center" wrapText="1"/>
    </xf>
    <xf numFmtId="164" fontId="7" fillId="0" borderId="40" xfId="0" applyNumberFormat="1" applyFont="1" applyBorder="1" applyAlignment="1">
      <alignment horizontal="center" vertical="center" wrapText="1"/>
    </xf>
    <xf numFmtId="4" fontId="7" fillId="0" borderId="36" xfId="0" applyNumberFormat="1" applyFont="1" applyBorder="1" applyAlignment="1">
      <alignment horizontal="center" vertical="top" wrapText="1"/>
    </xf>
    <xf numFmtId="0" fontId="7" fillId="0" borderId="37" xfId="0" applyNumberFormat="1" applyFont="1" applyBorder="1" applyAlignment="1">
      <alignment horizontal="center" vertical="top" wrapText="1"/>
    </xf>
    <xf numFmtId="0" fontId="7" fillId="0" borderId="49" xfId="0" applyNumberFormat="1" applyFont="1" applyBorder="1" applyAlignment="1">
      <alignment horizontal="center" vertical="top" wrapText="1"/>
    </xf>
    <xf numFmtId="0" fontId="3" fillId="0" borderId="61" xfId="0" applyFont="1" applyBorder="1" applyAlignment="1">
      <alignment horizontal="left" vertical="center" wrapText="1"/>
    </xf>
    <xf numFmtId="0" fontId="3" fillId="0" borderId="60" xfId="0" applyFont="1" applyBorder="1" applyAlignment="1">
      <alignment horizontal="left" vertical="center" wrapText="1"/>
    </xf>
    <xf numFmtId="0" fontId="4" fillId="0" borderId="2" xfId="0" applyFont="1" applyBorder="1" applyAlignment="1">
      <alignment horizontal="center" wrapText="1"/>
    </xf>
    <xf numFmtId="0" fontId="32" fillId="13" borderId="1" xfId="0" applyFont="1" applyFill="1" applyBorder="1" applyAlignment="1">
      <alignment horizontal="center" wrapText="1"/>
    </xf>
    <xf numFmtId="0" fontId="33" fillId="11" borderId="11" xfId="0" applyFont="1" applyFill="1" applyBorder="1" applyAlignment="1">
      <alignment horizontal="center" wrapText="1"/>
    </xf>
    <xf numFmtId="0" fontId="33" fillId="11" borderId="15" xfId="0" applyFont="1" applyFill="1" applyBorder="1" applyAlignment="1">
      <alignment horizontal="center" wrapText="1"/>
    </xf>
    <xf numFmtId="0" fontId="19" fillId="0" borderId="2" xfId="0" applyFont="1" applyBorder="1" applyAlignment="1">
      <alignment horizontal="left"/>
    </xf>
    <xf numFmtId="0" fontId="4" fillId="0" borderId="2" xfId="0" applyFont="1" applyBorder="1" applyAlignment="1">
      <alignment horizontal="left"/>
    </xf>
    <xf numFmtId="0" fontId="44" fillId="16" borderId="51" xfId="0" applyFont="1" applyFill="1" applyBorder="1" applyAlignment="1">
      <alignment horizontal="center" vertical="center" wrapText="1"/>
    </xf>
    <xf numFmtId="0" fontId="44" fillId="16" borderId="52" xfId="0" applyFont="1" applyFill="1" applyBorder="1" applyAlignment="1">
      <alignment horizontal="center" vertical="center" wrapText="1"/>
    </xf>
    <xf numFmtId="1" fontId="33" fillId="16" borderId="37" xfId="0" applyNumberFormat="1" applyFont="1" applyFill="1" applyBorder="1" applyAlignment="1">
      <alignment horizontal="center" vertical="center" wrapText="1"/>
    </xf>
    <xf numFmtId="1" fontId="33" fillId="16" borderId="49" xfId="0" applyNumberFormat="1" applyFont="1" applyFill="1" applyBorder="1" applyAlignment="1">
      <alignment horizontal="center" vertical="center" wrapText="1"/>
    </xf>
    <xf numFmtId="4" fontId="4" fillId="0" borderId="63" xfId="0" applyNumberFormat="1" applyFont="1" applyBorder="1" applyAlignment="1">
      <alignment horizontal="center" vertical="center" wrapText="1"/>
    </xf>
    <xf numFmtId="4" fontId="4" fillId="0" borderId="16" xfId="0" applyNumberFormat="1" applyFont="1" applyBorder="1" applyAlignment="1">
      <alignment horizontal="center" vertical="center" wrapText="1"/>
    </xf>
    <xf numFmtId="4" fontId="4" fillId="0" borderId="61" xfId="0" applyNumberFormat="1" applyFont="1" applyBorder="1" applyAlignment="1">
      <alignment horizontal="center" wrapText="1"/>
    </xf>
    <xf numFmtId="4" fontId="4" fillId="0" borderId="60" xfId="0" applyNumberFormat="1" applyFont="1" applyBorder="1" applyAlignment="1">
      <alignment horizontal="center" wrapText="1"/>
    </xf>
    <xf numFmtId="4" fontId="0" fillId="0" borderId="2" xfId="0" applyNumberFormat="1" applyBorder="1" applyAlignment="1">
      <alignment horizontal="center" vertical="center" wrapText="1"/>
    </xf>
    <xf numFmtId="4" fontId="0" fillId="0" borderId="2" xfId="0" applyNumberFormat="1" applyBorder="1" applyAlignment="1">
      <alignment horizontal="left" vertical="center" wrapText="1"/>
    </xf>
    <xf numFmtId="4" fontId="4" fillId="0" borderId="57" xfId="0" applyNumberFormat="1" applyFont="1" applyBorder="1" applyAlignment="1">
      <alignment horizontal="center" vertical="center" wrapText="1"/>
    </xf>
    <xf numFmtId="4" fontId="4" fillId="0" borderId="62" xfId="0" applyNumberFormat="1" applyFont="1" applyBorder="1" applyAlignment="1">
      <alignment horizontal="center" vertical="center" wrapText="1"/>
    </xf>
    <xf numFmtId="4" fontId="4" fillId="0" borderId="61" xfId="0" applyNumberFormat="1" applyFont="1" applyBorder="1" applyAlignment="1">
      <alignment horizontal="center" vertical="center" wrapText="1"/>
    </xf>
    <xf numFmtId="4" fontId="4" fillId="0" borderId="60" xfId="0" applyNumberFormat="1" applyFont="1" applyBorder="1" applyAlignment="1">
      <alignment horizontal="center" vertical="center" wrapText="1"/>
    </xf>
    <xf numFmtId="4" fontId="0" fillId="0" borderId="14" xfId="0" applyNumberFormat="1" applyBorder="1" applyAlignment="1">
      <alignment horizontal="center" vertical="center" wrapText="1"/>
    </xf>
    <xf numFmtId="4" fontId="0" fillId="0" borderId="14" xfId="0" applyNumberFormat="1" applyBorder="1" applyAlignment="1">
      <alignment horizontal="left" vertical="center" wrapText="1"/>
    </xf>
    <xf numFmtId="4" fontId="21" fillId="0" borderId="4" xfId="0" applyNumberFormat="1" applyFont="1" applyBorder="1" applyAlignment="1">
      <alignment horizontal="center" wrapText="1"/>
    </xf>
    <xf numFmtId="4" fontId="21" fillId="0" borderId="34" xfId="0" applyNumberFormat="1" applyFont="1" applyBorder="1" applyAlignment="1">
      <alignment horizontal="center" wrapText="1"/>
    </xf>
    <xf numFmtId="4" fontId="21" fillId="0" borderId="44" xfId="0" applyNumberFormat="1" applyFont="1" applyBorder="1" applyAlignment="1">
      <alignment horizontal="center" wrapText="1"/>
    </xf>
    <xf numFmtId="0" fontId="7" fillId="0" borderId="40" xfId="0" applyNumberFormat="1" applyFont="1" applyBorder="1" applyAlignment="1">
      <alignment horizontal="right" vertical="center" wrapText="1" indent="3"/>
    </xf>
    <xf numFmtId="0" fontId="7" fillId="0" borderId="43" xfId="0" applyNumberFormat="1" applyFont="1" applyBorder="1" applyAlignment="1">
      <alignment horizontal="right" vertical="center" wrapText="1" indent="3"/>
    </xf>
    <xf numFmtId="0" fontId="7" fillId="0" borderId="24" xfId="0" applyNumberFormat="1" applyFont="1" applyBorder="1" applyAlignment="1">
      <alignment horizontal="right" vertical="center" wrapText="1" indent="3"/>
    </xf>
    <xf numFmtId="4" fontId="21" fillId="0" borderId="48" xfId="0" applyNumberFormat="1" applyFont="1" applyBorder="1" applyAlignment="1">
      <alignment horizontal="center" wrapText="1"/>
    </xf>
    <xf numFmtId="4" fontId="21" fillId="0" borderId="22" xfId="0" applyNumberFormat="1" applyFont="1" applyBorder="1" applyAlignment="1">
      <alignment horizontal="center" wrapText="1"/>
    </xf>
    <xf numFmtId="4" fontId="21" fillId="0" borderId="50" xfId="0" applyNumberFormat="1" applyFont="1" applyBorder="1" applyAlignment="1">
      <alignment horizontal="center" wrapText="1"/>
    </xf>
    <xf numFmtId="0" fontId="21" fillId="0" borderId="1" xfId="0" applyNumberFormat="1" applyFont="1" applyBorder="1" applyAlignment="1">
      <alignment horizontal="center" vertical="center" wrapText="1"/>
    </xf>
    <xf numFmtId="0" fontId="21" fillId="0" borderId="2" xfId="0" applyNumberFormat="1" applyFont="1" applyBorder="1" applyAlignment="1">
      <alignment horizontal="center" wrapText="1"/>
    </xf>
    <xf numFmtId="0" fontId="21" fillId="0" borderId="4" xfId="0" applyNumberFormat="1" applyFont="1" applyBorder="1" applyAlignment="1">
      <alignment horizontal="center" vertical="center" wrapText="1"/>
    </xf>
    <xf numFmtId="0" fontId="21" fillId="0" borderId="34" xfId="0" applyNumberFormat="1" applyFont="1" applyBorder="1" applyAlignment="1">
      <alignment horizontal="center" wrapText="1"/>
    </xf>
    <xf numFmtId="0" fontId="7" fillId="0" borderId="61" xfId="0" applyNumberFormat="1" applyFont="1" applyBorder="1" applyAlignment="1">
      <alignment horizontal="center" vertical="center" wrapText="1"/>
    </xf>
    <xf numFmtId="0" fontId="7" fillId="0" borderId="59" xfId="0" applyNumberFormat="1" applyFont="1" applyBorder="1" applyAlignment="1">
      <alignment horizontal="center" vertical="center" wrapText="1"/>
    </xf>
    <xf numFmtId="0" fontId="7" fillId="0" borderId="60" xfId="0" applyNumberFormat="1" applyFont="1" applyBorder="1" applyAlignment="1">
      <alignment horizontal="center" vertical="center" wrapText="1"/>
    </xf>
    <xf numFmtId="0" fontId="21" fillId="0" borderId="28" xfId="0" applyNumberFormat="1" applyFont="1" applyBorder="1" applyAlignment="1">
      <alignment horizontal="center" vertical="center" wrapText="1"/>
    </xf>
    <xf numFmtId="0" fontId="21" fillId="0" borderId="14" xfId="0" applyNumberFormat="1" applyFont="1" applyBorder="1" applyAlignment="1">
      <alignment horizontal="center" wrapText="1"/>
    </xf>
    <xf numFmtId="4" fontId="28" fillId="16" borderId="61" xfId="0" applyNumberFormat="1" applyFont="1" applyFill="1" applyBorder="1" applyAlignment="1">
      <alignment horizontal="center" vertical="center" wrapText="1"/>
    </xf>
    <xf numFmtId="4" fontId="28" fillId="16" borderId="59" xfId="0" applyNumberFormat="1" applyFont="1" applyFill="1" applyBorder="1" applyAlignment="1">
      <alignment horizontal="center" vertical="center" wrapText="1"/>
    </xf>
    <xf numFmtId="0" fontId="28" fillId="13" borderId="61" xfId="0" applyFont="1" applyFill="1" applyBorder="1" applyAlignment="1">
      <alignment horizontal="center" vertical="center" wrapText="1"/>
    </xf>
    <xf numFmtId="0" fontId="28" fillId="13" borderId="59" xfId="0" applyFont="1" applyFill="1" applyBorder="1" applyAlignment="1">
      <alignment horizontal="center" vertical="center" wrapText="1"/>
    </xf>
    <xf numFmtId="0" fontId="28" fillId="13" borderId="60" xfId="0" applyFont="1" applyFill="1" applyBorder="1" applyAlignment="1">
      <alignment horizontal="center" vertical="center" wrapText="1"/>
    </xf>
    <xf numFmtId="0" fontId="4" fillId="11" borderId="1" xfId="0" applyFont="1" applyFill="1" applyBorder="1" applyAlignment="1">
      <alignment horizontal="center" wrapText="1"/>
    </xf>
    <xf numFmtId="0" fontId="4" fillId="11" borderId="2" xfId="0" applyFont="1" applyFill="1" applyBorder="1" applyAlignment="1">
      <alignment horizontal="center" wrapText="1"/>
    </xf>
    <xf numFmtId="0" fontId="14" fillId="11" borderId="2" xfId="0" applyFont="1" applyFill="1" applyBorder="1" applyAlignment="1">
      <alignment horizontal="center" wrapText="1"/>
    </xf>
    <xf numFmtId="0" fontId="4" fillId="13" borderId="2" xfId="0" applyFont="1" applyFill="1" applyBorder="1" applyAlignment="1">
      <alignment horizontal="center" wrapText="1"/>
    </xf>
    <xf numFmtId="4" fontId="4" fillId="13" borderId="2" xfId="0" applyNumberFormat="1" applyFont="1" applyFill="1" applyBorder="1" applyAlignment="1">
      <alignment horizontal="center" wrapText="1"/>
    </xf>
    <xf numFmtId="4" fontId="4" fillId="13" borderId="3" xfId="0" applyNumberFormat="1" applyFont="1" applyFill="1" applyBorder="1" applyAlignment="1">
      <alignment horizontal="center" wrapText="1"/>
    </xf>
    <xf numFmtId="4" fontId="4" fillId="13" borderId="10" xfId="0" applyNumberFormat="1" applyFont="1" applyFill="1" applyBorder="1" applyAlignment="1">
      <alignment horizontal="center" wrapText="1"/>
    </xf>
    <xf numFmtId="4" fontId="4" fillId="13" borderId="11" xfId="0" applyNumberFormat="1" applyFont="1" applyFill="1" applyBorder="1" applyAlignment="1">
      <alignment horizontal="center" wrapText="1"/>
    </xf>
    <xf numFmtId="4" fontId="4" fillId="13" borderId="12" xfId="0" applyNumberFormat="1" applyFont="1" applyFill="1" applyBorder="1" applyAlignment="1">
      <alignment horizontal="center" wrapText="1"/>
    </xf>
    <xf numFmtId="0" fontId="4" fillId="13" borderId="25" xfId="0" applyFont="1" applyFill="1" applyBorder="1" applyAlignment="1">
      <alignment horizontal="center" wrapText="1"/>
    </xf>
    <xf numFmtId="0" fontId="4" fillId="13" borderId="11" xfId="0" applyFont="1" applyFill="1" applyBorder="1" applyAlignment="1">
      <alignment horizontal="center" wrapText="1"/>
    </xf>
    <xf numFmtId="0" fontId="4" fillId="13" borderId="12" xfId="0" applyFont="1" applyFill="1" applyBorder="1" applyAlignment="1">
      <alignment horizontal="center" wrapText="1"/>
    </xf>
    <xf numFmtId="164" fontId="28" fillId="11" borderId="51" xfId="0" applyNumberFormat="1" applyFont="1" applyFill="1" applyBorder="1" applyAlignment="1">
      <alignment horizontal="center" vertical="center" wrapText="1"/>
    </xf>
    <xf numFmtId="164" fontId="28" fillId="11" borderId="52" xfId="0" applyNumberFormat="1" applyFont="1" applyFill="1" applyBorder="1" applyAlignment="1">
      <alignment horizontal="center" vertical="center" wrapText="1"/>
    </xf>
    <xf numFmtId="164" fontId="28" fillId="11" borderId="53" xfId="0" applyNumberFormat="1" applyFont="1" applyFill="1" applyBorder="1" applyAlignment="1">
      <alignment horizontal="center" vertical="center" wrapText="1"/>
    </xf>
    <xf numFmtId="164" fontId="4" fillId="11" borderId="10" xfId="0" applyNumberFormat="1" applyFont="1" applyFill="1" applyBorder="1" applyAlignment="1">
      <alignment horizontal="center" wrapText="1"/>
    </xf>
    <xf numFmtId="164" fontId="4" fillId="11" borderId="11" xfId="0" applyNumberFormat="1" applyFont="1" applyFill="1" applyBorder="1" applyAlignment="1">
      <alignment horizontal="center" wrapText="1"/>
    </xf>
    <xf numFmtId="164" fontId="4" fillId="11" borderId="12" xfId="0" applyNumberFormat="1" applyFont="1" applyFill="1" applyBorder="1" applyAlignment="1">
      <alignment horizontal="center" wrapText="1"/>
    </xf>
    <xf numFmtId="0" fontId="4" fillId="11" borderId="10" xfId="0" applyFont="1" applyFill="1" applyBorder="1" applyAlignment="1">
      <alignment horizontal="center" wrapText="1"/>
    </xf>
    <xf numFmtId="0" fontId="4" fillId="11" borderId="11" xfId="0" applyFont="1" applyFill="1" applyBorder="1" applyAlignment="1">
      <alignment horizontal="center" wrapText="1"/>
    </xf>
    <xf numFmtId="0" fontId="4" fillId="11" borderId="15" xfId="0" applyFont="1" applyFill="1" applyBorder="1" applyAlignment="1">
      <alignment horizontal="center" wrapText="1"/>
    </xf>
    <xf numFmtId="4" fontId="4" fillId="0" borderId="51" xfId="0" applyNumberFormat="1" applyFont="1" applyBorder="1" applyAlignment="1">
      <alignment horizontal="center" vertical="center"/>
    </xf>
    <xf numFmtId="4" fontId="4" fillId="0" borderId="52" xfId="0" applyNumberFormat="1" applyFont="1" applyBorder="1" applyAlignment="1">
      <alignment horizontal="center" vertical="center"/>
    </xf>
    <xf numFmtId="4" fontId="4" fillId="0" borderId="53" xfId="0" applyNumberFormat="1" applyFont="1" applyBorder="1" applyAlignment="1">
      <alignment horizontal="center" vertical="center"/>
    </xf>
    <xf numFmtId="0" fontId="1" fillId="7" borderId="28" xfId="0" applyFont="1" applyFill="1" applyBorder="1" applyAlignment="1">
      <alignment horizontal="center" vertical="center" wrapText="1"/>
    </xf>
    <xf numFmtId="0" fontId="1" fillId="7" borderId="4" xfId="0" applyFont="1" applyFill="1" applyBorder="1" applyAlignment="1">
      <alignment horizontal="center" vertical="center" wrapText="1"/>
    </xf>
    <xf numFmtId="6" fontId="1" fillId="7" borderId="14" xfId="0" applyNumberFormat="1" applyFont="1" applyFill="1" applyBorder="1" applyAlignment="1">
      <alignment horizontal="center" vertical="center" wrapText="1"/>
    </xf>
    <xf numFmtId="6" fontId="1" fillId="7" borderId="34" xfId="0" applyNumberFormat="1"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7" borderId="34" xfId="0" applyFont="1" applyFill="1" applyBorder="1" applyAlignment="1">
      <alignment horizontal="center" vertical="center" wrapText="1"/>
    </xf>
    <xf numFmtId="0" fontId="21" fillId="0" borderId="48" xfId="0" applyNumberFormat="1" applyFont="1" applyBorder="1" applyAlignment="1">
      <alignment horizontal="center" vertical="center" wrapText="1"/>
    </xf>
    <xf numFmtId="0" fontId="21" fillId="0" borderId="22" xfId="0" applyNumberFormat="1" applyFont="1" applyBorder="1" applyAlignment="1">
      <alignment horizontal="center" wrapText="1"/>
    </xf>
    <xf numFmtId="4" fontId="5" fillId="15" borderId="51" xfId="0" applyNumberFormat="1" applyFont="1" applyFill="1" applyBorder="1" applyAlignment="1">
      <alignment horizontal="center" wrapText="1"/>
    </xf>
    <xf numFmtId="4" fontId="5" fillId="15" borderId="52" xfId="0" applyNumberFormat="1" applyFont="1" applyFill="1" applyBorder="1" applyAlignment="1">
      <alignment horizontal="center" wrapText="1"/>
    </xf>
    <xf numFmtId="4" fontId="5" fillId="15" borderId="58" xfId="0" applyNumberFormat="1" applyFont="1" applyFill="1" applyBorder="1" applyAlignment="1">
      <alignment horizontal="center" wrapText="1"/>
    </xf>
    <xf numFmtId="1" fontId="14" fillId="16" borderId="50" xfId="0" applyNumberFormat="1" applyFont="1" applyFill="1" applyBorder="1" applyAlignment="1">
      <alignment horizontal="center" vertical="center" wrapText="1"/>
    </xf>
    <xf numFmtId="1" fontId="14" fillId="16" borderId="49" xfId="0" applyNumberFormat="1"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1" xfId="0" applyFont="1" applyFill="1" applyBorder="1" applyAlignment="1">
      <alignment horizontal="center" vertical="center" wrapText="1"/>
    </xf>
    <xf numFmtId="4" fontId="1" fillId="7" borderId="1" xfId="0" applyNumberFormat="1" applyFont="1" applyFill="1" applyBorder="1" applyAlignment="1">
      <alignment horizontal="center" vertical="center" wrapText="1"/>
    </xf>
    <xf numFmtId="4" fontId="1" fillId="7" borderId="2" xfId="0" applyNumberFormat="1" applyFont="1" applyFill="1" applyBorder="1" applyAlignment="1">
      <alignment horizontal="center" vertical="center" wrapText="1"/>
    </xf>
    <xf numFmtId="0" fontId="21" fillId="0" borderId="10" xfId="0" applyFont="1" applyBorder="1" applyAlignment="1">
      <alignment horizontal="left"/>
    </xf>
    <xf numFmtId="0" fontId="21" fillId="0" borderId="12" xfId="0" applyFont="1" applyBorder="1" applyAlignment="1">
      <alignment horizontal="left"/>
    </xf>
    <xf numFmtId="0" fontId="21" fillId="0" borderId="10" xfId="0" applyFont="1" applyFill="1" applyBorder="1" applyAlignment="1">
      <alignment horizontal="left"/>
    </xf>
    <xf numFmtId="0" fontId="21" fillId="0" borderId="12" xfId="0" applyFont="1" applyFill="1" applyBorder="1" applyAlignment="1">
      <alignment horizontal="left"/>
    </xf>
    <xf numFmtId="0" fontId="5" fillId="0" borderId="2" xfId="0" applyFont="1" applyBorder="1" applyAlignment="1">
      <alignment horizontal="left"/>
    </xf>
    <xf numFmtId="0" fontId="21" fillId="0" borderId="10" xfId="0" applyFont="1" applyBorder="1" applyAlignment="1">
      <alignment horizontal="left" wrapText="1"/>
    </xf>
    <xf numFmtId="0" fontId="21" fillId="0" borderId="12" xfId="0" applyFont="1" applyBorder="1" applyAlignment="1">
      <alignment horizontal="left" wrapText="1"/>
    </xf>
    <xf numFmtId="0" fontId="4" fillId="0" borderId="10" xfId="0" applyFont="1" applyBorder="1" applyAlignment="1">
      <alignment horizontal="left"/>
    </xf>
    <xf numFmtId="0" fontId="4" fillId="0" borderId="12" xfId="0" applyFont="1" applyBorder="1" applyAlignment="1">
      <alignment horizontal="left"/>
    </xf>
    <xf numFmtId="0" fontId="4" fillId="0" borderId="0" xfId="0" applyFont="1" applyAlignment="1">
      <alignment horizontal="center"/>
    </xf>
  </cellXfs>
  <cellStyles count="5">
    <cellStyle name="Comma" xfId="4" builtinId="3"/>
    <cellStyle name="Currency" xfId="3" builtinId="4"/>
    <cellStyle name="Explanatory Text" xfId="2" builtinId="5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www.legoeducation.us/eng/product/detail/2233?sku=W970614%20--%20sizes%205M%20or%207M%20also%20work" TargetMode="External"/><Relationship Id="rId2" Type="http://schemas.openxmlformats.org/officeDocument/2006/relationships/hyperlink" Target="http://www.flowerfactory.com/" TargetMode="External"/><Relationship Id="rId1" Type="http://schemas.openxmlformats.org/officeDocument/2006/relationships/hyperlink" Target="http://www.legoeducation.us/eng/product/20_tooth_double_conical_wheels/865" TargetMode="External"/><Relationship Id="rId4"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www.officedepot.com/" TargetMode="External"/><Relationship Id="rId2" Type="http://schemas.openxmlformats.org/officeDocument/2006/relationships/hyperlink" Target="http://www.discountschoolsupply.com/" TargetMode="External"/><Relationship Id="rId1" Type="http://schemas.openxmlformats.org/officeDocument/2006/relationships/hyperlink" Target="http://www.flowerfactory.com/" TargetMode="Externa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www.flowerfactory.com/" TargetMode="External"/><Relationship Id="rId2" Type="http://schemas.openxmlformats.org/officeDocument/2006/relationships/hyperlink" Target="http://www.legoeducation.us/eng/product/20_tooth_double_conical_wheels/865" TargetMode="External"/><Relationship Id="rId1" Type="http://schemas.openxmlformats.org/officeDocument/2006/relationships/hyperlink" Target="http://www.legoeducation.us/eng/product/detail/2233?sku=W970614" TargetMode="External"/><Relationship Id="rId4"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hyperlink" Target="http://www.homedepot.com/p/AcuRite-Thermometer-with-Humidity-00339HDSB/100659742" TargetMode="External"/><Relationship Id="rId3" Type="http://schemas.openxmlformats.org/officeDocument/2006/relationships/hyperlink" Target="http://www.amazon.com/Amico-Switch-Holder-Socket-Power/dp/B00880DOKM/" TargetMode="External"/><Relationship Id="rId7" Type="http://schemas.openxmlformats.org/officeDocument/2006/relationships/hyperlink" Target="http://www.homedepot.com/p/Jiffy-Mix-10-qt-Seed-Starting-Mix-5088/100349751" TargetMode="External"/><Relationship Id="rId2" Type="http://schemas.openxmlformats.org/officeDocument/2006/relationships/hyperlink" Target="http://www.amazon.com/Feit-Electric-ESL40TN-Fluorescent-High-Wattage/dp/B001AZOV9K/%20--%20any%2040%20watt%20cool%20white%20fluorescent%20bulb%20should%20work%20for%20this%20lesson" TargetMode="External"/><Relationship Id="rId1" Type="http://schemas.openxmlformats.org/officeDocument/2006/relationships/hyperlink" Target="http://www.flowerfactory.com/p-45323-stirrer-coffee-multi-500-count.aspx" TargetMode="External"/><Relationship Id="rId6" Type="http://schemas.openxmlformats.org/officeDocument/2006/relationships/hyperlink" Target="http://www.homedepot.com/p/Jiffy-Mix-10-qt-Seed-Starting-Mix-5088/100349751" TargetMode="External"/><Relationship Id="rId5" Type="http://schemas.openxmlformats.org/officeDocument/2006/relationships/hyperlink" Target="http://parkseed.com/jiffy-strips-and-jiffy-greenhouses/p/v1591/" TargetMode="External"/><Relationship Id="rId4" Type="http://schemas.openxmlformats.org/officeDocument/2006/relationships/hyperlink" Target="http://www.amazon.com/Miltex-15-Disposable-Sterile-Scalpels/dp/B001EMKFBW" TargetMode="External"/><Relationship Id="rId9"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85" zoomScaleNormal="85" workbookViewId="0">
      <selection activeCell="F10" sqref="F10"/>
    </sheetView>
  </sheetViews>
  <sheetFormatPr defaultRowHeight="15" x14ac:dyDescent="0.25"/>
  <cols>
    <col min="1" max="1" width="35.7109375" customWidth="1"/>
    <col min="2" max="2" width="28" customWidth="1"/>
    <col min="3" max="3" width="32.42578125" customWidth="1"/>
  </cols>
  <sheetData>
    <row r="1" spans="1:9" ht="30" customHeight="1" thickBot="1" x14ac:dyDescent="0.3">
      <c r="A1" s="591" t="s">
        <v>685</v>
      </c>
      <c r="B1" s="592"/>
      <c r="C1" s="408" t="s">
        <v>684</v>
      </c>
    </row>
    <row r="2" spans="1:9" ht="39.950000000000003" customHeight="1" thickBot="1" x14ac:dyDescent="0.3">
      <c r="A2" s="1521" t="s">
        <v>686</v>
      </c>
      <c r="B2" s="1522"/>
      <c r="C2" s="1523"/>
    </row>
    <row r="3" spans="1:9" ht="30" customHeight="1" thickBot="1" x14ac:dyDescent="0.3">
      <c r="A3" s="590" t="s">
        <v>271</v>
      </c>
      <c r="B3" s="409">
        <v>1</v>
      </c>
      <c r="C3" s="589"/>
    </row>
    <row r="4" spans="1:9" ht="39.950000000000003" customHeight="1" thickBot="1" x14ac:dyDescent="0.3">
      <c r="A4" s="1518" t="s">
        <v>272</v>
      </c>
      <c r="B4" s="1519"/>
      <c r="C4" s="1520"/>
      <c r="D4" s="20"/>
      <c r="E4" s="20"/>
      <c r="F4" s="20"/>
      <c r="G4" s="20"/>
      <c r="H4" s="20"/>
      <c r="I4" s="20"/>
    </row>
    <row r="5" spans="1:9" ht="21.75" customHeight="1" thickBot="1" x14ac:dyDescent="0.3">
      <c r="A5" s="583" t="s">
        <v>272</v>
      </c>
      <c r="B5" s="587" t="s">
        <v>103</v>
      </c>
      <c r="C5" s="588" t="s">
        <v>60</v>
      </c>
      <c r="D5" s="20"/>
      <c r="E5" s="20"/>
      <c r="F5" s="20"/>
      <c r="G5" s="20"/>
      <c r="H5" s="20"/>
      <c r="I5" s="20"/>
    </row>
    <row r="6" spans="1:9" ht="30" customHeight="1" x14ac:dyDescent="0.25">
      <c r="A6" s="585" t="s">
        <v>51</v>
      </c>
      <c r="B6" s="399">
        <v>10</v>
      </c>
      <c r="C6" s="394">
        <v>3</v>
      </c>
      <c r="D6" s="20"/>
      <c r="E6" s="20"/>
      <c r="F6" s="20"/>
      <c r="G6" s="20"/>
      <c r="H6" s="20"/>
      <c r="I6" s="20"/>
    </row>
    <row r="7" spans="1:9" ht="30" customHeight="1" x14ac:dyDescent="0.25">
      <c r="A7" s="585" t="s">
        <v>32</v>
      </c>
      <c r="B7" s="399">
        <v>10</v>
      </c>
      <c r="C7" s="394">
        <v>3</v>
      </c>
      <c r="D7" s="20"/>
      <c r="E7" s="20"/>
      <c r="F7" s="20"/>
      <c r="G7" s="20"/>
      <c r="H7" s="20"/>
      <c r="I7" s="20"/>
    </row>
    <row r="8" spans="1:9" ht="30" customHeight="1" thickBot="1" x14ac:dyDescent="0.3">
      <c r="A8" s="586" t="s">
        <v>33</v>
      </c>
      <c r="B8" s="400">
        <v>10</v>
      </c>
      <c r="C8" s="398">
        <v>3</v>
      </c>
      <c r="D8" s="20"/>
      <c r="E8" s="20"/>
      <c r="F8" s="20"/>
      <c r="G8" s="20"/>
      <c r="H8" s="20"/>
      <c r="I8" s="20"/>
    </row>
    <row r="9" spans="1:9" ht="30" customHeight="1" thickBot="1" x14ac:dyDescent="0.3">
      <c r="A9" s="584" t="s">
        <v>743</v>
      </c>
      <c r="B9" s="1193">
        <f>SUM(B6:B8)</f>
        <v>30</v>
      </c>
      <c r="C9" s="1194">
        <v>3</v>
      </c>
      <c r="D9" s="20" t="s">
        <v>742</v>
      </c>
      <c r="E9" s="20"/>
      <c r="F9" s="20"/>
      <c r="G9" s="20"/>
      <c r="H9" s="20"/>
      <c r="I9" s="20"/>
    </row>
    <row r="10" spans="1:9" ht="30" customHeight="1" thickBot="1" x14ac:dyDescent="0.3">
      <c r="A10" s="580" t="s">
        <v>59</v>
      </c>
      <c r="B10" s="581"/>
      <c r="C10" s="582"/>
      <c r="D10" s="393"/>
      <c r="E10" s="393"/>
      <c r="F10" s="393"/>
      <c r="G10" s="393"/>
      <c r="H10" s="393"/>
      <c r="I10" s="393"/>
    </row>
  </sheetData>
  <mergeCells count="2">
    <mergeCell ref="A4:C4"/>
    <mergeCell ref="A2:C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21"/>
  <sheetViews>
    <sheetView zoomScale="85" zoomScaleNormal="85" workbookViewId="0">
      <pane xSplit="1" ySplit="5" topLeftCell="I14" activePane="bottomRight" state="frozen"/>
      <selection pane="topRight" activeCell="B1" sqref="B1"/>
      <selection pane="bottomLeft" activeCell="A5" sqref="A5"/>
      <selection pane="bottomRight" activeCell="U20" sqref="U20"/>
    </sheetView>
  </sheetViews>
  <sheetFormatPr defaultRowHeight="15" x14ac:dyDescent="0.25"/>
  <cols>
    <col min="1" max="1" width="30.7109375" customWidth="1"/>
    <col min="2" max="2" width="15.140625" customWidth="1"/>
    <col min="3" max="3" width="8.7109375" customWidth="1"/>
    <col min="4" max="4" width="15.7109375" customWidth="1"/>
    <col min="5" max="5" width="30.85546875" customWidth="1"/>
    <col min="6" max="6" width="9.140625" style="29"/>
    <col min="7" max="7" width="7.85546875" style="29" customWidth="1"/>
    <col min="8" max="8" width="7.7109375" customWidth="1"/>
    <col min="12" max="12" width="11.140625" customWidth="1"/>
    <col min="13" max="13" width="9.7109375" customWidth="1"/>
    <col min="14" max="14" width="9.140625" customWidth="1"/>
    <col min="16" max="16" width="9.7109375" customWidth="1"/>
    <col min="25" max="26" width="10.85546875" customWidth="1"/>
    <col min="29" max="29" width="13.7109375" customWidth="1"/>
    <col min="35" max="35" width="25.140625" customWidth="1"/>
    <col min="47" max="47" width="26" customWidth="1"/>
    <col min="48" max="48" width="44.85546875" customWidth="1"/>
  </cols>
  <sheetData>
    <row r="1" spans="1:48" s="415" customFormat="1" ht="30" customHeight="1" thickBot="1" x14ac:dyDescent="0.45">
      <c r="A1" s="981" t="s">
        <v>698</v>
      </c>
      <c r="B1" s="982"/>
      <c r="C1" s="982"/>
      <c r="D1" s="982"/>
      <c r="E1" s="982"/>
      <c r="F1" s="977"/>
      <c r="G1" s="977"/>
      <c r="H1" s="755"/>
      <c r="I1" s="755"/>
      <c r="J1" s="755"/>
      <c r="K1" s="755"/>
      <c r="L1" s="755"/>
      <c r="M1" s="755"/>
      <c r="N1" s="755"/>
      <c r="O1" s="755"/>
      <c r="P1" s="755"/>
      <c r="Q1" s="755"/>
      <c r="R1" s="755"/>
      <c r="S1" s="755"/>
      <c r="T1" s="755"/>
      <c r="U1" s="755"/>
      <c r="V1" s="755"/>
      <c r="W1" s="755"/>
      <c r="X1" s="755"/>
      <c r="Y1" s="755"/>
      <c r="Z1" s="755"/>
      <c r="AA1" s="755"/>
      <c r="AB1" s="755"/>
      <c r="AC1" s="755"/>
      <c r="AD1" s="755"/>
      <c r="AE1" s="755"/>
    </row>
    <row r="2" spans="1:48" s="424" customFormat="1" ht="30" customHeight="1" thickBot="1" x14ac:dyDescent="0.3">
      <c r="A2" s="1747" t="s">
        <v>560</v>
      </c>
      <c r="B2" s="1748"/>
      <c r="C2" s="1748"/>
      <c r="D2" s="1748"/>
      <c r="E2" s="1748"/>
      <c r="F2" s="1274"/>
      <c r="G2" s="1368"/>
      <c r="H2" s="1753" t="s">
        <v>747</v>
      </c>
      <c r="I2" s="1754"/>
      <c r="J2" s="1754"/>
      <c r="K2" s="1754"/>
      <c r="L2" s="1754"/>
      <c r="M2" s="1754"/>
      <c r="N2" s="1754"/>
      <c r="O2" s="1754"/>
      <c r="P2" s="1754"/>
      <c r="Q2" s="1754"/>
      <c r="R2" s="1754"/>
      <c r="S2" s="1383"/>
      <c r="T2" s="1383"/>
      <c r="U2" s="1370"/>
      <c r="V2" s="1755" t="s">
        <v>692</v>
      </c>
      <c r="W2" s="1756"/>
      <c r="X2" s="1756"/>
      <c r="Y2" s="1756"/>
      <c r="Z2" s="1756"/>
      <c r="AA2" s="1756"/>
      <c r="AB2" s="1756"/>
      <c r="AC2" s="1756"/>
      <c r="AD2" s="1756"/>
      <c r="AE2" s="1757"/>
      <c r="AI2" s="425" t="s">
        <v>559</v>
      </c>
      <c r="AU2" s="425" t="s">
        <v>607</v>
      </c>
    </row>
    <row r="3" spans="1:48" ht="38.25" customHeight="1" thickBot="1" x14ac:dyDescent="0.3">
      <c r="A3" s="1286" t="s">
        <v>729</v>
      </c>
      <c r="B3" s="1236"/>
      <c r="C3" s="1236"/>
      <c r="D3" s="1236"/>
      <c r="E3" s="1236"/>
      <c r="F3" s="1771" t="s">
        <v>750</v>
      </c>
      <c r="G3" s="1772"/>
      <c r="H3" s="1479"/>
      <c r="I3" s="1281"/>
      <c r="J3" s="1281"/>
      <c r="K3" s="1282" t="s">
        <v>751</v>
      </c>
      <c r="L3" s="1283">
        <f>Budget!$D$44</f>
        <v>30</v>
      </c>
      <c r="M3" s="1280"/>
      <c r="N3" s="1380"/>
      <c r="O3" s="1380"/>
      <c r="P3" s="1380"/>
      <c r="Q3" s="1284"/>
      <c r="R3" s="1284"/>
      <c r="S3" s="1672" t="s">
        <v>766</v>
      </c>
      <c r="T3" s="1672"/>
      <c r="U3" s="1773"/>
      <c r="V3" s="1476"/>
      <c r="W3" s="1252" t="s">
        <v>99</v>
      </c>
      <c r="X3" s="1253">
        <f>Budget!C29</f>
        <v>3</v>
      </c>
      <c r="Y3" s="1251"/>
      <c r="Z3" s="1251"/>
      <c r="AA3" s="1252" t="s">
        <v>100</v>
      </c>
      <c r="AB3" s="1253">
        <f>Budget!B29</f>
        <v>10</v>
      </c>
      <c r="AC3" s="1273"/>
      <c r="AD3" s="1255" t="s">
        <v>196</v>
      </c>
      <c r="AE3" s="1276">
        <f>Budget!I7</f>
        <v>1</v>
      </c>
      <c r="AI3" s="1688" t="s">
        <v>574</v>
      </c>
      <c r="AJ3" s="1689"/>
      <c r="AK3" s="1689"/>
      <c r="AL3" s="1689"/>
      <c r="AM3" s="1689"/>
      <c r="AN3" s="1689"/>
      <c r="AO3" s="1689"/>
      <c r="AP3" s="1689"/>
      <c r="AQ3" s="1689"/>
      <c r="AR3" s="1689"/>
      <c r="AS3" s="1690"/>
    </row>
    <row r="4" spans="1:48" ht="32.25" customHeight="1" thickBot="1" x14ac:dyDescent="0.3">
      <c r="A4" s="1277"/>
      <c r="B4" s="1244" t="s">
        <v>724</v>
      </c>
      <c r="C4" s="1244"/>
      <c r="D4" s="1244"/>
      <c r="E4" s="1244"/>
      <c r="F4" s="1285" t="s">
        <v>79</v>
      </c>
      <c r="G4" s="1478" t="s">
        <v>80</v>
      </c>
      <c r="H4" s="1750" t="s">
        <v>571</v>
      </c>
      <c r="I4" s="1695"/>
      <c r="J4" s="1696" t="s">
        <v>267</v>
      </c>
      <c r="K4" s="1695"/>
      <c r="L4" s="1695"/>
      <c r="M4" s="1645" t="s">
        <v>565</v>
      </c>
      <c r="N4" s="1645"/>
      <c r="O4" s="1645"/>
      <c r="P4" s="1695" t="s">
        <v>566</v>
      </c>
      <c r="Q4" s="1695"/>
      <c r="R4" s="1695"/>
      <c r="S4" s="1477"/>
      <c r="T4" s="1477"/>
      <c r="U4" s="1480"/>
      <c r="V4" s="1723" t="s">
        <v>70</v>
      </c>
      <c r="W4" s="1697"/>
      <c r="X4" s="1159"/>
      <c r="Y4" s="1697" t="s">
        <v>204</v>
      </c>
      <c r="Z4" s="1697"/>
      <c r="AA4" s="1700" t="s">
        <v>70</v>
      </c>
      <c r="AB4" s="1700"/>
      <c r="AC4" s="1700"/>
      <c r="AD4" s="1700" t="s">
        <v>205</v>
      </c>
      <c r="AE4" s="1749"/>
      <c r="AI4" s="1637" t="str">
        <f>A2</f>
        <v>Item Information</v>
      </c>
      <c r="AJ4" s="1638"/>
      <c r="AK4" s="1657"/>
      <c r="AL4" s="1637" t="str">
        <f t="shared" ref="AL4:AL10" si="0">H4</f>
        <v>Quantity: Class size of…</v>
      </c>
      <c r="AM4" s="1657"/>
      <c r="AN4" s="1691" t="str">
        <f t="shared" ref="AN4:AN11" si="1">F4</f>
        <v>Retail</v>
      </c>
      <c r="AO4" s="1638"/>
      <c r="AP4" s="1638"/>
      <c r="AQ4" s="1692" t="str">
        <f t="shared" ref="AQ4:AQ11" si="2">G4</f>
        <v>Online</v>
      </c>
      <c r="AR4" s="1638"/>
      <c r="AS4" s="1657"/>
    </row>
    <row r="5" spans="1:48" ht="48.75" customHeight="1" thickBot="1" x14ac:dyDescent="0.3">
      <c r="A5" s="451" t="s">
        <v>573</v>
      </c>
      <c r="B5" s="452" t="s">
        <v>777</v>
      </c>
      <c r="C5" s="452" t="s">
        <v>65</v>
      </c>
      <c r="D5" s="452" t="s">
        <v>1</v>
      </c>
      <c r="E5" s="452" t="s">
        <v>2</v>
      </c>
      <c r="F5" s="1231" t="s">
        <v>567</v>
      </c>
      <c r="G5" s="1369" t="s">
        <v>567</v>
      </c>
      <c r="H5" s="475">
        <v>30</v>
      </c>
      <c r="I5" s="821">
        <v>40</v>
      </c>
      <c r="J5" s="477" t="s">
        <v>161</v>
      </c>
      <c r="K5" s="477" t="s">
        <v>162</v>
      </c>
      <c r="L5" s="477" t="s">
        <v>70</v>
      </c>
      <c r="M5" s="477" t="s">
        <v>546</v>
      </c>
      <c r="N5" s="821">
        <v>30</v>
      </c>
      <c r="O5" s="821">
        <v>40</v>
      </c>
      <c r="P5" s="477" t="s">
        <v>546</v>
      </c>
      <c r="Q5" s="821">
        <v>30</v>
      </c>
      <c r="R5" s="821">
        <v>40</v>
      </c>
      <c r="S5" s="766" t="s">
        <v>70</v>
      </c>
      <c r="T5" s="766" t="s">
        <v>757</v>
      </c>
      <c r="U5" s="833" t="s">
        <v>758</v>
      </c>
      <c r="V5" s="1367" t="s">
        <v>83</v>
      </c>
      <c r="W5" s="490" t="s">
        <v>82</v>
      </c>
      <c r="X5" s="493" t="s">
        <v>199</v>
      </c>
      <c r="Y5" s="493" t="s">
        <v>79</v>
      </c>
      <c r="Z5" s="493" t="s">
        <v>80</v>
      </c>
      <c r="AA5" s="493" t="s">
        <v>197</v>
      </c>
      <c r="AB5" s="493" t="s">
        <v>198</v>
      </c>
      <c r="AC5" s="493" t="s">
        <v>200</v>
      </c>
      <c r="AD5" s="493" t="s">
        <v>79</v>
      </c>
      <c r="AE5" s="491" t="s">
        <v>80</v>
      </c>
      <c r="AI5" s="205" t="str">
        <f t="shared" ref="AI5:AI11" si="3">A5</f>
        <v>Item to Purchase</v>
      </c>
      <c r="AJ5" s="197" t="str">
        <f t="shared" ref="AJ5:AK10" si="4">C5</f>
        <v>Re usable</v>
      </c>
      <c r="AK5" s="233" t="str">
        <f t="shared" si="4"/>
        <v>Where Found</v>
      </c>
      <c r="AL5" s="230">
        <f t="shared" si="0"/>
        <v>30</v>
      </c>
      <c r="AM5" s="198">
        <f t="shared" ref="AM5:AM10" si="5">I5</f>
        <v>40</v>
      </c>
      <c r="AN5" s="235" t="str">
        <f t="shared" si="1"/>
        <v>Ea.</v>
      </c>
      <c r="AO5" s="234">
        <f t="shared" ref="AO5:AP11" si="6">N5</f>
        <v>30</v>
      </c>
      <c r="AP5" s="232">
        <f t="shared" si="6"/>
        <v>40</v>
      </c>
      <c r="AQ5" s="235" t="str">
        <f t="shared" si="2"/>
        <v>Ea.</v>
      </c>
      <c r="AR5" s="197">
        <f>Q5</f>
        <v>30</v>
      </c>
      <c r="AS5" s="233">
        <f>R5</f>
        <v>40</v>
      </c>
      <c r="AU5" s="319" t="str">
        <f t="shared" ref="AU5:AU11" si="7">A5</f>
        <v>Item to Purchase</v>
      </c>
      <c r="AV5" s="320" t="str">
        <f t="shared" ref="AV5:AV11" si="8">E5</f>
        <v>Notes</v>
      </c>
    </row>
    <row r="6" spans="1:48" ht="129.75" customHeight="1" thickBot="1" x14ac:dyDescent="0.3">
      <c r="A6" s="822" t="s">
        <v>603</v>
      </c>
      <c r="B6" s="759" t="s">
        <v>806</v>
      </c>
      <c r="C6" s="759" t="s">
        <v>66</v>
      </c>
      <c r="D6" s="759" t="s">
        <v>160</v>
      </c>
      <c r="E6" s="759" t="s">
        <v>604</v>
      </c>
      <c r="F6" s="760">
        <v>8</v>
      </c>
      <c r="G6" s="760">
        <v>12</v>
      </c>
      <c r="H6" s="930">
        <v>4</v>
      </c>
      <c r="I6" s="930">
        <v>5</v>
      </c>
      <c r="J6" s="862">
        <v>0</v>
      </c>
      <c r="K6" s="1430">
        <f>4/30</f>
        <v>0.13333333333333333</v>
      </c>
      <c r="L6" s="930">
        <f>ROUNDUP(J6+(K6*L$3),0)</f>
        <v>4</v>
      </c>
      <c r="M6" s="839">
        <f>L6*F6</f>
        <v>32</v>
      </c>
      <c r="N6" s="839">
        <f>F6*H6</f>
        <v>32</v>
      </c>
      <c r="O6" s="839">
        <f>F6*I6</f>
        <v>40</v>
      </c>
      <c r="P6" s="839">
        <f>G6*L6</f>
        <v>48</v>
      </c>
      <c r="Q6" s="839">
        <f>G6*H6</f>
        <v>48</v>
      </c>
      <c r="R6" s="839">
        <f>G6*I6</f>
        <v>60</v>
      </c>
      <c r="S6" s="732">
        <f>IF(C6="yes",0,L6)</f>
        <v>0</v>
      </c>
      <c r="T6" s="694">
        <f>S6*F6</f>
        <v>0</v>
      </c>
      <c r="U6" s="694">
        <f>S6*G6</f>
        <v>0</v>
      </c>
      <c r="V6" s="938">
        <v>0</v>
      </c>
      <c r="W6" s="938">
        <v>1</v>
      </c>
      <c r="X6" s="938">
        <f>ROUNDUP(V6+AB$3/X$3*W6,0)</f>
        <v>4</v>
      </c>
      <c r="Y6" s="843">
        <f>X6*F6</f>
        <v>32</v>
      </c>
      <c r="Z6" s="985">
        <f>X6*G6</f>
        <v>48</v>
      </c>
      <c r="AA6" s="938">
        <v>1</v>
      </c>
      <c r="AB6" s="938">
        <f>AA6*AE$3</f>
        <v>1</v>
      </c>
      <c r="AC6" s="938">
        <f>MAX(X6-AB6,0)</f>
        <v>3</v>
      </c>
      <c r="AD6" s="846">
        <f>AC6*F6</f>
        <v>24</v>
      </c>
      <c r="AE6" s="847">
        <f>AC6*G6</f>
        <v>36</v>
      </c>
      <c r="AI6" s="242" t="str">
        <f t="shared" si="3"/>
        <v>"MDF" Particle board (ramps) nominal 1x6x32 (actual 5.5" x 5/8" x 32: or 5.5" x 11/16" x 32")</v>
      </c>
      <c r="AJ6" s="210" t="str">
        <f t="shared" si="4"/>
        <v>yes</v>
      </c>
      <c r="AK6" s="210" t="str">
        <f t="shared" si="4"/>
        <v>Home Improvement; Hardware; some variety</v>
      </c>
      <c r="AL6" s="211">
        <f t="shared" si="0"/>
        <v>4</v>
      </c>
      <c r="AM6" s="211">
        <f t="shared" si="5"/>
        <v>5</v>
      </c>
      <c r="AN6" s="212">
        <f t="shared" si="1"/>
        <v>8</v>
      </c>
      <c r="AO6" s="212">
        <f t="shared" si="6"/>
        <v>32</v>
      </c>
      <c r="AP6" s="212">
        <f t="shared" si="6"/>
        <v>40</v>
      </c>
      <c r="AQ6" s="212">
        <f t="shared" si="2"/>
        <v>12</v>
      </c>
      <c r="AR6" s="212">
        <f>Q6</f>
        <v>48</v>
      </c>
      <c r="AS6" s="253">
        <f>R6</f>
        <v>60</v>
      </c>
      <c r="AU6" s="321" t="str">
        <f t="shared" si="7"/>
        <v>"MDF" Particle board (ramps) nominal 1x6x32 (actual 5.5" x 5/8" x 32: or 5.5" x 11/16" x 32")</v>
      </c>
      <c r="AV6" s="322" t="str">
        <f t="shared" si="8"/>
        <v>Buy 8-foot boards and have the store pre-cut them into thirds -- giving you 3 ramps of about 32 inches each.  Class of 30 needs 12 ramps.  Class of 40 needs 15. No reasonable online alternative found.</v>
      </c>
    </row>
    <row r="7" spans="1:48" ht="79.5" thickBot="1" x14ac:dyDescent="0.3">
      <c r="A7" s="469" t="s">
        <v>620</v>
      </c>
      <c r="B7" s="442">
        <v>1</v>
      </c>
      <c r="C7" s="437" t="s">
        <v>66</v>
      </c>
      <c r="D7" s="437" t="s">
        <v>621</v>
      </c>
      <c r="E7" s="437" t="s">
        <v>622</v>
      </c>
      <c r="F7" s="763">
        <v>6</v>
      </c>
      <c r="G7" s="763">
        <v>6.42</v>
      </c>
      <c r="H7" s="931">
        <v>12</v>
      </c>
      <c r="I7" s="931">
        <v>15</v>
      </c>
      <c r="J7" s="864">
        <v>0</v>
      </c>
      <c r="K7" s="1342">
        <v>0.4</v>
      </c>
      <c r="L7" s="931">
        <f t="shared" ref="L7:L10" si="9">ROUNDUP(J7+(K7*L$3),0)</f>
        <v>12</v>
      </c>
      <c r="M7" s="761">
        <f>L7*F7</f>
        <v>72</v>
      </c>
      <c r="N7" s="839">
        <f>F7*H7</f>
        <v>72</v>
      </c>
      <c r="O7" s="839">
        <f>F7*I7</f>
        <v>90</v>
      </c>
      <c r="P7" s="761">
        <f>G7*L7</f>
        <v>77.039999999999992</v>
      </c>
      <c r="Q7" s="761">
        <f>G7*H7</f>
        <v>77.039999999999992</v>
      </c>
      <c r="R7" s="761">
        <f>G7*I7</f>
        <v>96.3</v>
      </c>
      <c r="S7" s="732">
        <f t="shared" ref="S7:S10" si="10">IF(C7="yes",0,L7)</f>
        <v>0</v>
      </c>
      <c r="T7" s="694">
        <f t="shared" ref="T7:T10" si="11">S7*F7</f>
        <v>0</v>
      </c>
      <c r="U7" s="694">
        <f t="shared" ref="U7:U10" si="12">S7*G7</f>
        <v>0</v>
      </c>
      <c r="V7" s="939">
        <v>0</v>
      </c>
      <c r="W7" s="939">
        <v>1</v>
      </c>
      <c r="X7" s="939">
        <f>ROUNDUP(V7+AB$3/X$3*W7,0)</f>
        <v>4</v>
      </c>
      <c r="Y7" s="762">
        <f>X7*F7</f>
        <v>24</v>
      </c>
      <c r="Z7" s="980">
        <f>X7*G7</f>
        <v>25.68</v>
      </c>
      <c r="AA7" s="939">
        <v>1</v>
      </c>
      <c r="AB7" s="939">
        <f>AA7*AE$3</f>
        <v>1</v>
      </c>
      <c r="AC7" s="939">
        <f t="shared" ref="AC7:AC15" si="13">MAX(X7-AB7,0)</f>
        <v>3</v>
      </c>
      <c r="AD7" s="848">
        <f>AC7*F7</f>
        <v>18</v>
      </c>
      <c r="AE7" s="849">
        <f>AC7*G7</f>
        <v>19.259999999999998</v>
      </c>
      <c r="AI7" s="243" t="str">
        <f t="shared" si="3"/>
        <v>Stop watch or  timer with count up from 0 function in hundredths</v>
      </c>
      <c r="AJ7" s="206" t="str">
        <f t="shared" si="4"/>
        <v>yes</v>
      </c>
      <c r="AK7" s="206" t="str">
        <f t="shared" si="4"/>
        <v>Variety; science supply; PE supply</v>
      </c>
      <c r="AL7" s="188">
        <f t="shared" si="0"/>
        <v>12</v>
      </c>
      <c r="AM7" s="188">
        <f t="shared" si="5"/>
        <v>15</v>
      </c>
      <c r="AN7" s="189">
        <f t="shared" si="1"/>
        <v>6</v>
      </c>
      <c r="AO7" s="189">
        <f t="shared" si="6"/>
        <v>72</v>
      </c>
      <c r="AP7" s="189">
        <f t="shared" si="6"/>
        <v>90</v>
      </c>
      <c r="AQ7" s="189">
        <f t="shared" si="2"/>
        <v>6.42</v>
      </c>
      <c r="AR7" s="189">
        <f t="shared" ref="AR7:AR15" si="14">Q7</f>
        <v>77.039999999999992</v>
      </c>
      <c r="AS7" s="190">
        <f t="shared" ref="AS7:AS15" si="15">R7</f>
        <v>96.3</v>
      </c>
      <c r="AU7" s="321" t="str">
        <f t="shared" si="7"/>
        <v>Stop watch or  timer with count up from 0 function in hundredths</v>
      </c>
      <c r="AV7" s="322" t="str">
        <f t="shared" si="8"/>
        <v>many digital lab timers have hundredths; most stopwatches have hundredths</v>
      </c>
    </row>
    <row r="8" spans="1:48" ht="102.75" thickBot="1" x14ac:dyDescent="0.3">
      <c r="A8" s="570" t="s">
        <v>193</v>
      </c>
      <c r="B8" s="442">
        <v>150</v>
      </c>
      <c r="C8" s="437" t="s">
        <v>66</v>
      </c>
      <c r="D8" s="437" t="s">
        <v>192</v>
      </c>
      <c r="E8" s="437" t="s">
        <v>821</v>
      </c>
      <c r="F8" s="763">
        <v>2</v>
      </c>
      <c r="G8" s="763">
        <v>1.75</v>
      </c>
      <c r="H8" s="931">
        <v>2</v>
      </c>
      <c r="I8" s="931">
        <v>2</v>
      </c>
      <c r="J8" s="864">
        <v>2</v>
      </c>
      <c r="K8" s="864">
        <v>0</v>
      </c>
      <c r="L8" s="931">
        <f t="shared" si="9"/>
        <v>2</v>
      </c>
      <c r="M8" s="761">
        <f>L8*F8</f>
        <v>4</v>
      </c>
      <c r="N8" s="839">
        <f>F8*H8</f>
        <v>4</v>
      </c>
      <c r="O8" s="839">
        <f>F8*I8</f>
        <v>4</v>
      </c>
      <c r="P8" s="761">
        <f>G8*L8</f>
        <v>3.5</v>
      </c>
      <c r="Q8" s="761">
        <f>G8*H8</f>
        <v>3.5</v>
      </c>
      <c r="R8" s="761">
        <f>G8*I8</f>
        <v>3.5</v>
      </c>
      <c r="S8" s="732">
        <f t="shared" si="10"/>
        <v>0</v>
      </c>
      <c r="T8" s="694">
        <f t="shared" si="11"/>
        <v>0</v>
      </c>
      <c r="U8" s="694">
        <f t="shared" si="12"/>
        <v>0</v>
      </c>
      <c r="V8" s="939">
        <v>1</v>
      </c>
      <c r="W8" s="939">
        <v>0</v>
      </c>
      <c r="X8" s="939">
        <f>ROUNDUP(V8+AB$3/X$3*W8,0)</f>
        <v>1</v>
      </c>
      <c r="Y8" s="762">
        <f>X8*F8</f>
        <v>2</v>
      </c>
      <c r="Z8" s="980">
        <f>X8*G8</f>
        <v>1.75</v>
      </c>
      <c r="AA8" s="939">
        <v>1</v>
      </c>
      <c r="AB8" s="939">
        <f>AA8*AE$3</f>
        <v>1</v>
      </c>
      <c r="AC8" s="939">
        <f t="shared" si="13"/>
        <v>0</v>
      </c>
      <c r="AD8" s="848">
        <f>AC8*F8</f>
        <v>0</v>
      </c>
      <c r="AE8" s="849">
        <f>AC8*G8</f>
        <v>0</v>
      </c>
      <c r="AI8" s="243" t="str">
        <f t="shared" si="3"/>
        <v>Regular-sized (popsicle) and Jumbo-sized wooden craft sticks, variety of colors preferred.</v>
      </c>
      <c r="AJ8" s="206" t="str">
        <f t="shared" si="4"/>
        <v>yes</v>
      </c>
      <c r="AK8" s="206" t="str">
        <f t="shared" si="4"/>
        <v>Craft, variety, grocery</v>
      </c>
      <c r="AL8" s="188">
        <f t="shared" si="0"/>
        <v>2</v>
      </c>
      <c r="AM8" s="188">
        <f t="shared" si="5"/>
        <v>2</v>
      </c>
      <c r="AN8" s="189">
        <f t="shared" si="1"/>
        <v>2</v>
      </c>
      <c r="AO8" s="189">
        <f t="shared" si="6"/>
        <v>4</v>
      </c>
      <c r="AP8" s="189">
        <f t="shared" si="6"/>
        <v>4</v>
      </c>
      <c r="AQ8" s="189">
        <f t="shared" si="2"/>
        <v>1.75</v>
      </c>
      <c r="AR8" s="189">
        <f t="shared" si="14"/>
        <v>3.5</v>
      </c>
      <c r="AS8" s="190">
        <f t="shared" si="15"/>
        <v>3.5</v>
      </c>
      <c r="AU8" s="321" t="str">
        <f t="shared" si="7"/>
        <v>Regular-sized (popsicle) and Jumbo-sized wooden craft sticks, variety of colors preferred.</v>
      </c>
      <c r="AV8" s="322" t="str">
        <f t="shared" si="8"/>
        <v>Online has various options, 75-150 count; www.flowerfactory.com; various sizes including coffee stirrers, tongue depressors, spoons could all work. Michaels has a “Woodsies” value set that contains 10 different kinds of wood sticks and spoons, 750 pcs total.</v>
      </c>
    </row>
    <row r="9" spans="1:48" ht="64.5" thickBot="1" x14ac:dyDescent="0.3">
      <c r="A9" s="469" t="s">
        <v>189</v>
      </c>
      <c r="B9" s="440" t="s">
        <v>772</v>
      </c>
      <c r="C9" s="438" t="s">
        <v>66</v>
      </c>
      <c r="D9" s="437" t="s">
        <v>190</v>
      </c>
      <c r="E9" s="437" t="s">
        <v>191</v>
      </c>
      <c r="F9" s="763">
        <v>2</v>
      </c>
      <c r="G9" s="763">
        <v>3</v>
      </c>
      <c r="H9" s="931">
        <v>1</v>
      </c>
      <c r="I9" s="931">
        <v>1</v>
      </c>
      <c r="J9" s="864">
        <f t="shared" ref="J9" si="16">H9-K9*30</f>
        <v>1</v>
      </c>
      <c r="K9" s="864">
        <f t="shared" ref="K9" si="17">(I9-H9)/10</f>
        <v>0</v>
      </c>
      <c r="L9" s="931">
        <f t="shared" si="9"/>
        <v>1</v>
      </c>
      <c r="M9" s="761">
        <f>L9*F9</f>
        <v>2</v>
      </c>
      <c r="N9" s="839">
        <f>F9*H9</f>
        <v>2</v>
      </c>
      <c r="O9" s="839">
        <f>F9*I9</f>
        <v>2</v>
      </c>
      <c r="P9" s="761">
        <f>G9*L9</f>
        <v>3</v>
      </c>
      <c r="Q9" s="761">
        <f>G9*H9</f>
        <v>3</v>
      </c>
      <c r="R9" s="761">
        <f>G9*I9</f>
        <v>3</v>
      </c>
      <c r="S9" s="732">
        <f t="shared" si="10"/>
        <v>0</v>
      </c>
      <c r="T9" s="694">
        <f t="shared" si="11"/>
        <v>0</v>
      </c>
      <c r="U9" s="694">
        <f t="shared" si="12"/>
        <v>0</v>
      </c>
      <c r="V9" s="939">
        <v>1</v>
      </c>
      <c r="W9" s="939">
        <v>0</v>
      </c>
      <c r="X9" s="939">
        <f>ROUNDUP(V9+AB$3/X$3*W9,0)</f>
        <v>1</v>
      </c>
      <c r="Y9" s="762">
        <f>X9*F9</f>
        <v>2</v>
      </c>
      <c r="Z9" s="980">
        <f>X9*G9</f>
        <v>3</v>
      </c>
      <c r="AA9" s="939">
        <v>1</v>
      </c>
      <c r="AB9" s="939">
        <f>AA9*AE$3</f>
        <v>1</v>
      </c>
      <c r="AC9" s="939">
        <f t="shared" si="13"/>
        <v>0</v>
      </c>
      <c r="AD9" s="848">
        <f>AC9*F9</f>
        <v>0</v>
      </c>
      <c r="AE9" s="849">
        <f>AC9*G9</f>
        <v>0</v>
      </c>
      <c r="AI9" s="243" t="str">
        <f t="shared" si="3"/>
        <v>Straws (bearings) straight straws will have less waste than flexible ones; variety of colors is good</v>
      </c>
      <c r="AJ9" s="206" t="str">
        <f t="shared" si="4"/>
        <v>yes</v>
      </c>
      <c r="AK9" s="206" t="str">
        <f t="shared" si="4"/>
        <v>Dollar, Craft, Grocery</v>
      </c>
      <c r="AL9" s="188">
        <f t="shared" si="0"/>
        <v>1</v>
      </c>
      <c r="AM9" s="188">
        <f t="shared" si="5"/>
        <v>1</v>
      </c>
      <c r="AN9" s="189">
        <f t="shared" si="1"/>
        <v>2</v>
      </c>
      <c r="AO9" s="189">
        <f t="shared" si="6"/>
        <v>2</v>
      </c>
      <c r="AP9" s="189">
        <f t="shared" si="6"/>
        <v>2</v>
      </c>
      <c r="AQ9" s="189">
        <f t="shared" si="2"/>
        <v>3</v>
      </c>
      <c r="AR9" s="189">
        <f t="shared" si="14"/>
        <v>3</v>
      </c>
      <c r="AS9" s="190">
        <f t="shared" si="15"/>
        <v>3</v>
      </c>
      <c r="AU9" s="321" t="str">
        <f t="shared" si="7"/>
        <v>Straws (bearings) straight straws will have less waste than flexible ones; variety of colors is good</v>
      </c>
      <c r="AV9" s="322" t="str">
        <f t="shared" si="8"/>
        <v>These will be the bearings.  Try to get multi-colored straws for the reason stated above.      Online www.flowerfactory.com; www.drugstore.com</v>
      </c>
    </row>
    <row r="10" spans="1:48" s="29" customFormat="1" ht="27.75" customHeight="1" thickBot="1" x14ac:dyDescent="0.3">
      <c r="A10" s="572" t="s">
        <v>403</v>
      </c>
      <c r="B10" s="573" t="s">
        <v>807</v>
      </c>
      <c r="C10" s="573" t="s">
        <v>212</v>
      </c>
      <c r="D10" s="574"/>
      <c r="E10" s="574" t="s">
        <v>808</v>
      </c>
      <c r="F10" s="928">
        <v>1.79</v>
      </c>
      <c r="G10" s="928">
        <v>1.79</v>
      </c>
      <c r="H10" s="933">
        <v>1</v>
      </c>
      <c r="I10" s="933">
        <v>1</v>
      </c>
      <c r="J10" s="934">
        <v>1</v>
      </c>
      <c r="K10" s="934">
        <v>0</v>
      </c>
      <c r="L10" s="933">
        <f t="shared" si="9"/>
        <v>1</v>
      </c>
      <c r="M10" s="918">
        <f>L10*F10</f>
        <v>1.79</v>
      </c>
      <c r="N10" s="839">
        <f>F10*H10</f>
        <v>1.79</v>
      </c>
      <c r="O10" s="839">
        <f>F10*I10</f>
        <v>1.79</v>
      </c>
      <c r="P10" s="918">
        <f>G10*L10</f>
        <v>1.79</v>
      </c>
      <c r="Q10" s="918">
        <f>G10*H10</f>
        <v>1.79</v>
      </c>
      <c r="R10" s="918">
        <f>G10*I10</f>
        <v>1.79</v>
      </c>
      <c r="S10" s="732">
        <f t="shared" si="10"/>
        <v>1</v>
      </c>
      <c r="T10" s="694">
        <f t="shared" si="11"/>
        <v>1.79</v>
      </c>
      <c r="U10" s="694">
        <f t="shared" si="12"/>
        <v>1.79</v>
      </c>
      <c r="V10" s="941"/>
      <c r="W10" s="941"/>
      <c r="X10" s="941"/>
      <c r="Y10" s="844"/>
      <c r="Z10" s="996"/>
      <c r="AA10" s="941"/>
      <c r="AB10" s="941"/>
      <c r="AC10" s="941"/>
      <c r="AD10" s="1018"/>
      <c r="AE10" s="919"/>
      <c r="AI10" s="508" t="str">
        <f t="shared" si="3"/>
        <v>Masking tape</v>
      </c>
      <c r="AJ10" s="509" t="str">
        <f t="shared" si="4"/>
        <v>no</v>
      </c>
      <c r="AK10" s="509">
        <f t="shared" si="4"/>
        <v>0</v>
      </c>
      <c r="AL10" s="510">
        <f t="shared" si="0"/>
        <v>1</v>
      </c>
      <c r="AM10" s="510">
        <f t="shared" si="5"/>
        <v>1</v>
      </c>
      <c r="AN10" s="511">
        <f t="shared" si="1"/>
        <v>1.79</v>
      </c>
      <c r="AO10" s="511">
        <f t="shared" si="6"/>
        <v>1.79</v>
      </c>
      <c r="AP10" s="511">
        <f t="shared" si="6"/>
        <v>1.79</v>
      </c>
      <c r="AQ10" s="511">
        <f t="shared" si="2"/>
        <v>1.79</v>
      </c>
      <c r="AR10" s="511">
        <f t="shared" si="14"/>
        <v>1.79</v>
      </c>
      <c r="AS10" s="512">
        <f t="shared" si="15"/>
        <v>1.79</v>
      </c>
      <c r="AU10" s="513" t="str">
        <f t="shared" si="7"/>
        <v>Masking tape</v>
      </c>
      <c r="AV10" s="514" t="str">
        <f t="shared" si="8"/>
        <v>Dollar store masking tape substandard, don't buy.  Blue tape is too expensive</v>
      </c>
    </row>
    <row r="11" spans="1:48" s="15" customFormat="1" ht="16.5" thickBot="1" x14ac:dyDescent="0.3">
      <c r="A11" s="997" t="s">
        <v>105</v>
      </c>
      <c r="B11" s="998"/>
      <c r="C11" s="998"/>
      <c r="D11" s="999"/>
      <c r="E11" s="999" t="s">
        <v>619</v>
      </c>
      <c r="F11" s="1279"/>
      <c r="G11" s="1279"/>
      <c r="H11" s="1006"/>
      <c r="I11" s="1006"/>
      <c r="J11" s="1006"/>
      <c r="K11" s="1006"/>
      <c r="L11" s="1006"/>
      <c r="M11" s="790">
        <f t="shared" ref="M11:R11" si="18">SUM(M6:M10)</f>
        <v>111.79</v>
      </c>
      <c r="N11" s="790">
        <f t="shared" si="18"/>
        <v>111.79</v>
      </c>
      <c r="O11" s="790">
        <f t="shared" si="18"/>
        <v>137.79</v>
      </c>
      <c r="P11" s="790">
        <f t="shared" si="18"/>
        <v>133.32999999999998</v>
      </c>
      <c r="Q11" s="790">
        <f t="shared" si="18"/>
        <v>133.32999999999998</v>
      </c>
      <c r="R11" s="790">
        <f t="shared" si="18"/>
        <v>164.59</v>
      </c>
      <c r="S11" s="790"/>
      <c r="T11" s="790">
        <f>SUM(T6:T10)</f>
        <v>1.79</v>
      </c>
      <c r="U11" s="790">
        <f>SUM(U6:U10)</f>
        <v>1.79</v>
      </c>
      <c r="V11" s="1008"/>
      <c r="W11" s="1008"/>
      <c r="X11" s="1009">
        <f>ROUNDUP(V11+AB$3/X$3*W11,0)</f>
        <v>0</v>
      </c>
      <c r="Y11" s="791">
        <f>SUM(Y6:Y10)</f>
        <v>60</v>
      </c>
      <c r="Z11" s="791">
        <f>SUM(Z6:Z10)</f>
        <v>78.430000000000007</v>
      </c>
      <c r="AA11" s="1009"/>
      <c r="AB11" s="1009"/>
      <c r="AC11" s="1009"/>
      <c r="AD11" s="791">
        <f>SUM(AD6:AD10)</f>
        <v>42</v>
      </c>
      <c r="AE11" s="791">
        <f>SUM(AE6:AE10)</f>
        <v>55.26</v>
      </c>
      <c r="AI11" s="1761" t="str">
        <f t="shared" si="3"/>
        <v>Subtotal</v>
      </c>
      <c r="AJ11" s="1762"/>
      <c r="AK11" s="1762"/>
      <c r="AL11" s="1762"/>
      <c r="AM11" s="1763"/>
      <c r="AN11" s="256">
        <f t="shared" si="1"/>
        <v>0</v>
      </c>
      <c r="AO11" s="256">
        <f t="shared" si="6"/>
        <v>111.79</v>
      </c>
      <c r="AP11" s="256">
        <f t="shared" si="6"/>
        <v>137.79</v>
      </c>
      <c r="AQ11" s="256">
        <f t="shared" si="2"/>
        <v>0</v>
      </c>
      <c r="AR11" s="256">
        <f t="shared" si="14"/>
        <v>133.32999999999998</v>
      </c>
      <c r="AS11" s="257">
        <f t="shared" si="15"/>
        <v>164.59</v>
      </c>
      <c r="AU11" s="321" t="str">
        <f t="shared" si="7"/>
        <v>Subtotal</v>
      </c>
      <c r="AV11" s="322" t="str">
        <f t="shared" si="8"/>
        <v>none</v>
      </c>
    </row>
    <row r="12" spans="1:48" ht="24" customHeight="1" thickBot="1" x14ac:dyDescent="0.3">
      <c r="A12" s="466"/>
      <c r="B12" s="633"/>
      <c r="C12" s="633"/>
      <c r="D12" s="521"/>
      <c r="E12" s="521"/>
      <c r="F12" s="760"/>
      <c r="G12" s="760"/>
      <c r="H12" s="930"/>
      <c r="I12" s="930"/>
      <c r="J12" s="930"/>
      <c r="K12" s="930"/>
      <c r="L12" s="930"/>
      <c r="M12" s="839"/>
      <c r="N12" s="839"/>
      <c r="O12" s="839"/>
      <c r="P12" s="839"/>
      <c r="Q12" s="839"/>
      <c r="R12" s="839"/>
      <c r="S12" s="732">
        <f t="shared" ref="S12" si="19">IF(C12="yes",0,L12)</f>
        <v>0</v>
      </c>
      <c r="T12" s="694">
        <f t="shared" ref="T12" si="20">S12*F12</f>
        <v>0</v>
      </c>
      <c r="U12" s="694">
        <f t="shared" ref="U12" si="21">S12*G12</f>
        <v>0</v>
      </c>
      <c r="V12" s="938"/>
      <c r="W12" s="938"/>
      <c r="X12" s="938"/>
      <c r="Y12" s="843"/>
      <c r="Z12" s="985"/>
      <c r="AA12" s="938"/>
      <c r="AB12" s="938"/>
      <c r="AC12" s="938"/>
      <c r="AD12" s="846"/>
      <c r="AE12" s="847"/>
      <c r="AI12" s="242"/>
      <c r="AJ12" s="210"/>
      <c r="AK12" s="210"/>
      <c r="AL12" s="211"/>
      <c r="AM12" s="211"/>
      <c r="AN12" s="212"/>
      <c r="AO12" s="212"/>
      <c r="AP12" s="212"/>
      <c r="AQ12" s="212"/>
      <c r="AR12" s="212"/>
      <c r="AS12" s="253"/>
      <c r="AU12" s="321"/>
      <c r="AV12" s="322"/>
    </row>
    <row r="13" spans="1:48" ht="75" customHeight="1" thickBot="1" x14ac:dyDescent="0.3">
      <c r="A13" s="823" t="s">
        <v>730</v>
      </c>
      <c r="B13" s="1431" t="s">
        <v>809</v>
      </c>
      <c r="C13" s="458" t="s">
        <v>66</v>
      </c>
      <c r="D13" s="458" t="s">
        <v>163</v>
      </c>
      <c r="E13" s="979" t="s">
        <v>168</v>
      </c>
      <c r="F13" s="763">
        <v>0</v>
      </c>
      <c r="G13" s="763">
        <v>10</v>
      </c>
      <c r="H13" s="931">
        <v>2</v>
      </c>
      <c r="I13" s="931">
        <v>3</v>
      </c>
      <c r="J13" s="864">
        <f t="shared" ref="J13:J15" si="22">H13-K13*30</f>
        <v>-1</v>
      </c>
      <c r="K13" s="864">
        <f t="shared" ref="K13:K15" si="23">(I13-H13)/10</f>
        <v>0.1</v>
      </c>
      <c r="L13" s="931">
        <f t="shared" ref="L13:L15" si="24">ROUNDUP(J13+(K13*L$3),0)</f>
        <v>2</v>
      </c>
      <c r="M13" s="761">
        <f>L13*F13</f>
        <v>0</v>
      </c>
      <c r="N13" s="761">
        <f t="shared" ref="N13:O15" si="25">$F13*H13</f>
        <v>0</v>
      </c>
      <c r="O13" s="761">
        <f t="shared" si="25"/>
        <v>0</v>
      </c>
      <c r="P13" s="761">
        <f>G13*L13</f>
        <v>20</v>
      </c>
      <c r="Q13" s="761">
        <f>G13*H13</f>
        <v>20</v>
      </c>
      <c r="R13" s="761">
        <f>G13*I13</f>
        <v>30</v>
      </c>
      <c r="S13" s="732">
        <f t="shared" ref="S13:S15" si="26">IF(C13="yes",0,L13)</f>
        <v>0</v>
      </c>
      <c r="T13" s="694">
        <f t="shared" ref="T13:T15" si="27">S13*F13</f>
        <v>0</v>
      </c>
      <c r="U13" s="694">
        <f t="shared" ref="U13:U15" si="28">S13*G13</f>
        <v>0</v>
      </c>
      <c r="V13" s="939">
        <v>0</v>
      </c>
      <c r="W13" s="939">
        <v>0.25</v>
      </c>
      <c r="X13" s="939">
        <f>ROUNDUP(V13+AB$3/X$3*W13,0)</f>
        <v>1</v>
      </c>
      <c r="Y13" s="762">
        <f>X13*F13</f>
        <v>0</v>
      </c>
      <c r="Z13" s="980">
        <f>X13*G13</f>
        <v>10</v>
      </c>
      <c r="AA13" s="939">
        <v>1</v>
      </c>
      <c r="AB13" s="939">
        <f>AA13*AE$3</f>
        <v>1</v>
      </c>
      <c r="AC13" s="939">
        <f t="shared" si="13"/>
        <v>0</v>
      </c>
      <c r="AD13" s="848">
        <f>AC13*F13</f>
        <v>0</v>
      </c>
      <c r="AE13" s="849">
        <f>AC13*G13</f>
        <v>0</v>
      </c>
      <c r="AI13" s="243" t="str">
        <f>A13</f>
        <v>LEGO 20-tooth black double conical wheels (Product ID: W970623)</v>
      </c>
      <c r="AJ13" s="206" t="str">
        <f t="shared" ref="AJ13:AK15" si="29">C13</f>
        <v>yes</v>
      </c>
      <c r="AK13" s="206" t="str">
        <f t="shared" si="29"/>
        <v>LEGO Education Website</v>
      </c>
      <c r="AL13" s="188">
        <f t="shared" ref="AL13:AM15" si="30">H13</f>
        <v>2</v>
      </c>
      <c r="AM13" s="188">
        <f t="shared" si="30"/>
        <v>3</v>
      </c>
      <c r="AN13" s="189">
        <f t="shared" ref="AN13:AN20" si="31">F13</f>
        <v>0</v>
      </c>
      <c r="AO13" s="189">
        <f t="shared" ref="AO13:AP20" si="32">N13</f>
        <v>0</v>
      </c>
      <c r="AP13" s="189">
        <f t="shared" si="32"/>
        <v>0</v>
      </c>
      <c r="AQ13" s="189">
        <f t="shared" ref="AQ13:AQ20" si="33">G13</f>
        <v>10</v>
      </c>
      <c r="AR13" s="189">
        <f t="shared" si="14"/>
        <v>20</v>
      </c>
      <c r="AS13" s="190">
        <f t="shared" si="15"/>
        <v>30</v>
      </c>
      <c r="AU13" s="321" t="str">
        <f>A13</f>
        <v>LEGO 20-tooth black double conical wheels (Product ID: W970623)</v>
      </c>
      <c r="AV13" s="322" t="str">
        <f>E13</f>
        <v xml:space="preserve">http://www.legoeducation.us/eng/product/20_tooth_double_conical_wheels/865 </v>
      </c>
    </row>
    <row r="14" spans="1:48" ht="75" customHeight="1" thickBot="1" x14ac:dyDescent="0.3">
      <c r="A14" s="823" t="s">
        <v>28</v>
      </c>
      <c r="B14" s="1431" t="s">
        <v>809</v>
      </c>
      <c r="C14" s="458" t="s">
        <v>66</v>
      </c>
      <c r="D14" s="458" t="s">
        <v>163</v>
      </c>
      <c r="E14" s="458" t="s">
        <v>164</v>
      </c>
      <c r="F14" s="763">
        <v>0</v>
      </c>
      <c r="G14" s="763">
        <v>10</v>
      </c>
      <c r="H14" s="931">
        <v>1</v>
      </c>
      <c r="I14" s="931">
        <v>2</v>
      </c>
      <c r="J14" s="864">
        <f t="shared" si="22"/>
        <v>-2</v>
      </c>
      <c r="K14" s="864">
        <f t="shared" si="23"/>
        <v>0.1</v>
      </c>
      <c r="L14" s="931">
        <f t="shared" si="24"/>
        <v>1</v>
      </c>
      <c r="M14" s="761">
        <f>L14*F14</f>
        <v>0</v>
      </c>
      <c r="N14" s="761">
        <f t="shared" si="25"/>
        <v>0</v>
      </c>
      <c r="O14" s="761">
        <f t="shared" si="25"/>
        <v>0</v>
      </c>
      <c r="P14" s="761">
        <f>G14*L14</f>
        <v>10</v>
      </c>
      <c r="Q14" s="761">
        <f>G14*H14</f>
        <v>10</v>
      </c>
      <c r="R14" s="761">
        <f>G14*I14</f>
        <v>20</v>
      </c>
      <c r="S14" s="732">
        <f t="shared" si="26"/>
        <v>0</v>
      </c>
      <c r="T14" s="694">
        <f t="shared" si="27"/>
        <v>0</v>
      </c>
      <c r="U14" s="694">
        <f t="shared" si="28"/>
        <v>0</v>
      </c>
      <c r="V14" s="939">
        <v>0</v>
      </c>
      <c r="W14" s="939">
        <v>0.25</v>
      </c>
      <c r="X14" s="939">
        <f>ROUNDUP(V14+AB$3/X$3*W14,0)</f>
        <v>1</v>
      </c>
      <c r="Y14" s="762">
        <f>X14*F14</f>
        <v>0</v>
      </c>
      <c r="Z14" s="980">
        <f>X14*G14</f>
        <v>10</v>
      </c>
      <c r="AA14" s="939">
        <v>1</v>
      </c>
      <c r="AB14" s="939">
        <f>AA14*AE$3</f>
        <v>1</v>
      </c>
      <c r="AC14" s="939">
        <f t="shared" si="13"/>
        <v>0</v>
      </c>
      <c r="AD14" s="848">
        <f>AC14*F14</f>
        <v>0</v>
      </c>
      <c r="AE14" s="849">
        <f>AC14*G14</f>
        <v>0</v>
      </c>
      <c r="AI14" s="243" t="str">
        <f>A14</f>
        <v>LEGO 12-tooth black double conical wheels (Product ID W991327)</v>
      </c>
      <c r="AJ14" s="206" t="str">
        <f t="shared" si="29"/>
        <v>yes</v>
      </c>
      <c r="AK14" s="206" t="str">
        <f t="shared" si="29"/>
        <v>LEGO Education Website</v>
      </c>
      <c r="AL14" s="188">
        <f t="shared" si="30"/>
        <v>1</v>
      </c>
      <c r="AM14" s="188">
        <f t="shared" si="30"/>
        <v>2</v>
      </c>
      <c r="AN14" s="189">
        <f t="shared" si="31"/>
        <v>0</v>
      </c>
      <c r="AO14" s="189">
        <f t="shared" si="32"/>
        <v>0</v>
      </c>
      <c r="AP14" s="189">
        <f t="shared" si="32"/>
        <v>0</v>
      </c>
      <c r="AQ14" s="189">
        <f t="shared" si="33"/>
        <v>10</v>
      </c>
      <c r="AR14" s="189">
        <f t="shared" si="14"/>
        <v>10</v>
      </c>
      <c r="AS14" s="190">
        <f t="shared" si="15"/>
        <v>20</v>
      </c>
      <c r="AU14" s="321" t="str">
        <f>A14</f>
        <v>LEGO 12-tooth black double conical wheels (Product ID W991327)</v>
      </c>
      <c r="AV14" s="322" t="str">
        <f>E14</f>
        <v>These are the small wheels.  http://www.legoeducation.us/eng/product/12_tooth_black_double_conical_wheels/1320</v>
      </c>
    </row>
    <row r="15" spans="1:48" ht="78.75" customHeight="1" thickBot="1" x14ac:dyDescent="0.3">
      <c r="A15" s="884" t="s">
        <v>71</v>
      </c>
      <c r="B15" s="879" t="s">
        <v>810</v>
      </c>
      <c r="C15" s="879" t="s">
        <v>66</v>
      </c>
      <c r="D15" s="879" t="s">
        <v>163</v>
      </c>
      <c r="E15" s="1001" t="s">
        <v>611</v>
      </c>
      <c r="F15" s="928">
        <v>0</v>
      </c>
      <c r="G15" s="928">
        <v>10</v>
      </c>
      <c r="H15" s="933">
        <v>1</v>
      </c>
      <c r="I15" s="933">
        <v>2</v>
      </c>
      <c r="J15" s="934">
        <f t="shared" si="22"/>
        <v>-2</v>
      </c>
      <c r="K15" s="934">
        <f t="shared" si="23"/>
        <v>0.1</v>
      </c>
      <c r="L15" s="933">
        <f t="shared" si="24"/>
        <v>1</v>
      </c>
      <c r="M15" s="918">
        <f>L15*F15</f>
        <v>0</v>
      </c>
      <c r="N15" s="918">
        <f t="shared" si="25"/>
        <v>0</v>
      </c>
      <c r="O15" s="918">
        <f t="shared" si="25"/>
        <v>0</v>
      </c>
      <c r="P15" s="918">
        <f>G15*L15</f>
        <v>10</v>
      </c>
      <c r="Q15" s="918">
        <f>G15*H15</f>
        <v>10</v>
      </c>
      <c r="R15" s="918">
        <f>G15*I15</f>
        <v>20</v>
      </c>
      <c r="S15" s="732">
        <f t="shared" si="26"/>
        <v>0</v>
      </c>
      <c r="T15" s="694">
        <f t="shared" si="27"/>
        <v>0</v>
      </c>
      <c r="U15" s="694">
        <f t="shared" si="28"/>
        <v>0</v>
      </c>
      <c r="V15" s="941">
        <v>0</v>
      </c>
      <c r="W15" s="941">
        <v>0.25</v>
      </c>
      <c r="X15" s="941">
        <f>ROUNDUP(V15+AB$3/X$3*W15,0)</f>
        <v>1</v>
      </c>
      <c r="Y15" s="844">
        <f>X15*F15</f>
        <v>0</v>
      </c>
      <c r="Z15" s="996">
        <f>X15*G15</f>
        <v>10</v>
      </c>
      <c r="AA15" s="941">
        <v>1</v>
      </c>
      <c r="AB15" s="941">
        <f>AA15*AE$3</f>
        <v>1</v>
      </c>
      <c r="AC15" s="941">
        <f t="shared" si="13"/>
        <v>0</v>
      </c>
      <c r="AD15" s="1018">
        <f>AC15*F15</f>
        <v>0</v>
      </c>
      <c r="AE15" s="919">
        <f>AC15*G15</f>
        <v>0</v>
      </c>
      <c r="AI15" s="252" t="str">
        <f>A15</f>
        <v>Lego axles size 6M (Product ID W970614)</v>
      </c>
      <c r="AJ15" s="251" t="str">
        <f t="shared" si="29"/>
        <v>yes</v>
      </c>
      <c r="AK15" s="251" t="str">
        <f t="shared" si="29"/>
        <v>LEGO Education Website</v>
      </c>
      <c r="AL15" s="223">
        <f t="shared" si="30"/>
        <v>1</v>
      </c>
      <c r="AM15" s="223">
        <f t="shared" si="30"/>
        <v>2</v>
      </c>
      <c r="AN15" s="216">
        <f t="shared" si="31"/>
        <v>0</v>
      </c>
      <c r="AO15" s="216">
        <f t="shared" si="32"/>
        <v>0</v>
      </c>
      <c r="AP15" s="216">
        <f t="shared" si="32"/>
        <v>0</v>
      </c>
      <c r="AQ15" s="216">
        <f t="shared" si="33"/>
        <v>10</v>
      </c>
      <c r="AR15" s="216">
        <f t="shared" si="14"/>
        <v>10</v>
      </c>
      <c r="AS15" s="250">
        <f t="shared" si="15"/>
        <v>20</v>
      </c>
      <c r="AU15" s="321" t="str">
        <f>A15</f>
        <v>Lego axles size 6M (Product ID W970614)</v>
      </c>
      <c r="AV15" s="322" t="str">
        <f>E15</f>
        <v>http://www.legoeducation.us/eng/product/detail/2233?sku=W970614 -- sizes 5M or 7M also work</v>
      </c>
    </row>
    <row r="16" spans="1:48" s="15" customFormat="1" ht="20.100000000000001" customHeight="1" thickBot="1" x14ac:dyDescent="0.3">
      <c r="A16" s="1002" t="s">
        <v>105</v>
      </c>
      <c r="B16" s="1003"/>
      <c r="C16" s="1003"/>
      <c r="D16" s="1003"/>
      <c r="E16" s="1004" t="s">
        <v>619</v>
      </c>
      <c r="F16" s="1000"/>
      <c r="G16" s="1000"/>
      <c r="H16" s="1006"/>
      <c r="I16" s="1006"/>
      <c r="J16" s="1006"/>
      <c r="K16" s="1006"/>
      <c r="L16" s="1006"/>
      <c r="M16" s="790"/>
      <c r="N16" s="790"/>
      <c r="O16" s="790"/>
      <c r="P16" s="790">
        <f>SUM(P13:P15)</f>
        <v>40</v>
      </c>
      <c r="Q16" s="790">
        <f t="shared" ref="Q16:U16" si="34">SUM(Q13:Q15)</f>
        <v>40</v>
      </c>
      <c r="R16" s="790">
        <f t="shared" si="34"/>
        <v>70</v>
      </c>
      <c r="S16" s="790"/>
      <c r="T16" s="790">
        <f t="shared" si="34"/>
        <v>0</v>
      </c>
      <c r="U16" s="790">
        <f t="shared" si="34"/>
        <v>0</v>
      </c>
      <c r="V16" s="1008"/>
      <c r="W16" s="1008"/>
      <c r="X16" s="1008"/>
      <c r="Y16" s="791">
        <f t="shared" ref="Y16:Z16" si="35">SUM(Y13:Y15)</f>
        <v>0</v>
      </c>
      <c r="Z16" s="791">
        <f t="shared" si="35"/>
        <v>30</v>
      </c>
      <c r="AA16" s="1012"/>
      <c r="AB16" s="1008"/>
      <c r="AC16" s="1008"/>
      <c r="AD16" s="791">
        <f t="shared" ref="AD16" si="36">SUM(AD13:AD15)</f>
        <v>0</v>
      </c>
      <c r="AE16" s="792">
        <f t="shared" ref="AE16" si="37">SUM(AE13:AE15)</f>
        <v>0</v>
      </c>
      <c r="AI16" s="1715" t="str">
        <f>A16</f>
        <v>Subtotal</v>
      </c>
      <c r="AJ16" s="1716"/>
      <c r="AK16" s="1716"/>
      <c r="AL16" s="1716"/>
      <c r="AM16" s="1760"/>
      <c r="AN16" s="254">
        <f t="shared" si="31"/>
        <v>0</v>
      </c>
      <c r="AO16" s="209">
        <f t="shared" si="32"/>
        <v>0</v>
      </c>
      <c r="AP16" s="209">
        <f t="shared" si="32"/>
        <v>0</v>
      </c>
      <c r="AQ16" s="209">
        <f t="shared" si="33"/>
        <v>0</v>
      </c>
      <c r="AR16" s="209">
        <f>Q16</f>
        <v>40</v>
      </c>
      <c r="AS16" s="208">
        <f>R16</f>
        <v>70</v>
      </c>
      <c r="AU16" s="321"/>
      <c r="AV16" s="322"/>
    </row>
    <row r="17" spans="1:48" ht="20.100000000000001" customHeight="1" thickBot="1" x14ac:dyDescent="0.3">
      <c r="A17" s="822" t="s">
        <v>194</v>
      </c>
      <c r="B17" s="759"/>
      <c r="C17" s="759"/>
      <c r="D17" s="759"/>
      <c r="E17" s="953" t="s">
        <v>167</v>
      </c>
      <c r="F17" s="760"/>
      <c r="G17" s="760"/>
      <c r="H17" s="930"/>
      <c r="I17" s="930"/>
      <c r="J17" s="930"/>
      <c r="K17" s="930"/>
      <c r="L17" s="930"/>
      <c r="M17" s="839"/>
      <c r="N17" s="839"/>
      <c r="O17" s="839"/>
      <c r="P17" s="839">
        <v>8</v>
      </c>
      <c r="Q17" s="839">
        <v>8</v>
      </c>
      <c r="R17" s="839">
        <v>8</v>
      </c>
      <c r="S17" s="839"/>
      <c r="T17" s="839"/>
      <c r="U17" s="839">
        <v>3</v>
      </c>
      <c r="V17" s="938"/>
      <c r="W17" s="938"/>
      <c r="X17" s="938"/>
      <c r="Y17" s="1016"/>
      <c r="Z17" s="843">
        <v>8</v>
      </c>
      <c r="AA17" s="1013"/>
      <c r="AB17" s="938"/>
      <c r="AC17" s="938"/>
      <c r="AD17" s="1019"/>
      <c r="AE17" s="847">
        <f t="shared" ref="AE17" si="38">AE16*0.15</f>
        <v>0</v>
      </c>
      <c r="AI17" s="1769" t="str">
        <f>A17</f>
        <v>Shipping</v>
      </c>
      <c r="AJ17" s="1767" t="str">
        <f>E17</f>
        <v>LEGO ed; &lt;$99 -- $8; &lt;$500 -- 7%</v>
      </c>
      <c r="AK17" s="1767"/>
      <c r="AL17" s="1767"/>
      <c r="AM17" s="1768"/>
      <c r="AN17" s="255">
        <f t="shared" si="31"/>
        <v>0</v>
      </c>
      <c r="AO17" s="189">
        <f t="shared" si="32"/>
        <v>0</v>
      </c>
      <c r="AP17" s="189">
        <f t="shared" si="32"/>
        <v>0</v>
      </c>
      <c r="AQ17" s="189">
        <f t="shared" si="33"/>
        <v>0</v>
      </c>
      <c r="AR17" s="189">
        <f>Q17</f>
        <v>8</v>
      </c>
      <c r="AS17" s="190">
        <f>R17</f>
        <v>8</v>
      </c>
      <c r="AU17" s="1758" t="str">
        <f>A17</f>
        <v>Shipping</v>
      </c>
      <c r="AV17" s="322" t="str">
        <f>E17</f>
        <v>LEGO ed; &lt;$99 -- $8; &lt;$500 -- 7%</v>
      </c>
    </row>
    <row r="18" spans="1:48" ht="20.100000000000001" customHeight="1" thickBot="1" x14ac:dyDescent="0.3">
      <c r="A18" s="884"/>
      <c r="B18" s="879"/>
      <c r="C18" s="879"/>
      <c r="D18" s="879"/>
      <c r="E18" s="986" t="s">
        <v>157</v>
      </c>
      <c r="F18" s="928"/>
      <c r="G18" s="928"/>
      <c r="H18" s="933"/>
      <c r="I18" s="933"/>
      <c r="J18" s="933"/>
      <c r="K18" s="933"/>
      <c r="L18" s="933"/>
      <c r="M18" s="918"/>
      <c r="N18" s="918"/>
      <c r="O18" s="918"/>
      <c r="P18" s="918"/>
      <c r="Q18" s="918"/>
      <c r="R18" s="918"/>
      <c r="S18" s="918"/>
      <c r="T18" s="918"/>
      <c r="U18" s="918"/>
      <c r="V18" s="941"/>
      <c r="W18" s="941"/>
      <c r="X18" s="941"/>
      <c r="Y18" s="844"/>
      <c r="Z18" s="1017"/>
      <c r="AA18" s="946"/>
      <c r="AB18" s="946"/>
      <c r="AC18" s="946"/>
      <c r="AD18" s="1017"/>
      <c r="AE18" s="1020"/>
      <c r="AI18" s="1770"/>
      <c r="AJ18" s="1767" t="str">
        <f>E18</f>
        <v>www.flowerfactory.com -- &lt;$20 = $6.60; &lt;$35 = $8.80; &lt;$50 = $9.90</v>
      </c>
      <c r="AK18" s="1767"/>
      <c r="AL18" s="1767"/>
      <c r="AM18" s="1768"/>
      <c r="AN18" s="255">
        <f t="shared" si="31"/>
        <v>0</v>
      </c>
      <c r="AO18" s="189">
        <f t="shared" si="32"/>
        <v>0</v>
      </c>
      <c r="AP18" s="189">
        <f t="shared" si="32"/>
        <v>0</v>
      </c>
      <c r="AQ18" s="189">
        <f t="shared" si="33"/>
        <v>0</v>
      </c>
      <c r="AR18" s="189">
        <f t="shared" ref="AR18" si="39">Q18</f>
        <v>0</v>
      </c>
      <c r="AS18" s="190">
        <f t="shared" ref="AS18" si="40">R18</f>
        <v>0</v>
      </c>
      <c r="AU18" s="1759"/>
      <c r="AV18" s="322" t="str">
        <f>E18</f>
        <v>www.flowerfactory.com -- &lt;$20 = $6.60; &lt;$35 = $8.80; &lt;$50 = $9.90</v>
      </c>
    </row>
    <row r="19" spans="1:48" ht="20.100000000000001" customHeight="1" thickBot="1" x14ac:dyDescent="0.3">
      <c r="A19" s="992" t="s">
        <v>260</v>
      </c>
      <c r="B19" s="993"/>
      <c r="C19" s="993"/>
      <c r="D19" s="993"/>
      <c r="E19" s="994" t="s">
        <v>259</v>
      </c>
      <c r="F19" s="995"/>
      <c r="G19" s="995"/>
      <c r="H19" s="805"/>
      <c r="I19" s="805"/>
      <c r="J19" s="805"/>
      <c r="K19" s="805"/>
      <c r="L19" s="805"/>
      <c r="M19" s="782">
        <f>M11+P16+P17</f>
        <v>159.79000000000002</v>
      </c>
      <c r="N19" s="782">
        <f>N11+Q16+Q17</f>
        <v>159.79000000000002</v>
      </c>
      <c r="O19" s="782">
        <f>O11+R16+R17</f>
        <v>215.79</v>
      </c>
      <c r="P19" s="782"/>
      <c r="Q19" s="782"/>
      <c r="R19" s="782"/>
      <c r="S19" s="782"/>
      <c r="T19" s="782">
        <f>T11+W16+W17</f>
        <v>1.79</v>
      </c>
      <c r="U19" s="782"/>
      <c r="V19" s="1010"/>
      <c r="W19" s="1010"/>
      <c r="X19" s="1010"/>
      <c r="Y19" s="783">
        <f>Y11+Z16+Z17</f>
        <v>98</v>
      </c>
      <c r="Z19" s="814"/>
      <c r="AA19" s="811"/>
      <c r="AB19" s="811"/>
      <c r="AC19" s="811"/>
      <c r="AD19" s="783">
        <f>AD11+AE16+AE17</f>
        <v>42</v>
      </c>
      <c r="AE19" s="816"/>
      <c r="AI19" s="1717" t="str">
        <f>A19</f>
        <v>Total Retail</v>
      </c>
      <c r="AJ19" s="1718"/>
      <c r="AK19" s="1718"/>
      <c r="AL19" s="1718"/>
      <c r="AM19" s="1764"/>
      <c r="AN19" s="255">
        <f t="shared" si="31"/>
        <v>0</v>
      </c>
      <c r="AO19" s="189">
        <f t="shared" si="32"/>
        <v>159.79000000000002</v>
      </c>
      <c r="AP19" s="189">
        <f t="shared" si="32"/>
        <v>215.79</v>
      </c>
      <c r="AQ19" s="189">
        <f t="shared" si="33"/>
        <v>0</v>
      </c>
      <c r="AR19" s="189">
        <f>Q19</f>
        <v>0</v>
      </c>
      <c r="AS19" s="190">
        <f>R19</f>
        <v>0</v>
      </c>
      <c r="AU19" s="321" t="str">
        <f>A19</f>
        <v>Total Retail</v>
      </c>
      <c r="AV19" s="322" t="str">
        <f>E19</f>
        <v>Assumes LEGO bought online, all else local</v>
      </c>
    </row>
    <row r="20" spans="1:48" ht="20.100000000000001" customHeight="1" thickBot="1" x14ac:dyDescent="0.3">
      <c r="A20" s="987" t="s">
        <v>261</v>
      </c>
      <c r="B20" s="988"/>
      <c r="C20" s="988"/>
      <c r="D20" s="988"/>
      <c r="E20" s="988" t="s">
        <v>619</v>
      </c>
      <c r="F20" s="1014"/>
      <c r="G20" s="1014"/>
      <c r="H20" s="1007"/>
      <c r="I20" s="1007"/>
      <c r="J20" s="1007"/>
      <c r="K20" s="1007"/>
      <c r="L20" s="1007"/>
      <c r="M20" s="1015"/>
      <c r="N20" s="1015"/>
      <c r="O20" s="1015"/>
      <c r="P20" s="989">
        <f>P11+P16+P17</f>
        <v>181.32999999999998</v>
      </c>
      <c r="Q20" s="989">
        <f t="shared" ref="Q20:U20" si="41">Q11+Q16+Q17</f>
        <v>181.32999999999998</v>
      </c>
      <c r="R20" s="989">
        <f t="shared" si="41"/>
        <v>242.59</v>
      </c>
      <c r="S20" s="989"/>
      <c r="T20" s="989"/>
      <c r="U20" s="989">
        <f t="shared" si="41"/>
        <v>4.79</v>
      </c>
      <c r="V20" s="813"/>
      <c r="W20" s="813"/>
      <c r="X20" s="1011"/>
      <c r="Y20" s="990"/>
      <c r="Z20" s="990">
        <f>Z11+Z16+Z17</f>
        <v>116.43</v>
      </c>
      <c r="AA20" s="813"/>
      <c r="AB20" s="1011"/>
      <c r="AC20" s="1011"/>
      <c r="AD20" s="990"/>
      <c r="AE20" s="991">
        <f t="shared" ref="AE20" si="42">AE11+AE16+AE17</f>
        <v>55.26</v>
      </c>
      <c r="AI20" s="1719" t="str">
        <f>A20</f>
        <v>Total Online</v>
      </c>
      <c r="AJ20" s="1720"/>
      <c r="AK20" s="1720"/>
      <c r="AL20" s="1720"/>
      <c r="AM20" s="1765"/>
      <c r="AN20" s="245">
        <f t="shared" si="31"/>
        <v>0</v>
      </c>
      <c r="AO20" s="218">
        <f t="shared" si="32"/>
        <v>0</v>
      </c>
      <c r="AP20" s="218">
        <f t="shared" si="32"/>
        <v>0</v>
      </c>
      <c r="AQ20" s="218">
        <f t="shared" si="33"/>
        <v>0</v>
      </c>
      <c r="AR20" s="218">
        <f>Q20</f>
        <v>181.32999999999998</v>
      </c>
      <c r="AS20" s="237">
        <f>R20</f>
        <v>242.59</v>
      </c>
      <c r="AU20" s="321" t="str">
        <f t="shared" ref="AU20" si="43">A20</f>
        <v>Total Online</v>
      </c>
      <c r="AV20" s="322" t="str">
        <f t="shared" ref="AV20" si="44">E20</f>
        <v>none</v>
      </c>
    </row>
    <row r="21" spans="1:48" ht="15.75" x14ac:dyDescent="0.25">
      <c r="AI21" s="1766"/>
      <c r="AJ21" s="1766"/>
      <c r="AK21" s="1766"/>
      <c r="AL21" s="1766"/>
      <c r="AM21" s="1766"/>
      <c r="AN21" s="193"/>
      <c r="AO21" s="193"/>
      <c r="AP21" s="193"/>
      <c r="AQ21" s="193"/>
      <c r="AR21" s="193"/>
      <c r="AS21" s="193"/>
    </row>
  </sheetData>
  <mergeCells count="27">
    <mergeCell ref="A2:E2"/>
    <mergeCell ref="AI19:AM19"/>
    <mergeCell ref="AI20:AM20"/>
    <mergeCell ref="AI21:AM21"/>
    <mergeCell ref="AJ17:AM17"/>
    <mergeCell ref="AJ18:AM18"/>
    <mergeCell ref="AI17:AI18"/>
    <mergeCell ref="H4:I4"/>
    <mergeCell ref="J4:L4"/>
    <mergeCell ref="M4:O4"/>
    <mergeCell ref="P4:R4"/>
    <mergeCell ref="H2:R2"/>
    <mergeCell ref="F3:G3"/>
    <mergeCell ref="S3:U3"/>
    <mergeCell ref="AU17:AU18"/>
    <mergeCell ref="AD4:AE4"/>
    <mergeCell ref="V2:AE2"/>
    <mergeCell ref="AA4:AC4"/>
    <mergeCell ref="Y4:Z4"/>
    <mergeCell ref="V4:W4"/>
    <mergeCell ref="AI16:AM16"/>
    <mergeCell ref="AI11:AM11"/>
    <mergeCell ref="AI3:AS3"/>
    <mergeCell ref="AI4:AK4"/>
    <mergeCell ref="AL4:AM4"/>
    <mergeCell ref="AN4:AP4"/>
    <mergeCell ref="AQ4:AS4"/>
  </mergeCells>
  <hyperlinks>
    <hyperlink ref="E13" r:id="rId1"/>
    <hyperlink ref="E18" r:id="rId2" display="www.flowerfactory.com"/>
    <hyperlink ref="E15" r:id="rId3"/>
  </hyperlinks>
  <pageMargins left="0.7" right="0.7" top="0.75" bottom="0.75" header="0.3" footer="0.3"/>
  <pageSetup scale="77" fitToHeight="0" orientation="portrait" r:id="rId4"/>
  <headerFooter>
    <oddFooter>&amp;L&amp;F &amp;A&amp;C&amp;P &amp;R&amp;D &amp;T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9"/>
  <sheetViews>
    <sheetView zoomScale="85" zoomScaleNormal="85" workbookViewId="0">
      <pane xSplit="1" ySplit="5" topLeftCell="H22" activePane="bottomRight" state="frozen"/>
      <selection pane="topRight" activeCell="B1" sqref="B1"/>
      <selection pane="bottomLeft" activeCell="A5" sqref="A5"/>
      <selection pane="bottomRight" activeCell="X22" sqref="X22"/>
    </sheetView>
  </sheetViews>
  <sheetFormatPr defaultRowHeight="15" x14ac:dyDescent="0.25"/>
  <cols>
    <col min="1" max="1" width="29.42578125" customWidth="1"/>
    <col min="2" max="2" width="16.42578125" customWidth="1"/>
    <col min="5" max="5" width="42.140625" customWidth="1"/>
    <col min="6" max="6" width="11.140625" customWidth="1"/>
    <col min="13" max="15" width="11.140625" customWidth="1"/>
    <col min="35" max="35" width="30.140625" customWidth="1"/>
    <col min="47" max="47" width="22.140625" customWidth="1"/>
    <col min="48" max="48" width="41.85546875" customWidth="1"/>
  </cols>
  <sheetData>
    <row r="1" spans="1:48" s="415" customFormat="1" ht="30" customHeight="1" thickBot="1" x14ac:dyDescent="0.45">
      <c r="A1" s="910" t="s">
        <v>699</v>
      </c>
      <c r="B1" s="755"/>
      <c r="C1" s="755"/>
      <c r="D1" s="755"/>
      <c r="E1" s="755"/>
      <c r="F1" s="755"/>
      <c r="G1" s="755"/>
      <c r="H1" s="755"/>
      <c r="I1" s="755"/>
      <c r="J1" s="755"/>
      <c r="K1" s="755"/>
      <c r="L1" s="755"/>
      <c r="M1" s="755"/>
      <c r="N1" s="755"/>
      <c r="O1" s="755"/>
      <c r="P1" s="755"/>
      <c r="Q1" s="755"/>
      <c r="R1" s="755"/>
      <c r="S1" s="755"/>
      <c r="T1" s="755"/>
      <c r="U1" s="755"/>
      <c r="V1" s="755"/>
      <c r="W1" s="755"/>
      <c r="X1" s="755"/>
      <c r="Y1" s="755"/>
      <c r="Z1" s="755"/>
      <c r="AA1" s="755"/>
      <c r="AB1" s="755"/>
      <c r="AC1" s="755"/>
      <c r="AD1" s="755"/>
      <c r="AE1" s="755"/>
    </row>
    <row r="2" spans="1:48" s="424" customFormat="1" ht="30" customHeight="1" thickBot="1" x14ac:dyDescent="0.3">
      <c r="A2" s="1747" t="s">
        <v>560</v>
      </c>
      <c r="B2" s="1748"/>
      <c r="C2" s="1748"/>
      <c r="D2" s="1748"/>
      <c r="E2" s="1748"/>
      <c r="F2" s="1274"/>
      <c r="G2" s="1274"/>
      <c r="H2" s="1754" t="s">
        <v>747</v>
      </c>
      <c r="I2" s="1754"/>
      <c r="J2" s="1754"/>
      <c r="K2" s="1754"/>
      <c r="L2" s="1754"/>
      <c r="M2" s="1754"/>
      <c r="N2" s="1754"/>
      <c r="O2" s="1754"/>
      <c r="P2" s="1754"/>
      <c r="Q2" s="1754"/>
      <c r="R2" s="1754"/>
      <c r="S2" s="1376"/>
      <c r="T2" s="1376"/>
      <c r="U2" s="1376"/>
      <c r="V2" s="1756" t="s">
        <v>692</v>
      </c>
      <c r="W2" s="1756"/>
      <c r="X2" s="1756"/>
      <c r="Y2" s="1756"/>
      <c r="Z2" s="1756"/>
      <c r="AA2" s="1756"/>
      <c r="AB2" s="1756"/>
      <c r="AC2" s="1756"/>
      <c r="AD2" s="1756"/>
      <c r="AE2" s="1757"/>
      <c r="AI2" s="425" t="s">
        <v>559</v>
      </c>
      <c r="AU2" s="425" t="s">
        <v>607</v>
      </c>
      <c r="AV2" s="426"/>
    </row>
    <row r="3" spans="1:48" ht="51.75" thickBot="1" x14ac:dyDescent="0.3">
      <c r="A3" s="1286" t="s">
        <v>729</v>
      </c>
      <c r="B3" s="1236"/>
      <c r="C3" s="1236"/>
      <c r="D3" s="1236"/>
      <c r="E3" s="1236"/>
      <c r="F3" s="1295"/>
      <c r="G3" s="1296"/>
      <c r="H3" s="1237"/>
      <c r="I3" s="1237"/>
      <c r="J3" s="1237"/>
      <c r="K3" s="1297" t="s">
        <v>605</v>
      </c>
      <c r="L3" s="1298">
        <f>Budget!$D$45</f>
        <v>30</v>
      </c>
      <c r="M3" s="1299" t="s">
        <v>681</v>
      </c>
      <c r="N3" s="1300">
        <v>3</v>
      </c>
      <c r="O3" s="1237"/>
      <c r="P3" s="1237"/>
      <c r="Q3" s="1243"/>
      <c r="R3" s="1243"/>
      <c r="S3" s="1704" t="s">
        <v>766</v>
      </c>
      <c r="T3" s="1705"/>
      <c r="U3" s="1706"/>
      <c r="V3" s="1301" t="s">
        <v>99</v>
      </c>
      <c r="W3" s="1273">
        <f>Budget!C30</f>
        <v>3</v>
      </c>
      <c r="X3" s="1301" t="s">
        <v>100</v>
      </c>
      <c r="Y3" s="1273">
        <f>Budget!B30</f>
        <v>10</v>
      </c>
      <c r="Z3" s="756" t="s">
        <v>196</v>
      </c>
      <c r="AA3" s="1302">
        <f>Budget!I7</f>
        <v>1</v>
      </c>
      <c r="AB3" s="1301"/>
      <c r="AC3" s="1273"/>
      <c r="AD3" s="1303"/>
      <c r="AE3" s="1304"/>
      <c r="AI3" s="1688" t="s">
        <v>739</v>
      </c>
      <c r="AJ3" s="1689"/>
      <c r="AK3" s="1689"/>
      <c r="AL3" s="1689"/>
      <c r="AM3" s="1689"/>
      <c r="AN3" s="1689"/>
      <c r="AO3" s="1689"/>
      <c r="AP3" s="1689"/>
      <c r="AQ3" s="1689"/>
      <c r="AR3" s="1689"/>
      <c r="AS3" s="1690"/>
      <c r="AU3" s="3"/>
      <c r="AV3" s="3"/>
    </row>
    <row r="4" spans="1:48" ht="38.25" customHeight="1" thickBot="1" x14ac:dyDescent="0.3">
      <c r="A4" s="1277"/>
      <c r="B4" s="1244" t="s">
        <v>724</v>
      </c>
      <c r="C4" s="1244"/>
      <c r="D4" s="1244"/>
      <c r="E4" s="1244"/>
      <c r="F4" s="1245" t="s">
        <v>79</v>
      </c>
      <c r="G4" s="1246" t="s">
        <v>80</v>
      </c>
      <c r="H4" s="1695" t="s">
        <v>571</v>
      </c>
      <c r="I4" s="1695"/>
      <c r="J4" s="1696" t="s">
        <v>267</v>
      </c>
      <c r="K4" s="1695"/>
      <c r="L4" s="1695"/>
      <c r="M4" s="1775" t="s">
        <v>753</v>
      </c>
      <c r="N4" s="1775"/>
      <c r="O4" s="1775"/>
      <c r="P4" s="1698" t="s">
        <v>752</v>
      </c>
      <c r="Q4" s="1698"/>
      <c r="R4" s="1698"/>
      <c r="S4" s="766" t="s">
        <v>70</v>
      </c>
      <c r="T4" s="766" t="s">
        <v>757</v>
      </c>
      <c r="U4" s="833" t="s">
        <v>758</v>
      </c>
      <c r="V4" s="1697" t="s">
        <v>70</v>
      </c>
      <c r="W4" s="1697"/>
      <c r="X4" s="1697"/>
      <c r="Y4" s="1697" t="s">
        <v>204</v>
      </c>
      <c r="Z4" s="1697"/>
      <c r="AA4" s="1700" t="s">
        <v>70</v>
      </c>
      <c r="AB4" s="1700"/>
      <c r="AC4" s="1700"/>
      <c r="AD4" s="1700" t="s">
        <v>205</v>
      </c>
      <c r="AE4" s="1749"/>
      <c r="AI4" s="1637" t="str">
        <f>A2</f>
        <v>Item Information</v>
      </c>
      <c r="AJ4" s="1638"/>
      <c r="AK4" s="1657"/>
      <c r="AL4" s="1637" t="str">
        <f t="shared" ref="AL4:AL24" si="0">H4</f>
        <v>Quantity: Class size of…</v>
      </c>
      <c r="AM4" s="1657"/>
      <c r="AN4" s="1691" t="str">
        <f t="shared" ref="AN4:AN27" si="1">F4</f>
        <v>Retail</v>
      </c>
      <c r="AO4" s="1638"/>
      <c r="AP4" s="1638"/>
      <c r="AQ4" s="1692" t="str">
        <f t="shared" ref="AQ4:AQ27" si="2">G4</f>
        <v>Online</v>
      </c>
      <c r="AR4" s="1638"/>
      <c r="AS4" s="1657"/>
      <c r="AU4" s="3"/>
      <c r="AV4" s="3"/>
    </row>
    <row r="5" spans="1:48" ht="75.75" thickBot="1" x14ac:dyDescent="0.3">
      <c r="A5" s="463" t="s">
        <v>573</v>
      </c>
      <c r="B5" s="464" t="s">
        <v>777</v>
      </c>
      <c r="C5" s="452" t="s">
        <v>65</v>
      </c>
      <c r="D5" s="464" t="s">
        <v>133</v>
      </c>
      <c r="E5" s="464" t="s">
        <v>2</v>
      </c>
      <c r="F5" s="1231" t="s">
        <v>567</v>
      </c>
      <c r="G5" s="1231" t="s">
        <v>567</v>
      </c>
      <c r="H5" s="821">
        <v>30</v>
      </c>
      <c r="I5" s="821">
        <v>40</v>
      </c>
      <c r="J5" s="477" t="s">
        <v>161</v>
      </c>
      <c r="K5" s="477" t="s">
        <v>162</v>
      </c>
      <c r="L5" s="477" t="s">
        <v>264</v>
      </c>
      <c r="M5" s="477" t="s">
        <v>546</v>
      </c>
      <c r="N5" s="477">
        <v>30</v>
      </c>
      <c r="O5" s="477">
        <v>40</v>
      </c>
      <c r="P5" s="477" t="s">
        <v>546</v>
      </c>
      <c r="Q5" s="477">
        <v>30</v>
      </c>
      <c r="R5" s="477">
        <v>40</v>
      </c>
      <c r="S5" s="477"/>
      <c r="T5" s="477"/>
      <c r="U5" s="477"/>
      <c r="V5" s="490" t="s">
        <v>83</v>
      </c>
      <c r="W5" s="490" t="s">
        <v>82</v>
      </c>
      <c r="X5" s="493" t="s">
        <v>199</v>
      </c>
      <c r="Y5" s="493" t="s">
        <v>79</v>
      </c>
      <c r="Z5" s="493" t="s">
        <v>80</v>
      </c>
      <c r="AA5" s="493" t="s">
        <v>197</v>
      </c>
      <c r="AB5" s="493" t="s">
        <v>198</v>
      </c>
      <c r="AC5" s="493" t="s">
        <v>200</v>
      </c>
      <c r="AD5" s="493" t="s">
        <v>79</v>
      </c>
      <c r="AE5" s="491" t="s">
        <v>80</v>
      </c>
      <c r="AI5" s="205" t="str">
        <f t="shared" ref="AI5:AI27" si="3">A5</f>
        <v>Item to Purchase</v>
      </c>
      <c r="AJ5" s="328" t="str">
        <f t="shared" ref="AJ5:AJ24" si="4">C5</f>
        <v>Re usable</v>
      </c>
      <c r="AK5" s="233" t="str">
        <f t="shared" ref="AK5:AK24" si="5">D5</f>
        <v>Store Type</v>
      </c>
      <c r="AL5" s="230">
        <f t="shared" si="0"/>
        <v>30</v>
      </c>
      <c r="AM5" s="329">
        <f t="shared" ref="AM5:AM24" si="6">I5</f>
        <v>40</v>
      </c>
      <c r="AN5" s="235" t="str">
        <f t="shared" si="1"/>
        <v>Ea.</v>
      </c>
      <c r="AO5" s="234">
        <f t="shared" ref="AO5:AO27" si="7">N5</f>
        <v>30</v>
      </c>
      <c r="AP5" s="232">
        <f t="shared" ref="AP5:AP27" si="8">O5</f>
        <v>40</v>
      </c>
      <c r="AQ5" s="235" t="str">
        <f t="shared" si="2"/>
        <v>Ea.</v>
      </c>
      <c r="AR5" s="328">
        <f t="shared" ref="AR5:AR14" si="9">Q5</f>
        <v>30</v>
      </c>
      <c r="AS5" s="233">
        <f t="shared" ref="AS5:AS14" si="10">R5</f>
        <v>40</v>
      </c>
      <c r="AU5" s="313" t="str">
        <f t="shared" ref="AU5:AU24" si="11">A5</f>
        <v>Item to Purchase</v>
      </c>
      <c r="AV5" s="314" t="str">
        <f t="shared" ref="AV5:AV24" si="12">E5</f>
        <v>Notes</v>
      </c>
    </row>
    <row r="6" spans="1:48" ht="47.25" x14ac:dyDescent="0.25">
      <c r="A6" s="466" t="s">
        <v>733</v>
      </c>
      <c r="B6" s="521" t="s">
        <v>731</v>
      </c>
      <c r="C6" s="521" t="s">
        <v>66</v>
      </c>
      <c r="D6" s="521" t="s">
        <v>24</v>
      </c>
      <c r="E6" s="521" t="s">
        <v>732</v>
      </c>
      <c r="F6" s="1288">
        <v>3.83</v>
      </c>
      <c r="G6" s="1288">
        <v>3.83</v>
      </c>
      <c r="H6" s="536">
        <f>ROUNDUP($J6+($K6*H$5),0)</f>
        <v>12</v>
      </c>
      <c r="I6" s="537">
        <f>ROUNDUP($J6+($K6*I$5),0)</f>
        <v>16</v>
      </c>
      <c r="J6" s="538">
        <v>2</v>
      </c>
      <c r="K6" s="539">
        <f>1/(N3)</f>
        <v>0.33333333333333331</v>
      </c>
      <c r="L6" s="540">
        <f>ROUNDUP(J6+(K6*L$3),0)</f>
        <v>12</v>
      </c>
      <c r="M6" s="1161">
        <f>L6*F6</f>
        <v>45.96</v>
      </c>
      <c r="N6" s="1161">
        <f>H6*F6</f>
        <v>45.96</v>
      </c>
      <c r="O6" s="1162">
        <f>F6*I6</f>
        <v>61.28</v>
      </c>
      <c r="P6" s="1161">
        <f t="shared" ref="P6:P24" si="13">G6*L6</f>
        <v>45.96</v>
      </c>
      <c r="Q6" s="1161">
        <f>H6*G6</f>
        <v>45.96</v>
      </c>
      <c r="R6" s="1162">
        <f>I6*G6</f>
        <v>61.28</v>
      </c>
      <c r="S6" s="732">
        <f>IF(C6="yes",0,L6)</f>
        <v>0</v>
      </c>
      <c r="T6" s="694">
        <f>S6*F6</f>
        <v>0</v>
      </c>
      <c r="U6" s="694">
        <f>S6*G6</f>
        <v>0</v>
      </c>
      <c r="V6" s="1167">
        <v>0</v>
      </c>
      <c r="W6" s="1168">
        <v>1</v>
      </c>
      <c r="X6" s="1169">
        <f t="shared" ref="X6:X11" si="14">V6+ROUNDUP(Y$3/W$3*W6,0)</f>
        <v>4</v>
      </c>
      <c r="Y6" s="1170">
        <f t="shared" ref="Y6:Y24" si="15">X6*F6</f>
        <v>15.32</v>
      </c>
      <c r="Z6" s="1171">
        <f t="shared" ref="Z6:Z24" si="16">X6*G6</f>
        <v>15.32</v>
      </c>
      <c r="AA6" s="1172">
        <v>1</v>
      </c>
      <c r="AB6" s="1173">
        <f t="shared" ref="AB6:AB23" si="17">AA6*AA$3</f>
        <v>1</v>
      </c>
      <c r="AC6" s="1174">
        <f t="shared" ref="AC6:AC23" si="18">MAX(X6-AB6,0)</f>
        <v>3</v>
      </c>
      <c r="AD6" s="1170">
        <f t="shared" ref="AD6:AD24" si="19">AC6*F6</f>
        <v>11.49</v>
      </c>
      <c r="AE6" s="1171">
        <f t="shared" ref="AE6:AE24" si="20">AC6*G6</f>
        <v>11.49</v>
      </c>
      <c r="AI6" s="330" t="str">
        <f t="shared" si="3"/>
        <v>100mL Beakers*</v>
      </c>
      <c r="AJ6" s="331" t="str">
        <f t="shared" si="4"/>
        <v>yes</v>
      </c>
      <c r="AK6" s="191" t="str">
        <f t="shared" si="5"/>
        <v>Science supply co.</v>
      </c>
      <c r="AL6" s="239">
        <f t="shared" si="0"/>
        <v>12</v>
      </c>
      <c r="AM6" s="192">
        <f t="shared" si="6"/>
        <v>16</v>
      </c>
      <c r="AN6" s="209">
        <f t="shared" si="1"/>
        <v>3.83</v>
      </c>
      <c r="AO6" s="209">
        <f t="shared" si="7"/>
        <v>45.96</v>
      </c>
      <c r="AP6" s="193">
        <f t="shared" si="8"/>
        <v>61.28</v>
      </c>
      <c r="AQ6" s="209">
        <f t="shared" si="2"/>
        <v>3.83</v>
      </c>
      <c r="AR6" s="193">
        <f t="shared" si="9"/>
        <v>45.96</v>
      </c>
      <c r="AS6" s="236">
        <f t="shared" si="10"/>
        <v>61.28</v>
      </c>
      <c r="AU6" s="326" t="str">
        <f t="shared" si="11"/>
        <v>100mL Beakers*</v>
      </c>
      <c r="AV6" s="308" t="str">
        <f t="shared" si="12"/>
        <v>Ordered at Nurnberg Scientific: 125-0005</v>
      </c>
    </row>
    <row r="7" spans="1:48" ht="63" x14ac:dyDescent="0.25">
      <c r="A7" s="469" t="s">
        <v>657</v>
      </c>
      <c r="B7" s="522" t="s">
        <v>658</v>
      </c>
      <c r="C7" s="438" t="s">
        <v>212</v>
      </c>
      <c r="D7" s="437" t="s">
        <v>663</v>
      </c>
      <c r="E7" s="437" t="s">
        <v>660</v>
      </c>
      <c r="F7" s="1289">
        <v>2.99</v>
      </c>
      <c r="G7" s="1289">
        <v>2.99</v>
      </c>
      <c r="H7" s="541">
        <f t="shared" ref="H7:I23" si="21">ROUNDUP($J7+($K7*H$5),0)</f>
        <v>1</v>
      </c>
      <c r="I7" s="542">
        <f t="shared" si="21"/>
        <v>1</v>
      </c>
      <c r="J7" s="543">
        <v>1</v>
      </c>
      <c r="K7" s="544">
        <v>0</v>
      </c>
      <c r="L7" s="545">
        <f t="shared" ref="L7:L23" si="22">ROUNDUP(J7+(K7*L$3),0)</f>
        <v>1</v>
      </c>
      <c r="M7" s="1163">
        <f>L7*F7</f>
        <v>2.99</v>
      </c>
      <c r="N7" s="1163">
        <f t="shared" ref="N7:N24" si="23">$F7*H7</f>
        <v>2.99</v>
      </c>
      <c r="O7" s="1164">
        <f t="shared" ref="O7:O24" si="24">$F7*I7</f>
        <v>2.99</v>
      </c>
      <c r="P7" s="1163">
        <f t="shared" si="13"/>
        <v>2.99</v>
      </c>
      <c r="Q7" s="1163">
        <f>H7*G7</f>
        <v>2.99</v>
      </c>
      <c r="R7" s="1164">
        <f>I7*G7</f>
        <v>2.99</v>
      </c>
      <c r="S7" s="732">
        <f t="shared" ref="S7:S24" si="25">IF(C7="yes",0,L7)</f>
        <v>1</v>
      </c>
      <c r="T7" s="694">
        <f t="shared" ref="T7:T24" si="26">S7*F7</f>
        <v>2.99</v>
      </c>
      <c r="U7" s="694">
        <f t="shared" ref="U7:U24" si="27">S7*G7</f>
        <v>2.99</v>
      </c>
      <c r="V7" s="1175">
        <v>1</v>
      </c>
      <c r="W7" s="1176">
        <v>0</v>
      </c>
      <c r="X7" s="1177">
        <f t="shared" si="14"/>
        <v>1</v>
      </c>
      <c r="Y7" s="1178">
        <f t="shared" si="15"/>
        <v>2.99</v>
      </c>
      <c r="Z7" s="1179">
        <f t="shared" si="16"/>
        <v>2.99</v>
      </c>
      <c r="AA7" s="1180">
        <v>1</v>
      </c>
      <c r="AB7" s="1181">
        <f t="shared" si="17"/>
        <v>1</v>
      </c>
      <c r="AC7" s="1182">
        <f t="shared" si="18"/>
        <v>0</v>
      </c>
      <c r="AD7" s="1178">
        <f t="shared" si="19"/>
        <v>0</v>
      </c>
      <c r="AE7" s="1179">
        <f t="shared" si="20"/>
        <v>0</v>
      </c>
      <c r="AI7" s="336" t="str">
        <f t="shared" si="3"/>
        <v>Food Grade KCl (Potassium Chloride Salt)</v>
      </c>
      <c r="AJ7" s="333" t="str">
        <f t="shared" si="4"/>
        <v>no</v>
      </c>
      <c r="AK7" s="333" t="str">
        <f t="shared" si="5"/>
        <v>Grocery, Science supply co.</v>
      </c>
      <c r="AL7" s="188">
        <f t="shared" si="0"/>
        <v>1</v>
      </c>
      <c r="AM7" s="188">
        <f t="shared" si="6"/>
        <v>1</v>
      </c>
      <c r="AN7" s="189">
        <f t="shared" si="1"/>
        <v>2.99</v>
      </c>
      <c r="AO7" s="189">
        <f t="shared" si="7"/>
        <v>2.99</v>
      </c>
      <c r="AP7" s="189">
        <f t="shared" si="8"/>
        <v>2.99</v>
      </c>
      <c r="AQ7" s="189">
        <f t="shared" si="2"/>
        <v>2.99</v>
      </c>
      <c r="AR7" s="189">
        <f t="shared" si="9"/>
        <v>2.99</v>
      </c>
      <c r="AS7" s="190">
        <f t="shared" si="10"/>
        <v>2.99</v>
      </c>
      <c r="AU7" s="326" t="str">
        <f t="shared" si="11"/>
        <v>Food Grade KCl (Potassium Chloride Salt)</v>
      </c>
      <c r="AV7" s="308" t="str">
        <f t="shared" si="12"/>
        <v>Lab grade is ideal but much more costly (~$30 for the same amount)</v>
      </c>
    </row>
    <row r="8" spans="1:48" ht="15.75" x14ac:dyDescent="0.25">
      <c r="A8" s="469" t="s">
        <v>647</v>
      </c>
      <c r="B8" s="437" t="s">
        <v>814</v>
      </c>
      <c r="C8" s="437" t="s">
        <v>212</v>
      </c>
      <c r="D8" s="437" t="s">
        <v>185</v>
      </c>
      <c r="E8" s="437" t="s">
        <v>661</v>
      </c>
      <c r="F8" s="1289">
        <v>1</v>
      </c>
      <c r="G8" s="1289">
        <v>1</v>
      </c>
      <c r="H8" s="541">
        <f t="shared" si="21"/>
        <v>5</v>
      </c>
      <c r="I8" s="542">
        <f t="shared" si="21"/>
        <v>7</v>
      </c>
      <c r="J8" s="543">
        <v>0</v>
      </c>
      <c r="K8" s="544">
        <f>1/(2*N3)</f>
        <v>0.16666666666666666</v>
      </c>
      <c r="L8" s="545">
        <f t="shared" si="22"/>
        <v>5</v>
      </c>
      <c r="M8" s="1163">
        <f>L8*F8</f>
        <v>5</v>
      </c>
      <c r="N8" s="1163">
        <f t="shared" si="23"/>
        <v>5</v>
      </c>
      <c r="O8" s="1164">
        <f t="shared" si="24"/>
        <v>7</v>
      </c>
      <c r="P8" s="1163">
        <f t="shared" si="13"/>
        <v>5</v>
      </c>
      <c r="Q8" s="1163">
        <f>H8*G8</f>
        <v>5</v>
      </c>
      <c r="R8" s="1164">
        <f>I8*G8</f>
        <v>7</v>
      </c>
      <c r="S8" s="732">
        <f t="shared" si="25"/>
        <v>5</v>
      </c>
      <c r="T8" s="694">
        <f t="shared" si="26"/>
        <v>5</v>
      </c>
      <c r="U8" s="694">
        <f t="shared" si="27"/>
        <v>5</v>
      </c>
      <c r="V8" s="1175"/>
      <c r="W8" s="1176"/>
      <c r="X8" s="1177">
        <f t="shared" si="14"/>
        <v>0</v>
      </c>
      <c r="Y8" s="1178">
        <f t="shared" si="15"/>
        <v>0</v>
      </c>
      <c r="Z8" s="1179">
        <f t="shared" si="16"/>
        <v>0</v>
      </c>
      <c r="AA8" s="1180"/>
      <c r="AB8" s="1181">
        <f t="shared" si="17"/>
        <v>0</v>
      </c>
      <c r="AC8" s="1182">
        <f t="shared" si="18"/>
        <v>0</v>
      </c>
      <c r="AD8" s="1178">
        <f t="shared" si="19"/>
        <v>0</v>
      </c>
      <c r="AE8" s="1179">
        <f t="shared" si="20"/>
        <v>0</v>
      </c>
      <c r="AI8" s="336" t="str">
        <f t="shared" si="3"/>
        <v>Bottled Distilled Water</v>
      </c>
      <c r="AJ8" s="333" t="str">
        <f t="shared" si="4"/>
        <v>no</v>
      </c>
      <c r="AK8" s="333" t="str">
        <f t="shared" si="5"/>
        <v>Grocery</v>
      </c>
      <c r="AL8" s="188">
        <f t="shared" si="0"/>
        <v>5</v>
      </c>
      <c r="AM8" s="188">
        <f t="shared" si="6"/>
        <v>7</v>
      </c>
      <c r="AN8" s="189">
        <f t="shared" si="1"/>
        <v>1</v>
      </c>
      <c r="AO8" s="189">
        <f t="shared" si="7"/>
        <v>5</v>
      </c>
      <c r="AP8" s="189">
        <f t="shared" si="8"/>
        <v>7</v>
      </c>
      <c r="AQ8" s="189">
        <f t="shared" si="2"/>
        <v>1</v>
      </c>
      <c r="AR8" s="189">
        <f t="shared" si="9"/>
        <v>5</v>
      </c>
      <c r="AS8" s="190">
        <f t="shared" si="10"/>
        <v>7</v>
      </c>
      <c r="AU8" s="326" t="str">
        <f t="shared" si="11"/>
        <v>Bottled Distilled Water</v>
      </c>
      <c r="AV8" s="308" t="str">
        <f t="shared" si="12"/>
        <v>Bottled water OK too</v>
      </c>
    </row>
    <row r="9" spans="1:48" ht="47.25" x14ac:dyDescent="0.25">
      <c r="A9" s="469" t="s">
        <v>648</v>
      </c>
      <c r="B9" s="442">
        <v>150</v>
      </c>
      <c r="C9" s="437" t="s">
        <v>212</v>
      </c>
      <c r="D9" s="437" t="s">
        <v>138</v>
      </c>
      <c r="E9" s="437" t="s">
        <v>811</v>
      </c>
      <c r="F9" s="1289">
        <v>2</v>
      </c>
      <c r="G9" s="1289">
        <v>1.5</v>
      </c>
      <c r="H9" s="541">
        <v>1</v>
      </c>
      <c r="I9" s="542">
        <v>1</v>
      </c>
      <c r="J9" s="1432">
        <v>1</v>
      </c>
      <c r="K9" s="1433">
        <v>0</v>
      </c>
      <c r="L9" s="545">
        <f t="shared" si="22"/>
        <v>1</v>
      </c>
      <c r="M9" s="1163">
        <f>L9*$F9</f>
        <v>2</v>
      </c>
      <c r="N9" s="1163">
        <f t="shared" si="23"/>
        <v>2</v>
      </c>
      <c r="O9" s="1164">
        <f t="shared" si="24"/>
        <v>2</v>
      </c>
      <c r="P9" s="1163">
        <f t="shared" si="13"/>
        <v>1.5</v>
      </c>
      <c r="Q9" s="1163">
        <f>H9*G9</f>
        <v>1.5</v>
      </c>
      <c r="R9" s="1164">
        <f>I9*G9</f>
        <v>1.5</v>
      </c>
      <c r="S9" s="732">
        <f t="shared" si="25"/>
        <v>1</v>
      </c>
      <c r="T9" s="694">
        <f t="shared" si="26"/>
        <v>2</v>
      </c>
      <c r="U9" s="694">
        <f t="shared" si="27"/>
        <v>1.5</v>
      </c>
      <c r="V9" s="1175">
        <v>1</v>
      </c>
      <c r="W9" s="1176">
        <v>0</v>
      </c>
      <c r="X9" s="1177">
        <f t="shared" si="14"/>
        <v>1</v>
      </c>
      <c r="Y9" s="1178">
        <f t="shared" si="15"/>
        <v>2</v>
      </c>
      <c r="Z9" s="1179">
        <f t="shared" si="16"/>
        <v>1.5</v>
      </c>
      <c r="AA9" s="1180">
        <v>1</v>
      </c>
      <c r="AB9" s="1181">
        <f t="shared" si="17"/>
        <v>1</v>
      </c>
      <c r="AC9" s="1182">
        <f t="shared" si="18"/>
        <v>0</v>
      </c>
      <c r="AD9" s="1178">
        <f t="shared" si="19"/>
        <v>0</v>
      </c>
      <c r="AE9" s="1179">
        <f t="shared" si="20"/>
        <v>0</v>
      </c>
      <c r="AI9" s="336" t="str">
        <f t="shared" si="3"/>
        <v>Wood Craft Sticks</v>
      </c>
      <c r="AJ9" s="333" t="str">
        <f t="shared" si="4"/>
        <v>no</v>
      </c>
      <c r="AK9" s="333" t="str">
        <f t="shared" si="5"/>
        <v>Craft, Dollar, variety</v>
      </c>
      <c r="AL9" s="188">
        <f t="shared" si="0"/>
        <v>1</v>
      </c>
      <c r="AM9" s="188">
        <f t="shared" si="6"/>
        <v>1</v>
      </c>
      <c r="AN9" s="189">
        <f t="shared" si="1"/>
        <v>2</v>
      </c>
      <c r="AO9" s="189">
        <f t="shared" si="7"/>
        <v>2</v>
      </c>
      <c r="AP9" s="189">
        <f t="shared" si="8"/>
        <v>2</v>
      </c>
      <c r="AQ9" s="189">
        <f t="shared" si="2"/>
        <v>1.5</v>
      </c>
      <c r="AR9" s="189">
        <f t="shared" si="9"/>
        <v>1.5</v>
      </c>
      <c r="AS9" s="190">
        <f t="shared" si="10"/>
        <v>1.5</v>
      </c>
      <c r="AU9" s="326" t="str">
        <f t="shared" si="11"/>
        <v>Wood Craft Sticks</v>
      </c>
      <c r="AV9" s="308" t="str">
        <f t="shared" si="12"/>
        <v>Online www.flowerfactory.com
large quantities www.discountschoolsupply.com</v>
      </c>
    </row>
    <row r="10" spans="1:48" ht="47.25" x14ac:dyDescent="0.25">
      <c r="A10" s="469" t="s">
        <v>734</v>
      </c>
      <c r="B10" s="440" t="s">
        <v>659</v>
      </c>
      <c r="C10" s="438" t="s">
        <v>66</v>
      </c>
      <c r="D10" s="437" t="s">
        <v>24</v>
      </c>
      <c r="E10" s="437" t="s">
        <v>662</v>
      </c>
      <c r="F10" s="1289">
        <v>11</v>
      </c>
      <c r="G10" s="1289">
        <v>11</v>
      </c>
      <c r="H10" s="541">
        <f t="shared" si="21"/>
        <v>11</v>
      </c>
      <c r="I10" s="542">
        <f t="shared" si="21"/>
        <v>15</v>
      </c>
      <c r="J10" s="543">
        <v>1</v>
      </c>
      <c r="K10" s="544">
        <f>1/N3</f>
        <v>0.33333333333333331</v>
      </c>
      <c r="L10" s="545">
        <f t="shared" si="22"/>
        <v>11</v>
      </c>
      <c r="M10" s="1163">
        <f t="shared" ref="M10:M24" si="28">L10*F10</f>
        <v>121</v>
      </c>
      <c r="N10" s="1163">
        <f t="shared" si="23"/>
        <v>121</v>
      </c>
      <c r="O10" s="1164">
        <f t="shared" si="24"/>
        <v>165</v>
      </c>
      <c r="P10" s="1163">
        <f t="shared" si="13"/>
        <v>121</v>
      </c>
      <c r="Q10" s="1163">
        <f t="shared" ref="Q10:Q24" si="29">H10*$G10</f>
        <v>121</v>
      </c>
      <c r="R10" s="1164">
        <f t="shared" ref="R10:R24" si="30">I10*$G10</f>
        <v>165</v>
      </c>
      <c r="S10" s="732">
        <f t="shared" si="25"/>
        <v>0</v>
      </c>
      <c r="T10" s="694">
        <f t="shared" si="26"/>
        <v>0</v>
      </c>
      <c r="U10" s="694">
        <f t="shared" si="27"/>
        <v>0</v>
      </c>
      <c r="V10" s="1175">
        <v>0</v>
      </c>
      <c r="W10" s="1176">
        <v>1</v>
      </c>
      <c r="X10" s="1177">
        <f t="shared" si="14"/>
        <v>4</v>
      </c>
      <c r="Y10" s="1178">
        <f t="shared" si="15"/>
        <v>44</v>
      </c>
      <c r="Z10" s="1179">
        <f t="shared" si="16"/>
        <v>44</v>
      </c>
      <c r="AA10" s="1180">
        <v>1</v>
      </c>
      <c r="AB10" s="1181">
        <f t="shared" si="17"/>
        <v>1</v>
      </c>
      <c r="AC10" s="1182">
        <f t="shared" si="18"/>
        <v>3</v>
      </c>
      <c r="AD10" s="1178">
        <f t="shared" si="19"/>
        <v>33</v>
      </c>
      <c r="AE10" s="1179">
        <f t="shared" si="20"/>
        <v>33</v>
      </c>
      <c r="AI10" s="332" t="str">
        <f t="shared" si="3"/>
        <v>Alochol-based Thermometer*</v>
      </c>
      <c r="AJ10" s="333" t="str">
        <f t="shared" si="4"/>
        <v>yes</v>
      </c>
      <c r="AK10" s="333" t="str">
        <f t="shared" si="5"/>
        <v>Science supply co.</v>
      </c>
      <c r="AL10" s="188">
        <f t="shared" si="0"/>
        <v>11</v>
      </c>
      <c r="AM10" s="188">
        <f t="shared" si="6"/>
        <v>15</v>
      </c>
      <c r="AN10" s="189">
        <f t="shared" si="1"/>
        <v>11</v>
      </c>
      <c r="AO10" s="189">
        <f t="shared" si="7"/>
        <v>121</v>
      </c>
      <c r="AP10" s="189">
        <f t="shared" si="8"/>
        <v>165</v>
      </c>
      <c r="AQ10" s="189">
        <f t="shared" si="2"/>
        <v>11</v>
      </c>
      <c r="AR10" s="189">
        <f t="shared" si="9"/>
        <v>121</v>
      </c>
      <c r="AS10" s="190">
        <f t="shared" si="10"/>
        <v>165</v>
      </c>
      <c r="AU10" s="326" t="str">
        <f t="shared" si="11"/>
        <v>Alochol-based Thermometer*</v>
      </c>
      <c r="AV10" s="308" t="str">
        <f t="shared" si="12"/>
        <v>Ordered at Nurnberg Scientific: 485-0009
Long, with no backing</v>
      </c>
    </row>
    <row r="11" spans="1:48" ht="15.75" x14ac:dyDescent="0.25">
      <c r="A11" s="469" t="s">
        <v>649</v>
      </c>
      <c r="B11" s="440" t="s">
        <v>790</v>
      </c>
      <c r="C11" s="438" t="s">
        <v>212</v>
      </c>
      <c r="D11" s="437" t="s">
        <v>185</v>
      </c>
      <c r="E11" s="437" t="s">
        <v>664</v>
      </c>
      <c r="F11" s="1289">
        <v>8</v>
      </c>
      <c r="G11" s="1289">
        <v>7</v>
      </c>
      <c r="H11" s="541">
        <v>1</v>
      </c>
      <c r="I11" s="542">
        <v>1</v>
      </c>
      <c r="J11" s="1432">
        <v>1</v>
      </c>
      <c r="K11" s="1435">
        <v>0</v>
      </c>
      <c r="L11" s="545">
        <f t="shared" si="22"/>
        <v>1</v>
      </c>
      <c r="M11" s="546">
        <f t="shared" si="28"/>
        <v>8</v>
      </c>
      <c r="N11" s="546">
        <f t="shared" si="23"/>
        <v>8</v>
      </c>
      <c r="O11" s="547">
        <f t="shared" si="24"/>
        <v>8</v>
      </c>
      <c r="P11" s="546">
        <f t="shared" si="13"/>
        <v>7</v>
      </c>
      <c r="Q11" s="546">
        <f t="shared" si="29"/>
        <v>7</v>
      </c>
      <c r="R11" s="547">
        <f t="shared" si="30"/>
        <v>7</v>
      </c>
      <c r="S11" s="732">
        <f t="shared" si="25"/>
        <v>1</v>
      </c>
      <c r="T11" s="694">
        <f t="shared" si="26"/>
        <v>8</v>
      </c>
      <c r="U11" s="694">
        <f t="shared" si="27"/>
        <v>7</v>
      </c>
      <c r="V11" s="1183">
        <v>1</v>
      </c>
      <c r="W11" s="1184">
        <v>0</v>
      </c>
      <c r="X11" s="1177">
        <f t="shared" si="14"/>
        <v>1</v>
      </c>
      <c r="Y11" s="1178">
        <f t="shared" si="15"/>
        <v>8</v>
      </c>
      <c r="Z11" s="1179">
        <f t="shared" si="16"/>
        <v>7</v>
      </c>
      <c r="AA11" s="1180">
        <v>1</v>
      </c>
      <c r="AB11" s="1181">
        <f t="shared" si="17"/>
        <v>1</v>
      </c>
      <c r="AC11" s="1182">
        <f t="shared" si="18"/>
        <v>0</v>
      </c>
      <c r="AD11" s="1178">
        <f t="shared" si="19"/>
        <v>0</v>
      </c>
      <c r="AE11" s="1179">
        <f t="shared" si="20"/>
        <v>0</v>
      </c>
      <c r="AF11" s="29"/>
      <c r="AG11" s="29"/>
      <c r="AH11" s="29"/>
      <c r="AI11" s="337" t="str">
        <f t="shared" si="3"/>
        <v>Styrofoam Cups</v>
      </c>
      <c r="AJ11" s="289" t="str">
        <f t="shared" si="4"/>
        <v>no</v>
      </c>
      <c r="AK11" s="289" t="str">
        <f t="shared" si="5"/>
        <v>Grocery</v>
      </c>
      <c r="AL11" s="290">
        <f t="shared" si="0"/>
        <v>1</v>
      </c>
      <c r="AM11" s="290">
        <f t="shared" si="6"/>
        <v>1</v>
      </c>
      <c r="AN11" s="291">
        <f t="shared" si="1"/>
        <v>8</v>
      </c>
      <c r="AO11" s="291">
        <f t="shared" si="7"/>
        <v>8</v>
      </c>
      <c r="AP11" s="291">
        <f t="shared" si="8"/>
        <v>8</v>
      </c>
      <c r="AQ11" s="291">
        <f t="shared" si="2"/>
        <v>7</v>
      </c>
      <c r="AR11" s="291">
        <f t="shared" si="9"/>
        <v>7</v>
      </c>
      <c r="AS11" s="292">
        <f t="shared" si="10"/>
        <v>7</v>
      </c>
      <c r="AT11" s="29"/>
      <c r="AU11" s="326" t="str">
        <f t="shared" si="11"/>
        <v>Styrofoam Cups</v>
      </c>
      <c r="AV11" s="308" t="str">
        <f t="shared" si="12"/>
        <v>Must hold around 250mL water</v>
      </c>
    </row>
    <row r="12" spans="1:48" ht="47.25" x14ac:dyDescent="0.25">
      <c r="A12" s="523" t="s">
        <v>650</v>
      </c>
      <c r="B12" s="1434" t="s">
        <v>790</v>
      </c>
      <c r="C12" s="524" t="s">
        <v>212</v>
      </c>
      <c r="D12" s="525" t="s">
        <v>188</v>
      </c>
      <c r="E12" s="525" t="s">
        <v>665</v>
      </c>
      <c r="F12" s="1290">
        <v>8</v>
      </c>
      <c r="G12" s="1290">
        <v>7</v>
      </c>
      <c r="H12" s="541">
        <v>1</v>
      </c>
      <c r="I12" s="542">
        <v>1</v>
      </c>
      <c r="J12" s="1432">
        <v>1</v>
      </c>
      <c r="K12" s="1435">
        <v>0</v>
      </c>
      <c r="L12" s="545">
        <f t="shared" si="22"/>
        <v>1</v>
      </c>
      <c r="M12" s="1163">
        <f t="shared" si="28"/>
        <v>8</v>
      </c>
      <c r="N12" s="1163">
        <f t="shared" si="23"/>
        <v>8</v>
      </c>
      <c r="O12" s="1164">
        <f t="shared" si="24"/>
        <v>8</v>
      </c>
      <c r="P12" s="1163">
        <f t="shared" si="13"/>
        <v>7</v>
      </c>
      <c r="Q12" s="1163">
        <f t="shared" si="29"/>
        <v>7</v>
      </c>
      <c r="R12" s="1164">
        <f t="shared" si="30"/>
        <v>7</v>
      </c>
      <c r="S12" s="732">
        <f t="shared" si="25"/>
        <v>1</v>
      </c>
      <c r="T12" s="694">
        <f t="shared" si="26"/>
        <v>8</v>
      </c>
      <c r="U12" s="694">
        <f t="shared" si="27"/>
        <v>7</v>
      </c>
      <c r="V12" s="1175">
        <v>0</v>
      </c>
      <c r="W12" s="1176">
        <v>0.2</v>
      </c>
      <c r="X12" s="1177">
        <f>V12+ROUNDUP(Y$3/W$3*W12,0)</f>
        <v>1</v>
      </c>
      <c r="Y12" s="1178">
        <f t="shared" si="15"/>
        <v>8</v>
      </c>
      <c r="Z12" s="1179">
        <f t="shared" si="16"/>
        <v>7</v>
      </c>
      <c r="AA12" s="1180">
        <v>1</v>
      </c>
      <c r="AB12" s="1181">
        <f t="shared" si="17"/>
        <v>1</v>
      </c>
      <c r="AC12" s="1182">
        <f t="shared" si="18"/>
        <v>0</v>
      </c>
      <c r="AD12" s="1178">
        <f t="shared" si="19"/>
        <v>0</v>
      </c>
      <c r="AE12" s="1179">
        <f t="shared" si="20"/>
        <v>0</v>
      </c>
      <c r="AI12" s="325" t="str">
        <f t="shared" si="3"/>
        <v>Solo Cups</v>
      </c>
      <c r="AJ12" s="333" t="str">
        <f t="shared" si="4"/>
        <v>no</v>
      </c>
      <c r="AK12" s="333" t="str">
        <f t="shared" si="5"/>
        <v>Grocery; some variety</v>
      </c>
      <c r="AL12" s="188">
        <f t="shared" si="0"/>
        <v>1</v>
      </c>
      <c r="AM12" s="188">
        <f t="shared" si="6"/>
        <v>1</v>
      </c>
      <c r="AN12" s="189">
        <f t="shared" si="1"/>
        <v>8</v>
      </c>
      <c r="AO12" s="189">
        <f t="shared" si="7"/>
        <v>8</v>
      </c>
      <c r="AP12" s="189">
        <f t="shared" si="8"/>
        <v>8</v>
      </c>
      <c r="AQ12" s="189">
        <f t="shared" si="2"/>
        <v>7</v>
      </c>
      <c r="AR12" s="189">
        <f t="shared" si="9"/>
        <v>7</v>
      </c>
      <c r="AS12" s="190">
        <f t="shared" si="10"/>
        <v>7</v>
      </c>
      <c r="AU12" s="326" t="str">
        <f t="shared" si="11"/>
        <v>Solo Cups</v>
      </c>
      <c r="AV12" s="308" t="str">
        <f t="shared" si="12"/>
        <v>Must hold around 250mL water
Stiffness is what's important</v>
      </c>
    </row>
    <row r="13" spans="1:48" ht="31.5" x14ac:dyDescent="0.25">
      <c r="A13" s="469" t="s">
        <v>651</v>
      </c>
      <c r="B13" s="437" t="s">
        <v>813</v>
      </c>
      <c r="C13" s="437" t="s">
        <v>66</v>
      </c>
      <c r="D13" s="437" t="s">
        <v>812</v>
      </c>
      <c r="E13" s="437" t="s">
        <v>666</v>
      </c>
      <c r="F13" s="1289">
        <v>2</v>
      </c>
      <c r="G13" s="1289">
        <v>3</v>
      </c>
      <c r="H13" s="541">
        <v>2</v>
      </c>
      <c r="I13" s="542">
        <v>3</v>
      </c>
      <c r="J13" s="1432">
        <v>0</v>
      </c>
      <c r="K13" s="1436">
        <f>1/15</f>
        <v>6.6666666666666666E-2</v>
      </c>
      <c r="L13" s="545">
        <f t="shared" si="22"/>
        <v>2</v>
      </c>
      <c r="M13" s="546">
        <f t="shared" si="28"/>
        <v>4</v>
      </c>
      <c r="N13" s="546">
        <f t="shared" si="23"/>
        <v>4</v>
      </c>
      <c r="O13" s="547">
        <f t="shared" si="24"/>
        <v>6</v>
      </c>
      <c r="P13" s="546">
        <f t="shared" si="13"/>
        <v>6</v>
      </c>
      <c r="Q13" s="546">
        <f t="shared" si="29"/>
        <v>6</v>
      </c>
      <c r="R13" s="547">
        <f t="shared" si="30"/>
        <v>9</v>
      </c>
      <c r="S13" s="732">
        <f t="shared" si="25"/>
        <v>0</v>
      </c>
      <c r="T13" s="694">
        <f t="shared" si="26"/>
        <v>0</v>
      </c>
      <c r="U13" s="694">
        <f t="shared" si="27"/>
        <v>0</v>
      </c>
      <c r="V13" s="1175">
        <v>1</v>
      </c>
      <c r="W13" s="1176">
        <v>0</v>
      </c>
      <c r="X13" s="1177">
        <f t="shared" ref="X13:X23" si="31">V13+ROUNDUP(Y$3/W$3*W13,0)</f>
        <v>1</v>
      </c>
      <c r="Y13" s="1178">
        <f t="shared" si="15"/>
        <v>2</v>
      </c>
      <c r="Z13" s="1179">
        <f t="shared" si="16"/>
        <v>3</v>
      </c>
      <c r="AA13" s="1180">
        <v>1</v>
      </c>
      <c r="AB13" s="1181">
        <f t="shared" si="17"/>
        <v>1</v>
      </c>
      <c r="AC13" s="1182">
        <f t="shared" si="18"/>
        <v>0</v>
      </c>
      <c r="AD13" s="1178">
        <f t="shared" si="19"/>
        <v>0</v>
      </c>
      <c r="AE13" s="1179">
        <f t="shared" si="20"/>
        <v>0</v>
      </c>
      <c r="AI13" s="327" t="str">
        <f t="shared" si="3"/>
        <v>Cloth (Varying Types)</v>
      </c>
      <c r="AJ13" s="247" t="str">
        <f t="shared" si="4"/>
        <v>yes</v>
      </c>
      <c r="AK13" s="191" t="str">
        <f t="shared" si="5"/>
        <v>Fabric or Variety</v>
      </c>
      <c r="AL13" s="223">
        <f t="shared" si="0"/>
        <v>2</v>
      </c>
      <c r="AM13" s="248">
        <f t="shared" si="6"/>
        <v>3</v>
      </c>
      <c r="AN13" s="249">
        <f t="shared" si="1"/>
        <v>2</v>
      </c>
      <c r="AO13" s="193">
        <f t="shared" si="7"/>
        <v>4</v>
      </c>
      <c r="AP13" s="216">
        <f t="shared" si="8"/>
        <v>6</v>
      </c>
      <c r="AQ13" s="216">
        <f t="shared" si="2"/>
        <v>3</v>
      </c>
      <c r="AR13" s="216">
        <f t="shared" si="9"/>
        <v>6</v>
      </c>
      <c r="AS13" s="250">
        <f t="shared" si="10"/>
        <v>9</v>
      </c>
      <c r="AU13" s="326" t="str">
        <f t="shared" si="11"/>
        <v>Cloth (Varying Types)</v>
      </c>
      <c r="AV13" s="308" t="str">
        <f t="shared" si="12"/>
        <v>Cut into 6"x6" squares</v>
      </c>
    </row>
    <row r="14" spans="1:48" ht="31.5" x14ac:dyDescent="0.25">
      <c r="A14" s="469" t="s">
        <v>652</v>
      </c>
      <c r="B14" s="437" t="s">
        <v>813</v>
      </c>
      <c r="C14" s="437" t="s">
        <v>66</v>
      </c>
      <c r="D14" s="437" t="s">
        <v>812</v>
      </c>
      <c r="E14" s="437" t="s">
        <v>666</v>
      </c>
      <c r="F14" s="1289">
        <v>3</v>
      </c>
      <c r="G14" s="1289">
        <v>4</v>
      </c>
      <c r="H14" s="541">
        <v>2</v>
      </c>
      <c r="I14" s="542">
        <v>3</v>
      </c>
      <c r="J14" s="1432">
        <v>0</v>
      </c>
      <c r="K14" s="1436">
        <f>1/15</f>
        <v>6.6666666666666666E-2</v>
      </c>
      <c r="L14" s="545">
        <f t="shared" si="22"/>
        <v>2</v>
      </c>
      <c r="M14" s="546">
        <f t="shared" si="28"/>
        <v>6</v>
      </c>
      <c r="N14" s="546">
        <f t="shared" si="23"/>
        <v>6</v>
      </c>
      <c r="O14" s="547">
        <f t="shared" si="24"/>
        <v>9</v>
      </c>
      <c r="P14" s="546">
        <f t="shared" si="13"/>
        <v>8</v>
      </c>
      <c r="Q14" s="546">
        <f t="shared" si="29"/>
        <v>8</v>
      </c>
      <c r="R14" s="547">
        <f t="shared" si="30"/>
        <v>12</v>
      </c>
      <c r="S14" s="732">
        <f t="shared" si="25"/>
        <v>0</v>
      </c>
      <c r="T14" s="694">
        <f t="shared" si="26"/>
        <v>0</v>
      </c>
      <c r="U14" s="694">
        <f t="shared" si="27"/>
        <v>0</v>
      </c>
      <c r="V14" s="1175">
        <v>1</v>
      </c>
      <c r="W14" s="1176">
        <v>0</v>
      </c>
      <c r="X14" s="1177">
        <f t="shared" si="31"/>
        <v>1</v>
      </c>
      <c r="Y14" s="1178">
        <f t="shared" si="15"/>
        <v>3</v>
      </c>
      <c r="Z14" s="1179">
        <f t="shared" si="16"/>
        <v>4</v>
      </c>
      <c r="AA14" s="1180">
        <v>1</v>
      </c>
      <c r="AB14" s="1181">
        <f t="shared" si="17"/>
        <v>1</v>
      </c>
      <c r="AC14" s="1182">
        <f t="shared" si="18"/>
        <v>0</v>
      </c>
      <c r="AD14" s="1178">
        <f t="shared" si="19"/>
        <v>0</v>
      </c>
      <c r="AE14" s="1179">
        <f t="shared" si="20"/>
        <v>0</v>
      </c>
      <c r="AI14" s="332" t="str">
        <f t="shared" si="3"/>
        <v>Felt</v>
      </c>
      <c r="AJ14" s="333" t="str">
        <f t="shared" si="4"/>
        <v>yes</v>
      </c>
      <c r="AK14" s="333" t="str">
        <f t="shared" si="5"/>
        <v>Fabric or Variety</v>
      </c>
      <c r="AL14" s="188">
        <f t="shared" si="0"/>
        <v>2</v>
      </c>
      <c r="AM14" s="188">
        <f t="shared" si="6"/>
        <v>3</v>
      </c>
      <c r="AN14" s="189">
        <f t="shared" si="1"/>
        <v>3</v>
      </c>
      <c r="AO14" s="189">
        <f t="shared" si="7"/>
        <v>6</v>
      </c>
      <c r="AP14" s="189">
        <f t="shared" si="8"/>
        <v>9</v>
      </c>
      <c r="AQ14" s="189">
        <f t="shared" si="2"/>
        <v>4</v>
      </c>
      <c r="AR14" s="189">
        <f t="shared" si="9"/>
        <v>8</v>
      </c>
      <c r="AS14" s="190">
        <f t="shared" si="10"/>
        <v>12</v>
      </c>
      <c r="AU14" s="326" t="str">
        <f t="shared" si="11"/>
        <v>Felt</v>
      </c>
      <c r="AV14" s="308" t="str">
        <f t="shared" si="12"/>
        <v>Cut into 6"x6" squares</v>
      </c>
    </row>
    <row r="15" spans="1:48" ht="31.5" x14ac:dyDescent="0.25">
      <c r="A15" s="469" t="s">
        <v>407</v>
      </c>
      <c r="B15" s="440" t="s">
        <v>822</v>
      </c>
      <c r="C15" s="438" t="s">
        <v>212</v>
      </c>
      <c r="D15" s="437" t="s">
        <v>823</v>
      </c>
      <c r="E15" s="437" t="s">
        <v>667</v>
      </c>
      <c r="F15" s="1289">
        <v>1.79</v>
      </c>
      <c r="G15" s="1289">
        <v>1.79</v>
      </c>
      <c r="H15" s="541">
        <f t="shared" si="21"/>
        <v>11</v>
      </c>
      <c r="I15" s="542">
        <f t="shared" si="21"/>
        <v>15</v>
      </c>
      <c r="J15" s="1432">
        <v>1</v>
      </c>
      <c r="K15" s="544">
        <f>1/N3</f>
        <v>0.33333333333333331</v>
      </c>
      <c r="L15" s="545">
        <f t="shared" ref="L15:L18" si="32">ROUNDUP(J15+(K15*L$3),0)</f>
        <v>11</v>
      </c>
      <c r="M15" s="546">
        <f t="shared" si="28"/>
        <v>19.690000000000001</v>
      </c>
      <c r="N15" s="546">
        <f t="shared" si="23"/>
        <v>19.690000000000001</v>
      </c>
      <c r="O15" s="547">
        <f t="shared" si="24"/>
        <v>26.85</v>
      </c>
      <c r="P15" s="546">
        <f t="shared" si="13"/>
        <v>19.690000000000001</v>
      </c>
      <c r="Q15" s="546">
        <f t="shared" si="29"/>
        <v>19.690000000000001</v>
      </c>
      <c r="R15" s="547">
        <f t="shared" si="30"/>
        <v>26.85</v>
      </c>
      <c r="S15" s="732">
        <f t="shared" si="25"/>
        <v>11</v>
      </c>
      <c r="T15" s="694">
        <f t="shared" si="26"/>
        <v>19.690000000000001</v>
      </c>
      <c r="U15" s="694">
        <f t="shared" si="27"/>
        <v>19.690000000000001</v>
      </c>
      <c r="V15" s="1175">
        <v>1</v>
      </c>
      <c r="W15" s="1176">
        <v>0</v>
      </c>
      <c r="X15" s="1177">
        <f t="shared" ref="X15:X18" si="33">V15+ROUNDUP(Y$3/W$3*W15,0)</f>
        <v>1</v>
      </c>
      <c r="Y15" s="1178">
        <f t="shared" si="15"/>
        <v>1.79</v>
      </c>
      <c r="Z15" s="1179">
        <f t="shared" si="16"/>
        <v>1.79</v>
      </c>
      <c r="AA15" s="1180">
        <v>1</v>
      </c>
      <c r="AB15" s="1181">
        <f t="shared" ref="AB15:AB18" si="34">AA15*AA$3</f>
        <v>1</v>
      </c>
      <c r="AC15" s="1182">
        <f t="shared" ref="AC15:AC18" si="35">MAX(X15-AB15,0)</f>
        <v>0</v>
      </c>
      <c r="AD15" s="1178">
        <f t="shared" si="19"/>
        <v>0</v>
      </c>
      <c r="AE15" s="1179">
        <f t="shared" si="20"/>
        <v>0</v>
      </c>
      <c r="AI15" s="332" t="str">
        <f t="shared" si="3"/>
        <v>Masking Tape</v>
      </c>
      <c r="AJ15" s="333" t="str">
        <f t="shared" si="4"/>
        <v>no</v>
      </c>
      <c r="AK15" s="333" t="str">
        <f t="shared" si="5"/>
        <v>Grocery, variety</v>
      </c>
      <c r="AL15" s="188">
        <f t="shared" si="0"/>
        <v>11</v>
      </c>
      <c r="AM15" s="188">
        <f t="shared" si="6"/>
        <v>15</v>
      </c>
      <c r="AN15" s="189">
        <f t="shared" si="1"/>
        <v>1.79</v>
      </c>
      <c r="AO15" s="189">
        <f t="shared" si="7"/>
        <v>19.690000000000001</v>
      </c>
      <c r="AP15" s="189">
        <f t="shared" si="8"/>
        <v>26.85</v>
      </c>
      <c r="AQ15" s="189">
        <f t="shared" si="2"/>
        <v>1.79</v>
      </c>
      <c r="AR15" s="189">
        <f t="shared" ref="AR15:AR18" si="36">Q15</f>
        <v>19.690000000000001</v>
      </c>
      <c r="AS15" s="190">
        <f t="shared" ref="AS15:AS18" si="37">R15</f>
        <v>26.85</v>
      </c>
      <c r="AU15" s="326" t="str">
        <f t="shared" si="11"/>
        <v>Masking Tape</v>
      </c>
      <c r="AV15" s="308" t="str">
        <f t="shared" si="12"/>
        <v>Scotch tape works too</v>
      </c>
    </row>
    <row r="16" spans="1:48" ht="15.75" x14ac:dyDescent="0.25">
      <c r="A16" s="469" t="s">
        <v>655</v>
      </c>
      <c r="B16" s="438" t="s">
        <v>815</v>
      </c>
      <c r="C16" s="438" t="s">
        <v>212</v>
      </c>
      <c r="D16" s="437" t="s">
        <v>820</v>
      </c>
      <c r="E16" s="437"/>
      <c r="F16" s="1289">
        <v>2</v>
      </c>
      <c r="G16" s="1289">
        <v>3</v>
      </c>
      <c r="H16" s="541">
        <v>1</v>
      </c>
      <c r="I16" s="542">
        <v>1</v>
      </c>
      <c r="J16" s="1432">
        <v>1</v>
      </c>
      <c r="K16" s="1435">
        <v>0</v>
      </c>
      <c r="L16" s="545">
        <f t="shared" si="32"/>
        <v>1</v>
      </c>
      <c r="M16" s="546">
        <f t="shared" si="28"/>
        <v>2</v>
      </c>
      <c r="N16" s="546">
        <f t="shared" si="23"/>
        <v>2</v>
      </c>
      <c r="O16" s="547">
        <f t="shared" si="24"/>
        <v>2</v>
      </c>
      <c r="P16" s="546">
        <f t="shared" si="13"/>
        <v>3</v>
      </c>
      <c r="Q16" s="546">
        <f t="shared" si="29"/>
        <v>3</v>
      </c>
      <c r="R16" s="547">
        <f t="shared" si="30"/>
        <v>3</v>
      </c>
      <c r="S16" s="732">
        <f t="shared" si="25"/>
        <v>1</v>
      </c>
      <c r="T16" s="694">
        <f t="shared" si="26"/>
        <v>2</v>
      </c>
      <c r="U16" s="694">
        <f t="shared" si="27"/>
        <v>3</v>
      </c>
      <c r="V16" s="1175">
        <v>1</v>
      </c>
      <c r="W16" s="1176">
        <v>0</v>
      </c>
      <c r="X16" s="1177">
        <f t="shared" si="33"/>
        <v>1</v>
      </c>
      <c r="Y16" s="1178">
        <f t="shared" si="15"/>
        <v>2</v>
      </c>
      <c r="Z16" s="1179">
        <f t="shared" si="16"/>
        <v>3</v>
      </c>
      <c r="AA16" s="1180">
        <v>1</v>
      </c>
      <c r="AB16" s="1181">
        <f t="shared" si="34"/>
        <v>1</v>
      </c>
      <c r="AC16" s="1182">
        <f t="shared" si="35"/>
        <v>0</v>
      </c>
      <c r="AD16" s="1178">
        <f t="shared" si="19"/>
        <v>0</v>
      </c>
      <c r="AE16" s="1179">
        <f t="shared" si="20"/>
        <v>0</v>
      </c>
      <c r="AI16" s="332" t="str">
        <f t="shared" si="3"/>
        <v>Paper (Varying Types)</v>
      </c>
      <c r="AJ16" s="333" t="str">
        <f t="shared" si="4"/>
        <v>no</v>
      </c>
      <c r="AK16" s="333" t="str">
        <f t="shared" si="5"/>
        <v>Variety</v>
      </c>
      <c r="AL16" s="188">
        <f t="shared" si="0"/>
        <v>1</v>
      </c>
      <c r="AM16" s="188">
        <f t="shared" si="6"/>
        <v>1</v>
      </c>
      <c r="AN16" s="189">
        <f t="shared" si="1"/>
        <v>2</v>
      </c>
      <c r="AO16" s="189">
        <f t="shared" si="7"/>
        <v>2</v>
      </c>
      <c r="AP16" s="189">
        <f t="shared" si="8"/>
        <v>2</v>
      </c>
      <c r="AQ16" s="189">
        <f t="shared" si="2"/>
        <v>3</v>
      </c>
      <c r="AR16" s="189">
        <f t="shared" si="36"/>
        <v>3</v>
      </c>
      <c r="AS16" s="190">
        <f t="shared" si="37"/>
        <v>3</v>
      </c>
      <c r="AU16" s="326" t="str">
        <f t="shared" si="11"/>
        <v>Paper (Varying Types)</v>
      </c>
      <c r="AV16" s="308">
        <f t="shared" si="12"/>
        <v>0</v>
      </c>
    </row>
    <row r="17" spans="1:53" ht="15.75" x14ac:dyDescent="0.25">
      <c r="A17" s="469" t="s">
        <v>287</v>
      </c>
      <c r="B17" s="438" t="s">
        <v>668</v>
      </c>
      <c r="C17" s="438" t="s">
        <v>66</v>
      </c>
      <c r="D17" s="437" t="s">
        <v>143</v>
      </c>
      <c r="E17" s="437"/>
      <c r="F17" s="1289">
        <v>1</v>
      </c>
      <c r="G17" s="1289">
        <v>1</v>
      </c>
      <c r="H17" s="541">
        <v>1</v>
      </c>
      <c r="I17" s="542">
        <v>1</v>
      </c>
      <c r="J17" s="1432">
        <v>1</v>
      </c>
      <c r="K17" s="1435">
        <v>0</v>
      </c>
      <c r="L17" s="545">
        <f t="shared" si="32"/>
        <v>1</v>
      </c>
      <c r="M17" s="546">
        <f t="shared" si="28"/>
        <v>1</v>
      </c>
      <c r="N17" s="546">
        <f t="shared" si="23"/>
        <v>1</v>
      </c>
      <c r="O17" s="547">
        <f t="shared" si="24"/>
        <v>1</v>
      </c>
      <c r="P17" s="546">
        <f t="shared" si="13"/>
        <v>1</v>
      </c>
      <c r="Q17" s="546">
        <f t="shared" si="29"/>
        <v>1</v>
      </c>
      <c r="R17" s="547">
        <f t="shared" si="30"/>
        <v>1</v>
      </c>
      <c r="S17" s="732">
        <f t="shared" si="25"/>
        <v>0</v>
      </c>
      <c r="T17" s="694">
        <f t="shared" si="26"/>
        <v>0</v>
      </c>
      <c r="U17" s="694">
        <f t="shared" si="27"/>
        <v>0</v>
      </c>
      <c r="V17" s="1175">
        <v>1</v>
      </c>
      <c r="W17" s="1176">
        <v>0</v>
      </c>
      <c r="X17" s="1177">
        <f t="shared" si="33"/>
        <v>1</v>
      </c>
      <c r="Y17" s="1178">
        <f t="shared" si="15"/>
        <v>1</v>
      </c>
      <c r="Z17" s="1179">
        <f t="shared" si="16"/>
        <v>1</v>
      </c>
      <c r="AA17" s="1180">
        <v>1</v>
      </c>
      <c r="AB17" s="1181">
        <f t="shared" si="34"/>
        <v>1</v>
      </c>
      <c r="AC17" s="1182">
        <f t="shared" si="35"/>
        <v>0</v>
      </c>
      <c r="AD17" s="1178">
        <f t="shared" si="19"/>
        <v>0</v>
      </c>
      <c r="AE17" s="1179">
        <f t="shared" si="20"/>
        <v>0</v>
      </c>
      <c r="AI17" s="324" t="str">
        <f t="shared" si="3"/>
        <v>Scissors</v>
      </c>
      <c r="AJ17" s="251" t="str">
        <f t="shared" si="4"/>
        <v>yes</v>
      </c>
      <c r="AK17" s="251" t="str">
        <f t="shared" si="5"/>
        <v>Dollar</v>
      </c>
      <c r="AL17" s="223">
        <f t="shared" si="0"/>
        <v>1</v>
      </c>
      <c r="AM17" s="223">
        <f t="shared" si="6"/>
        <v>1</v>
      </c>
      <c r="AN17" s="216">
        <f t="shared" si="1"/>
        <v>1</v>
      </c>
      <c r="AO17" s="216">
        <f t="shared" si="7"/>
        <v>1</v>
      </c>
      <c r="AP17" s="216">
        <f t="shared" si="8"/>
        <v>1</v>
      </c>
      <c r="AQ17" s="216">
        <f t="shared" si="2"/>
        <v>1</v>
      </c>
      <c r="AR17" s="216">
        <f t="shared" si="36"/>
        <v>1</v>
      </c>
      <c r="AS17" s="250">
        <f t="shared" si="37"/>
        <v>1</v>
      </c>
      <c r="AU17" s="326" t="str">
        <f t="shared" si="11"/>
        <v>Scissors</v>
      </c>
      <c r="AV17" s="308">
        <f t="shared" si="12"/>
        <v>0</v>
      </c>
    </row>
    <row r="18" spans="1:53" ht="15.75" x14ac:dyDescent="0.25">
      <c r="A18" s="469" t="s">
        <v>656</v>
      </c>
      <c r="B18" s="438" t="s">
        <v>738</v>
      </c>
      <c r="C18" s="438" t="s">
        <v>212</v>
      </c>
      <c r="D18" s="437"/>
      <c r="E18" s="437"/>
      <c r="F18" s="1289">
        <v>3</v>
      </c>
      <c r="G18" s="1289">
        <v>3</v>
      </c>
      <c r="H18" s="541">
        <f t="shared" si="21"/>
        <v>1</v>
      </c>
      <c r="I18" s="542">
        <f t="shared" si="21"/>
        <v>1</v>
      </c>
      <c r="J18" s="1432">
        <v>1</v>
      </c>
      <c r="K18" s="1435">
        <v>0</v>
      </c>
      <c r="L18" s="545">
        <f t="shared" si="32"/>
        <v>1</v>
      </c>
      <c r="M18" s="546">
        <f t="shared" si="28"/>
        <v>3</v>
      </c>
      <c r="N18" s="546">
        <f t="shared" si="23"/>
        <v>3</v>
      </c>
      <c r="O18" s="547">
        <f t="shared" si="24"/>
        <v>3</v>
      </c>
      <c r="P18" s="546">
        <f t="shared" si="13"/>
        <v>3</v>
      </c>
      <c r="Q18" s="546">
        <f t="shared" si="29"/>
        <v>3</v>
      </c>
      <c r="R18" s="547">
        <f t="shared" si="30"/>
        <v>3</v>
      </c>
      <c r="S18" s="732">
        <f t="shared" si="25"/>
        <v>1</v>
      </c>
      <c r="T18" s="694">
        <f t="shared" si="26"/>
        <v>3</v>
      </c>
      <c r="U18" s="694">
        <f t="shared" si="27"/>
        <v>3</v>
      </c>
      <c r="V18" s="1175">
        <v>1</v>
      </c>
      <c r="W18" s="1176">
        <v>0</v>
      </c>
      <c r="X18" s="1177">
        <f t="shared" si="33"/>
        <v>1</v>
      </c>
      <c r="Y18" s="1178">
        <f t="shared" si="15"/>
        <v>3</v>
      </c>
      <c r="Z18" s="1179">
        <f t="shared" si="16"/>
        <v>3</v>
      </c>
      <c r="AA18" s="1180">
        <v>1</v>
      </c>
      <c r="AB18" s="1181">
        <f t="shared" si="34"/>
        <v>1</v>
      </c>
      <c r="AC18" s="1182">
        <f t="shared" si="35"/>
        <v>0</v>
      </c>
      <c r="AD18" s="1178">
        <f t="shared" si="19"/>
        <v>0</v>
      </c>
      <c r="AE18" s="1179">
        <f t="shared" si="20"/>
        <v>0</v>
      </c>
      <c r="AI18" s="324" t="str">
        <f t="shared" si="3"/>
        <v>Aluminium Foil</v>
      </c>
      <c r="AJ18" s="251" t="str">
        <f t="shared" si="4"/>
        <v>no</v>
      </c>
      <c r="AK18" s="251">
        <f t="shared" si="5"/>
        <v>0</v>
      </c>
      <c r="AL18" s="223">
        <f t="shared" si="0"/>
        <v>1</v>
      </c>
      <c r="AM18" s="223">
        <f t="shared" si="6"/>
        <v>1</v>
      </c>
      <c r="AN18" s="216">
        <f t="shared" si="1"/>
        <v>3</v>
      </c>
      <c r="AO18" s="216">
        <f t="shared" si="7"/>
        <v>3</v>
      </c>
      <c r="AP18" s="216">
        <f t="shared" si="8"/>
        <v>3</v>
      </c>
      <c r="AQ18" s="216">
        <f t="shared" si="2"/>
        <v>3</v>
      </c>
      <c r="AR18" s="216">
        <f t="shared" si="36"/>
        <v>3</v>
      </c>
      <c r="AS18" s="250">
        <f t="shared" si="37"/>
        <v>3</v>
      </c>
      <c r="AU18" s="326" t="str">
        <f t="shared" si="11"/>
        <v>Aluminium Foil</v>
      </c>
      <c r="AV18" s="308">
        <f t="shared" si="12"/>
        <v>0</v>
      </c>
    </row>
    <row r="19" spans="1:53" ht="15.75" x14ac:dyDescent="0.25">
      <c r="A19" s="469" t="s">
        <v>653</v>
      </c>
      <c r="B19" s="438" t="s">
        <v>816</v>
      </c>
      <c r="C19" s="438" t="s">
        <v>212</v>
      </c>
      <c r="D19" s="437"/>
      <c r="E19" s="437" t="s">
        <v>676</v>
      </c>
      <c r="F19" s="1289">
        <v>5</v>
      </c>
      <c r="G19" s="1289">
        <v>5</v>
      </c>
      <c r="H19" s="541">
        <v>1</v>
      </c>
      <c r="I19" s="542">
        <v>1</v>
      </c>
      <c r="J19" s="1432">
        <v>1</v>
      </c>
      <c r="K19" s="544">
        <v>0</v>
      </c>
      <c r="L19" s="545">
        <f t="shared" si="22"/>
        <v>1</v>
      </c>
      <c r="M19" s="546">
        <f t="shared" si="28"/>
        <v>5</v>
      </c>
      <c r="N19" s="546">
        <f t="shared" si="23"/>
        <v>5</v>
      </c>
      <c r="O19" s="547">
        <f t="shared" si="24"/>
        <v>5</v>
      </c>
      <c r="P19" s="546">
        <f t="shared" si="13"/>
        <v>5</v>
      </c>
      <c r="Q19" s="546">
        <f t="shared" si="29"/>
        <v>5</v>
      </c>
      <c r="R19" s="547">
        <f t="shared" si="30"/>
        <v>5</v>
      </c>
      <c r="S19" s="732">
        <f t="shared" si="25"/>
        <v>1</v>
      </c>
      <c r="T19" s="694">
        <f t="shared" si="26"/>
        <v>5</v>
      </c>
      <c r="U19" s="694">
        <f t="shared" si="27"/>
        <v>5</v>
      </c>
      <c r="V19" s="1175">
        <v>1</v>
      </c>
      <c r="W19" s="1176">
        <v>0</v>
      </c>
      <c r="X19" s="1177">
        <f t="shared" si="31"/>
        <v>1</v>
      </c>
      <c r="Y19" s="1178">
        <f t="shared" si="15"/>
        <v>5</v>
      </c>
      <c r="Z19" s="1179">
        <f t="shared" si="16"/>
        <v>5</v>
      </c>
      <c r="AA19" s="1180">
        <v>1</v>
      </c>
      <c r="AB19" s="1181">
        <f t="shared" si="17"/>
        <v>1</v>
      </c>
      <c r="AC19" s="1182">
        <f t="shared" si="18"/>
        <v>0</v>
      </c>
      <c r="AD19" s="1178">
        <f t="shared" si="19"/>
        <v>0</v>
      </c>
      <c r="AE19" s="1179">
        <f t="shared" si="20"/>
        <v>0</v>
      </c>
      <c r="AI19" s="332" t="str">
        <f t="shared" si="3"/>
        <v>Bubble Wrap</v>
      </c>
      <c r="AJ19" s="333" t="str">
        <f t="shared" si="4"/>
        <v>no</v>
      </c>
      <c r="AK19" s="333">
        <f t="shared" si="5"/>
        <v>0</v>
      </c>
      <c r="AL19" s="188">
        <f t="shared" si="0"/>
        <v>1</v>
      </c>
      <c r="AM19" s="188">
        <f t="shared" si="6"/>
        <v>1</v>
      </c>
      <c r="AN19" s="189">
        <f t="shared" si="1"/>
        <v>5</v>
      </c>
      <c r="AO19" s="189">
        <f t="shared" si="7"/>
        <v>5</v>
      </c>
      <c r="AP19" s="189">
        <f t="shared" si="8"/>
        <v>5</v>
      </c>
      <c r="AQ19" s="189">
        <f t="shared" si="2"/>
        <v>5</v>
      </c>
      <c r="AR19" s="189">
        <f>Q19</f>
        <v>5</v>
      </c>
      <c r="AS19" s="190">
        <f>R19</f>
        <v>5</v>
      </c>
      <c r="AU19" s="326" t="str">
        <f t="shared" si="11"/>
        <v>Bubble Wrap</v>
      </c>
      <c r="AV19" s="308" t="str">
        <f t="shared" si="12"/>
        <v>Ordered at Walmart: 000359711</v>
      </c>
    </row>
    <row r="20" spans="1:53" ht="31.5" x14ac:dyDescent="0.25">
      <c r="A20" s="469" t="s">
        <v>817</v>
      </c>
      <c r="B20" s="438" t="s">
        <v>818</v>
      </c>
      <c r="C20" s="438" t="s">
        <v>212</v>
      </c>
      <c r="D20" s="437" t="s">
        <v>674</v>
      </c>
      <c r="E20" s="437" t="s">
        <v>675</v>
      </c>
      <c r="F20" s="1289">
        <v>2.79</v>
      </c>
      <c r="G20" s="1289">
        <v>2.79</v>
      </c>
      <c r="H20" s="541">
        <f t="shared" si="21"/>
        <v>1</v>
      </c>
      <c r="I20" s="542">
        <f t="shared" si="21"/>
        <v>1</v>
      </c>
      <c r="J20" s="1432">
        <v>1</v>
      </c>
      <c r="K20" s="544">
        <v>0</v>
      </c>
      <c r="L20" s="545">
        <f t="shared" si="22"/>
        <v>1</v>
      </c>
      <c r="M20" s="546">
        <f t="shared" si="28"/>
        <v>2.79</v>
      </c>
      <c r="N20" s="546">
        <f t="shared" si="23"/>
        <v>2.79</v>
      </c>
      <c r="O20" s="547">
        <f t="shared" si="24"/>
        <v>2.79</v>
      </c>
      <c r="P20" s="546">
        <f t="shared" si="13"/>
        <v>2.79</v>
      </c>
      <c r="Q20" s="546">
        <f t="shared" si="29"/>
        <v>2.79</v>
      </c>
      <c r="R20" s="547">
        <f t="shared" si="30"/>
        <v>2.79</v>
      </c>
      <c r="S20" s="732">
        <f t="shared" si="25"/>
        <v>1</v>
      </c>
      <c r="T20" s="694">
        <f t="shared" si="26"/>
        <v>2.79</v>
      </c>
      <c r="U20" s="694">
        <f t="shared" si="27"/>
        <v>2.79</v>
      </c>
      <c r="V20" s="1175">
        <v>1</v>
      </c>
      <c r="W20" s="1176">
        <v>0</v>
      </c>
      <c r="X20" s="1177">
        <f t="shared" si="31"/>
        <v>1</v>
      </c>
      <c r="Y20" s="1178">
        <f t="shared" si="15"/>
        <v>2.79</v>
      </c>
      <c r="Z20" s="1179">
        <f t="shared" si="16"/>
        <v>2.79</v>
      </c>
      <c r="AA20" s="1180">
        <v>1</v>
      </c>
      <c r="AB20" s="1181">
        <f t="shared" si="17"/>
        <v>1</v>
      </c>
      <c r="AC20" s="1182">
        <f t="shared" si="18"/>
        <v>0</v>
      </c>
      <c r="AD20" s="1178">
        <f t="shared" si="19"/>
        <v>0</v>
      </c>
      <c r="AE20" s="1179">
        <f t="shared" si="20"/>
        <v>0</v>
      </c>
      <c r="AI20" s="332" t="str">
        <f t="shared" si="3"/>
        <v>Rubber Bands, size 64</v>
      </c>
      <c r="AJ20" s="333" t="str">
        <f t="shared" si="4"/>
        <v>no</v>
      </c>
      <c r="AK20" s="333" t="str">
        <f t="shared" si="5"/>
        <v>Office, Grocery</v>
      </c>
      <c r="AL20" s="188">
        <f t="shared" si="0"/>
        <v>1</v>
      </c>
      <c r="AM20" s="188">
        <f t="shared" si="6"/>
        <v>1</v>
      </c>
      <c r="AN20" s="189">
        <f t="shared" si="1"/>
        <v>2.79</v>
      </c>
      <c r="AO20" s="189">
        <f t="shared" si="7"/>
        <v>2.79</v>
      </c>
      <c r="AP20" s="189">
        <f t="shared" si="8"/>
        <v>2.79</v>
      </c>
      <c r="AQ20" s="189">
        <f t="shared" si="2"/>
        <v>2.79</v>
      </c>
      <c r="AR20" s="189">
        <f>Q20</f>
        <v>2.79</v>
      </c>
      <c r="AS20" s="190">
        <f>R20</f>
        <v>2.79</v>
      </c>
      <c r="AU20" s="326" t="str">
        <f t="shared" si="11"/>
        <v>Rubber Bands, size 64</v>
      </c>
      <c r="AV20" s="308" t="str">
        <f t="shared" si="12"/>
        <v>Bought at Office Depot: 856657</v>
      </c>
    </row>
    <row r="21" spans="1:53" ht="110.25" x14ac:dyDescent="0.25">
      <c r="A21" s="469" t="s">
        <v>735</v>
      </c>
      <c r="B21" s="440" t="s">
        <v>794</v>
      </c>
      <c r="C21" s="438" t="s">
        <v>66</v>
      </c>
      <c r="D21" s="437" t="s">
        <v>673</v>
      </c>
      <c r="E21" s="437" t="s">
        <v>677</v>
      </c>
      <c r="F21" s="1289">
        <v>1.99</v>
      </c>
      <c r="G21" s="1289">
        <v>1.99</v>
      </c>
      <c r="H21" s="541">
        <f t="shared" si="21"/>
        <v>31</v>
      </c>
      <c r="I21" s="542">
        <f t="shared" si="21"/>
        <v>41</v>
      </c>
      <c r="J21" s="1432">
        <v>1</v>
      </c>
      <c r="K21" s="544">
        <v>1</v>
      </c>
      <c r="L21" s="545">
        <f t="shared" ref="L21:L22" si="38">ROUNDUP(J21+(K21*L$3),0)</f>
        <v>31</v>
      </c>
      <c r="M21" s="1163">
        <f t="shared" si="28"/>
        <v>61.69</v>
      </c>
      <c r="N21" s="1163">
        <f t="shared" si="23"/>
        <v>61.69</v>
      </c>
      <c r="O21" s="1164">
        <f t="shared" si="24"/>
        <v>81.59</v>
      </c>
      <c r="P21" s="1163">
        <f t="shared" si="13"/>
        <v>61.69</v>
      </c>
      <c r="Q21" s="1163">
        <f t="shared" si="29"/>
        <v>61.69</v>
      </c>
      <c r="R21" s="1164">
        <f t="shared" si="30"/>
        <v>81.59</v>
      </c>
      <c r="S21" s="732">
        <f t="shared" si="25"/>
        <v>0</v>
      </c>
      <c r="T21" s="694">
        <f t="shared" si="26"/>
        <v>0</v>
      </c>
      <c r="U21" s="694">
        <f t="shared" si="27"/>
        <v>0</v>
      </c>
      <c r="V21" s="1175">
        <v>1</v>
      </c>
      <c r="W21" s="1176">
        <f>W3</f>
        <v>3</v>
      </c>
      <c r="X21" s="1177">
        <f t="shared" ref="X21:X22" si="39">V21+ROUNDUP(Y$3/W$3*W21,0)</f>
        <v>11</v>
      </c>
      <c r="Y21" s="1178">
        <f t="shared" si="15"/>
        <v>21.89</v>
      </c>
      <c r="Z21" s="1179">
        <f t="shared" si="16"/>
        <v>21.89</v>
      </c>
      <c r="AA21" s="1180">
        <v>1</v>
      </c>
      <c r="AB21" s="1181">
        <f t="shared" ref="AB21:AB22" si="40">AA21*AA$3</f>
        <v>1</v>
      </c>
      <c r="AC21" s="1182">
        <f t="shared" ref="AC21:AC22" si="41">MAX(X21-AB21,0)</f>
        <v>10</v>
      </c>
      <c r="AD21" s="1178">
        <f t="shared" si="19"/>
        <v>19.899999999999999</v>
      </c>
      <c r="AE21" s="1179">
        <f t="shared" si="20"/>
        <v>19.899999999999999</v>
      </c>
      <c r="AI21" s="324" t="str">
        <f t="shared" si="3"/>
        <v>Safety Goggles*</v>
      </c>
      <c r="AJ21" s="251" t="str">
        <f t="shared" si="4"/>
        <v>yes</v>
      </c>
      <c r="AK21" s="251" t="str">
        <f t="shared" si="5"/>
        <v>Grocery, Home Improvement, Science supply co.</v>
      </c>
      <c r="AL21" s="223">
        <f t="shared" si="0"/>
        <v>31</v>
      </c>
      <c r="AM21" s="223">
        <f t="shared" si="6"/>
        <v>41</v>
      </c>
      <c r="AN21" s="216">
        <f t="shared" si="1"/>
        <v>1.99</v>
      </c>
      <c r="AO21" s="216">
        <f t="shared" si="7"/>
        <v>61.69</v>
      </c>
      <c r="AP21" s="216">
        <f t="shared" si="8"/>
        <v>81.59</v>
      </c>
      <c r="AQ21" s="216">
        <f t="shared" si="2"/>
        <v>1.99</v>
      </c>
      <c r="AR21" s="216">
        <f t="shared" ref="AR21:AR22" si="42">Q21</f>
        <v>61.69</v>
      </c>
      <c r="AS21" s="250">
        <f t="shared" ref="AS21:AS22" si="43">R21</f>
        <v>81.59</v>
      </c>
      <c r="AU21" s="326" t="str">
        <f t="shared" si="11"/>
        <v>Safety Goggles*</v>
      </c>
      <c r="AV21" s="308" t="str">
        <f t="shared" si="12"/>
        <v>Ordered at Walmart: 550905940</v>
      </c>
    </row>
    <row r="22" spans="1:53" ht="47.25" x14ac:dyDescent="0.25">
      <c r="A22" s="469" t="s">
        <v>654</v>
      </c>
      <c r="B22" s="440" t="s">
        <v>819</v>
      </c>
      <c r="C22" s="438" t="s">
        <v>212</v>
      </c>
      <c r="D22" s="437" t="s">
        <v>24</v>
      </c>
      <c r="E22" s="437" t="s">
        <v>672</v>
      </c>
      <c r="F22" s="1289">
        <v>13.5</v>
      </c>
      <c r="G22" s="1289">
        <v>13.5</v>
      </c>
      <c r="H22" s="541">
        <v>1</v>
      </c>
      <c r="I22" s="542">
        <v>1</v>
      </c>
      <c r="J22" s="1432">
        <v>1</v>
      </c>
      <c r="K22" s="544">
        <v>0</v>
      </c>
      <c r="L22" s="545">
        <f t="shared" si="38"/>
        <v>1</v>
      </c>
      <c r="M22" s="1163">
        <f t="shared" si="28"/>
        <v>13.5</v>
      </c>
      <c r="N22" s="1163">
        <f t="shared" si="23"/>
        <v>13.5</v>
      </c>
      <c r="O22" s="1164">
        <f t="shared" si="24"/>
        <v>13.5</v>
      </c>
      <c r="P22" s="1163">
        <f t="shared" si="13"/>
        <v>13.5</v>
      </c>
      <c r="Q22" s="1163">
        <f t="shared" si="29"/>
        <v>13.5</v>
      </c>
      <c r="R22" s="1164">
        <f t="shared" si="30"/>
        <v>13.5</v>
      </c>
      <c r="S22" s="732">
        <f t="shared" si="25"/>
        <v>1</v>
      </c>
      <c r="T22" s="694">
        <f t="shared" si="26"/>
        <v>13.5</v>
      </c>
      <c r="U22" s="694">
        <f t="shared" si="27"/>
        <v>13.5</v>
      </c>
      <c r="V22" s="1175">
        <v>1</v>
      </c>
      <c r="W22" s="1176">
        <v>0</v>
      </c>
      <c r="X22" s="1177">
        <f t="shared" si="39"/>
        <v>1</v>
      </c>
      <c r="Y22" s="1178">
        <f t="shared" si="15"/>
        <v>13.5</v>
      </c>
      <c r="Z22" s="1179">
        <f t="shared" si="16"/>
        <v>13.5</v>
      </c>
      <c r="AA22" s="1180">
        <v>1</v>
      </c>
      <c r="AB22" s="1181">
        <f t="shared" si="40"/>
        <v>1</v>
      </c>
      <c r="AC22" s="1182">
        <f t="shared" si="41"/>
        <v>0</v>
      </c>
      <c r="AD22" s="1178">
        <f t="shared" si="19"/>
        <v>0</v>
      </c>
      <c r="AE22" s="1179">
        <f t="shared" si="20"/>
        <v>0</v>
      </c>
      <c r="AI22" s="324" t="str">
        <f t="shared" si="3"/>
        <v>Nitrile Gloves</v>
      </c>
      <c r="AJ22" s="251" t="str">
        <f t="shared" si="4"/>
        <v>no</v>
      </c>
      <c r="AK22" s="251" t="str">
        <f t="shared" si="5"/>
        <v>Science supply co.</v>
      </c>
      <c r="AL22" s="223">
        <f t="shared" si="0"/>
        <v>1</v>
      </c>
      <c r="AM22" s="223">
        <f t="shared" si="6"/>
        <v>1</v>
      </c>
      <c r="AN22" s="216">
        <f t="shared" si="1"/>
        <v>13.5</v>
      </c>
      <c r="AO22" s="216">
        <f t="shared" si="7"/>
        <v>13.5</v>
      </c>
      <c r="AP22" s="216">
        <f t="shared" si="8"/>
        <v>13.5</v>
      </c>
      <c r="AQ22" s="216">
        <f t="shared" si="2"/>
        <v>13.5</v>
      </c>
      <c r="AR22" s="216">
        <f t="shared" si="42"/>
        <v>13.5</v>
      </c>
      <c r="AS22" s="250">
        <f t="shared" si="43"/>
        <v>13.5</v>
      </c>
      <c r="AU22" s="326" t="str">
        <f t="shared" si="11"/>
        <v>Nitrile Gloves</v>
      </c>
      <c r="AV22" s="308" t="str">
        <f t="shared" si="12"/>
        <v>Ordered at Nurnberg Scientific: 285-0300
Large size fits most</v>
      </c>
    </row>
    <row r="23" spans="1:53" ht="48" thickBot="1" x14ac:dyDescent="0.3">
      <c r="A23" s="469" t="s">
        <v>737</v>
      </c>
      <c r="B23" s="440" t="s">
        <v>794</v>
      </c>
      <c r="C23" s="438" t="s">
        <v>66</v>
      </c>
      <c r="D23" s="437" t="s">
        <v>24</v>
      </c>
      <c r="E23" s="437" t="s">
        <v>671</v>
      </c>
      <c r="F23" s="1289">
        <v>3.17</v>
      </c>
      <c r="G23" s="1289">
        <v>3.17</v>
      </c>
      <c r="H23" s="541">
        <f t="shared" si="21"/>
        <v>1</v>
      </c>
      <c r="I23" s="542">
        <f t="shared" si="21"/>
        <v>1</v>
      </c>
      <c r="J23" s="1432">
        <v>1</v>
      </c>
      <c r="K23" s="544">
        <v>0</v>
      </c>
      <c r="L23" s="545">
        <f t="shared" si="22"/>
        <v>1</v>
      </c>
      <c r="M23" s="1163">
        <f t="shared" si="28"/>
        <v>3.17</v>
      </c>
      <c r="N23" s="1163">
        <f t="shared" si="23"/>
        <v>3.17</v>
      </c>
      <c r="O23" s="1164">
        <f t="shared" si="24"/>
        <v>3.17</v>
      </c>
      <c r="P23" s="1163">
        <f t="shared" si="13"/>
        <v>3.17</v>
      </c>
      <c r="Q23" s="1163">
        <f t="shared" si="29"/>
        <v>3.17</v>
      </c>
      <c r="R23" s="1164">
        <f t="shared" si="30"/>
        <v>3.17</v>
      </c>
      <c r="S23" s="732">
        <f t="shared" si="25"/>
        <v>0</v>
      </c>
      <c r="T23" s="694">
        <f t="shared" si="26"/>
        <v>0</v>
      </c>
      <c r="U23" s="694">
        <f t="shared" si="27"/>
        <v>0</v>
      </c>
      <c r="V23" s="1175">
        <v>1</v>
      </c>
      <c r="W23" s="1176">
        <v>0</v>
      </c>
      <c r="X23" s="1177">
        <f t="shared" si="31"/>
        <v>1</v>
      </c>
      <c r="Y23" s="1178">
        <f t="shared" si="15"/>
        <v>3.17</v>
      </c>
      <c r="Z23" s="1179">
        <f t="shared" si="16"/>
        <v>3.17</v>
      </c>
      <c r="AA23" s="1180">
        <v>1</v>
      </c>
      <c r="AB23" s="1181">
        <f t="shared" si="17"/>
        <v>1</v>
      </c>
      <c r="AC23" s="1182">
        <f t="shared" si="18"/>
        <v>0</v>
      </c>
      <c r="AD23" s="1178">
        <f t="shared" si="19"/>
        <v>0</v>
      </c>
      <c r="AE23" s="1179">
        <f t="shared" si="20"/>
        <v>0</v>
      </c>
      <c r="AI23" s="324" t="str">
        <f t="shared" si="3"/>
        <v>100mL Graduated Cylinder*</v>
      </c>
      <c r="AJ23" s="251" t="str">
        <f t="shared" si="4"/>
        <v>yes</v>
      </c>
      <c r="AK23" s="251" t="str">
        <f t="shared" si="5"/>
        <v>Science supply co.</v>
      </c>
      <c r="AL23" s="223">
        <f t="shared" si="0"/>
        <v>1</v>
      </c>
      <c r="AM23" s="223">
        <f t="shared" si="6"/>
        <v>1</v>
      </c>
      <c r="AN23" s="216">
        <f t="shared" si="1"/>
        <v>3.17</v>
      </c>
      <c r="AO23" s="216">
        <f t="shared" si="7"/>
        <v>3.17</v>
      </c>
      <c r="AP23" s="216">
        <f t="shared" si="8"/>
        <v>3.17</v>
      </c>
      <c r="AQ23" s="216">
        <f t="shared" si="2"/>
        <v>3.17</v>
      </c>
      <c r="AR23" s="216">
        <f>Q23</f>
        <v>3.17</v>
      </c>
      <c r="AS23" s="250">
        <f>R23</f>
        <v>3.17</v>
      </c>
      <c r="AU23" s="326" t="str">
        <f t="shared" si="11"/>
        <v>100mL Graduated Cylinder*</v>
      </c>
      <c r="AV23" s="312" t="str">
        <f t="shared" si="12"/>
        <v>Ordered at Nurnberg Scientific: 125-0101
Glass alternative ($3.83): 125-0005</v>
      </c>
    </row>
    <row r="24" spans="1:53" ht="48" thickBot="1" x14ac:dyDescent="0.3">
      <c r="A24" s="474" t="s">
        <v>669</v>
      </c>
      <c r="B24" s="1437" t="s">
        <v>790</v>
      </c>
      <c r="C24" s="526" t="s">
        <v>212</v>
      </c>
      <c r="D24" s="527" t="s">
        <v>24</v>
      </c>
      <c r="E24" s="527" t="s">
        <v>670</v>
      </c>
      <c r="F24" s="1291">
        <v>10.32</v>
      </c>
      <c r="G24" s="1291">
        <v>0.21</v>
      </c>
      <c r="H24" s="548">
        <v>1</v>
      </c>
      <c r="I24" s="549">
        <v>1</v>
      </c>
      <c r="J24" s="1438">
        <v>1</v>
      </c>
      <c r="K24" s="550">
        <v>0</v>
      </c>
      <c r="L24" s="551">
        <f t="shared" ref="L24" si="44">ROUNDUP(J24+(K24*L$3),0)</f>
        <v>1</v>
      </c>
      <c r="M24" s="1165">
        <f t="shared" si="28"/>
        <v>10.32</v>
      </c>
      <c r="N24" s="1165">
        <f t="shared" si="23"/>
        <v>10.32</v>
      </c>
      <c r="O24" s="1166">
        <f t="shared" si="24"/>
        <v>10.32</v>
      </c>
      <c r="P24" s="1165">
        <f t="shared" si="13"/>
        <v>0.21</v>
      </c>
      <c r="Q24" s="1165">
        <f t="shared" si="29"/>
        <v>0.21</v>
      </c>
      <c r="R24" s="1166">
        <f t="shared" si="30"/>
        <v>0.21</v>
      </c>
      <c r="S24" s="732">
        <f t="shared" si="25"/>
        <v>1</v>
      </c>
      <c r="T24" s="694">
        <f t="shared" si="26"/>
        <v>10.32</v>
      </c>
      <c r="U24" s="694">
        <f t="shared" si="27"/>
        <v>0.21</v>
      </c>
      <c r="V24" s="1185">
        <v>1</v>
      </c>
      <c r="W24" s="1186">
        <v>0</v>
      </c>
      <c r="X24" s="1187">
        <f t="shared" ref="X24" si="45">V24+ROUNDUP(Y$3/W$3*W24,0)</f>
        <v>1</v>
      </c>
      <c r="Y24" s="1188">
        <f t="shared" si="15"/>
        <v>10.32</v>
      </c>
      <c r="Z24" s="1189">
        <f t="shared" si="16"/>
        <v>0.21</v>
      </c>
      <c r="AA24" s="1190">
        <v>1</v>
      </c>
      <c r="AB24" s="1191">
        <f t="shared" ref="AB24" si="46">AA24*AA$3</f>
        <v>1</v>
      </c>
      <c r="AC24" s="1192">
        <f t="shared" ref="AC24" si="47">MAX(X24-AB24,0)</f>
        <v>0</v>
      </c>
      <c r="AD24" s="1188">
        <f t="shared" si="19"/>
        <v>0</v>
      </c>
      <c r="AE24" s="1189">
        <f t="shared" si="20"/>
        <v>0</v>
      </c>
      <c r="AI24" s="324" t="str">
        <f t="shared" si="3"/>
        <v>Dust Mask</v>
      </c>
      <c r="AJ24" s="251" t="str">
        <f t="shared" si="4"/>
        <v>no</v>
      </c>
      <c r="AK24" s="251" t="str">
        <f t="shared" si="5"/>
        <v>Science supply co.</v>
      </c>
      <c r="AL24" s="223">
        <f t="shared" si="0"/>
        <v>1</v>
      </c>
      <c r="AM24" s="223">
        <f t="shared" si="6"/>
        <v>1</v>
      </c>
      <c r="AN24" s="216">
        <f t="shared" si="1"/>
        <v>10.32</v>
      </c>
      <c r="AO24" s="216">
        <f t="shared" si="7"/>
        <v>10.32</v>
      </c>
      <c r="AP24" s="216">
        <f t="shared" si="8"/>
        <v>10.32</v>
      </c>
      <c r="AQ24" s="216">
        <f t="shared" si="2"/>
        <v>0.21</v>
      </c>
      <c r="AR24" s="216">
        <f t="shared" ref="AR24" si="48">Q24</f>
        <v>0.21</v>
      </c>
      <c r="AS24" s="250">
        <f t="shared" ref="AS24" si="49">R24</f>
        <v>0.21</v>
      </c>
      <c r="AU24" s="326" t="str">
        <f t="shared" si="11"/>
        <v>Dust Mask</v>
      </c>
      <c r="AV24" s="312" t="str">
        <f t="shared" si="12"/>
        <v>Ordered at Nurnberg Scientific: 440-0047</v>
      </c>
    </row>
    <row r="25" spans="1:53" ht="15.75" x14ac:dyDescent="0.25">
      <c r="A25" s="517" t="s">
        <v>736</v>
      </c>
      <c r="B25" s="518"/>
      <c r="C25" s="518"/>
      <c r="D25" s="518"/>
      <c r="E25" s="519"/>
      <c r="F25" s="1160"/>
      <c r="G25" s="1292"/>
      <c r="H25" s="534"/>
      <c r="I25" s="534"/>
      <c r="J25" s="534"/>
      <c r="K25" s="534"/>
      <c r="L25" s="534"/>
      <c r="M25" s="535">
        <f t="shared" ref="M25:U25" si="50">SUM(M7:M9)+SUM(M7:M9)+SUM(M11:M18)+M20+M22+M24</f>
        <v>98.28</v>
      </c>
      <c r="N25" s="535">
        <f t="shared" si="50"/>
        <v>98.28</v>
      </c>
      <c r="O25" s="535">
        <f t="shared" si="50"/>
        <v>114.44</v>
      </c>
      <c r="P25" s="535">
        <f t="shared" si="50"/>
        <v>90.17</v>
      </c>
      <c r="Q25" s="535">
        <f t="shared" si="50"/>
        <v>90.17</v>
      </c>
      <c r="R25" s="535">
        <f t="shared" si="50"/>
        <v>108.33</v>
      </c>
      <c r="S25" s="535">
        <f t="shared" si="50"/>
        <v>32</v>
      </c>
      <c r="T25" s="535">
        <f t="shared" si="50"/>
        <v>87.28</v>
      </c>
      <c r="U25" s="535">
        <f t="shared" si="50"/>
        <v>75.17</v>
      </c>
      <c r="V25" s="555"/>
      <c r="W25" s="555"/>
      <c r="X25" s="555"/>
      <c r="Y25" s="532">
        <f>SUM(Y6:Y23)</f>
        <v>139.45000000000002</v>
      </c>
      <c r="Z25" s="532">
        <f>SUM(Z6:Z23)</f>
        <v>139.95000000000002</v>
      </c>
      <c r="AA25" s="556"/>
      <c r="AB25" s="556"/>
      <c r="AC25" s="556"/>
      <c r="AD25" s="532">
        <f>SUM(AD6:AD23)</f>
        <v>64.39</v>
      </c>
      <c r="AE25" s="557">
        <f>SUM(AE6:AE23)</f>
        <v>64.39</v>
      </c>
      <c r="AI25" s="1715" t="str">
        <f t="shared" si="3"/>
        <v>Total*</v>
      </c>
      <c r="AJ25" s="1716"/>
      <c r="AK25" s="1716"/>
      <c r="AL25" s="1716"/>
      <c r="AM25" s="1716"/>
      <c r="AN25" s="209">
        <f t="shared" si="1"/>
        <v>0</v>
      </c>
      <c r="AO25" s="209">
        <f t="shared" si="7"/>
        <v>98.28</v>
      </c>
      <c r="AP25" s="209">
        <f t="shared" si="8"/>
        <v>114.44</v>
      </c>
      <c r="AQ25" s="209">
        <f t="shared" si="2"/>
        <v>0</v>
      </c>
      <c r="AR25" s="209">
        <f>Q25</f>
        <v>90.17</v>
      </c>
      <c r="AS25" s="208">
        <f>R25</f>
        <v>108.33</v>
      </c>
      <c r="AU25" s="305"/>
      <c r="AV25" s="306"/>
    </row>
    <row r="26" spans="1:53" ht="15.75" x14ac:dyDescent="0.25">
      <c r="A26" s="469" t="s">
        <v>194</v>
      </c>
      <c r="B26" s="528"/>
      <c r="C26" s="528"/>
      <c r="D26" s="528"/>
      <c r="E26" s="528" t="s">
        <v>320</v>
      </c>
      <c r="F26" s="528"/>
      <c r="G26" s="528"/>
      <c r="H26" s="552"/>
      <c r="I26" s="552"/>
      <c r="J26" s="552"/>
      <c r="K26" s="552"/>
      <c r="L26" s="552"/>
      <c r="M26" s="552"/>
      <c r="N26" s="552"/>
      <c r="O26" s="552"/>
      <c r="P26" s="553">
        <v>15</v>
      </c>
      <c r="Q26" s="553">
        <v>15</v>
      </c>
      <c r="R26" s="553">
        <v>15</v>
      </c>
      <c r="S26" s="553"/>
      <c r="T26" s="553"/>
      <c r="U26" s="553">
        <v>13</v>
      </c>
      <c r="V26" s="520"/>
      <c r="W26" s="520"/>
      <c r="X26" s="520"/>
      <c r="Y26" s="520"/>
      <c r="Z26" s="558"/>
      <c r="AA26" s="559"/>
      <c r="AB26" s="559"/>
      <c r="AC26" s="520"/>
      <c r="AD26" s="520"/>
      <c r="AE26" s="560"/>
      <c r="AI26" s="1717" t="str">
        <f t="shared" si="3"/>
        <v>Shipping</v>
      </c>
      <c r="AJ26" s="1718"/>
      <c r="AK26" s="1718"/>
      <c r="AL26" s="1718"/>
      <c r="AM26" s="1718"/>
      <c r="AN26" s="189">
        <f t="shared" si="1"/>
        <v>0</v>
      </c>
      <c r="AO26" s="189">
        <f t="shared" si="7"/>
        <v>0</v>
      </c>
      <c r="AP26" s="189">
        <f t="shared" si="8"/>
        <v>0</v>
      </c>
      <c r="AQ26" s="189">
        <f t="shared" si="2"/>
        <v>0</v>
      </c>
      <c r="AR26" s="189">
        <f>Q26</f>
        <v>15</v>
      </c>
      <c r="AS26" s="190">
        <f>R26</f>
        <v>15</v>
      </c>
      <c r="AU26" s="13"/>
      <c r="AV26" s="13"/>
    </row>
    <row r="27" spans="1:53" ht="16.5" thickBot="1" x14ac:dyDescent="0.3">
      <c r="A27" s="515" t="s">
        <v>268</v>
      </c>
      <c r="B27" s="516"/>
      <c r="C27" s="516"/>
      <c r="D27" s="516"/>
      <c r="E27" s="516"/>
      <c r="F27" s="1293"/>
      <c r="G27" s="1294"/>
      <c r="H27" s="530"/>
      <c r="I27" s="530"/>
      <c r="J27" s="530"/>
      <c r="K27" s="530"/>
      <c r="L27" s="530"/>
      <c r="M27" s="531">
        <f>SUM(M25:M26)</f>
        <v>98.28</v>
      </c>
      <c r="N27" s="531">
        <f t="shared" ref="N27:AE27" si="51">SUM(N25:N26)</f>
        <v>98.28</v>
      </c>
      <c r="O27" s="531">
        <f t="shared" si="51"/>
        <v>114.44</v>
      </c>
      <c r="P27" s="531">
        <f t="shared" si="51"/>
        <v>105.17</v>
      </c>
      <c r="Q27" s="531">
        <f t="shared" si="51"/>
        <v>105.17</v>
      </c>
      <c r="R27" s="531">
        <f t="shared" si="51"/>
        <v>123.33</v>
      </c>
      <c r="S27" s="531">
        <f t="shared" si="51"/>
        <v>32</v>
      </c>
      <c r="T27" s="531">
        <f t="shared" si="51"/>
        <v>87.28</v>
      </c>
      <c r="U27" s="531">
        <f t="shared" si="51"/>
        <v>88.17</v>
      </c>
      <c r="V27" s="529"/>
      <c r="W27" s="529"/>
      <c r="X27" s="529"/>
      <c r="Y27" s="529">
        <f t="shared" si="51"/>
        <v>139.45000000000002</v>
      </c>
      <c r="Z27" s="529">
        <f t="shared" si="51"/>
        <v>139.95000000000002</v>
      </c>
      <c r="AA27" s="529"/>
      <c r="AB27" s="529"/>
      <c r="AC27" s="529"/>
      <c r="AD27" s="529">
        <f t="shared" si="51"/>
        <v>64.39</v>
      </c>
      <c r="AE27" s="554">
        <f t="shared" si="51"/>
        <v>64.39</v>
      </c>
      <c r="AI27" s="1719" t="str">
        <f t="shared" si="3"/>
        <v>Total with Shipping</v>
      </c>
      <c r="AJ27" s="1720"/>
      <c r="AK27" s="1720"/>
      <c r="AL27" s="1720"/>
      <c r="AM27" s="1720"/>
      <c r="AN27" s="218">
        <f t="shared" si="1"/>
        <v>0</v>
      </c>
      <c r="AO27" s="218">
        <f t="shared" si="7"/>
        <v>98.28</v>
      </c>
      <c r="AP27" s="218">
        <f t="shared" si="8"/>
        <v>114.44</v>
      </c>
      <c r="AQ27" s="218">
        <f t="shared" si="2"/>
        <v>0</v>
      </c>
      <c r="AR27" s="218">
        <f t="shared" ref="AR27:AS27" si="52">Q27</f>
        <v>105.17</v>
      </c>
      <c r="AS27" s="237">
        <f t="shared" si="52"/>
        <v>123.33</v>
      </c>
      <c r="AU27" s="13"/>
      <c r="AV27" s="13"/>
    </row>
    <row r="28" spans="1:53" ht="62.25" customHeight="1" x14ac:dyDescent="0.25">
      <c r="A28" s="1774" t="s">
        <v>741</v>
      </c>
      <c r="B28" s="1774"/>
      <c r="C28" s="1774"/>
      <c r="D28" s="1774"/>
      <c r="E28" s="1774"/>
      <c r="F28" s="1774"/>
      <c r="G28" s="1774"/>
      <c r="H28" s="1287"/>
      <c r="I28" s="1287"/>
      <c r="J28" s="1287"/>
      <c r="K28" s="1287"/>
      <c r="L28" s="1287"/>
      <c r="M28" s="1287"/>
      <c r="N28" s="1287"/>
      <c r="O28" s="1287"/>
      <c r="P28" s="1287"/>
      <c r="Q28" s="1287"/>
      <c r="R28" s="1287"/>
      <c r="S28" s="1387"/>
      <c r="T28" s="1387"/>
      <c r="U28" s="1387"/>
      <c r="AI28" s="1774" t="s">
        <v>740</v>
      </c>
      <c r="AJ28" s="1774"/>
      <c r="AK28" s="1774"/>
      <c r="AL28" s="1774"/>
      <c r="AM28" s="1774"/>
      <c r="AN28" s="1774"/>
      <c r="AO28" s="1774"/>
      <c r="AP28" s="1774"/>
      <c r="AQ28" s="1774"/>
      <c r="AR28" s="1774"/>
      <c r="AS28" s="1774"/>
      <c r="AT28" s="1"/>
      <c r="AU28" s="1"/>
      <c r="AV28" s="1"/>
      <c r="AW28" s="1"/>
      <c r="AX28" s="1"/>
      <c r="AY28" s="1"/>
      <c r="AZ28" s="1"/>
      <c r="BA28" s="1"/>
    </row>
    <row r="29" spans="1:53" ht="21.75" customHeight="1" x14ac:dyDescent="0.25">
      <c r="A29" s="1"/>
      <c r="B29" s="1"/>
      <c r="C29" s="1"/>
      <c r="D29" s="1"/>
      <c r="E29" s="1"/>
      <c r="F29" s="1"/>
      <c r="G29" s="1"/>
      <c r="H29" s="1"/>
      <c r="I29" s="1"/>
      <c r="J29" s="1"/>
      <c r="K29" s="1"/>
      <c r="L29" s="1"/>
      <c r="M29" s="1"/>
      <c r="N29" s="1"/>
      <c r="O29" s="1"/>
      <c r="P29" s="1"/>
      <c r="Q29" s="1"/>
      <c r="R29" s="1"/>
      <c r="S29" s="1"/>
      <c r="T29" s="1"/>
      <c r="U29" s="1"/>
    </row>
  </sheetData>
  <mergeCells count="22">
    <mergeCell ref="AI25:AM25"/>
    <mergeCell ref="AI26:AM26"/>
    <mergeCell ref="AI27:AM27"/>
    <mergeCell ref="AN4:AP4"/>
    <mergeCell ref="AI28:AS28"/>
    <mergeCell ref="AI3:AS3"/>
    <mergeCell ref="AQ4:AS4"/>
    <mergeCell ref="V4:X4"/>
    <mergeCell ref="Y4:Z4"/>
    <mergeCell ref="AA4:AC4"/>
    <mergeCell ref="AD4:AE4"/>
    <mergeCell ref="AI4:AK4"/>
    <mergeCell ref="AL4:AM4"/>
    <mergeCell ref="A28:G28"/>
    <mergeCell ref="H2:R2"/>
    <mergeCell ref="M4:O4"/>
    <mergeCell ref="P4:R4"/>
    <mergeCell ref="V2:AE2"/>
    <mergeCell ref="A2:E2"/>
    <mergeCell ref="H4:I4"/>
    <mergeCell ref="J4:L4"/>
    <mergeCell ref="S3:U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20"/>
  <sheetViews>
    <sheetView tabSelected="1" topLeftCell="A2" zoomScale="85" zoomScaleNormal="85" workbookViewId="0">
      <pane xSplit="1" ySplit="5" topLeftCell="B8" activePane="bottomRight" state="frozen"/>
      <selection activeCell="A2" sqref="A2"/>
      <selection pane="topRight" activeCell="B2" sqref="B2"/>
      <selection pane="bottomLeft" activeCell="A5" sqref="A5"/>
      <selection pane="bottomRight" activeCell="F9" sqref="F9"/>
    </sheetView>
  </sheetViews>
  <sheetFormatPr defaultRowHeight="15" x14ac:dyDescent="0.25"/>
  <cols>
    <col min="1" max="1" width="30.7109375" customWidth="1"/>
    <col min="2" max="2" width="9.5703125" customWidth="1"/>
    <col min="3" max="3" width="6.85546875" customWidth="1"/>
    <col min="4" max="4" width="15" customWidth="1"/>
    <col min="5" max="5" width="30.85546875" customWidth="1"/>
    <col min="6" max="6" width="6.7109375" style="29" customWidth="1"/>
    <col min="7" max="7" width="8.140625" style="29" customWidth="1"/>
    <col min="13" max="13" width="10.28515625" customWidth="1"/>
    <col min="16" max="16" width="10.140625" customWidth="1"/>
    <col min="25" max="26" width="11.28515625" customWidth="1"/>
    <col min="29" max="29" width="12.140625" customWidth="1"/>
    <col min="35" max="35" width="18.85546875" customWidth="1"/>
    <col min="37" max="37" width="13.140625" customWidth="1"/>
    <col min="47" max="47" width="36.7109375" customWidth="1"/>
    <col min="48" max="48" width="59.5703125" customWidth="1"/>
  </cols>
  <sheetData>
    <row r="1" spans="1:48" ht="18.75" customHeight="1" x14ac:dyDescent="0.3">
      <c r="A1" s="1793" t="s">
        <v>128</v>
      </c>
      <c r="B1" s="1794"/>
      <c r="C1" s="1794"/>
      <c r="D1" s="1794"/>
      <c r="E1" s="1794"/>
      <c r="F1" s="1306"/>
      <c r="G1" s="1306"/>
      <c r="H1" s="1305" t="s">
        <v>81</v>
      </c>
      <c r="I1" s="1306"/>
      <c r="J1" s="1306"/>
      <c r="K1" s="1306"/>
      <c r="L1" s="1306"/>
      <c r="M1" s="1306"/>
      <c r="N1" s="1306"/>
      <c r="O1" s="1306"/>
      <c r="P1" s="1306"/>
      <c r="Q1" s="1306"/>
      <c r="R1" s="1195"/>
      <c r="S1" s="1195"/>
      <c r="T1" s="1195"/>
      <c r="U1" s="1195"/>
      <c r="V1" s="1789" t="s">
        <v>73</v>
      </c>
      <c r="W1" s="1789"/>
      <c r="X1" s="1789"/>
      <c r="Y1" s="1789"/>
    </row>
    <row r="2" spans="1:48" ht="30" customHeight="1" thickBot="1" x14ac:dyDescent="0.4">
      <c r="A2" s="910" t="s">
        <v>700</v>
      </c>
      <c r="B2" s="1030"/>
      <c r="C2" s="1030"/>
      <c r="D2" s="1030"/>
      <c r="E2" s="1030"/>
      <c r="F2" s="1031"/>
      <c r="G2" s="1031"/>
      <c r="H2" s="1031"/>
      <c r="I2" s="1031"/>
      <c r="J2" s="1031"/>
      <c r="K2" s="1031"/>
      <c r="L2" s="1031"/>
      <c r="M2" s="1031"/>
      <c r="N2" s="1031"/>
      <c r="O2" s="1031"/>
      <c r="P2" s="1031"/>
      <c r="Q2" s="1031"/>
      <c r="R2" s="1032"/>
      <c r="S2" s="1388"/>
      <c r="T2" s="1388"/>
      <c r="U2" s="1388"/>
      <c r="V2" s="1033"/>
      <c r="W2" s="1034"/>
      <c r="X2" s="1034"/>
      <c r="Y2" s="1034"/>
      <c r="Z2" s="334"/>
      <c r="AA2" s="334"/>
      <c r="AB2" s="334"/>
      <c r="AC2" s="334"/>
      <c r="AD2" s="334"/>
      <c r="AE2" s="334"/>
    </row>
    <row r="3" spans="1:48" s="424" customFormat="1" ht="30" customHeight="1" thickBot="1" x14ac:dyDescent="0.4">
      <c r="A3" s="1795" t="s">
        <v>560</v>
      </c>
      <c r="B3" s="1796"/>
      <c r="C3" s="1796"/>
      <c r="D3" s="1796"/>
      <c r="E3" s="1796"/>
      <c r="F3" s="1228"/>
      <c r="G3" s="1228"/>
      <c r="H3" s="1707" t="s">
        <v>747</v>
      </c>
      <c r="I3" s="1708"/>
      <c r="J3" s="1708"/>
      <c r="K3" s="1708"/>
      <c r="L3" s="1708"/>
      <c r="M3" s="1708"/>
      <c r="N3" s="1708"/>
      <c r="O3" s="1708"/>
      <c r="P3" s="1708"/>
      <c r="Q3" s="1708"/>
      <c r="R3" s="1709"/>
      <c r="S3" s="1389"/>
      <c r="T3" s="1390"/>
      <c r="U3" s="1391"/>
      <c r="V3" s="1614" t="s">
        <v>692</v>
      </c>
      <c r="W3" s="1615"/>
      <c r="X3" s="1615"/>
      <c r="Y3" s="1615"/>
      <c r="Z3" s="1615"/>
      <c r="AA3" s="1615"/>
      <c r="AB3" s="1615"/>
      <c r="AC3" s="1615"/>
      <c r="AD3" s="1615"/>
      <c r="AE3" s="1616"/>
      <c r="AI3" s="148" t="s">
        <v>559</v>
      </c>
      <c r="AJ3"/>
      <c r="AK3"/>
      <c r="AL3"/>
      <c r="AM3"/>
      <c r="AN3"/>
      <c r="AO3"/>
      <c r="AP3"/>
      <c r="AQ3"/>
      <c r="AR3"/>
      <c r="AS3"/>
      <c r="AT3"/>
      <c r="AU3" s="148" t="s">
        <v>607</v>
      </c>
      <c r="AV3"/>
    </row>
    <row r="4" spans="1:48" ht="43.5" customHeight="1" thickBot="1" x14ac:dyDescent="0.3">
      <c r="A4" s="1005" t="s">
        <v>729</v>
      </c>
      <c r="B4" s="794"/>
      <c r="C4" s="794"/>
      <c r="D4" s="794"/>
      <c r="E4" s="794"/>
      <c r="F4" s="1797" t="s">
        <v>750</v>
      </c>
      <c r="G4" s="1798"/>
      <c r="H4" s="1035"/>
      <c r="I4" s="795"/>
      <c r="J4" s="820"/>
      <c r="K4" s="797" t="s">
        <v>605</v>
      </c>
      <c r="L4" s="800">
        <f>Budget!$D$45</f>
        <v>30</v>
      </c>
      <c r="M4" s="1036"/>
      <c r="N4" s="1036"/>
      <c r="O4" s="1036"/>
      <c r="P4" s="1036"/>
      <c r="Q4" s="983"/>
      <c r="R4" s="984"/>
      <c r="S4" s="1704" t="s">
        <v>766</v>
      </c>
      <c r="T4" s="1705"/>
      <c r="U4" s="1706"/>
      <c r="V4" s="455"/>
      <c r="W4" s="869" t="s">
        <v>99</v>
      </c>
      <c r="X4" s="799">
        <f>Budget!C30</f>
        <v>3</v>
      </c>
      <c r="Y4" s="455"/>
      <c r="Z4" s="455"/>
      <c r="AA4" s="868" t="s">
        <v>100</v>
      </c>
      <c r="AB4" s="799">
        <f>Budget!B30</f>
        <v>10</v>
      </c>
      <c r="AC4" s="796"/>
      <c r="AD4" s="873" t="s">
        <v>196</v>
      </c>
      <c r="AE4" s="798">
        <f>Budget!I7</f>
        <v>1</v>
      </c>
      <c r="AF4" s="1052"/>
      <c r="AI4" s="1688" t="s">
        <v>575</v>
      </c>
      <c r="AJ4" s="1689"/>
      <c r="AK4" s="1689"/>
      <c r="AL4" s="1689"/>
      <c r="AM4" s="1689"/>
      <c r="AN4" s="1689"/>
      <c r="AO4" s="1689"/>
      <c r="AP4" s="1689"/>
      <c r="AQ4" s="1689"/>
      <c r="AR4" s="1689"/>
      <c r="AS4" s="1690"/>
    </row>
    <row r="5" spans="1:48" ht="32.25" customHeight="1" thickBot="1" x14ac:dyDescent="0.3">
      <c r="A5" s="757"/>
      <c r="B5" s="758"/>
      <c r="C5" s="758"/>
      <c r="D5" s="758"/>
      <c r="E5" s="758"/>
      <c r="F5" s="1307" t="s">
        <v>79</v>
      </c>
      <c r="G5" s="1230" t="s">
        <v>80</v>
      </c>
      <c r="H5" s="1727" t="s">
        <v>571</v>
      </c>
      <c r="I5" s="1728"/>
      <c r="J5" s="1729" t="s">
        <v>267</v>
      </c>
      <c r="K5" s="1791"/>
      <c r="L5" s="1792"/>
      <c r="M5" s="1727" t="s">
        <v>565</v>
      </c>
      <c r="N5" s="1730"/>
      <c r="O5" s="1728"/>
      <c r="P5" s="1733" t="s">
        <v>566</v>
      </c>
      <c r="Q5" s="1734"/>
      <c r="R5" s="1735"/>
      <c r="S5" s="766" t="s">
        <v>70</v>
      </c>
      <c r="T5" s="766" t="s">
        <v>757</v>
      </c>
      <c r="U5" s="833" t="s">
        <v>758</v>
      </c>
      <c r="V5" s="1790" t="s">
        <v>70</v>
      </c>
      <c r="W5" s="1697"/>
      <c r="X5" s="978"/>
      <c r="Y5" s="1700" t="s">
        <v>302</v>
      </c>
      <c r="Z5" s="1700"/>
      <c r="AA5" s="1700" t="s">
        <v>70</v>
      </c>
      <c r="AB5" s="1700"/>
      <c r="AC5" s="756"/>
      <c r="AD5" s="1700" t="s">
        <v>205</v>
      </c>
      <c r="AE5" s="1749"/>
      <c r="AI5" s="1780" t="str">
        <f>A3</f>
        <v>Item Information</v>
      </c>
      <c r="AJ5" s="1781"/>
      <c r="AK5" s="1782"/>
      <c r="AL5" s="1780" t="str">
        <f t="shared" ref="AL5:AL9" si="0">H5</f>
        <v>Quantity: Class size of…</v>
      </c>
      <c r="AM5" s="1782"/>
      <c r="AN5" s="1783" t="str">
        <f>M5</f>
        <v>Local Retail Ext Costs: Class size of…</v>
      </c>
      <c r="AO5" s="1781"/>
      <c r="AP5" s="1781"/>
      <c r="AQ5" s="1784" t="str">
        <f>P5</f>
        <v>Online Ext Costs: Class size of…</v>
      </c>
      <c r="AR5" s="1785"/>
      <c r="AS5" s="1786"/>
    </row>
    <row r="6" spans="1:48" ht="45.75" thickBot="1" x14ac:dyDescent="0.3">
      <c r="A6" s="1021" t="s">
        <v>573</v>
      </c>
      <c r="B6" s="1022" t="s">
        <v>786</v>
      </c>
      <c r="C6" s="829" t="s">
        <v>65</v>
      </c>
      <c r="D6" s="1022" t="s">
        <v>1</v>
      </c>
      <c r="E6" s="1022" t="s">
        <v>2</v>
      </c>
      <c r="F6" s="1231" t="s">
        <v>567</v>
      </c>
      <c r="G6" s="1231" t="s">
        <v>567</v>
      </c>
      <c r="H6" s="475">
        <v>30</v>
      </c>
      <c r="I6" s="821">
        <v>40</v>
      </c>
      <c r="J6" s="477" t="s">
        <v>161</v>
      </c>
      <c r="K6" s="477" t="s">
        <v>162</v>
      </c>
      <c r="L6" s="477" t="s">
        <v>70</v>
      </c>
      <c r="M6" s="477" t="s">
        <v>546</v>
      </c>
      <c r="N6" s="477">
        <v>30</v>
      </c>
      <c r="O6" s="477">
        <v>40</v>
      </c>
      <c r="P6" s="477" t="s">
        <v>546</v>
      </c>
      <c r="Q6" s="477">
        <v>30</v>
      </c>
      <c r="R6" s="478">
        <v>40</v>
      </c>
      <c r="S6" s="1386"/>
      <c r="T6" s="1386"/>
      <c r="U6" s="1386"/>
      <c r="V6" s="767" t="s">
        <v>83</v>
      </c>
      <c r="W6" s="768" t="s">
        <v>82</v>
      </c>
      <c r="X6" s="769" t="s">
        <v>199</v>
      </c>
      <c r="Y6" s="772" t="s">
        <v>79</v>
      </c>
      <c r="Z6" s="772" t="s">
        <v>80</v>
      </c>
      <c r="AA6" s="771" t="s">
        <v>197</v>
      </c>
      <c r="AB6" s="771" t="s">
        <v>198</v>
      </c>
      <c r="AC6" s="771" t="s">
        <v>200</v>
      </c>
      <c r="AD6" s="772" t="s">
        <v>79</v>
      </c>
      <c r="AE6" s="773" t="s">
        <v>80</v>
      </c>
      <c r="AI6" s="561" t="str">
        <f>A6</f>
        <v>Item to Purchase</v>
      </c>
      <c r="AJ6" s="562" t="str">
        <f>C6</f>
        <v>Re usable</v>
      </c>
      <c r="AK6" s="562" t="str">
        <f>D6</f>
        <v>Where Found</v>
      </c>
      <c r="AL6" s="562">
        <f>H6</f>
        <v>30</v>
      </c>
      <c r="AM6" s="562">
        <f>I6</f>
        <v>40</v>
      </c>
      <c r="AN6" s="562" t="str">
        <f>F6</f>
        <v>Ea.</v>
      </c>
      <c r="AO6" s="562">
        <f>N6</f>
        <v>30</v>
      </c>
      <c r="AP6" s="562">
        <f>O6</f>
        <v>40</v>
      </c>
      <c r="AQ6" s="563" t="str">
        <f>G6</f>
        <v>Ea.</v>
      </c>
      <c r="AR6" s="562">
        <f>Q6</f>
        <v>30</v>
      </c>
      <c r="AS6" s="1517">
        <f>R6</f>
        <v>40</v>
      </c>
      <c r="AT6" s="29"/>
      <c r="AU6" s="565" t="e">
        <f>#REF!</f>
        <v>#REF!</v>
      </c>
      <c r="AV6" s="566" t="e">
        <f>#REF!</f>
        <v>#REF!</v>
      </c>
    </row>
    <row r="7" spans="1:48" s="29" customFormat="1" ht="47.25" customHeight="1" x14ac:dyDescent="0.25">
      <c r="A7" s="1051" t="s">
        <v>407</v>
      </c>
      <c r="B7" s="1500" t="s">
        <v>822</v>
      </c>
      <c r="C7" s="1439" t="s">
        <v>93</v>
      </c>
      <c r="D7" s="1439"/>
      <c r="E7" s="1439" t="s">
        <v>824</v>
      </c>
      <c r="F7" s="763">
        <v>1.79</v>
      </c>
      <c r="G7" s="763">
        <v>1.79</v>
      </c>
      <c r="H7" s="931">
        <v>1</v>
      </c>
      <c r="I7" s="931">
        <v>1</v>
      </c>
      <c r="J7" s="864">
        <v>1</v>
      </c>
      <c r="K7" s="864">
        <f t="shared" ref="K7" si="1">(I7-H7)/10</f>
        <v>0</v>
      </c>
      <c r="L7" s="931">
        <f t="shared" ref="L7:L10" si="2">ROUNDUP(J7+(K7*L$4),0)</f>
        <v>1</v>
      </c>
      <c r="M7" s="761">
        <f t="shared" ref="M7:M8" si="3">L7*F7</f>
        <v>1.79</v>
      </c>
      <c r="N7" s="839">
        <f t="shared" ref="N7:N8" si="4">F7*H7</f>
        <v>1.79</v>
      </c>
      <c r="O7" s="839">
        <f t="shared" ref="O7:O8" si="5">F7*I7</f>
        <v>1.79</v>
      </c>
      <c r="P7" s="761">
        <f t="shared" ref="P7:P10" si="6">G7*L7</f>
        <v>1.79</v>
      </c>
      <c r="Q7" s="761">
        <f t="shared" ref="Q7:R10" si="7">$G7*H7</f>
        <v>1.79</v>
      </c>
      <c r="R7" s="761">
        <f t="shared" si="7"/>
        <v>1.79</v>
      </c>
      <c r="S7" s="732">
        <f t="shared" ref="S7:S10" si="8">IF(C7="yes",0,L7)</f>
        <v>1</v>
      </c>
      <c r="T7" s="694">
        <f t="shared" ref="T7:T10" si="9">S7*F7</f>
        <v>1.79</v>
      </c>
      <c r="U7" s="694">
        <f t="shared" ref="U7:U10" si="10">S7*G7</f>
        <v>1.79</v>
      </c>
      <c r="V7" s="939">
        <v>1</v>
      </c>
      <c r="W7" s="939">
        <v>0</v>
      </c>
      <c r="X7" s="1515">
        <f>V7+ROUNDUP(AB$4/X$4*W7,0)</f>
        <v>1</v>
      </c>
      <c r="Y7" s="762">
        <f t="shared" ref="Y7:Y10" si="11">X7*F7</f>
        <v>1.79</v>
      </c>
      <c r="Z7" s="980">
        <f t="shared" ref="Z7" si="12">X7*G7</f>
        <v>1.79</v>
      </c>
      <c r="AA7" s="939">
        <v>1</v>
      </c>
      <c r="AB7" s="939">
        <v>1</v>
      </c>
      <c r="AC7" s="939">
        <f t="shared" ref="AC7:AC10" si="13">MAX(X7-AB7,0)</f>
        <v>0</v>
      </c>
      <c r="AD7" s="848">
        <f>$AC7*F7</f>
        <v>0</v>
      </c>
      <c r="AE7" s="848">
        <f>$AC7*G7</f>
        <v>0</v>
      </c>
      <c r="AI7" s="561" t="str">
        <f t="shared" ref="AI7:AI9" si="14">A7</f>
        <v>Masking Tape</v>
      </c>
      <c r="AJ7" s="562" t="str">
        <f t="shared" ref="AJ7:AK9" si="15">C7</f>
        <v>No</v>
      </c>
      <c r="AK7" s="562">
        <f t="shared" si="15"/>
        <v>0</v>
      </c>
      <c r="AL7" s="562">
        <f t="shared" si="0"/>
        <v>1</v>
      </c>
      <c r="AM7" s="562">
        <f t="shared" ref="AM7:AM9" si="16">I7</f>
        <v>1</v>
      </c>
      <c r="AN7" s="563">
        <f t="shared" ref="AN7:AN9" si="17">F7</f>
        <v>1.79</v>
      </c>
      <c r="AO7" s="563">
        <f t="shared" ref="AO7:AP9" si="18">N7</f>
        <v>1.79</v>
      </c>
      <c r="AP7" s="563">
        <f t="shared" si="18"/>
        <v>1.79</v>
      </c>
      <c r="AQ7" s="563">
        <f t="shared" ref="AQ7:AQ9" si="19">G7</f>
        <v>1.79</v>
      </c>
      <c r="AR7" s="563">
        <f t="shared" ref="AR7:AR9" si="20">Q7</f>
        <v>1.79</v>
      </c>
      <c r="AS7" s="564">
        <f t="shared" ref="AS7:AS9" si="21">R7</f>
        <v>1.79</v>
      </c>
      <c r="AU7" s="565" t="str">
        <f t="shared" ref="AU7:AU9" si="22">A7</f>
        <v>Masking Tape</v>
      </c>
      <c r="AV7" s="566" t="str">
        <f t="shared" ref="AV7:AV9" si="23">E7</f>
        <v>Dollar Store tape not sticky enough but blue is too expensive.  Buy good quality white/yellow.</v>
      </c>
    </row>
    <row r="8" spans="1:48" s="29" customFormat="1" ht="75" customHeight="1" x14ac:dyDescent="0.25">
      <c r="A8" s="1051" t="s">
        <v>844</v>
      </c>
      <c r="B8" s="1507" t="s">
        <v>794</v>
      </c>
      <c r="C8" s="1439" t="s">
        <v>68</v>
      </c>
      <c r="D8" s="1439" t="s">
        <v>612</v>
      </c>
      <c r="E8" s="1439" t="s">
        <v>613</v>
      </c>
      <c r="F8" s="763">
        <v>14</v>
      </c>
      <c r="G8" s="763">
        <v>8.8000000000000007</v>
      </c>
      <c r="H8" s="931">
        <v>1</v>
      </c>
      <c r="I8" s="931">
        <v>1</v>
      </c>
      <c r="J8" s="864">
        <v>1</v>
      </c>
      <c r="K8" s="864">
        <v>0</v>
      </c>
      <c r="L8" s="931">
        <f t="shared" si="2"/>
        <v>1</v>
      </c>
      <c r="M8" s="761">
        <f t="shared" si="3"/>
        <v>14</v>
      </c>
      <c r="N8" s="839">
        <f t="shared" si="4"/>
        <v>14</v>
      </c>
      <c r="O8" s="839">
        <f t="shared" si="5"/>
        <v>14</v>
      </c>
      <c r="P8" s="761">
        <f t="shared" si="6"/>
        <v>8.8000000000000007</v>
      </c>
      <c r="Q8" s="761">
        <f t="shared" si="7"/>
        <v>8.8000000000000007</v>
      </c>
      <c r="R8" s="761">
        <f t="shared" si="7"/>
        <v>8.8000000000000007</v>
      </c>
      <c r="S8" s="732">
        <f t="shared" si="8"/>
        <v>0</v>
      </c>
      <c r="T8" s="694">
        <f t="shared" si="9"/>
        <v>0</v>
      </c>
      <c r="U8" s="694">
        <f t="shared" si="10"/>
        <v>0</v>
      </c>
      <c r="V8" s="939">
        <v>0</v>
      </c>
      <c r="W8" s="939">
        <v>1</v>
      </c>
      <c r="X8" s="1515">
        <f>V8+ROUNDUP(AB$4/X$4*W8,0)</f>
        <v>4</v>
      </c>
      <c r="Y8" s="762">
        <f>$X8*F8</f>
        <v>56</v>
      </c>
      <c r="Z8" s="762">
        <f>$X8*G8</f>
        <v>35.200000000000003</v>
      </c>
      <c r="AA8" s="939">
        <v>1</v>
      </c>
      <c r="AB8" s="939">
        <v>1</v>
      </c>
      <c r="AC8" s="939">
        <f t="shared" si="13"/>
        <v>3</v>
      </c>
      <c r="AD8" s="848">
        <f>$AC8*F8</f>
        <v>42</v>
      </c>
      <c r="AE8" s="848">
        <f>$AC8*G8</f>
        <v>26.400000000000002</v>
      </c>
      <c r="AI8" s="561" t="str">
        <f t="shared" si="14"/>
        <v>Scale, e.g. American Weigh Scales AWS-1KG-BLK Signature Series Black Digital Pocket Scale, 1000 by 0.1</v>
      </c>
      <c r="AJ8" s="562" t="str">
        <f t="shared" si="15"/>
        <v>Yes</v>
      </c>
      <c r="AK8" s="562" t="str">
        <f t="shared" si="15"/>
        <v>Amazon or science store</v>
      </c>
      <c r="AL8" s="562">
        <f t="shared" si="0"/>
        <v>1</v>
      </c>
      <c r="AM8" s="562">
        <f t="shared" si="16"/>
        <v>1</v>
      </c>
      <c r="AN8" s="563">
        <f t="shared" si="17"/>
        <v>14</v>
      </c>
      <c r="AO8" s="563">
        <f t="shared" si="18"/>
        <v>14</v>
      </c>
      <c r="AP8" s="563">
        <f t="shared" si="18"/>
        <v>14</v>
      </c>
      <c r="AQ8" s="563">
        <f t="shared" si="19"/>
        <v>8.8000000000000007</v>
      </c>
      <c r="AR8" s="563">
        <f t="shared" si="20"/>
        <v>8.8000000000000007</v>
      </c>
      <c r="AS8" s="564">
        <f t="shared" si="21"/>
        <v>8.8000000000000007</v>
      </c>
      <c r="AU8" s="565" t="str">
        <f t="shared" si="22"/>
        <v>Scale, e.g. American Weigh Scales AWS-1KG-BLK Signature Series Black Digital Pocket Scale, 1000 by 0.1</v>
      </c>
      <c r="AV8" s="566" t="str">
        <f t="shared" si="23"/>
        <v>range 0 - 100g with tare feature; classroom science balance works; www.amazon.com/American-Weigh-Signature-AWS-100-Digital/dp/B0012LOQUQ/</v>
      </c>
    </row>
    <row r="9" spans="1:48" s="29" customFormat="1" ht="35.25" customHeight="1" thickBot="1" x14ac:dyDescent="0.3">
      <c r="A9" s="1051" t="s">
        <v>614</v>
      </c>
      <c r="B9" s="1507" t="s">
        <v>794</v>
      </c>
      <c r="C9" s="1439" t="s">
        <v>68</v>
      </c>
      <c r="D9" s="1439" t="s">
        <v>615</v>
      </c>
      <c r="E9" s="1439" t="s">
        <v>616</v>
      </c>
      <c r="F9" s="763">
        <v>1</v>
      </c>
      <c r="G9" s="763">
        <v>1</v>
      </c>
      <c r="H9" s="931">
        <v>1</v>
      </c>
      <c r="I9" s="931">
        <v>5</v>
      </c>
      <c r="J9" s="864">
        <v>7</v>
      </c>
      <c r="K9" s="864">
        <v>0.2</v>
      </c>
      <c r="L9" s="931">
        <f t="shared" si="2"/>
        <v>13</v>
      </c>
      <c r="M9" s="761">
        <f t="shared" ref="M9:M15" si="24">L9*F9</f>
        <v>13</v>
      </c>
      <c r="N9" s="839">
        <f t="shared" ref="N9:N15" si="25">F9*H9</f>
        <v>1</v>
      </c>
      <c r="O9" s="839">
        <f t="shared" ref="O9:O15" si="26">F9*I9</f>
        <v>5</v>
      </c>
      <c r="P9" s="761">
        <f t="shared" si="6"/>
        <v>13</v>
      </c>
      <c r="Q9" s="761">
        <f t="shared" si="7"/>
        <v>1</v>
      </c>
      <c r="R9" s="761">
        <f t="shared" si="7"/>
        <v>5</v>
      </c>
      <c r="S9" s="732">
        <f t="shared" si="8"/>
        <v>0</v>
      </c>
      <c r="T9" s="694">
        <f t="shared" si="9"/>
        <v>0</v>
      </c>
      <c r="U9" s="694">
        <f t="shared" si="10"/>
        <v>0</v>
      </c>
      <c r="V9" s="939">
        <v>0</v>
      </c>
      <c r="W9" s="939">
        <v>1</v>
      </c>
      <c r="X9" s="1515">
        <f t="shared" ref="X9:X15" si="27">V9+ROUNDUP(AB$4/X$4*W9,0)</f>
        <v>4</v>
      </c>
      <c r="Y9" s="762">
        <f t="shared" si="11"/>
        <v>4</v>
      </c>
      <c r="Z9" s="762">
        <f t="shared" ref="Z9:Z14" si="28">$X9*G9</f>
        <v>4</v>
      </c>
      <c r="AA9" s="939">
        <v>1</v>
      </c>
      <c r="AB9" s="939">
        <v>1</v>
      </c>
      <c r="AC9" s="939">
        <f t="shared" si="13"/>
        <v>3</v>
      </c>
      <c r="AD9" s="848">
        <f t="shared" ref="AD9:AD15" si="29">$AC9*F9</f>
        <v>3</v>
      </c>
      <c r="AE9" s="848">
        <f t="shared" ref="AE9:AE15" si="30">$AC9*G9</f>
        <v>3</v>
      </c>
      <c r="AI9" s="561" t="str">
        <f t="shared" si="14"/>
        <v>Ruler or Measuring Tape</v>
      </c>
      <c r="AJ9" s="562" t="str">
        <f t="shared" si="15"/>
        <v>Yes</v>
      </c>
      <c r="AK9" s="562" t="str">
        <f t="shared" si="15"/>
        <v xml:space="preserve">Dollar; Variety </v>
      </c>
      <c r="AL9" s="562">
        <f t="shared" si="0"/>
        <v>1</v>
      </c>
      <c r="AM9" s="562">
        <f t="shared" si="16"/>
        <v>5</v>
      </c>
      <c r="AN9" s="563">
        <f t="shared" si="17"/>
        <v>1</v>
      </c>
      <c r="AO9" s="563">
        <f t="shared" si="18"/>
        <v>1</v>
      </c>
      <c r="AP9" s="563">
        <f t="shared" si="18"/>
        <v>5</v>
      </c>
      <c r="AQ9" s="563">
        <f t="shared" si="19"/>
        <v>1</v>
      </c>
      <c r="AR9" s="563">
        <f t="shared" si="20"/>
        <v>1</v>
      </c>
      <c r="AS9" s="564">
        <f t="shared" si="21"/>
        <v>5</v>
      </c>
      <c r="AU9" s="565" t="str">
        <f t="shared" si="22"/>
        <v>Ruler or Measuring Tape</v>
      </c>
      <c r="AV9" s="566" t="str">
        <f t="shared" si="23"/>
        <v>minimum 10 cm or 6", centimeter scale preferred</v>
      </c>
    </row>
    <row r="10" spans="1:48" s="29" customFormat="1" ht="30.75" customHeight="1" thickBot="1" x14ac:dyDescent="0.3">
      <c r="A10" s="1439" t="s">
        <v>617</v>
      </c>
      <c r="B10" s="1514">
        <v>1</v>
      </c>
      <c r="C10" s="1499" t="s">
        <v>68</v>
      </c>
      <c r="D10" s="1499"/>
      <c r="E10" s="1499" t="s">
        <v>618</v>
      </c>
      <c r="F10" s="928">
        <v>0.01</v>
      </c>
      <c r="G10" s="928">
        <v>0.01</v>
      </c>
      <c r="H10" s="933">
        <v>37</v>
      </c>
      <c r="I10" s="933">
        <v>50</v>
      </c>
      <c r="J10" s="934">
        <v>6</v>
      </c>
      <c r="K10" s="934">
        <v>2</v>
      </c>
      <c r="L10" s="933">
        <f t="shared" si="2"/>
        <v>66</v>
      </c>
      <c r="M10" s="761">
        <f t="shared" si="24"/>
        <v>0.66</v>
      </c>
      <c r="N10" s="839">
        <f t="shared" si="25"/>
        <v>0.37</v>
      </c>
      <c r="O10" s="839">
        <f t="shared" si="26"/>
        <v>0.5</v>
      </c>
      <c r="P10" s="918">
        <f t="shared" si="6"/>
        <v>0.66</v>
      </c>
      <c r="Q10" s="761">
        <f t="shared" si="7"/>
        <v>0.37</v>
      </c>
      <c r="R10" s="761">
        <f t="shared" si="7"/>
        <v>0.5</v>
      </c>
      <c r="S10" s="732">
        <f t="shared" si="8"/>
        <v>0</v>
      </c>
      <c r="T10" s="694">
        <f t="shared" si="9"/>
        <v>0</v>
      </c>
      <c r="U10" s="694">
        <f t="shared" si="10"/>
        <v>0</v>
      </c>
      <c r="V10" s="941">
        <v>0</v>
      </c>
      <c r="W10" s="941">
        <v>10</v>
      </c>
      <c r="X10" s="1515">
        <f t="shared" si="27"/>
        <v>34</v>
      </c>
      <c r="Y10" s="762">
        <f t="shared" si="11"/>
        <v>0.34</v>
      </c>
      <c r="Z10" s="762">
        <f t="shared" si="28"/>
        <v>0.34</v>
      </c>
      <c r="AA10" s="941"/>
      <c r="AB10" s="941"/>
      <c r="AC10" s="939">
        <f t="shared" si="13"/>
        <v>34</v>
      </c>
      <c r="AD10" s="848">
        <f t="shared" si="29"/>
        <v>0.34</v>
      </c>
      <c r="AE10" s="848">
        <f t="shared" si="30"/>
        <v>0.34</v>
      </c>
      <c r="AI10" s="561" t="str">
        <f t="shared" ref="AI10:AI15" si="31">A10</f>
        <v>Pennies or washers</v>
      </c>
      <c r="AJ10" s="562" t="str">
        <f t="shared" ref="AJ10:AJ15" si="32">C10</f>
        <v>Yes</v>
      </c>
      <c r="AK10" s="562">
        <f t="shared" ref="AK10:AK15" si="33">D10</f>
        <v>0</v>
      </c>
      <c r="AL10" s="562">
        <f t="shared" ref="AL10:AL15" si="34">H10</f>
        <v>37</v>
      </c>
      <c r="AM10" s="562">
        <f t="shared" ref="AM10:AM15" si="35">I10</f>
        <v>50</v>
      </c>
      <c r="AN10" s="563">
        <f t="shared" ref="AN10:AN15" si="36">F10</f>
        <v>0.01</v>
      </c>
      <c r="AO10" s="563">
        <f t="shared" ref="AO10:AO15" si="37">N10</f>
        <v>0.37</v>
      </c>
      <c r="AP10" s="563">
        <f t="shared" ref="AP10:AP15" si="38">O10</f>
        <v>0.5</v>
      </c>
      <c r="AQ10" s="563">
        <f t="shared" ref="AQ10:AQ15" si="39">G10</f>
        <v>0.01</v>
      </c>
      <c r="AR10" s="563">
        <f t="shared" ref="AR10:AR15" si="40">Q10</f>
        <v>0.37</v>
      </c>
      <c r="AS10" s="564">
        <f t="shared" ref="AS10:AS15" si="41">R10</f>
        <v>0.5</v>
      </c>
      <c r="AT10"/>
      <c r="AU10" s="1787" t="e">
        <f>#REF!</f>
        <v>#REF!</v>
      </c>
      <c r="AV10" s="1788"/>
    </row>
    <row r="11" spans="1:48" ht="45.75" customHeight="1" x14ac:dyDescent="0.25">
      <c r="A11" s="1502" t="s">
        <v>838</v>
      </c>
      <c r="B11" s="1513" t="s">
        <v>843</v>
      </c>
      <c r="C11" s="1439" t="s">
        <v>68</v>
      </c>
      <c r="D11" s="1512" t="s">
        <v>104</v>
      </c>
      <c r="E11" s="1504"/>
      <c r="F11" s="763">
        <v>45</v>
      </c>
      <c r="G11" s="763">
        <v>27.03</v>
      </c>
      <c r="H11" s="931">
        <v>4</v>
      </c>
      <c r="I11" s="931">
        <v>5</v>
      </c>
      <c r="J11" s="864">
        <v>0</v>
      </c>
      <c r="K11" s="1342">
        <v>0.125</v>
      </c>
      <c r="L11" s="931">
        <f t="shared" ref="L11:L14" si="42">ROUNDUP(J11+(K11*L$4),0)</f>
        <v>4</v>
      </c>
      <c r="M11" s="761">
        <f t="shared" si="24"/>
        <v>180</v>
      </c>
      <c r="N11" s="839">
        <f t="shared" si="25"/>
        <v>180</v>
      </c>
      <c r="O11" s="839">
        <f t="shared" si="26"/>
        <v>225</v>
      </c>
      <c r="P11" s="761">
        <f>G11*L11</f>
        <v>108.12</v>
      </c>
      <c r="Q11" s="761">
        <f t="shared" ref="Q11:R15" si="43">$G11*H11</f>
        <v>108.12</v>
      </c>
      <c r="R11" s="761">
        <f t="shared" si="43"/>
        <v>135.15</v>
      </c>
      <c r="S11" s="732">
        <f t="shared" ref="S11:S15" si="44">IF(C11="yes",0,L11)</f>
        <v>0</v>
      </c>
      <c r="T11" s="694">
        <f t="shared" ref="T11:T15" si="45">S11*F11</f>
        <v>0</v>
      </c>
      <c r="U11" s="694">
        <f t="shared" ref="U11:U15" si="46">S11*G11</f>
        <v>0</v>
      </c>
      <c r="V11" s="939">
        <v>0</v>
      </c>
      <c r="W11" s="1516">
        <v>0.5</v>
      </c>
      <c r="X11" s="1515">
        <f t="shared" si="27"/>
        <v>2</v>
      </c>
      <c r="Y11" s="762">
        <f>X11*F11</f>
        <v>90</v>
      </c>
      <c r="Z11" s="762">
        <f t="shared" si="28"/>
        <v>54.06</v>
      </c>
      <c r="AA11" s="939">
        <v>0</v>
      </c>
      <c r="AB11" s="939">
        <f>AE$4*AA11</f>
        <v>0</v>
      </c>
      <c r="AC11" s="939">
        <f t="shared" ref="AC11:AC12" si="47">MAX(X11-AB11,0)</f>
        <v>2</v>
      </c>
      <c r="AD11" s="848">
        <f t="shared" si="29"/>
        <v>90</v>
      </c>
      <c r="AE11" s="848">
        <f t="shared" si="30"/>
        <v>54.06</v>
      </c>
      <c r="AI11" s="561" t="str">
        <f t="shared" si="31"/>
        <v>Chuggington Wooden Railway Elevated Track Pack (1 set will cover two groups)</v>
      </c>
      <c r="AJ11" s="562" t="str">
        <f t="shared" si="32"/>
        <v>Yes</v>
      </c>
      <c r="AK11" s="562" t="str">
        <f t="shared" si="33"/>
        <v>Amazon</v>
      </c>
      <c r="AL11" s="562">
        <f t="shared" si="34"/>
        <v>4</v>
      </c>
      <c r="AM11" s="562">
        <f t="shared" si="35"/>
        <v>5</v>
      </c>
      <c r="AN11" s="563">
        <f t="shared" si="36"/>
        <v>45</v>
      </c>
      <c r="AO11" s="563">
        <f t="shared" si="37"/>
        <v>180</v>
      </c>
      <c r="AP11" s="563">
        <f t="shared" si="38"/>
        <v>225</v>
      </c>
      <c r="AQ11" s="563">
        <f t="shared" si="39"/>
        <v>27.03</v>
      </c>
      <c r="AR11" s="563">
        <f t="shared" si="40"/>
        <v>108.12</v>
      </c>
      <c r="AS11" s="564">
        <f t="shared" si="41"/>
        <v>135.15</v>
      </c>
      <c r="AU11" s="389" t="str">
        <f>A11</f>
        <v>Chuggington Wooden Railway Elevated Track Pack (1 set will cover two groups)</v>
      </c>
      <c r="AV11" s="390">
        <f>E11</f>
        <v>0</v>
      </c>
    </row>
    <row r="12" spans="1:48" ht="33.75" customHeight="1" x14ac:dyDescent="0.25">
      <c r="A12" s="1502" t="s">
        <v>839</v>
      </c>
      <c r="B12" s="1500">
        <v>1</v>
      </c>
      <c r="C12" s="1439" t="s">
        <v>68</v>
      </c>
      <c r="D12" s="1512" t="s">
        <v>104</v>
      </c>
      <c r="E12" s="1504"/>
      <c r="F12" s="763">
        <v>17</v>
      </c>
      <c r="G12" s="763">
        <v>13.33</v>
      </c>
      <c r="H12" s="931">
        <v>8</v>
      </c>
      <c r="I12" s="931">
        <v>11</v>
      </c>
      <c r="J12" s="864">
        <v>0</v>
      </c>
      <c r="K12" s="1342">
        <v>0.25</v>
      </c>
      <c r="L12" s="931">
        <f t="shared" si="42"/>
        <v>8</v>
      </c>
      <c r="M12" s="761">
        <f t="shared" si="24"/>
        <v>136</v>
      </c>
      <c r="N12" s="839">
        <f t="shared" si="25"/>
        <v>136</v>
      </c>
      <c r="O12" s="839">
        <f t="shared" si="26"/>
        <v>187</v>
      </c>
      <c r="P12" s="761">
        <f>G12*L12</f>
        <v>106.64</v>
      </c>
      <c r="Q12" s="761">
        <f t="shared" si="43"/>
        <v>106.64</v>
      </c>
      <c r="R12" s="761">
        <f t="shared" si="43"/>
        <v>146.63</v>
      </c>
      <c r="S12" s="732">
        <f t="shared" si="44"/>
        <v>0</v>
      </c>
      <c r="T12" s="694">
        <f t="shared" si="45"/>
        <v>0</v>
      </c>
      <c r="U12" s="694">
        <f t="shared" si="46"/>
        <v>0</v>
      </c>
      <c r="V12" s="939">
        <v>0</v>
      </c>
      <c r="W12" s="939">
        <v>1</v>
      </c>
      <c r="X12" s="1515">
        <f t="shared" si="27"/>
        <v>4</v>
      </c>
      <c r="Y12" s="762">
        <f>X12*F12</f>
        <v>68</v>
      </c>
      <c r="Z12" s="762">
        <f t="shared" si="28"/>
        <v>53.32</v>
      </c>
      <c r="AA12" s="939">
        <v>0</v>
      </c>
      <c r="AB12" s="939">
        <f>AE$4*AA12</f>
        <v>0</v>
      </c>
      <c r="AC12" s="939">
        <f t="shared" si="47"/>
        <v>4</v>
      </c>
      <c r="AD12" s="848">
        <f t="shared" si="29"/>
        <v>68</v>
      </c>
      <c r="AE12" s="848">
        <f t="shared" si="30"/>
        <v>53.32</v>
      </c>
      <c r="AI12" s="561" t="str">
        <f t="shared" si="31"/>
        <v>Maxim Enterprise Inc. Stone Bridge Set (1 per group)</v>
      </c>
      <c r="AJ12" s="562" t="str">
        <f t="shared" si="32"/>
        <v>Yes</v>
      </c>
      <c r="AK12" s="562" t="str">
        <f t="shared" si="33"/>
        <v>Amazon</v>
      </c>
      <c r="AL12" s="562">
        <f t="shared" si="34"/>
        <v>8</v>
      </c>
      <c r="AM12" s="562">
        <f t="shared" si="35"/>
        <v>11</v>
      </c>
      <c r="AN12" s="563">
        <f t="shared" si="36"/>
        <v>17</v>
      </c>
      <c r="AO12" s="563">
        <f t="shared" si="37"/>
        <v>136</v>
      </c>
      <c r="AP12" s="563">
        <f t="shared" si="38"/>
        <v>187</v>
      </c>
      <c r="AQ12" s="563">
        <f t="shared" si="39"/>
        <v>13.33</v>
      </c>
      <c r="AR12" s="563">
        <f t="shared" si="40"/>
        <v>106.64</v>
      </c>
      <c r="AS12" s="564">
        <f t="shared" si="41"/>
        <v>146.63</v>
      </c>
      <c r="AU12" s="389"/>
      <c r="AV12" s="390"/>
    </row>
    <row r="13" spans="1:48" ht="45" customHeight="1" x14ac:dyDescent="0.25">
      <c r="A13" s="1499" t="s">
        <v>840</v>
      </c>
      <c r="B13" s="1501">
        <v>6</v>
      </c>
      <c r="C13" s="1499" t="s">
        <v>68</v>
      </c>
      <c r="D13" s="1512" t="s">
        <v>104</v>
      </c>
      <c r="E13" s="1504"/>
      <c r="F13" s="928">
        <v>9.9499999999999993</v>
      </c>
      <c r="G13" s="928">
        <v>5.99</v>
      </c>
      <c r="H13" s="933">
        <v>4</v>
      </c>
      <c r="I13" s="933">
        <v>5</v>
      </c>
      <c r="J13" s="864">
        <v>0</v>
      </c>
      <c r="K13" s="1342">
        <v>0.125</v>
      </c>
      <c r="L13" s="931">
        <f t="shared" si="42"/>
        <v>4</v>
      </c>
      <c r="M13" s="761">
        <f t="shared" si="24"/>
        <v>39.799999999999997</v>
      </c>
      <c r="N13" s="839">
        <f t="shared" si="25"/>
        <v>39.799999999999997</v>
      </c>
      <c r="O13" s="839">
        <f t="shared" si="26"/>
        <v>49.75</v>
      </c>
      <c r="P13" s="761">
        <f t="shared" ref="P13:P14" si="48">G13*L13</f>
        <v>23.96</v>
      </c>
      <c r="Q13" s="761">
        <f t="shared" ref="Q13:Q14" si="49">$G13*H13</f>
        <v>23.96</v>
      </c>
      <c r="R13" s="761">
        <f t="shared" ref="R13:R14" si="50">$G13*I13</f>
        <v>29.950000000000003</v>
      </c>
      <c r="S13" s="732">
        <f t="shared" si="44"/>
        <v>0</v>
      </c>
      <c r="T13" s="694">
        <f t="shared" si="45"/>
        <v>0</v>
      </c>
      <c r="U13" s="694">
        <f t="shared" si="46"/>
        <v>0</v>
      </c>
      <c r="V13" s="941">
        <v>0</v>
      </c>
      <c r="W13" s="1516">
        <v>0.5</v>
      </c>
      <c r="X13" s="1515">
        <f t="shared" si="27"/>
        <v>2</v>
      </c>
      <c r="Y13" s="762">
        <f t="shared" ref="Y13:Y15" si="51">X13*F13</f>
        <v>19.899999999999999</v>
      </c>
      <c r="Z13" s="762">
        <f t="shared" si="28"/>
        <v>11.98</v>
      </c>
      <c r="AA13" s="939">
        <v>0</v>
      </c>
      <c r="AB13" s="939">
        <f t="shared" ref="AB13:AB15" si="52">AE$4*AA13</f>
        <v>0</v>
      </c>
      <c r="AC13" s="941"/>
      <c r="AD13" s="848">
        <f t="shared" si="29"/>
        <v>0</v>
      </c>
      <c r="AE13" s="848">
        <f t="shared" si="30"/>
        <v>0</v>
      </c>
      <c r="AI13" s="561" t="str">
        <f t="shared" si="31"/>
        <v>8" Straight Tracks (1 set will cover two groups)</v>
      </c>
      <c r="AJ13" s="562" t="str">
        <f t="shared" si="32"/>
        <v>Yes</v>
      </c>
      <c r="AK13" s="562" t="str">
        <f t="shared" si="33"/>
        <v>Amazon</v>
      </c>
      <c r="AL13" s="562">
        <f t="shared" si="34"/>
        <v>4</v>
      </c>
      <c r="AM13" s="562">
        <f t="shared" si="35"/>
        <v>5</v>
      </c>
      <c r="AN13" s="563">
        <f t="shared" si="36"/>
        <v>9.9499999999999993</v>
      </c>
      <c r="AO13" s="563">
        <f t="shared" si="37"/>
        <v>39.799999999999997</v>
      </c>
      <c r="AP13" s="563">
        <f t="shared" si="38"/>
        <v>49.75</v>
      </c>
      <c r="AQ13" s="563">
        <f t="shared" si="39"/>
        <v>5.99</v>
      </c>
      <c r="AR13" s="563">
        <f t="shared" si="40"/>
        <v>23.96</v>
      </c>
      <c r="AS13" s="564">
        <f t="shared" si="41"/>
        <v>29.950000000000003</v>
      </c>
      <c r="AU13" s="389"/>
      <c r="AV13" s="390"/>
    </row>
    <row r="14" spans="1:48" ht="38.25" customHeight="1" x14ac:dyDescent="0.25">
      <c r="A14" s="1499" t="s">
        <v>841</v>
      </c>
      <c r="B14" s="1501">
        <v>6</v>
      </c>
      <c r="C14" s="1499" t="s">
        <v>68</v>
      </c>
      <c r="D14" s="1512" t="s">
        <v>104</v>
      </c>
      <c r="E14" s="1504"/>
      <c r="F14" s="928">
        <v>9.9499999999999993</v>
      </c>
      <c r="G14" s="928">
        <v>6.95</v>
      </c>
      <c r="H14" s="933">
        <v>4</v>
      </c>
      <c r="I14" s="933">
        <v>5</v>
      </c>
      <c r="J14" s="864">
        <v>0</v>
      </c>
      <c r="K14" s="1342">
        <v>0.125</v>
      </c>
      <c r="L14" s="931">
        <f t="shared" si="42"/>
        <v>4</v>
      </c>
      <c r="M14" s="761">
        <f t="shared" si="24"/>
        <v>39.799999999999997</v>
      </c>
      <c r="N14" s="839">
        <f t="shared" si="25"/>
        <v>39.799999999999997</v>
      </c>
      <c r="O14" s="839">
        <f t="shared" si="26"/>
        <v>49.75</v>
      </c>
      <c r="P14" s="761">
        <f t="shared" si="48"/>
        <v>27.8</v>
      </c>
      <c r="Q14" s="761">
        <f t="shared" si="49"/>
        <v>27.8</v>
      </c>
      <c r="R14" s="761">
        <f t="shared" si="50"/>
        <v>34.75</v>
      </c>
      <c r="S14" s="732">
        <f t="shared" si="44"/>
        <v>0</v>
      </c>
      <c r="T14" s="694">
        <f t="shared" si="45"/>
        <v>0</v>
      </c>
      <c r="U14" s="694">
        <f t="shared" si="46"/>
        <v>0</v>
      </c>
      <c r="V14" s="941">
        <v>0</v>
      </c>
      <c r="W14" s="1516">
        <v>0.5</v>
      </c>
      <c r="X14" s="1515">
        <f t="shared" si="27"/>
        <v>2</v>
      </c>
      <c r="Y14" s="762">
        <f t="shared" si="51"/>
        <v>19.899999999999999</v>
      </c>
      <c r="Z14" s="762">
        <f t="shared" si="28"/>
        <v>13.9</v>
      </c>
      <c r="AA14" s="939">
        <v>0</v>
      </c>
      <c r="AB14" s="939">
        <f t="shared" si="52"/>
        <v>0</v>
      </c>
      <c r="AC14" s="941"/>
      <c r="AD14" s="848">
        <f t="shared" si="29"/>
        <v>0</v>
      </c>
      <c r="AE14" s="848">
        <f t="shared" si="30"/>
        <v>0</v>
      </c>
      <c r="AI14" s="561" t="str">
        <f t="shared" si="31"/>
        <v>3.5" Curved Wooden Train Tracks (1 set will cover two groups)</v>
      </c>
      <c r="AJ14" s="562" t="str">
        <f t="shared" si="32"/>
        <v>Yes</v>
      </c>
      <c r="AK14" s="562" t="str">
        <f t="shared" si="33"/>
        <v>Amazon</v>
      </c>
      <c r="AL14" s="562">
        <f t="shared" si="34"/>
        <v>4</v>
      </c>
      <c r="AM14" s="562">
        <f t="shared" si="35"/>
        <v>5</v>
      </c>
      <c r="AN14" s="563">
        <f t="shared" si="36"/>
        <v>9.9499999999999993</v>
      </c>
      <c r="AO14" s="563">
        <f t="shared" si="37"/>
        <v>39.799999999999997</v>
      </c>
      <c r="AP14" s="563">
        <f t="shared" si="38"/>
        <v>49.75</v>
      </c>
      <c r="AQ14" s="563">
        <f t="shared" si="39"/>
        <v>6.95</v>
      </c>
      <c r="AR14" s="563">
        <f t="shared" si="40"/>
        <v>27.8</v>
      </c>
      <c r="AS14" s="564">
        <f t="shared" si="41"/>
        <v>34.75</v>
      </c>
      <c r="AU14" s="387" t="str">
        <f>A12</f>
        <v>Maxim Enterprise Inc. Stone Bridge Set (1 per group)</v>
      </c>
      <c r="AV14" s="372">
        <f>E12</f>
        <v>0</v>
      </c>
    </row>
    <row r="15" spans="1:48" ht="95.25" thickBot="1" x14ac:dyDescent="0.3">
      <c r="A15" s="1499" t="s">
        <v>842</v>
      </c>
      <c r="B15" s="1501">
        <v>5</v>
      </c>
      <c r="C15" s="1499" t="s">
        <v>68</v>
      </c>
      <c r="D15" s="1512" t="s">
        <v>104</v>
      </c>
      <c r="E15" s="1504"/>
      <c r="F15" s="928">
        <v>24.95</v>
      </c>
      <c r="G15" s="928">
        <v>19.62</v>
      </c>
      <c r="H15" s="933">
        <v>4</v>
      </c>
      <c r="I15" s="933">
        <v>5</v>
      </c>
      <c r="J15" s="864">
        <v>0</v>
      </c>
      <c r="K15" s="1342">
        <v>0.125</v>
      </c>
      <c r="L15" s="933">
        <f t="shared" ref="L15" si="53">ROUNDUP(J15+(K15*L$4),0)</f>
        <v>4</v>
      </c>
      <c r="M15" s="761">
        <f t="shared" si="24"/>
        <v>99.8</v>
      </c>
      <c r="N15" s="839">
        <f t="shared" si="25"/>
        <v>99.8</v>
      </c>
      <c r="O15" s="839">
        <f t="shared" si="26"/>
        <v>124.75</v>
      </c>
      <c r="P15" s="918">
        <f>G15*L15</f>
        <v>78.48</v>
      </c>
      <c r="Q15" s="918">
        <f t="shared" si="43"/>
        <v>78.48</v>
      </c>
      <c r="R15" s="918">
        <f t="shared" si="43"/>
        <v>98.100000000000009</v>
      </c>
      <c r="S15" s="732">
        <f t="shared" si="44"/>
        <v>0</v>
      </c>
      <c r="T15" s="694">
        <f t="shared" si="45"/>
        <v>0</v>
      </c>
      <c r="U15" s="694">
        <f t="shared" si="46"/>
        <v>0</v>
      </c>
      <c r="V15" s="941">
        <v>0</v>
      </c>
      <c r="W15" s="1516">
        <v>0.5</v>
      </c>
      <c r="X15" s="1515">
        <f t="shared" si="27"/>
        <v>2</v>
      </c>
      <c r="Y15" s="762">
        <f t="shared" si="51"/>
        <v>49.9</v>
      </c>
      <c r="Z15" s="762">
        <f>$X15*G15</f>
        <v>39.24</v>
      </c>
      <c r="AA15" s="939">
        <v>0</v>
      </c>
      <c r="AB15" s="939">
        <f t="shared" si="52"/>
        <v>0</v>
      </c>
      <c r="AC15" s="941">
        <f>MAX(X13-AB15,0)</f>
        <v>2</v>
      </c>
      <c r="AD15" s="848">
        <f t="shared" si="29"/>
        <v>49.9</v>
      </c>
      <c r="AE15" s="848">
        <f t="shared" si="30"/>
        <v>39.24</v>
      </c>
      <c r="AI15" s="561" t="str">
        <f t="shared" si="31"/>
        <v>Orbrium Toys Cargo Train Car Set for Wooden Railway, 5-Piece (1 set will cover 2 groups)</v>
      </c>
      <c r="AJ15" s="562" t="str">
        <f t="shared" si="32"/>
        <v>Yes</v>
      </c>
      <c r="AK15" s="562" t="str">
        <f t="shared" si="33"/>
        <v>Amazon</v>
      </c>
      <c r="AL15" s="562">
        <f t="shared" si="34"/>
        <v>4</v>
      </c>
      <c r="AM15" s="562">
        <f t="shared" si="35"/>
        <v>5</v>
      </c>
      <c r="AN15" s="563">
        <f t="shared" si="36"/>
        <v>24.95</v>
      </c>
      <c r="AO15" s="563">
        <f t="shared" si="37"/>
        <v>99.8</v>
      </c>
      <c r="AP15" s="563">
        <f t="shared" si="38"/>
        <v>124.75</v>
      </c>
      <c r="AQ15" s="563">
        <f t="shared" si="39"/>
        <v>19.62</v>
      </c>
      <c r="AR15" s="563">
        <f t="shared" si="40"/>
        <v>78.48</v>
      </c>
      <c r="AS15" s="564">
        <f t="shared" si="41"/>
        <v>98.100000000000009</v>
      </c>
      <c r="AU15" s="388" t="str">
        <f>A15</f>
        <v>Orbrium Toys Cargo Train Car Set for Wooden Railway, 5-Piece (1 set will cover 2 groups)</v>
      </c>
      <c r="AV15" s="374">
        <f>E15</f>
        <v>0</v>
      </c>
    </row>
    <row r="16" spans="1:48" ht="51.75" customHeight="1" thickBot="1" x14ac:dyDescent="0.3">
      <c r="A16" s="1505" t="s">
        <v>105</v>
      </c>
      <c r="B16" s="1508"/>
      <c r="C16" s="1503"/>
      <c r="D16" s="1503"/>
      <c r="E16" s="1506" t="s">
        <v>619</v>
      </c>
      <c r="F16" s="929"/>
      <c r="G16" s="929"/>
      <c r="H16" s="935"/>
      <c r="I16" s="935"/>
      <c r="J16" s="935"/>
      <c r="K16" s="935"/>
      <c r="L16" s="935"/>
      <c r="M16" s="1042">
        <f t="shared" ref="M16:R16" si="54">SUM(M7:M15)</f>
        <v>524.85</v>
      </c>
      <c r="N16" s="1042">
        <f t="shared" si="54"/>
        <v>512.55999999999995</v>
      </c>
      <c r="O16" s="1042">
        <f t="shared" si="54"/>
        <v>657.54</v>
      </c>
      <c r="P16" s="1042">
        <f t="shared" si="54"/>
        <v>369.25</v>
      </c>
      <c r="Q16" s="1042">
        <f t="shared" si="54"/>
        <v>356.96000000000004</v>
      </c>
      <c r="R16" s="1042">
        <f t="shared" si="54"/>
        <v>460.67</v>
      </c>
      <c r="S16" s="1042"/>
      <c r="T16" s="1042">
        <f t="shared" ref="T16:U16" si="55">SUM(T7:T15)</f>
        <v>1.79</v>
      </c>
      <c r="U16" s="1042">
        <f t="shared" si="55"/>
        <v>1.79</v>
      </c>
      <c r="V16" s="942"/>
      <c r="W16" s="942"/>
      <c r="X16" s="942"/>
      <c r="Y16" s="1043">
        <f t="shared" ref="Y16:Z16" si="56">SUM(Y7:Y15)</f>
        <v>309.83</v>
      </c>
      <c r="Z16" s="1043">
        <f t="shared" si="56"/>
        <v>213.83</v>
      </c>
      <c r="AA16" s="942"/>
      <c r="AB16" s="942"/>
      <c r="AC16" s="942"/>
      <c r="AD16" s="1043">
        <f>SUM(AD7:AD15)</f>
        <v>253.24</v>
      </c>
      <c r="AE16" s="1043">
        <f>SUM(AE7:AE15)</f>
        <v>176.36</v>
      </c>
      <c r="AI16" s="1776" t="str">
        <f t="shared" ref="AI16" si="57">A16</f>
        <v>Subtotal</v>
      </c>
      <c r="AJ16" s="1777"/>
      <c r="AK16" s="1777"/>
      <c r="AL16" s="1777"/>
      <c r="AM16" s="1777"/>
      <c r="AN16" s="269"/>
      <c r="AO16" s="270">
        <f t="shared" ref="AO16:AP16" si="58">N16</f>
        <v>512.55999999999995</v>
      </c>
      <c r="AP16" s="270">
        <f t="shared" si="58"/>
        <v>657.54</v>
      </c>
      <c r="AQ16" s="270"/>
      <c r="AR16" s="270">
        <f t="shared" ref="AR16" si="59">Q16</f>
        <v>356.96000000000004</v>
      </c>
      <c r="AS16" s="271">
        <f t="shared" ref="AS16" si="60">R16</f>
        <v>460.67</v>
      </c>
      <c r="AU16" s="385"/>
      <c r="AV16" s="386"/>
    </row>
    <row r="17" spans="1:48" ht="38.25" customHeight="1" thickBot="1" x14ac:dyDescent="0.3">
      <c r="A17" s="1037" t="s">
        <v>194</v>
      </c>
      <c r="B17" s="1509"/>
      <c r="C17" s="468"/>
      <c r="D17" s="759"/>
      <c r="E17" s="1038"/>
      <c r="F17" s="760"/>
      <c r="G17" s="760" t="s">
        <v>576</v>
      </c>
      <c r="H17" s="930"/>
      <c r="I17" s="930"/>
      <c r="J17" s="930"/>
      <c r="K17" s="930"/>
      <c r="L17" s="930"/>
      <c r="M17" s="1045">
        <v>0</v>
      </c>
      <c r="N17" s="1045">
        <v>0</v>
      </c>
      <c r="O17" s="1045">
        <v>0</v>
      </c>
      <c r="P17" s="1045">
        <v>0</v>
      </c>
      <c r="Q17" s="1045">
        <v>0</v>
      </c>
      <c r="R17" s="1045">
        <v>0</v>
      </c>
      <c r="S17" s="1045"/>
      <c r="T17" s="1045"/>
      <c r="U17" s="1045">
        <v>4</v>
      </c>
      <c r="V17" s="938"/>
      <c r="W17" s="938"/>
      <c r="X17" s="938"/>
      <c r="Y17" s="1044">
        <v>0</v>
      </c>
      <c r="Z17" s="1044">
        <v>0</v>
      </c>
      <c r="AA17" s="938"/>
      <c r="AB17" s="938"/>
      <c r="AC17" s="938"/>
      <c r="AD17" s="1044">
        <v>0</v>
      </c>
      <c r="AE17" s="1046">
        <v>0</v>
      </c>
      <c r="AI17" s="1394"/>
      <c r="AJ17" s="1778" t="s">
        <v>194</v>
      </c>
      <c r="AK17" s="1778"/>
      <c r="AL17" s="1778"/>
      <c r="AM17" s="1779"/>
      <c r="AN17" s="264"/>
      <c r="AO17" s="195"/>
      <c r="AP17" s="195"/>
      <c r="AQ17" s="195"/>
      <c r="AR17" s="195"/>
      <c r="AS17" s="265"/>
      <c r="AU17" s="1393"/>
      <c r="AV17" s="386"/>
    </row>
    <row r="18" spans="1:48" ht="30.75" customHeight="1" thickBot="1" x14ac:dyDescent="0.3">
      <c r="A18" s="992" t="s">
        <v>262</v>
      </c>
      <c r="B18" s="1510"/>
      <c r="C18" s="1039"/>
      <c r="D18" s="993"/>
      <c r="E18" s="1039" t="s">
        <v>195</v>
      </c>
      <c r="F18" s="995"/>
      <c r="G18" s="995" t="s">
        <v>576</v>
      </c>
      <c r="H18" s="805"/>
      <c r="I18" s="805"/>
      <c r="J18" s="805"/>
      <c r="K18" s="805"/>
      <c r="L18" s="805"/>
      <c r="M18" s="782">
        <f>SUM(M16:M17)</f>
        <v>524.85</v>
      </c>
      <c r="N18" s="782">
        <f>SUM(N16:N17)</f>
        <v>512.55999999999995</v>
      </c>
      <c r="O18" s="782">
        <f>SUM(O16:O17)</f>
        <v>657.54</v>
      </c>
      <c r="P18" s="781"/>
      <c r="Q18" s="781"/>
      <c r="R18" s="781"/>
      <c r="S18" s="781"/>
      <c r="T18" s="782">
        <f>SUM(T16:T17)</f>
        <v>1.79</v>
      </c>
      <c r="U18" s="781"/>
      <c r="V18" s="1010"/>
      <c r="W18" s="1010"/>
      <c r="X18" s="1010"/>
      <c r="Y18" s="783">
        <f>SUM(Y16:Y17)</f>
        <v>309.83</v>
      </c>
      <c r="Z18" s="1047"/>
      <c r="AA18" s="1010"/>
      <c r="AB18" s="1010"/>
      <c r="AC18" s="1010"/>
      <c r="AD18" s="783">
        <f>SUM(AD16:AD17)</f>
        <v>253.24</v>
      </c>
      <c r="AE18" s="1050"/>
      <c r="AI18" s="1776" t="str">
        <f>A18</f>
        <v>Retail Total</v>
      </c>
      <c r="AJ18" s="1777"/>
      <c r="AK18" s="1777"/>
      <c r="AL18" s="1777"/>
      <c r="AM18" s="1777"/>
      <c r="AN18" s="269"/>
      <c r="AO18" s="270">
        <f>N18</f>
        <v>512.55999999999995</v>
      </c>
      <c r="AP18" s="270">
        <f>O18</f>
        <v>657.54</v>
      </c>
      <c r="AQ18" s="270"/>
      <c r="AR18" s="270"/>
      <c r="AS18" s="271"/>
      <c r="AU18" s="385"/>
      <c r="AV18" s="386"/>
    </row>
    <row r="19" spans="1:48" ht="16.5" thickBot="1" x14ac:dyDescent="0.3">
      <c r="A19" s="1040" t="s">
        <v>263</v>
      </c>
      <c r="B19" s="1511"/>
      <c r="C19" s="1041"/>
      <c r="D19" s="1041"/>
      <c r="E19" s="988"/>
      <c r="F19" s="1048"/>
      <c r="G19" s="1048" t="s">
        <v>576</v>
      </c>
      <c r="H19" s="806"/>
      <c r="I19" s="806"/>
      <c r="J19" s="806"/>
      <c r="K19" s="806"/>
      <c r="L19" s="806"/>
      <c r="M19" s="775"/>
      <c r="N19" s="775"/>
      <c r="O19" s="775"/>
      <c r="P19" s="775">
        <f>SUM(P16:P17)</f>
        <v>369.25</v>
      </c>
      <c r="Q19" s="775">
        <f>SUM(Q16:Q17)</f>
        <v>356.96000000000004</v>
      </c>
      <c r="R19" s="775">
        <f>SUM(R16:R17)</f>
        <v>460.67</v>
      </c>
      <c r="S19" s="775"/>
      <c r="T19" s="775"/>
      <c r="U19" s="775">
        <f>SUM(U16:U17)</f>
        <v>5.79</v>
      </c>
      <c r="V19" s="1049"/>
      <c r="W19" s="1049"/>
      <c r="X19" s="1049"/>
      <c r="Y19" s="776"/>
      <c r="Z19" s="776">
        <f>SUM(Z16:Z17)</f>
        <v>213.83</v>
      </c>
      <c r="AA19" s="813"/>
      <c r="AB19" s="813"/>
      <c r="AC19" s="813"/>
      <c r="AD19" s="776"/>
      <c r="AE19" s="776">
        <f>SUM(AE16:AE17)</f>
        <v>176.36</v>
      </c>
      <c r="AI19" s="1776" t="str">
        <f>A19</f>
        <v>Online Total</v>
      </c>
      <c r="AJ19" s="1777"/>
      <c r="AK19" s="1777"/>
      <c r="AL19" s="1777"/>
      <c r="AM19" s="1777"/>
      <c r="AN19" s="266"/>
      <c r="AO19" s="267"/>
      <c r="AP19" s="267"/>
      <c r="AQ19" s="267"/>
      <c r="AR19" s="267">
        <f t="shared" ref="AR19" si="61">Q19</f>
        <v>356.96000000000004</v>
      </c>
      <c r="AS19" s="268">
        <f t="shared" ref="AS19" si="62">R19</f>
        <v>460.67</v>
      </c>
      <c r="AU19" s="385"/>
      <c r="AV19" s="386"/>
    </row>
    <row r="20" spans="1:48" ht="15.75" x14ac:dyDescent="0.25">
      <c r="AI20" s="258"/>
      <c r="AJ20" s="258"/>
      <c r="AK20" s="258"/>
      <c r="AL20" s="258"/>
      <c r="AM20" s="258"/>
      <c r="AN20" s="258"/>
      <c r="AO20" s="258"/>
      <c r="AP20" s="258"/>
      <c r="AQ20" s="258"/>
      <c r="AR20" s="258"/>
      <c r="AS20" s="258"/>
    </row>
  </sheetData>
  <mergeCells count="25">
    <mergeCell ref="A1:E1"/>
    <mergeCell ref="A3:E3"/>
    <mergeCell ref="F4:G4"/>
    <mergeCell ref="H3:R3"/>
    <mergeCell ref="V3:AE3"/>
    <mergeCell ref="AU10:AV10"/>
    <mergeCell ref="V1:Y1"/>
    <mergeCell ref="H5:I5"/>
    <mergeCell ref="V5:W5"/>
    <mergeCell ref="J5:L5"/>
    <mergeCell ref="Y5:Z5"/>
    <mergeCell ref="M5:O5"/>
    <mergeCell ref="P5:R5"/>
    <mergeCell ref="S4:U4"/>
    <mergeCell ref="AI4:AS4"/>
    <mergeCell ref="AI5:AK5"/>
    <mergeCell ref="AL5:AM5"/>
    <mergeCell ref="AN5:AP5"/>
    <mergeCell ref="AQ5:AS5"/>
    <mergeCell ref="AA5:AB5"/>
    <mergeCell ref="AI19:AM19"/>
    <mergeCell ref="AJ17:AM17"/>
    <mergeCell ref="AI16:AM16"/>
    <mergeCell ref="AI18:AM18"/>
    <mergeCell ref="AD5:AE5"/>
  </mergeCells>
  <pageMargins left="0.25" right="0.25" top="0.75" bottom="0.75" header="0.3" footer="0.3"/>
  <pageSetup scale="8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41"/>
  <sheetViews>
    <sheetView zoomScale="85" zoomScaleNormal="85" workbookViewId="0">
      <pane xSplit="1" ySplit="5" topLeftCell="AC6" activePane="bottomRight" state="frozen"/>
      <selection pane="topRight" activeCell="B1" sqref="B1"/>
      <selection pane="bottomLeft" activeCell="A6" sqref="A6"/>
      <selection pane="bottomRight" activeCell="AI5" sqref="AI5"/>
    </sheetView>
  </sheetViews>
  <sheetFormatPr defaultColWidth="9.140625" defaultRowHeight="15" x14ac:dyDescent="0.25"/>
  <cols>
    <col min="1" max="1" width="30.7109375" style="3" customWidth="1"/>
    <col min="2" max="2" width="15.7109375" style="3" customWidth="1"/>
    <col min="3" max="3" width="8.7109375" style="3" customWidth="1"/>
    <col min="4" max="4" width="14.5703125" style="3" customWidth="1"/>
    <col min="5" max="5" width="34.7109375" style="3" customWidth="1"/>
    <col min="6" max="6" width="7.42578125" style="99" customWidth="1"/>
    <col min="7" max="7" width="9.140625" style="100"/>
    <col min="8" max="9" width="7.42578125" style="11" customWidth="1"/>
    <col min="10" max="10" width="8.42578125" style="11" customWidth="1"/>
    <col min="11" max="11" width="11" style="11" customWidth="1"/>
    <col min="12" max="12" width="8.85546875" style="11" customWidth="1"/>
    <col min="13" max="13" width="9.7109375" style="11" customWidth="1"/>
    <col min="14" max="14" width="9.28515625" style="2" customWidth="1"/>
    <col min="15" max="15" width="10.42578125" style="2" customWidth="1"/>
    <col min="16" max="16" width="9.7109375" style="2" customWidth="1"/>
    <col min="17" max="17" width="10" style="2" customWidth="1"/>
    <col min="18" max="21" width="9.7109375" style="2" customWidth="1"/>
    <col min="22" max="23" width="9.140625" style="101"/>
    <col min="24" max="24" width="10.42578125" style="3" customWidth="1"/>
    <col min="25" max="26" width="11.28515625" style="3" customWidth="1"/>
    <col min="27" max="27" width="9.140625" style="101"/>
    <col min="28" max="28" width="10.85546875" style="101" customWidth="1"/>
    <col min="29" max="29" width="14.28515625" style="3" customWidth="1"/>
    <col min="30" max="30" width="10.5703125" style="3" customWidth="1"/>
    <col min="31" max="31" width="10.7109375" style="3" customWidth="1"/>
    <col min="32" max="34" width="9.140625" style="3"/>
    <col min="35" max="35" width="22" style="3" customWidth="1"/>
    <col min="36" max="36" width="9.140625" style="3"/>
    <col min="37" max="37" width="14.28515625" style="3" customWidth="1"/>
    <col min="38" max="46" width="9.140625" style="3"/>
    <col min="47" max="47" width="26.42578125" style="3" customWidth="1"/>
    <col min="48" max="48" width="52.5703125" style="3" customWidth="1"/>
    <col min="49" max="16384" width="9.140625" style="3"/>
  </cols>
  <sheetData>
    <row r="1" spans="1:48" s="411" customFormat="1" ht="30" customHeight="1" thickBot="1" x14ac:dyDescent="0.45">
      <c r="A1" s="429" t="s">
        <v>701</v>
      </c>
      <c r="F1" s="421"/>
      <c r="G1" s="422"/>
      <c r="H1" s="413"/>
      <c r="I1" s="413"/>
      <c r="J1" s="413"/>
      <c r="K1" s="413"/>
      <c r="L1" s="413"/>
      <c r="M1" s="413"/>
      <c r="N1" s="412"/>
      <c r="O1" s="412"/>
      <c r="P1" s="412"/>
      <c r="Q1" s="412"/>
      <c r="R1" s="412"/>
      <c r="S1" s="412"/>
      <c r="T1" s="412"/>
      <c r="U1" s="412"/>
      <c r="V1" s="423"/>
      <c r="W1" s="423"/>
      <c r="AA1" s="423"/>
      <c r="AB1" s="423"/>
    </row>
    <row r="2" spans="1:48" s="426" customFormat="1" ht="30" customHeight="1" thickBot="1" x14ac:dyDescent="0.3">
      <c r="A2" s="1829" t="s">
        <v>560</v>
      </c>
      <c r="B2" s="1830"/>
      <c r="C2" s="1830"/>
      <c r="D2" s="1830"/>
      <c r="E2" s="1830"/>
      <c r="F2" s="1308"/>
      <c r="G2" s="1308"/>
      <c r="H2" s="1846" t="s">
        <v>747</v>
      </c>
      <c r="I2" s="1847"/>
      <c r="J2" s="1847"/>
      <c r="K2" s="1847"/>
      <c r="L2" s="1847"/>
      <c r="M2" s="1847"/>
      <c r="N2" s="1847"/>
      <c r="O2" s="1847"/>
      <c r="P2" s="1847"/>
      <c r="Q2" s="1847"/>
      <c r="R2" s="1848"/>
      <c r="S2" s="1377"/>
      <c r="T2" s="1377"/>
      <c r="U2" s="1377"/>
      <c r="V2" s="1831" t="s">
        <v>692</v>
      </c>
      <c r="W2" s="1832"/>
      <c r="X2" s="1832"/>
      <c r="Y2" s="1832"/>
      <c r="Z2" s="1832"/>
      <c r="AA2" s="1832"/>
      <c r="AB2" s="1832"/>
      <c r="AC2" s="1832"/>
      <c r="AD2" s="1832"/>
      <c r="AE2" s="1833"/>
      <c r="AI2" s="425" t="s">
        <v>559</v>
      </c>
      <c r="AJ2" s="424"/>
      <c r="AK2" s="424"/>
      <c r="AL2" s="424"/>
      <c r="AM2" s="424"/>
      <c r="AN2" s="424"/>
      <c r="AO2" s="424"/>
      <c r="AP2" s="424"/>
      <c r="AQ2" s="424"/>
      <c r="AR2" s="424"/>
      <c r="AS2" s="424"/>
      <c r="AU2" s="425" t="s">
        <v>607</v>
      </c>
    </row>
    <row r="3" spans="1:48" ht="35.25" customHeight="1" thickBot="1" x14ac:dyDescent="0.3">
      <c r="A3" s="1096" t="s">
        <v>729</v>
      </c>
      <c r="B3" s="1089"/>
      <c r="C3" s="1089"/>
      <c r="D3" s="1089"/>
      <c r="E3" s="1089"/>
      <c r="F3" s="1869" t="s">
        <v>750</v>
      </c>
      <c r="G3" s="1870"/>
      <c r="H3" s="1090"/>
      <c r="I3" s="1091"/>
      <c r="J3" s="1092"/>
      <c r="K3" s="1097" t="s">
        <v>171</v>
      </c>
      <c r="L3" s="1098">
        <f>Budget!$D$45</f>
        <v>30</v>
      </c>
      <c r="M3" s="1095"/>
      <c r="N3" s="909"/>
      <c r="O3" s="909"/>
      <c r="P3" s="909"/>
      <c r="Q3" s="1093"/>
      <c r="R3" s="1094"/>
      <c r="S3" s="1704" t="s">
        <v>766</v>
      </c>
      <c r="T3" s="1705"/>
      <c r="U3" s="1706"/>
      <c r="V3" s="1153"/>
      <c r="W3" s="1154" t="s">
        <v>99</v>
      </c>
      <c r="X3" s="1155">
        <f>Budget!C30</f>
        <v>3</v>
      </c>
      <c r="Y3" s="1156"/>
      <c r="Z3" s="1156"/>
      <c r="AA3" s="1157" t="s">
        <v>100</v>
      </c>
      <c r="AB3" s="1155">
        <f>Budget!B30</f>
        <v>10</v>
      </c>
      <c r="AC3" s="577"/>
      <c r="AD3" s="1158" t="s">
        <v>196</v>
      </c>
      <c r="AE3" s="642">
        <f>Budget!I7</f>
        <v>1</v>
      </c>
      <c r="AI3" s="1688" t="s">
        <v>763</v>
      </c>
      <c r="AJ3" s="1689"/>
      <c r="AK3" s="1689"/>
      <c r="AL3" s="1689"/>
      <c r="AM3" s="1689"/>
      <c r="AN3" s="1689"/>
      <c r="AO3" s="1689"/>
      <c r="AP3" s="1689"/>
      <c r="AQ3" s="1689"/>
      <c r="AR3" s="1689"/>
      <c r="AS3" s="1690"/>
    </row>
    <row r="4" spans="1:48" ht="32.25" customHeight="1" thickBot="1" x14ac:dyDescent="0.3">
      <c r="A4" s="1053"/>
      <c r="B4" s="579" t="s">
        <v>724</v>
      </c>
      <c r="C4" s="567"/>
      <c r="D4" s="567"/>
      <c r="E4" s="567"/>
      <c r="F4" s="1309" t="s">
        <v>79</v>
      </c>
      <c r="G4" s="1310" t="s">
        <v>80</v>
      </c>
      <c r="H4" s="1834" t="s">
        <v>571</v>
      </c>
      <c r="I4" s="1835"/>
      <c r="J4" s="1836" t="s">
        <v>267</v>
      </c>
      <c r="K4" s="1835"/>
      <c r="L4" s="1835"/>
      <c r="M4" s="1849" t="s">
        <v>565</v>
      </c>
      <c r="N4" s="1850"/>
      <c r="O4" s="1851"/>
      <c r="P4" s="1852" t="s">
        <v>566</v>
      </c>
      <c r="Q4" s="1853"/>
      <c r="R4" s="1854"/>
      <c r="S4" s="766" t="s">
        <v>70</v>
      </c>
      <c r="T4" s="766" t="s">
        <v>757</v>
      </c>
      <c r="U4" s="833" t="s">
        <v>758</v>
      </c>
      <c r="V4" s="1843" t="s">
        <v>70</v>
      </c>
      <c r="W4" s="1844"/>
      <c r="X4" s="1845"/>
      <c r="Y4" s="1837" t="s">
        <v>204</v>
      </c>
      <c r="Z4" s="1837"/>
      <c r="AA4" s="1840" t="s">
        <v>70</v>
      </c>
      <c r="AB4" s="1841"/>
      <c r="AC4" s="1842"/>
      <c r="AD4" s="1838" t="s">
        <v>205</v>
      </c>
      <c r="AE4" s="1839"/>
      <c r="AI4" s="1637" t="str">
        <f>A2</f>
        <v>Item Information</v>
      </c>
      <c r="AJ4" s="1638"/>
      <c r="AK4" s="1657"/>
      <c r="AL4" s="1637" t="str">
        <f>H4</f>
        <v>Quantity: Class size of…</v>
      </c>
      <c r="AM4" s="1657"/>
      <c r="AN4" s="1691" t="str">
        <f>F4</f>
        <v>Retail</v>
      </c>
      <c r="AO4" s="1638"/>
      <c r="AP4" s="1638"/>
      <c r="AQ4" s="1692" t="str">
        <f>G4</f>
        <v>Online</v>
      </c>
      <c r="AR4" s="1638"/>
      <c r="AS4" s="1657"/>
    </row>
    <row r="5" spans="1:48" s="8" customFormat="1" ht="54.75" customHeight="1" thickBot="1" x14ac:dyDescent="0.3">
      <c r="A5" s="626" t="s">
        <v>725</v>
      </c>
      <c r="B5" s="627" t="s">
        <v>786</v>
      </c>
      <c r="C5" s="627" t="s">
        <v>65</v>
      </c>
      <c r="D5" s="627" t="s">
        <v>133</v>
      </c>
      <c r="E5" s="627" t="s">
        <v>2</v>
      </c>
      <c r="F5" s="1311" t="s">
        <v>567</v>
      </c>
      <c r="G5" s="1311" t="s">
        <v>567</v>
      </c>
      <c r="H5" s="447">
        <v>30</v>
      </c>
      <c r="I5" s="448">
        <v>40</v>
      </c>
      <c r="J5" s="449" t="s">
        <v>161</v>
      </c>
      <c r="K5" s="449" t="s">
        <v>162</v>
      </c>
      <c r="L5" s="449" t="s">
        <v>70</v>
      </c>
      <c r="M5" s="449" t="s">
        <v>546</v>
      </c>
      <c r="N5" s="448">
        <v>30</v>
      </c>
      <c r="O5" s="448">
        <v>40</v>
      </c>
      <c r="P5" s="449" t="s">
        <v>546</v>
      </c>
      <c r="Q5" s="449">
        <v>30</v>
      </c>
      <c r="R5" s="450">
        <v>40</v>
      </c>
      <c r="S5" s="1392"/>
      <c r="T5" s="1392"/>
      <c r="U5" s="1392"/>
      <c r="V5" s="443" t="s">
        <v>83</v>
      </c>
      <c r="W5" s="444" t="s">
        <v>82</v>
      </c>
      <c r="X5" s="445" t="s">
        <v>199</v>
      </c>
      <c r="Y5" s="445" t="s">
        <v>79</v>
      </c>
      <c r="Z5" s="445" t="s">
        <v>80</v>
      </c>
      <c r="AA5" s="445" t="s">
        <v>197</v>
      </c>
      <c r="AB5" s="445" t="s">
        <v>198</v>
      </c>
      <c r="AC5" s="445" t="s">
        <v>200</v>
      </c>
      <c r="AD5" s="445" t="s">
        <v>79</v>
      </c>
      <c r="AE5" s="446" t="s">
        <v>80</v>
      </c>
      <c r="AI5" s="205" t="str">
        <f>A5</f>
        <v>Item to purchase</v>
      </c>
      <c r="AJ5" s="197" t="str">
        <f>C5</f>
        <v>Re usable</v>
      </c>
      <c r="AK5" s="233" t="str">
        <f>D5</f>
        <v>Store Type</v>
      </c>
      <c r="AL5" s="230">
        <f>H5</f>
        <v>30</v>
      </c>
      <c r="AM5" s="198">
        <f>I5</f>
        <v>40</v>
      </c>
      <c r="AN5" s="235" t="str">
        <f>F5</f>
        <v>Ea.</v>
      </c>
      <c r="AO5" s="234">
        <f>N5</f>
        <v>30</v>
      </c>
      <c r="AP5" s="232">
        <f>O5</f>
        <v>40</v>
      </c>
      <c r="AQ5" s="235" t="str">
        <f>G5</f>
        <v>Ea.</v>
      </c>
      <c r="AR5" s="197">
        <f>Q5</f>
        <v>30</v>
      </c>
      <c r="AS5" s="233">
        <f>R5</f>
        <v>40</v>
      </c>
      <c r="AU5" s="300" t="str">
        <f>A5</f>
        <v>Item to purchase</v>
      </c>
      <c r="AV5" s="301" t="str">
        <f>E5</f>
        <v>Notes</v>
      </c>
    </row>
    <row r="6" spans="1:48" s="8" customFormat="1" ht="30" customHeight="1" thickBot="1" x14ac:dyDescent="0.3">
      <c r="A6" s="618" t="s">
        <v>219</v>
      </c>
      <c r="B6" s="1075"/>
      <c r="C6" s="1075"/>
      <c r="D6" s="1075"/>
      <c r="E6" s="1075"/>
      <c r="F6" s="1075"/>
      <c r="G6" s="1075"/>
      <c r="H6" s="1076"/>
      <c r="I6" s="1076"/>
      <c r="J6" s="1077"/>
      <c r="K6" s="1078"/>
      <c r="L6" s="1026"/>
      <c r="M6" s="1076"/>
      <c r="N6" s="1076"/>
      <c r="O6" s="1076"/>
      <c r="P6" s="1076"/>
      <c r="Q6" s="1076"/>
      <c r="R6" s="1076"/>
      <c r="S6" s="1076"/>
      <c r="T6" s="1076"/>
      <c r="U6" s="1076"/>
      <c r="V6" s="1079"/>
      <c r="W6" s="1079"/>
      <c r="X6" s="1079"/>
      <c r="Y6" s="1079"/>
      <c r="Z6" s="1079"/>
      <c r="AA6" s="1079"/>
      <c r="AB6" s="1079"/>
      <c r="AC6" s="1079"/>
      <c r="AD6" s="1079"/>
      <c r="AE6" s="1080"/>
      <c r="AI6" s="1780" t="str">
        <f>A6</f>
        <v>Live Algae &amp; Containment</v>
      </c>
      <c r="AJ6" s="1781"/>
      <c r="AK6" s="1781"/>
      <c r="AL6" s="1781"/>
      <c r="AM6" s="1781"/>
      <c r="AN6" s="1781"/>
      <c r="AO6" s="1781"/>
      <c r="AP6" s="1781"/>
      <c r="AQ6" s="1781"/>
      <c r="AR6" s="1781"/>
      <c r="AS6" s="1782"/>
      <c r="AU6" s="1805" t="str">
        <f>A6</f>
        <v>Live Algae &amp; Containment</v>
      </c>
      <c r="AV6" s="1806"/>
    </row>
    <row r="7" spans="1:48" ht="78.75" x14ac:dyDescent="0.25">
      <c r="A7" s="629" t="s">
        <v>210</v>
      </c>
      <c r="B7" s="1441" t="s">
        <v>794</v>
      </c>
      <c r="C7" s="569" t="s">
        <v>66</v>
      </c>
      <c r="D7" s="569" t="s">
        <v>208</v>
      </c>
      <c r="E7" s="569" t="s">
        <v>209</v>
      </c>
      <c r="F7" s="641">
        <v>7.2</v>
      </c>
      <c r="G7" s="641">
        <v>7.2</v>
      </c>
      <c r="H7" s="1113">
        <v>1</v>
      </c>
      <c r="I7" s="1114">
        <v>1</v>
      </c>
      <c r="J7" s="1115">
        <f>H7-K7*30</f>
        <v>1</v>
      </c>
      <c r="K7" s="1116">
        <f>(I7-H7)/10</f>
        <v>0</v>
      </c>
      <c r="L7" s="1114">
        <f>ROUNDUP(J7+(K7*L$3),0)</f>
        <v>1</v>
      </c>
      <c r="M7" s="636">
        <f>L7*F7</f>
        <v>7.2</v>
      </c>
      <c r="N7" s="636">
        <f>H7*F7</f>
        <v>7.2</v>
      </c>
      <c r="O7" s="636">
        <f>F7*I7</f>
        <v>7.2</v>
      </c>
      <c r="P7" s="636">
        <f>G7*L7</f>
        <v>7.2</v>
      </c>
      <c r="Q7" s="636">
        <f>G7*H7</f>
        <v>7.2</v>
      </c>
      <c r="R7" s="636">
        <f>G7*I7</f>
        <v>7.2</v>
      </c>
      <c r="S7" s="732">
        <f>IF(C7="yes",0,L7)</f>
        <v>0</v>
      </c>
      <c r="T7" s="694">
        <f>S7*F7</f>
        <v>0</v>
      </c>
      <c r="U7" s="694">
        <f>S7*G7</f>
        <v>0</v>
      </c>
      <c r="V7" s="1140">
        <v>1</v>
      </c>
      <c r="W7" s="1140">
        <v>0</v>
      </c>
      <c r="X7" s="1140">
        <f t="shared" ref="X7:X12" si="0">ROUNDUP(V7+AB$3/X$3*W7,0)</f>
        <v>1</v>
      </c>
      <c r="Y7" s="637">
        <f>X7*F7</f>
        <v>7.2</v>
      </c>
      <c r="Z7" s="637">
        <f>X7*G7</f>
        <v>7.2</v>
      </c>
      <c r="AA7" s="1140">
        <v>1</v>
      </c>
      <c r="AB7" s="1140">
        <f>AE$3*AA7</f>
        <v>1</v>
      </c>
      <c r="AC7" s="1140">
        <f>MAX(X7-AB7,0)</f>
        <v>0</v>
      </c>
      <c r="AD7" s="1099">
        <f>AC7*F7</f>
        <v>0</v>
      </c>
      <c r="AE7" s="882">
        <f>AC7*G7</f>
        <v>0</v>
      </c>
      <c r="AI7" s="244" t="str">
        <f>A7</f>
        <v>1 vial of live algae in culture; Scenedesmus is the organism we tested; most free-swimming green algae suitable</v>
      </c>
      <c r="AJ7" s="238" t="str">
        <f>C7</f>
        <v>yes</v>
      </c>
      <c r="AK7" s="238" t="str">
        <f>D7</f>
        <v>online</v>
      </c>
      <c r="AL7" s="239">
        <f t="shared" ref="AL7:AM11" si="1">H7</f>
        <v>1</v>
      </c>
      <c r="AM7" s="239">
        <f t="shared" si="1"/>
        <v>1</v>
      </c>
      <c r="AN7" s="209">
        <f t="shared" ref="AN7:AN12" si="2">F7</f>
        <v>7.2</v>
      </c>
      <c r="AO7" s="209">
        <f t="shared" ref="AO7:AP12" si="3">N7</f>
        <v>7.2</v>
      </c>
      <c r="AP7" s="209">
        <f t="shared" si="3"/>
        <v>7.2</v>
      </c>
      <c r="AQ7" s="209">
        <f t="shared" ref="AQ7:AQ12" si="4">G7</f>
        <v>7.2</v>
      </c>
      <c r="AR7" s="209">
        <f>Q7</f>
        <v>7.2</v>
      </c>
      <c r="AS7" s="208">
        <f>R7</f>
        <v>7.2</v>
      </c>
      <c r="AU7" s="302" t="str">
        <f>A7</f>
        <v>1 vial of live algae in culture; Scenedesmus is the organism we tested; most free-swimming green algae suitable</v>
      </c>
      <c r="AV7" s="303" t="str">
        <f>E7</f>
        <v>carolina.com -- Scenedesmus 15210 (shipping $28); also enasco.com; wardsci.com; culture may be propagated to serve several classes and/or refrigerated and maintained for several months; may need feeding</v>
      </c>
    </row>
    <row r="8" spans="1:48" ht="63.75" customHeight="1" x14ac:dyDescent="0.25">
      <c r="A8" s="1873" t="s">
        <v>211</v>
      </c>
      <c r="B8" s="436" t="s">
        <v>825</v>
      </c>
      <c r="C8" s="436" t="s">
        <v>212</v>
      </c>
      <c r="D8" s="436" t="s">
        <v>213</v>
      </c>
      <c r="E8" s="436" t="s">
        <v>214</v>
      </c>
      <c r="F8" s="410">
        <v>3</v>
      </c>
      <c r="G8" s="410">
        <v>0</v>
      </c>
      <c r="H8" s="1117">
        <v>2</v>
      </c>
      <c r="I8" s="1118">
        <v>2</v>
      </c>
      <c r="J8" s="1119">
        <f t="shared" ref="J8:J11" si="5">H8-K8*30</f>
        <v>2</v>
      </c>
      <c r="K8" s="1120">
        <f t="shared" ref="K8:K11" si="6">(I8-H8)/10</f>
        <v>0</v>
      </c>
      <c r="L8" s="1118">
        <f t="shared" ref="L8:L11" si="7">ROUNDUP(J8+(K8*L$3),0)</f>
        <v>2</v>
      </c>
      <c r="M8" s="431">
        <f>L8*F8</f>
        <v>6</v>
      </c>
      <c r="N8" s="431">
        <f>H8*F8</f>
        <v>6</v>
      </c>
      <c r="O8" s="431">
        <f>F8*I8</f>
        <v>6</v>
      </c>
      <c r="P8" s="431">
        <f>G8*L8</f>
        <v>0</v>
      </c>
      <c r="Q8" s="431">
        <f>G8*H8</f>
        <v>0</v>
      </c>
      <c r="R8" s="431">
        <f>G8*I8</f>
        <v>0</v>
      </c>
      <c r="S8" s="732">
        <f t="shared" ref="S8:S11" si="8">IF(C8="yes",0,L8)</f>
        <v>2</v>
      </c>
      <c r="T8" s="694">
        <f t="shared" ref="T8:T11" si="9">S8*F8</f>
        <v>6</v>
      </c>
      <c r="U8" s="694">
        <f t="shared" ref="U8:U11" si="10">S8*G8</f>
        <v>0</v>
      </c>
      <c r="V8" s="1141">
        <v>1</v>
      </c>
      <c r="W8" s="1141">
        <v>0</v>
      </c>
      <c r="X8" s="1141">
        <f t="shared" si="0"/>
        <v>1</v>
      </c>
      <c r="Y8" s="430">
        <f>X8*F8</f>
        <v>3</v>
      </c>
      <c r="Z8" s="430">
        <f>X8*G8</f>
        <v>0</v>
      </c>
      <c r="AA8" s="1141">
        <v>1</v>
      </c>
      <c r="AB8" s="1141">
        <f>AE$3*AA8</f>
        <v>1</v>
      </c>
      <c r="AC8" s="1141">
        <f t="shared" ref="AC8:AC11" si="11">MAX(X8-AB8,0)</f>
        <v>0</v>
      </c>
      <c r="AD8" s="1100">
        <f>AC8*F8</f>
        <v>0</v>
      </c>
      <c r="AE8" s="883">
        <f>AC8*G8</f>
        <v>0</v>
      </c>
      <c r="AI8" s="1820" t="str">
        <f>A8</f>
        <v>Fertilizer</v>
      </c>
      <c r="AJ8" s="1821" t="str">
        <f>C8</f>
        <v>no</v>
      </c>
      <c r="AK8" s="206" t="str">
        <f>D8</f>
        <v>Variety, Home Improvement, grocery</v>
      </c>
      <c r="AL8" s="188">
        <f t="shared" si="1"/>
        <v>2</v>
      </c>
      <c r="AM8" s="188">
        <f t="shared" si="1"/>
        <v>2</v>
      </c>
      <c r="AN8" s="189">
        <f t="shared" si="2"/>
        <v>3</v>
      </c>
      <c r="AO8" s="189">
        <f t="shared" si="3"/>
        <v>6</v>
      </c>
      <c r="AP8" s="189">
        <f t="shared" si="3"/>
        <v>6</v>
      </c>
      <c r="AQ8" s="189">
        <f t="shared" si="4"/>
        <v>0</v>
      </c>
      <c r="AR8" s="189">
        <f t="shared" ref="AR8:AR38" si="12">Q8</f>
        <v>0</v>
      </c>
      <c r="AS8" s="190">
        <f t="shared" ref="AS8:AS38" si="13">R8</f>
        <v>0</v>
      </c>
      <c r="AU8" s="1803" t="str">
        <f>A8</f>
        <v>Fertilizer</v>
      </c>
      <c r="AV8" s="1804" t="str">
        <f>E8</f>
        <v>We tested Miracl-Gro All Purpose 24-8-16 (NPK ratio); something without dye would be even better</v>
      </c>
    </row>
    <row r="9" spans="1:48" ht="63" customHeight="1" x14ac:dyDescent="0.25">
      <c r="A9" s="1873"/>
      <c r="B9" s="436" t="s">
        <v>826</v>
      </c>
      <c r="C9" s="436"/>
      <c r="D9" s="436" t="s">
        <v>104</v>
      </c>
      <c r="E9" s="436"/>
      <c r="F9" s="410">
        <v>0</v>
      </c>
      <c r="G9" s="410">
        <v>4.9000000000000004</v>
      </c>
      <c r="H9" s="1117">
        <v>1</v>
      </c>
      <c r="I9" s="1118">
        <v>1</v>
      </c>
      <c r="J9" s="1119">
        <f t="shared" si="5"/>
        <v>1</v>
      </c>
      <c r="K9" s="1120">
        <f t="shared" si="6"/>
        <v>0</v>
      </c>
      <c r="L9" s="1118">
        <f t="shared" si="7"/>
        <v>1</v>
      </c>
      <c r="M9" s="431">
        <f>L9*F9</f>
        <v>0</v>
      </c>
      <c r="N9" s="431">
        <f>H9*F9</f>
        <v>0</v>
      </c>
      <c r="O9" s="431">
        <f>F9*I9</f>
        <v>0</v>
      </c>
      <c r="P9" s="431">
        <f>G9*L9</f>
        <v>4.9000000000000004</v>
      </c>
      <c r="Q9" s="431">
        <f>G9*H9</f>
        <v>4.9000000000000004</v>
      </c>
      <c r="R9" s="431">
        <f>G9*I9</f>
        <v>4.9000000000000004</v>
      </c>
      <c r="S9" s="732">
        <f t="shared" si="8"/>
        <v>1</v>
      </c>
      <c r="T9" s="694">
        <f t="shared" si="9"/>
        <v>0</v>
      </c>
      <c r="U9" s="694">
        <f t="shared" si="10"/>
        <v>4.9000000000000004</v>
      </c>
      <c r="V9" s="1141">
        <v>1</v>
      </c>
      <c r="W9" s="1141">
        <v>0</v>
      </c>
      <c r="X9" s="1141">
        <f t="shared" si="0"/>
        <v>1</v>
      </c>
      <c r="Y9" s="430">
        <f>X9*F9</f>
        <v>0</v>
      </c>
      <c r="Z9" s="430">
        <f>X9*G9</f>
        <v>4.9000000000000004</v>
      </c>
      <c r="AA9" s="1141">
        <v>1</v>
      </c>
      <c r="AB9" s="1141">
        <f>AE$3*AA9</f>
        <v>1</v>
      </c>
      <c r="AC9" s="1141">
        <f t="shared" ref="AC9" si="14">MAX(X9-AB9,0)</f>
        <v>0</v>
      </c>
      <c r="AD9" s="1100">
        <f>AC9*F9</f>
        <v>0</v>
      </c>
      <c r="AE9" s="883">
        <f>AC9*G9</f>
        <v>0</v>
      </c>
      <c r="AI9" s="1820"/>
      <c r="AJ9" s="1821"/>
      <c r="AK9" s="206" t="str">
        <f>D9</f>
        <v>Amazon</v>
      </c>
      <c r="AL9" s="188">
        <f t="shared" si="1"/>
        <v>1</v>
      </c>
      <c r="AM9" s="188">
        <f t="shared" si="1"/>
        <v>1</v>
      </c>
      <c r="AN9" s="189">
        <f t="shared" si="2"/>
        <v>0</v>
      </c>
      <c r="AO9" s="189">
        <f t="shared" si="3"/>
        <v>0</v>
      </c>
      <c r="AP9" s="189">
        <f t="shared" si="3"/>
        <v>0</v>
      </c>
      <c r="AQ9" s="189">
        <f t="shared" si="4"/>
        <v>4.9000000000000004</v>
      </c>
      <c r="AR9" s="189">
        <f t="shared" si="12"/>
        <v>4.9000000000000004</v>
      </c>
      <c r="AS9" s="190">
        <f t="shared" si="13"/>
        <v>4.9000000000000004</v>
      </c>
      <c r="AU9" s="1803"/>
      <c r="AV9" s="1804"/>
    </row>
    <row r="10" spans="1:48" ht="78.75" customHeight="1" x14ac:dyDescent="0.25">
      <c r="A10" s="1873" t="s">
        <v>215</v>
      </c>
      <c r="B10" s="1440" t="s">
        <v>794</v>
      </c>
      <c r="C10" s="1874" t="s">
        <v>66</v>
      </c>
      <c r="D10" s="436" t="s">
        <v>177</v>
      </c>
      <c r="E10" s="436" t="s">
        <v>222</v>
      </c>
      <c r="F10" s="410">
        <v>1</v>
      </c>
      <c r="G10" s="410">
        <v>1</v>
      </c>
      <c r="H10" s="1117">
        <v>16</v>
      </c>
      <c r="I10" s="1118">
        <v>20</v>
      </c>
      <c r="J10" s="1119">
        <f t="shared" si="5"/>
        <v>4</v>
      </c>
      <c r="K10" s="1120">
        <f t="shared" si="6"/>
        <v>0.4</v>
      </c>
      <c r="L10" s="1118">
        <f t="shared" si="7"/>
        <v>16</v>
      </c>
      <c r="M10" s="431">
        <f>L10*F10</f>
        <v>16</v>
      </c>
      <c r="N10" s="431">
        <f>H10*F10</f>
        <v>16</v>
      </c>
      <c r="O10" s="431">
        <f>F10*I10</f>
        <v>20</v>
      </c>
      <c r="P10" s="431">
        <f>G10*L10</f>
        <v>16</v>
      </c>
      <c r="Q10" s="431">
        <f>G10*H10</f>
        <v>16</v>
      </c>
      <c r="R10" s="431">
        <f>G10*I10</f>
        <v>20</v>
      </c>
      <c r="S10" s="732">
        <f t="shared" si="8"/>
        <v>0</v>
      </c>
      <c r="T10" s="694">
        <f t="shared" si="9"/>
        <v>0</v>
      </c>
      <c r="U10" s="694">
        <f t="shared" si="10"/>
        <v>0</v>
      </c>
      <c r="V10" s="1141">
        <v>10</v>
      </c>
      <c r="W10" s="1141">
        <v>4</v>
      </c>
      <c r="X10" s="1141">
        <f t="shared" si="0"/>
        <v>24</v>
      </c>
      <c r="Y10" s="430">
        <f>X10*F10</f>
        <v>24</v>
      </c>
      <c r="Z10" s="430">
        <f>X10*G10</f>
        <v>24</v>
      </c>
      <c r="AA10" s="1141">
        <v>1</v>
      </c>
      <c r="AB10" s="1141">
        <v>0</v>
      </c>
      <c r="AC10" s="1141">
        <f t="shared" si="11"/>
        <v>24</v>
      </c>
      <c r="AD10" s="1100">
        <f>AC10*F10</f>
        <v>24</v>
      </c>
      <c r="AE10" s="883">
        <f>AC10*G10</f>
        <v>24</v>
      </c>
      <c r="AI10" s="1820" t="str">
        <f>A10</f>
        <v>Containers, e.g. 12 to 20 oz. water bottles, wide mouths preferable (promotes air exchange), with lids</v>
      </c>
      <c r="AJ10" s="1821" t="str">
        <f>C10</f>
        <v>yes</v>
      </c>
      <c r="AK10" s="206" t="str">
        <f>D10</f>
        <v>variety, grocery</v>
      </c>
      <c r="AL10" s="188">
        <f t="shared" si="1"/>
        <v>16</v>
      </c>
      <c r="AM10" s="188">
        <f t="shared" si="1"/>
        <v>20</v>
      </c>
      <c r="AN10" s="189">
        <f t="shared" si="2"/>
        <v>1</v>
      </c>
      <c r="AO10" s="189">
        <f t="shared" si="3"/>
        <v>16</v>
      </c>
      <c r="AP10" s="189">
        <f t="shared" si="3"/>
        <v>20</v>
      </c>
      <c r="AQ10" s="189">
        <f t="shared" si="4"/>
        <v>1</v>
      </c>
      <c r="AR10" s="189">
        <f t="shared" si="12"/>
        <v>16</v>
      </c>
      <c r="AS10" s="190">
        <f t="shared" si="13"/>
        <v>20</v>
      </c>
      <c r="AU10" s="1803" t="str">
        <f>A10</f>
        <v>Containers, e.g. 12 to 20 oz. water bottles, wide mouths preferable (promotes air exchange), with lids</v>
      </c>
      <c r="AV10" s="304" t="str">
        <f>E10</f>
        <v>500 ml; 1 and 2 liter bottles; Erlenmeyer flasks; test tubes all work well. Beakers have too wide an opening. Smaller may be better because of space issues; fewer needed if running as demo rather than group experiments</v>
      </c>
    </row>
    <row r="11" spans="1:48" ht="31.5" customHeight="1" thickBot="1" x14ac:dyDescent="0.3">
      <c r="A11" s="1873"/>
      <c r="B11" s="436" t="s">
        <v>4</v>
      </c>
      <c r="C11" s="1874"/>
      <c r="D11" s="436" t="s">
        <v>216</v>
      </c>
      <c r="E11" s="436" t="s">
        <v>217</v>
      </c>
      <c r="F11" s="410">
        <v>0</v>
      </c>
      <c r="G11" s="410">
        <v>0</v>
      </c>
      <c r="H11" s="1117">
        <v>16</v>
      </c>
      <c r="I11" s="1118">
        <v>20</v>
      </c>
      <c r="J11" s="1119">
        <f t="shared" si="5"/>
        <v>4</v>
      </c>
      <c r="K11" s="1120">
        <f t="shared" si="6"/>
        <v>0.4</v>
      </c>
      <c r="L11" s="1118">
        <f t="shared" si="7"/>
        <v>16</v>
      </c>
      <c r="M11" s="431">
        <f>L11*F11</f>
        <v>0</v>
      </c>
      <c r="N11" s="431">
        <f>H11*F11</f>
        <v>0</v>
      </c>
      <c r="O11" s="431">
        <f>F11*I11</f>
        <v>0</v>
      </c>
      <c r="P11" s="431">
        <f>G11*L11</f>
        <v>0</v>
      </c>
      <c r="Q11" s="431">
        <f>G11*H11</f>
        <v>0</v>
      </c>
      <c r="R11" s="431">
        <f>G11*I11</f>
        <v>0</v>
      </c>
      <c r="S11" s="732">
        <f t="shared" si="8"/>
        <v>16</v>
      </c>
      <c r="T11" s="694">
        <f t="shared" si="9"/>
        <v>0</v>
      </c>
      <c r="U11" s="694">
        <f t="shared" si="10"/>
        <v>0</v>
      </c>
      <c r="V11" s="1141"/>
      <c r="W11" s="1141"/>
      <c r="X11" s="1141">
        <f t="shared" si="0"/>
        <v>0</v>
      </c>
      <c r="Y11" s="430">
        <f>X11*F11</f>
        <v>0</v>
      </c>
      <c r="Z11" s="430">
        <f>X11*G11</f>
        <v>0</v>
      </c>
      <c r="AA11" s="1141">
        <v>1</v>
      </c>
      <c r="AB11" s="1141">
        <v>0</v>
      </c>
      <c r="AC11" s="1141">
        <f t="shared" si="11"/>
        <v>0</v>
      </c>
      <c r="AD11" s="1100">
        <f>AC11*F11</f>
        <v>0</v>
      </c>
      <c r="AE11" s="883">
        <f>AC11*G11</f>
        <v>0</v>
      </c>
      <c r="AI11" s="1822"/>
      <c r="AJ11" s="1823"/>
      <c r="AK11" s="259" t="str">
        <f>D11</f>
        <v>Home</v>
      </c>
      <c r="AL11" s="229">
        <f t="shared" si="1"/>
        <v>16</v>
      </c>
      <c r="AM11" s="229">
        <f t="shared" si="1"/>
        <v>20</v>
      </c>
      <c r="AN11" s="216">
        <f t="shared" si="2"/>
        <v>0</v>
      </c>
      <c r="AO11" s="216">
        <f t="shared" si="3"/>
        <v>0</v>
      </c>
      <c r="AP11" s="216">
        <f t="shared" si="3"/>
        <v>0</v>
      </c>
      <c r="AQ11" s="216">
        <f t="shared" si="4"/>
        <v>0</v>
      </c>
      <c r="AR11" s="216">
        <f t="shared" si="12"/>
        <v>0</v>
      </c>
      <c r="AS11" s="250">
        <f t="shared" si="13"/>
        <v>0</v>
      </c>
      <c r="AU11" s="1803"/>
      <c r="AV11" s="304" t="str">
        <f>E11</f>
        <v>Have students collect and bring clean bottles about a week in advance</v>
      </c>
    </row>
    <row r="12" spans="1:48" ht="30" customHeight="1" thickBot="1" x14ac:dyDescent="0.3">
      <c r="A12" s="1069" t="s">
        <v>42</v>
      </c>
      <c r="B12" s="1070"/>
      <c r="C12" s="1070"/>
      <c r="D12" s="1070"/>
      <c r="E12" s="1070"/>
      <c r="F12" s="1071" t="s">
        <v>576</v>
      </c>
      <c r="G12" s="1314" t="s">
        <v>576</v>
      </c>
      <c r="H12" s="1121"/>
      <c r="I12" s="1122"/>
      <c r="J12" s="1122"/>
      <c r="K12" s="1122"/>
      <c r="L12" s="1122"/>
      <c r="M12" s="1072">
        <f t="shared" ref="M12:U12" si="15">SUM(M7:M11)</f>
        <v>29.2</v>
      </c>
      <c r="N12" s="1072">
        <f t="shared" si="15"/>
        <v>29.2</v>
      </c>
      <c r="O12" s="1072">
        <f t="shared" si="15"/>
        <v>33.200000000000003</v>
      </c>
      <c r="P12" s="1072">
        <f t="shared" si="15"/>
        <v>28.1</v>
      </c>
      <c r="Q12" s="1072">
        <f t="shared" si="15"/>
        <v>28.1</v>
      </c>
      <c r="R12" s="1072">
        <f t="shared" si="15"/>
        <v>32.1</v>
      </c>
      <c r="S12" s="1072"/>
      <c r="T12" s="1072">
        <f t="shared" si="15"/>
        <v>6</v>
      </c>
      <c r="U12" s="1072">
        <f t="shared" si="15"/>
        <v>4.9000000000000004</v>
      </c>
      <c r="V12" s="1142"/>
      <c r="W12" s="1142"/>
      <c r="X12" s="1142">
        <f t="shared" si="0"/>
        <v>0</v>
      </c>
      <c r="Y12" s="1073">
        <f>SUM(Y7:Y11)</f>
        <v>34.200000000000003</v>
      </c>
      <c r="Z12" s="1073">
        <f>SUM(Z7:Z11)</f>
        <v>36.1</v>
      </c>
      <c r="AA12" s="1142" t="s">
        <v>132</v>
      </c>
      <c r="AB12" s="1142" t="s">
        <v>132</v>
      </c>
      <c r="AC12" s="1142" t="s">
        <v>132</v>
      </c>
      <c r="AD12" s="1073">
        <f>SUM(AD7:AD11)</f>
        <v>24</v>
      </c>
      <c r="AE12" s="1074">
        <f>SUM(AE7:AE11)</f>
        <v>24</v>
      </c>
      <c r="AI12" s="1815" t="str">
        <f>A12</f>
        <v>Subtotals</v>
      </c>
      <c r="AJ12" s="1816"/>
      <c r="AK12" s="1816"/>
      <c r="AL12" s="1816"/>
      <c r="AM12" s="1816"/>
      <c r="AN12" s="261" t="str">
        <f t="shared" si="2"/>
        <v>-</v>
      </c>
      <c r="AO12" s="256">
        <f t="shared" si="3"/>
        <v>29.2</v>
      </c>
      <c r="AP12" s="256">
        <f t="shared" si="3"/>
        <v>33.200000000000003</v>
      </c>
      <c r="AQ12" s="256" t="str">
        <f t="shared" si="4"/>
        <v>-</v>
      </c>
      <c r="AR12" s="256">
        <f t="shared" si="12"/>
        <v>28.1</v>
      </c>
      <c r="AS12" s="257">
        <f t="shared" si="13"/>
        <v>32.1</v>
      </c>
      <c r="AU12" s="13"/>
      <c r="AV12" s="13"/>
    </row>
    <row r="13" spans="1:48" ht="30" customHeight="1" thickBot="1" x14ac:dyDescent="0.3">
      <c r="A13" s="1060" t="s">
        <v>218</v>
      </c>
      <c r="B13" s="1061"/>
      <c r="C13" s="1061"/>
      <c r="D13" s="1061"/>
      <c r="E13" s="1061"/>
      <c r="F13" s="1111"/>
      <c r="G13" s="1111"/>
      <c r="H13" s="1123"/>
      <c r="I13" s="1123"/>
      <c r="J13" s="1123"/>
      <c r="K13" s="1123"/>
      <c r="L13" s="1123"/>
      <c r="M13" s="881"/>
      <c r="N13" s="881"/>
      <c r="O13" s="881"/>
      <c r="P13" s="881"/>
      <c r="Q13" s="881"/>
      <c r="R13" s="881"/>
      <c r="S13" s="881"/>
      <c r="T13" s="881"/>
      <c r="U13" s="881"/>
      <c r="V13" s="1143"/>
      <c r="W13" s="1143"/>
      <c r="X13" s="1143"/>
      <c r="Y13" s="640"/>
      <c r="Z13" s="640"/>
      <c r="AA13" s="1152"/>
      <c r="AB13" s="1152"/>
      <c r="AC13" s="1152"/>
      <c r="AD13" s="1101"/>
      <c r="AE13" s="1102"/>
      <c r="AI13" s="1824" t="str">
        <f>A13</f>
        <v>Air System</v>
      </c>
      <c r="AJ13" s="1825"/>
      <c r="AK13" s="1825"/>
      <c r="AL13" s="1825"/>
      <c r="AM13" s="1825"/>
      <c r="AN13" s="1825"/>
      <c r="AO13" s="1825"/>
      <c r="AP13" s="1825"/>
      <c r="AQ13" s="1825"/>
      <c r="AR13" s="1825"/>
      <c r="AS13" s="1826"/>
      <c r="AU13" s="1807" t="str">
        <f>A13</f>
        <v>Air System</v>
      </c>
      <c r="AV13" s="1808"/>
    </row>
    <row r="14" spans="1:48" ht="39.6" customHeight="1" x14ac:dyDescent="0.25">
      <c r="A14" s="1858" t="s">
        <v>220</v>
      </c>
      <c r="B14" s="1397" t="s">
        <v>794</v>
      </c>
      <c r="C14" s="1378" t="s">
        <v>68</v>
      </c>
      <c r="D14" s="521" t="s">
        <v>181</v>
      </c>
      <c r="E14" s="1862" t="s">
        <v>228</v>
      </c>
      <c r="F14" s="641">
        <v>31.39</v>
      </c>
      <c r="G14" s="641">
        <v>0</v>
      </c>
      <c r="H14" s="1113">
        <v>1</v>
      </c>
      <c r="I14" s="1114">
        <v>1</v>
      </c>
      <c r="J14" s="1115">
        <f t="shared" ref="J14:J19" si="16">H14-K14*30</f>
        <v>1</v>
      </c>
      <c r="K14" s="1116">
        <f t="shared" ref="K14:K19" si="17">(I14-H14)/10</f>
        <v>0</v>
      </c>
      <c r="L14" s="1114">
        <f t="shared" ref="L14:L19" si="18">ROUNDUP(J14+(K14*L$3),0)</f>
        <v>1</v>
      </c>
      <c r="M14" s="636">
        <f t="shared" ref="M14:M19" si="19">L14*F14</f>
        <v>31.39</v>
      </c>
      <c r="N14" s="636">
        <f t="shared" ref="N14:N19" si="20">H14*F14</f>
        <v>31.39</v>
      </c>
      <c r="O14" s="636">
        <f t="shared" ref="O14:O19" si="21">F14*I14</f>
        <v>31.39</v>
      </c>
      <c r="P14" s="636">
        <f t="shared" ref="P14:P19" si="22">G14*L14</f>
        <v>0</v>
      </c>
      <c r="Q14" s="636">
        <f t="shared" ref="Q14:Q19" si="23">G14*H14</f>
        <v>0</v>
      </c>
      <c r="R14" s="636">
        <f t="shared" ref="R14:R19" si="24">G14*I14</f>
        <v>0</v>
      </c>
      <c r="S14" s="732">
        <f t="shared" ref="S14" si="25">IF(C14="yes",0,L14)</f>
        <v>0</v>
      </c>
      <c r="T14" s="694">
        <f t="shared" ref="T14" si="26">S14*F14</f>
        <v>0</v>
      </c>
      <c r="U14" s="694">
        <f t="shared" ref="U14" si="27">S14*G14</f>
        <v>0</v>
      </c>
      <c r="V14" s="1140">
        <v>1</v>
      </c>
      <c r="W14" s="1140">
        <v>0</v>
      </c>
      <c r="X14" s="1140">
        <f t="shared" ref="X14:X19" si="28">ROUNDUP(V14+AB$3/X$3*W14,0)</f>
        <v>1</v>
      </c>
      <c r="Y14" s="637">
        <f t="shared" ref="Y14:Y19" si="29">X14*F14</f>
        <v>31.39</v>
      </c>
      <c r="Z14" s="637">
        <f t="shared" ref="Z14:Z19" si="30">X14*G14</f>
        <v>0</v>
      </c>
      <c r="AA14" s="1140">
        <v>1</v>
      </c>
      <c r="AB14" s="1140">
        <f t="shared" ref="AB14:AB19" si="31">AE$3*AA14</f>
        <v>1</v>
      </c>
      <c r="AC14" s="1140">
        <f t="shared" ref="AC14" si="32">MAX(X14-AB14,0)</f>
        <v>0</v>
      </c>
      <c r="AD14" s="1099">
        <f t="shared" ref="AD14:AD19" si="33">AC14*F14</f>
        <v>0</v>
      </c>
      <c r="AE14" s="882">
        <f t="shared" ref="AE14:AE19" si="34">AC14*G14</f>
        <v>0</v>
      </c>
      <c r="AI14" s="1827" t="str">
        <f>A14</f>
        <v>100 Gallon Pump aerates up to 16 bottles</v>
      </c>
      <c r="AJ14" s="1828" t="str">
        <f>C14</f>
        <v>Yes</v>
      </c>
      <c r="AK14" s="210" t="str">
        <f>D14</f>
        <v>Pet</v>
      </c>
      <c r="AL14" s="211">
        <f t="shared" ref="AL14:AM19" si="35">H14</f>
        <v>1</v>
      </c>
      <c r="AM14" s="211">
        <f t="shared" si="35"/>
        <v>1</v>
      </c>
      <c r="AN14" s="212">
        <f t="shared" ref="AN14:AN20" si="36">F14</f>
        <v>31.39</v>
      </c>
      <c r="AO14" s="212">
        <f t="shared" ref="AO14:AP20" si="37">N14</f>
        <v>31.39</v>
      </c>
      <c r="AP14" s="212">
        <f t="shared" si="37"/>
        <v>31.39</v>
      </c>
      <c r="AQ14" s="212">
        <f t="shared" ref="AQ14:AQ20" si="38">G14</f>
        <v>0</v>
      </c>
      <c r="AR14" s="212">
        <f t="shared" si="12"/>
        <v>0</v>
      </c>
      <c r="AS14" s="253">
        <f t="shared" si="13"/>
        <v>0</v>
      </c>
      <c r="AU14" s="1809" t="str">
        <f>A14</f>
        <v>100 Gallon Pump aerates up to 16 bottles</v>
      </c>
      <c r="AV14" s="1810" t="str">
        <f>E14</f>
        <v>One pump aerates up to 16 bottles</v>
      </c>
    </row>
    <row r="15" spans="1:48" ht="15.75" x14ac:dyDescent="0.25">
      <c r="A15" s="1872"/>
      <c r="B15" s="1397" t="s">
        <v>794</v>
      </c>
      <c r="C15" s="1379" t="s">
        <v>66</v>
      </c>
      <c r="D15" s="437" t="s">
        <v>221</v>
      </c>
      <c r="E15" s="1871"/>
      <c r="F15" s="410">
        <v>0</v>
      </c>
      <c r="G15" s="410">
        <v>22.71</v>
      </c>
      <c r="H15" s="1117">
        <v>1</v>
      </c>
      <c r="I15" s="1118">
        <v>1</v>
      </c>
      <c r="J15" s="1119">
        <f t="shared" si="16"/>
        <v>1</v>
      </c>
      <c r="K15" s="1120">
        <f t="shared" si="17"/>
        <v>0</v>
      </c>
      <c r="L15" s="1118">
        <f t="shared" si="18"/>
        <v>1</v>
      </c>
      <c r="M15" s="431">
        <f t="shared" si="19"/>
        <v>0</v>
      </c>
      <c r="N15" s="431">
        <f t="shared" si="20"/>
        <v>0</v>
      </c>
      <c r="O15" s="431">
        <f t="shared" si="21"/>
        <v>0</v>
      </c>
      <c r="P15" s="431">
        <f t="shared" si="22"/>
        <v>22.71</v>
      </c>
      <c r="Q15" s="431">
        <f t="shared" si="23"/>
        <v>22.71</v>
      </c>
      <c r="R15" s="431">
        <f t="shared" si="24"/>
        <v>22.71</v>
      </c>
      <c r="S15" s="732">
        <f t="shared" ref="S15:S19" si="39">IF(C15="yes",0,L15)</f>
        <v>0</v>
      </c>
      <c r="T15" s="694">
        <f t="shared" ref="T15:T19" si="40">S15*F15</f>
        <v>0</v>
      </c>
      <c r="U15" s="694">
        <f t="shared" ref="U15:U19" si="41">S15*G15</f>
        <v>0</v>
      </c>
      <c r="V15" s="1141">
        <v>1</v>
      </c>
      <c r="W15" s="1141">
        <v>0</v>
      </c>
      <c r="X15" s="1141">
        <f t="shared" si="28"/>
        <v>1</v>
      </c>
      <c r="Y15" s="430">
        <f t="shared" si="29"/>
        <v>0</v>
      </c>
      <c r="Z15" s="430">
        <f t="shared" si="30"/>
        <v>22.71</v>
      </c>
      <c r="AA15" s="1141">
        <v>1</v>
      </c>
      <c r="AB15" s="1141">
        <f t="shared" si="31"/>
        <v>1</v>
      </c>
      <c r="AC15" s="1141">
        <f t="shared" ref="AC15" si="42">MAX(X15-AB15,0)</f>
        <v>0</v>
      </c>
      <c r="AD15" s="1100">
        <f t="shared" si="33"/>
        <v>0</v>
      </c>
      <c r="AE15" s="883">
        <f t="shared" si="34"/>
        <v>0</v>
      </c>
      <c r="AI15" s="1820"/>
      <c r="AJ15" s="1821"/>
      <c r="AK15" s="206" t="str">
        <f>D15</f>
        <v>Amazon; Pet</v>
      </c>
      <c r="AL15" s="188">
        <f t="shared" si="35"/>
        <v>1</v>
      </c>
      <c r="AM15" s="188">
        <f t="shared" si="35"/>
        <v>1</v>
      </c>
      <c r="AN15" s="189">
        <f t="shared" si="36"/>
        <v>0</v>
      </c>
      <c r="AO15" s="189">
        <f t="shared" si="37"/>
        <v>0</v>
      </c>
      <c r="AP15" s="189">
        <f t="shared" si="37"/>
        <v>0</v>
      </c>
      <c r="AQ15" s="189">
        <f t="shared" si="38"/>
        <v>22.71</v>
      </c>
      <c r="AR15" s="189">
        <f t="shared" si="12"/>
        <v>22.71</v>
      </c>
      <c r="AS15" s="190">
        <f t="shared" si="13"/>
        <v>22.71</v>
      </c>
      <c r="AU15" s="1803"/>
      <c r="AV15" s="1804"/>
    </row>
    <row r="16" spans="1:48" ht="16.5" customHeight="1" x14ac:dyDescent="0.25">
      <c r="A16" s="469" t="s">
        <v>223</v>
      </c>
      <c r="B16" s="440" t="s">
        <v>827</v>
      </c>
      <c r="C16" s="438" t="s">
        <v>66</v>
      </c>
      <c r="D16" s="437" t="s">
        <v>181</v>
      </c>
      <c r="E16" s="437" t="s">
        <v>764</v>
      </c>
      <c r="F16" s="410">
        <v>8</v>
      </c>
      <c r="G16" s="410">
        <v>5.59</v>
      </c>
      <c r="H16" s="1117">
        <v>2</v>
      </c>
      <c r="I16" s="1118">
        <v>3</v>
      </c>
      <c r="J16" s="1119">
        <f t="shared" si="16"/>
        <v>-1</v>
      </c>
      <c r="K16" s="1120">
        <f t="shared" si="17"/>
        <v>0.1</v>
      </c>
      <c r="L16" s="1118">
        <f t="shared" si="18"/>
        <v>2</v>
      </c>
      <c r="M16" s="431">
        <f t="shared" si="19"/>
        <v>16</v>
      </c>
      <c r="N16" s="431">
        <f t="shared" si="20"/>
        <v>16</v>
      </c>
      <c r="O16" s="431">
        <f t="shared" si="21"/>
        <v>24</v>
      </c>
      <c r="P16" s="431">
        <f t="shared" si="22"/>
        <v>11.18</v>
      </c>
      <c r="Q16" s="431">
        <f t="shared" si="23"/>
        <v>11.18</v>
      </c>
      <c r="R16" s="431">
        <f t="shared" si="24"/>
        <v>16.77</v>
      </c>
      <c r="S16" s="732">
        <f t="shared" si="39"/>
        <v>0</v>
      </c>
      <c r="T16" s="694">
        <f t="shared" si="40"/>
        <v>0</v>
      </c>
      <c r="U16" s="694">
        <f t="shared" si="41"/>
        <v>0</v>
      </c>
      <c r="V16" s="1141">
        <v>1</v>
      </c>
      <c r="W16" s="1141">
        <v>0</v>
      </c>
      <c r="X16" s="1141">
        <f t="shared" si="28"/>
        <v>1</v>
      </c>
      <c r="Y16" s="430">
        <f t="shared" si="29"/>
        <v>8</v>
      </c>
      <c r="Z16" s="430">
        <f t="shared" si="30"/>
        <v>5.59</v>
      </c>
      <c r="AA16" s="1141">
        <v>1</v>
      </c>
      <c r="AB16" s="1141">
        <f t="shared" si="31"/>
        <v>1</v>
      </c>
      <c r="AC16" s="1141">
        <f t="shared" ref="AC16" si="43">MAX(X16-AB16,0)</f>
        <v>0</v>
      </c>
      <c r="AD16" s="1100">
        <f t="shared" si="33"/>
        <v>0</v>
      </c>
      <c r="AE16" s="883">
        <f t="shared" si="34"/>
        <v>0</v>
      </c>
      <c r="AI16" s="243" t="str">
        <f>A16</f>
        <v>3/16" air line tubing</v>
      </c>
      <c r="AJ16" s="206" t="str">
        <f>C16</f>
        <v>yes</v>
      </c>
      <c r="AK16" s="206" t="str">
        <f>D16</f>
        <v>Pet</v>
      </c>
      <c r="AL16" s="188">
        <f t="shared" si="35"/>
        <v>2</v>
      </c>
      <c r="AM16" s="188">
        <f t="shared" si="35"/>
        <v>3</v>
      </c>
      <c r="AN16" s="189">
        <f t="shared" si="36"/>
        <v>8</v>
      </c>
      <c r="AO16" s="189">
        <f t="shared" si="37"/>
        <v>16</v>
      </c>
      <c r="AP16" s="189">
        <f t="shared" si="37"/>
        <v>24</v>
      </c>
      <c r="AQ16" s="189">
        <f t="shared" si="38"/>
        <v>5.59</v>
      </c>
      <c r="AR16" s="189">
        <f t="shared" si="12"/>
        <v>11.18</v>
      </c>
      <c r="AS16" s="190">
        <f t="shared" si="13"/>
        <v>16.77</v>
      </c>
      <c r="AU16" s="299" t="str">
        <f>A16</f>
        <v>3/16" air line tubing</v>
      </c>
      <c r="AV16" s="304" t="str">
        <f>E16</f>
        <v>Buy about 50 ft.</v>
      </c>
    </row>
    <row r="17" spans="1:48" ht="30" customHeight="1" x14ac:dyDescent="0.25">
      <c r="A17" s="1872" t="s">
        <v>224</v>
      </c>
      <c r="B17" s="440" t="s">
        <v>776</v>
      </c>
      <c r="C17" s="438" t="s">
        <v>66</v>
      </c>
      <c r="D17" s="437" t="s">
        <v>225</v>
      </c>
      <c r="E17" s="1871" t="s">
        <v>226</v>
      </c>
      <c r="F17" s="410">
        <v>4</v>
      </c>
      <c r="G17" s="410">
        <v>0</v>
      </c>
      <c r="H17" s="1117">
        <v>1</v>
      </c>
      <c r="I17" s="1118">
        <v>1</v>
      </c>
      <c r="J17" s="1119">
        <f t="shared" si="16"/>
        <v>1</v>
      </c>
      <c r="K17" s="1120">
        <f t="shared" si="17"/>
        <v>0</v>
      </c>
      <c r="L17" s="1118">
        <f t="shared" si="18"/>
        <v>1</v>
      </c>
      <c r="M17" s="431">
        <f t="shared" si="19"/>
        <v>4</v>
      </c>
      <c r="N17" s="431">
        <f t="shared" si="20"/>
        <v>4</v>
      </c>
      <c r="O17" s="431">
        <f t="shared" si="21"/>
        <v>4</v>
      </c>
      <c r="P17" s="431">
        <f t="shared" si="22"/>
        <v>0</v>
      </c>
      <c r="Q17" s="431">
        <f t="shared" si="23"/>
        <v>0</v>
      </c>
      <c r="R17" s="431">
        <f t="shared" si="24"/>
        <v>0</v>
      </c>
      <c r="S17" s="732">
        <f t="shared" si="39"/>
        <v>0</v>
      </c>
      <c r="T17" s="694">
        <f t="shared" si="40"/>
        <v>0</v>
      </c>
      <c r="U17" s="694">
        <f t="shared" si="41"/>
        <v>0</v>
      </c>
      <c r="V17" s="1141">
        <v>1</v>
      </c>
      <c r="W17" s="1141">
        <v>0</v>
      </c>
      <c r="X17" s="1141">
        <f t="shared" si="28"/>
        <v>1</v>
      </c>
      <c r="Y17" s="430">
        <f t="shared" si="29"/>
        <v>4</v>
      </c>
      <c r="Z17" s="430">
        <f t="shared" si="30"/>
        <v>0</v>
      </c>
      <c r="AA17" s="1141">
        <v>1</v>
      </c>
      <c r="AB17" s="1141">
        <f t="shared" si="31"/>
        <v>1</v>
      </c>
      <c r="AC17" s="1141">
        <f t="shared" ref="AC17:AC19" si="44">MAX(X17-AB17,0)</f>
        <v>0</v>
      </c>
      <c r="AD17" s="1100">
        <f t="shared" si="33"/>
        <v>0</v>
      </c>
      <c r="AE17" s="883">
        <f t="shared" si="34"/>
        <v>0</v>
      </c>
      <c r="AI17" s="1820" t="str">
        <f>A17</f>
        <v>T-adaptors</v>
      </c>
      <c r="AJ17" s="206" t="str">
        <f>C17</f>
        <v>yes</v>
      </c>
      <c r="AK17" s="206" t="str">
        <f>D17</f>
        <v>Pet, Amazon</v>
      </c>
      <c r="AL17" s="188">
        <f t="shared" si="35"/>
        <v>1</v>
      </c>
      <c r="AM17" s="188">
        <f t="shared" si="35"/>
        <v>1</v>
      </c>
      <c r="AN17" s="189">
        <f t="shared" si="36"/>
        <v>4</v>
      </c>
      <c r="AO17" s="189">
        <f t="shared" si="37"/>
        <v>4</v>
      </c>
      <c r="AP17" s="189">
        <f t="shared" si="37"/>
        <v>4</v>
      </c>
      <c r="AQ17" s="189">
        <f t="shared" si="38"/>
        <v>0</v>
      </c>
      <c r="AR17" s="189">
        <f t="shared" si="12"/>
        <v>0</v>
      </c>
      <c r="AS17" s="190">
        <f t="shared" si="13"/>
        <v>0</v>
      </c>
      <c r="AU17" s="1803" t="str">
        <f>A17</f>
        <v>T-adaptors</v>
      </c>
      <c r="AV17" s="1804" t="str">
        <f>E17</f>
        <v>Make sure T adaptors match the size of tubing purchased.</v>
      </c>
    </row>
    <row r="18" spans="1:48" ht="15.75" x14ac:dyDescent="0.25">
      <c r="A18" s="1872"/>
      <c r="B18" s="440" t="s">
        <v>794</v>
      </c>
      <c r="C18" s="438" t="s">
        <v>66</v>
      </c>
      <c r="D18" s="437" t="s">
        <v>181</v>
      </c>
      <c r="E18" s="1871"/>
      <c r="F18" s="410">
        <v>0</v>
      </c>
      <c r="G18" s="410">
        <v>1.03</v>
      </c>
      <c r="H18" s="1117">
        <v>10</v>
      </c>
      <c r="I18" s="1118">
        <v>10</v>
      </c>
      <c r="J18" s="1119">
        <f t="shared" si="16"/>
        <v>10</v>
      </c>
      <c r="K18" s="1120">
        <f t="shared" si="17"/>
        <v>0</v>
      </c>
      <c r="L18" s="1118">
        <f t="shared" si="18"/>
        <v>10</v>
      </c>
      <c r="M18" s="431">
        <f t="shared" si="19"/>
        <v>0</v>
      </c>
      <c r="N18" s="431">
        <f t="shared" si="20"/>
        <v>0</v>
      </c>
      <c r="O18" s="431">
        <f t="shared" si="21"/>
        <v>0</v>
      </c>
      <c r="P18" s="431">
        <f t="shared" si="22"/>
        <v>10.3</v>
      </c>
      <c r="Q18" s="431">
        <f t="shared" si="23"/>
        <v>10.3</v>
      </c>
      <c r="R18" s="431">
        <f t="shared" si="24"/>
        <v>10.3</v>
      </c>
      <c r="S18" s="732">
        <f t="shared" si="39"/>
        <v>0</v>
      </c>
      <c r="T18" s="694">
        <f t="shared" si="40"/>
        <v>0</v>
      </c>
      <c r="U18" s="694">
        <f t="shared" si="41"/>
        <v>0</v>
      </c>
      <c r="V18" s="1141">
        <v>10</v>
      </c>
      <c r="W18" s="1141">
        <v>0</v>
      </c>
      <c r="X18" s="1141">
        <f t="shared" si="28"/>
        <v>10</v>
      </c>
      <c r="Y18" s="430">
        <f t="shared" si="29"/>
        <v>0</v>
      </c>
      <c r="Z18" s="430">
        <f t="shared" si="30"/>
        <v>10.3</v>
      </c>
      <c r="AA18" s="1141">
        <v>10</v>
      </c>
      <c r="AB18" s="1141">
        <f t="shared" si="31"/>
        <v>10</v>
      </c>
      <c r="AC18" s="1141">
        <f t="shared" si="44"/>
        <v>0</v>
      </c>
      <c r="AD18" s="1100">
        <f t="shared" si="33"/>
        <v>0</v>
      </c>
      <c r="AE18" s="883">
        <f t="shared" si="34"/>
        <v>0</v>
      </c>
      <c r="AI18" s="1820"/>
      <c r="AJ18" s="206" t="str">
        <f>C18</f>
        <v>yes</v>
      </c>
      <c r="AK18" s="206" t="str">
        <f>D18</f>
        <v>Pet</v>
      </c>
      <c r="AL18" s="188">
        <f t="shared" si="35"/>
        <v>10</v>
      </c>
      <c r="AM18" s="188">
        <f t="shared" si="35"/>
        <v>10</v>
      </c>
      <c r="AN18" s="189">
        <f t="shared" si="36"/>
        <v>0</v>
      </c>
      <c r="AO18" s="189">
        <f t="shared" si="37"/>
        <v>0</v>
      </c>
      <c r="AP18" s="189">
        <f t="shared" si="37"/>
        <v>0</v>
      </c>
      <c r="AQ18" s="189">
        <f t="shared" si="38"/>
        <v>1.03</v>
      </c>
      <c r="AR18" s="189">
        <f t="shared" si="12"/>
        <v>10.3</v>
      </c>
      <c r="AS18" s="190">
        <f t="shared" si="13"/>
        <v>10.3</v>
      </c>
      <c r="AU18" s="1803"/>
      <c r="AV18" s="1804"/>
    </row>
    <row r="19" spans="1:48" ht="16.5" thickBot="1" x14ac:dyDescent="0.3">
      <c r="A19" s="572" t="s">
        <v>6</v>
      </c>
      <c r="B19" s="1400" t="s">
        <v>794</v>
      </c>
      <c r="C19" s="573" t="s">
        <v>66</v>
      </c>
      <c r="D19" s="574" t="s">
        <v>181</v>
      </c>
      <c r="E19" s="574" t="s">
        <v>227</v>
      </c>
      <c r="F19" s="638">
        <v>8</v>
      </c>
      <c r="G19" s="638">
        <v>6.39</v>
      </c>
      <c r="H19" s="1124">
        <v>4</v>
      </c>
      <c r="I19" s="1125">
        <v>5</v>
      </c>
      <c r="J19" s="1126">
        <f t="shared" si="16"/>
        <v>1</v>
      </c>
      <c r="K19" s="1127">
        <f t="shared" si="17"/>
        <v>0.1</v>
      </c>
      <c r="L19" s="1125">
        <f t="shared" si="18"/>
        <v>4</v>
      </c>
      <c r="M19" s="454">
        <f t="shared" si="19"/>
        <v>32</v>
      </c>
      <c r="N19" s="454">
        <f t="shared" si="20"/>
        <v>32</v>
      </c>
      <c r="O19" s="454">
        <f t="shared" si="21"/>
        <v>40</v>
      </c>
      <c r="P19" s="454">
        <f t="shared" si="22"/>
        <v>25.56</v>
      </c>
      <c r="Q19" s="454">
        <f t="shared" si="23"/>
        <v>25.56</v>
      </c>
      <c r="R19" s="454">
        <f t="shared" si="24"/>
        <v>31.95</v>
      </c>
      <c r="S19" s="732">
        <f t="shared" si="39"/>
        <v>0</v>
      </c>
      <c r="T19" s="694">
        <f t="shared" si="40"/>
        <v>0</v>
      </c>
      <c r="U19" s="694">
        <f t="shared" si="41"/>
        <v>0</v>
      </c>
      <c r="V19" s="1144">
        <v>4</v>
      </c>
      <c r="W19" s="1144">
        <v>0</v>
      </c>
      <c r="X19" s="1144">
        <f t="shared" si="28"/>
        <v>4</v>
      </c>
      <c r="Y19" s="639">
        <f t="shared" si="29"/>
        <v>32</v>
      </c>
      <c r="Z19" s="639">
        <f t="shared" si="30"/>
        <v>25.56</v>
      </c>
      <c r="AA19" s="1144">
        <v>1</v>
      </c>
      <c r="AB19" s="1144">
        <f t="shared" si="31"/>
        <v>1</v>
      </c>
      <c r="AC19" s="1144">
        <f t="shared" si="44"/>
        <v>3</v>
      </c>
      <c r="AD19" s="1103">
        <f t="shared" si="33"/>
        <v>24</v>
      </c>
      <c r="AE19" s="885">
        <f t="shared" si="34"/>
        <v>19.169999999999998</v>
      </c>
      <c r="AI19" s="260" t="str">
        <f t="shared" ref="AI19:AI36" si="45">A19</f>
        <v>4-Way Gang Valves</v>
      </c>
      <c r="AJ19" s="259" t="str">
        <f>C19</f>
        <v>yes</v>
      </c>
      <c r="AK19" s="259" t="str">
        <f>D19</f>
        <v>Pet</v>
      </c>
      <c r="AL19" s="229">
        <f t="shared" si="35"/>
        <v>4</v>
      </c>
      <c r="AM19" s="229">
        <f t="shared" si="35"/>
        <v>5</v>
      </c>
      <c r="AN19" s="216">
        <f t="shared" si="36"/>
        <v>8</v>
      </c>
      <c r="AO19" s="216">
        <f t="shared" si="37"/>
        <v>32</v>
      </c>
      <c r="AP19" s="216">
        <f t="shared" si="37"/>
        <v>40</v>
      </c>
      <c r="AQ19" s="216">
        <f t="shared" si="38"/>
        <v>6.39</v>
      </c>
      <c r="AR19" s="216">
        <f t="shared" si="12"/>
        <v>25.56</v>
      </c>
      <c r="AS19" s="250">
        <f t="shared" si="13"/>
        <v>31.95</v>
      </c>
      <c r="AU19" s="299" t="str">
        <f>A19</f>
        <v>4-Way Gang Valves</v>
      </c>
      <c r="AV19" s="304" t="str">
        <f>E19</f>
        <v>Need 4 total for a set up of 16 bottles</v>
      </c>
    </row>
    <row r="20" spans="1:48" s="8" customFormat="1" ht="30" customHeight="1" thickBot="1" x14ac:dyDescent="0.3">
      <c r="A20" s="1067" t="s">
        <v>105</v>
      </c>
      <c r="B20" s="1081"/>
      <c r="C20" s="1081"/>
      <c r="D20" s="1082"/>
      <c r="E20" s="1082"/>
      <c r="F20" s="1083" t="s">
        <v>576</v>
      </c>
      <c r="G20" s="1083" t="s">
        <v>576</v>
      </c>
      <c r="H20" s="1128"/>
      <c r="I20" s="1129"/>
      <c r="J20" s="1129"/>
      <c r="K20" s="1129"/>
      <c r="L20" s="1129"/>
      <c r="M20" s="1027">
        <f t="shared" ref="M20:U20" si="46">SUM(M14:M19)</f>
        <v>83.39</v>
      </c>
      <c r="N20" s="1027">
        <f t="shared" si="46"/>
        <v>83.39</v>
      </c>
      <c r="O20" s="1027">
        <f t="shared" si="46"/>
        <v>99.39</v>
      </c>
      <c r="P20" s="1027">
        <f t="shared" si="46"/>
        <v>69.75</v>
      </c>
      <c r="Q20" s="1027">
        <f t="shared" si="46"/>
        <v>69.75</v>
      </c>
      <c r="R20" s="1027">
        <f t="shared" si="46"/>
        <v>81.73</v>
      </c>
      <c r="S20" s="1027"/>
      <c r="T20" s="1027">
        <f t="shared" si="46"/>
        <v>0</v>
      </c>
      <c r="U20" s="1027">
        <f t="shared" si="46"/>
        <v>0</v>
      </c>
      <c r="V20" s="1145"/>
      <c r="W20" s="1145"/>
      <c r="X20" s="1145"/>
      <c r="Y20" s="1028">
        <f>SUM(Y14:Y19)</f>
        <v>75.39</v>
      </c>
      <c r="Z20" s="1028">
        <f>SUM(Z14:Z19)</f>
        <v>64.16</v>
      </c>
      <c r="AA20" s="1145"/>
      <c r="AB20" s="1145"/>
      <c r="AC20" s="1145"/>
      <c r="AD20" s="1028">
        <f>SUM(AD14:AD19)</f>
        <v>24</v>
      </c>
      <c r="AE20" s="1029">
        <f>SUM(AE14:AE19)</f>
        <v>19.169999999999998</v>
      </c>
      <c r="AI20" s="1815" t="str">
        <f t="shared" si="45"/>
        <v>Subtotal</v>
      </c>
      <c r="AJ20" s="1816"/>
      <c r="AK20" s="1816"/>
      <c r="AL20" s="1816"/>
      <c r="AM20" s="1816"/>
      <c r="AN20" s="261" t="str">
        <f t="shared" si="36"/>
        <v>-</v>
      </c>
      <c r="AO20" s="256">
        <f t="shared" si="37"/>
        <v>83.39</v>
      </c>
      <c r="AP20" s="256">
        <f t="shared" si="37"/>
        <v>99.39</v>
      </c>
      <c r="AQ20" s="256" t="str">
        <f t="shared" si="38"/>
        <v>-</v>
      </c>
      <c r="AR20" s="256">
        <f t="shared" si="12"/>
        <v>69.75</v>
      </c>
      <c r="AS20" s="257">
        <f t="shared" si="13"/>
        <v>81.73</v>
      </c>
      <c r="AU20" s="13"/>
      <c r="AV20" s="13"/>
    </row>
    <row r="21" spans="1:48" ht="39.75" customHeight="1" thickBot="1" x14ac:dyDescent="0.3">
      <c r="A21" s="997" t="s">
        <v>241</v>
      </c>
      <c r="B21" s="1068"/>
      <c r="C21" s="1068"/>
      <c r="D21" s="1068"/>
      <c r="E21" s="1068"/>
      <c r="F21" s="1112"/>
      <c r="G21" s="1112"/>
      <c r="H21" s="1130"/>
      <c r="I21" s="1130"/>
      <c r="J21" s="1130"/>
      <c r="K21" s="1130"/>
      <c r="L21" s="1130"/>
      <c r="M21" s="1110"/>
      <c r="N21" s="1110"/>
      <c r="O21" s="1110"/>
      <c r="P21" s="1110"/>
      <c r="Q21" s="1110"/>
      <c r="R21" s="1110"/>
      <c r="S21" s="1110"/>
      <c r="T21" s="1110"/>
      <c r="U21" s="1110"/>
      <c r="V21" s="1146"/>
      <c r="W21" s="1146"/>
      <c r="X21" s="1146"/>
      <c r="Y21" s="1104"/>
      <c r="Z21" s="1104"/>
      <c r="AA21" s="1146"/>
      <c r="AB21" s="1146"/>
      <c r="AC21" s="1146"/>
      <c r="AD21" s="1104"/>
      <c r="AE21" s="1105"/>
      <c r="AI21" s="1780" t="str">
        <f t="shared" si="45"/>
        <v>Light Fixtures -- 2 lights on stands support 16-bottle setup with room to maneuver</v>
      </c>
      <c r="AJ21" s="1781"/>
      <c r="AK21" s="1781"/>
      <c r="AL21" s="1781"/>
      <c r="AM21" s="1781"/>
      <c r="AN21" s="1781"/>
      <c r="AO21" s="1781"/>
      <c r="AP21" s="1781"/>
      <c r="AQ21" s="1781"/>
      <c r="AR21" s="1781"/>
      <c r="AS21" s="1782"/>
      <c r="AU21" s="1807" t="str">
        <f t="shared" ref="AU21:AU34" si="47">A21</f>
        <v>Light Fixtures -- 2 lights on stands support 16-bottle setup with room to maneuver</v>
      </c>
      <c r="AV21" s="1808"/>
    </row>
    <row r="22" spans="1:48" ht="47.25" x14ac:dyDescent="0.25">
      <c r="A22" s="466" t="s">
        <v>229</v>
      </c>
      <c r="B22" s="1397" t="s">
        <v>794</v>
      </c>
      <c r="C22" s="633" t="s">
        <v>68</v>
      </c>
      <c r="D22" s="521" t="s">
        <v>230</v>
      </c>
      <c r="E22" s="521" t="s">
        <v>234</v>
      </c>
      <c r="F22" s="641">
        <v>13</v>
      </c>
      <c r="G22" s="641">
        <v>14.06</v>
      </c>
      <c r="H22" s="1113">
        <v>2</v>
      </c>
      <c r="I22" s="1114">
        <v>2</v>
      </c>
      <c r="J22" s="1115">
        <f t="shared" ref="J22:J34" si="48">H22-K22*30</f>
        <v>2</v>
      </c>
      <c r="K22" s="1116">
        <f t="shared" ref="K22:K34" si="49">(I22-H22)/10</f>
        <v>0</v>
      </c>
      <c r="L22" s="1114">
        <f t="shared" ref="L22:L34" si="50">ROUNDUP(J22+(K22*L$3),0)</f>
        <v>2</v>
      </c>
      <c r="M22" s="636">
        <f t="shared" ref="M22:M34" si="51">L22*F22</f>
        <v>26</v>
      </c>
      <c r="N22" s="636">
        <f t="shared" ref="N22:N34" si="52">H22*F22</f>
        <v>26</v>
      </c>
      <c r="O22" s="636">
        <f t="shared" ref="O22:O34" si="53">F22*I22</f>
        <v>26</v>
      </c>
      <c r="P22" s="636">
        <f t="shared" ref="P22:P34" si="54">G22*L22</f>
        <v>28.12</v>
      </c>
      <c r="Q22" s="636">
        <f t="shared" ref="Q22:Q34" si="55">G22*H22</f>
        <v>28.12</v>
      </c>
      <c r="R22" s="636">
        <f t="shared" ref="R22:R34" si="56">G22*I22</f>
        <v>28.12</v>
      </c>
      <c r="S22" s="732">
        <f t="shared" ref="S22" si="57">IF(C22="yes",0,L22)</f>
        <v>0</v>
      </c>
      <c r="T22" s="694">
        <f t="shared" ref="T22" si="58">S22*F22</f>
        <v>0</v>
      </c>
      <c r="U22" s="694">
        <f t="shared" ref="U22" si="59">S22*G22</f>
        <v>0</v>
      </c>
      <c r="V22" s="1140">
        <v>1</v>
      </c>
      <c r="W22" s="1140">
        <v>0</v>
      </c>
      <c r="X22" s="1140">
        <f t="shared" ref="X22:X34" si="60">ROUNDUP(V22+AB$3/X$3*W22,0)</f>
        <v>1</v>
      </c>
      <c r="Y22" s="637">
        <f t="shared" ref="Y22:Y34" si="61">X22*F22</f>
        <v>13</v>
      </c>
      <c r="Z22" s="637">
        <f t="shared" ref="Z22:Z34" si="62">X22*G22</f>
        <v>14.06</v>
      </c>
      <c r="AA22" s="1140">
        <v>1</v>
      </c>
      <c r="AB22" s="1140">
        <f t="shared" ref="AB22:AB34" si="63">AE$3*AA22</f>
        <v>1</v>
      </c>
      <c r="AC22" s="1140">
        <f t="shared" ref="AC22" si="64">MAX(X22-AB22,0)</f>
        <v>0</v>
      </c>
      <c r="AD22" s="1099">
        <f t="shared" ref="AD22:AD34" si="65">AC22*F22</f>
        <v>0</v>
      </c>
      <c r="AE22" s="882">
        <f t="shared" ref="AE22:AE34" si="66">AC22*G22</f>
        <v>0</v>
      </c>
      <c r="AI22" s="244" t="str">
        <f t="shared" si="45"/>
        <v>4 ft shop light</v>
      </c>
      <c r="AJ22" s="238" t="str">
        <f t="shared" ref="AJ22:AJ34" si="67">C22</f>
        <v>Yes</v>
      </c>
      <c r="AK22" s="238" t="str">
        <f t="shared" ref="AK22:AK34" si="68">D22</f>
        <v>Home Imp, Hardware, Variety</v>
      </c>
      <c r="AL22" s="239">
        <f t="shared" ref="AL22:AL34" si="69">H22</f>
        <v>2</v>
      </c>
      <c r="AM22" s="239">
        <f t="shared" ref="AM22:AM34" si="70">I22</f>
        <v>2</v>
      </c>
      <c r="AN22" s="209">
        <f t="shared" ref="AN22:AN38" si="71">F22</f>
        <v>13</v>
      </c>
      <c r="AO22" s="209">
        <f t="shared" ref="AO22:AO38" si="72">N22</f>
        <v>26</v>
      </c>
      <c r="AP22" s="209">
        <f t="shared" ref="AP22:AP38" si="73">O22</f>
        <v>26</v>
      </c>
      <c r="AQ22" s="209">
        <f t="shared" ref="AQ22:AQ38" si="74">G22</f>
        <v>14.06</v>
      </c>
      <c r="AR22" s="209">
        <f t="shared" si="12"/>
        <v>28.12</v>
      </c>
      <c r="AS22" s="208">
        <f t="shared" si="13"/>
        <v>28.12</v>
      </c>
      <c r="AU22" s="302" t="str">
        <f t="shared" si="47"/>
        <v>4 ft shop light</v>
      </c>
      <c r="AV22" s="303" t="str">
        <f t="shared" ref="AV22:AV33" si="75">E22</f>
        <v>takes 2 T12 linear fluorescent bulbs; amazon.com</v>
      </c>
    </row>
    <row r="23" spans="1:48" ht="47.25" x14ac:dyDescent="0.25">
      <c r="A23" s="469" t="s">
        <v>608</v>
      </c>
      <c r="B23" s="440" t="s">
        <v>794</v>
      </c>
      <c r="C23" s="438" t="s">
        <v>68</v>
      </c>
      <c r="D23" s="437" t="s">
        <v>230</v>
      </c>
      <c r="E23" s="437" t="s">
        <v>231</v>
      </c>
      <c r="F23" s="410">
        <v>3</v>
      </c>
      <c r="G23" s="410">
        <v>3.9</v>
      </c>
      <c r="H23" s="1131">
        <v>2</v>
      </c>
      <c r="I23" s="1118">
        <v>2</v>
      </c>
      <c r="J23" s="1119">
        <f t="shared" si="48"/>
        <v>2</v>
      </c>
      <c r="K23" s="1120">
        <f t="shared" si="49"/>
        <v>0</v>
      </c>
      <c r="L23" s="1118">
        <f t="shared" si="50"/>
        <v>2</v>
      </c>
      <c r="M23" s="431">
        <f t="shared" si="51"/>
        <v>6</v>
      </c>
      <c r="N23" s="431">
        <f t="shared" si="52"/>
        <v>6</v>
      </c>
      <c r="O23" s="431">
        <f t="shared" si="53"/>
        <v>6</v>
      </c>
      <c r="P23" s="431">
        <f t="shared" si="54"/>
        <v>7.8</v>
      </c>
      <c r="Q23" s="431">
        <f t="shared" si="55"/>
        <v>7.8</v>
      </c>
      <c r="R23" s="431">
        <f t="shared" si="56"/>
        <v>7.8</v>
      </c>
      <c r="S23" s="732">
        <f t="shared" ref="S23:S34" si="76">IF(C23="yes",0,L23)</f>
        <v>0</v>
      </c>
      <c r="T23" s="694">
        <f t="shared" ref="T23:T34" si="77">S23*F23</f>
        <v>0</v>
      </c>
      <c r="U23" s="694">
        <f t="shared" ref="U23:U34" si="78">S23*G23</f>
        <v>0</v>
      </c>
      <c r="V23" s="1141">
        <v>2</v>
      </c>
      <c r="W23" s="1141">
        <v>0</v>
      </c>
      <c r="X23" s="1141">
        <f t="shared" si="60"/>
        <v>2</v>
      </c>
      <c r="Y23" s="430">
        <f t="shared" si="61"/>
        <v>6</v>
      </c>
      <c r="Z23" s="430">
        <f t="shared" si="62"/>
        <v>7.8</v>
      </c>
      <c r="AA23" s="1141">
        <v>1</v>
      </c>
      <c r="AB23" s="1141">
        <f t="shared" si="63"/>
        <v>1</v>
      </c>
      <c r="AC23" s="1141">
        <f t="shared" ref="AC23:AC29" si="79">MAX(X23-AB23,0)</f>
        <v>1</v>
      </c>
      <c r="AD23" s="1100">
        <f t="shared" si="65"/>
        <v>3</v>
      </c>
      <c r="AE23" s="883">
        <f t="shared" si="66"/>
        <v>3.9</v>
      </c>
      <c r="AI23" s="243" t="str">
        <f t="shared" si="45"/>
        <v>48" T12 bulb, 34 Watt Cool White</v>
      </c>
      <c r="AJ23" s="206" t="str">
        <f t="shared" si="67"/>
        <v>Yes</v>
      </c>
      <c r="AK23" s="206" t="str">
        <f t="shared" si="68"/>
        <v>Home Imp, Hardware, Variety</v>
      </c>
      <c r="AL23" s="188">
        <f t="shared" si="69"/>
        <v>2</v>
      </c>
      <c r="AM23" s="188">
        <f t="shared" si="70"/>
        <v>2</v>
      </c>
      <c r="AN23" s="189">
        <f t="shared" si="71"/>
        <v>3</v>
      </c>
      <c r="AO23" s="189">
        <f t="shared" si="72"/>
        <v>6</v>
      </c>
      <c r="AP23" s="189">
        <f t="shared" si="73"/>
        <v>6</v>
      </c>
      <c r="AQ23" s="189">
        <f t="shared" si="74"/>
        <v>3.9</v>
      </c>
      <c r="AR23" s="189">
        <f t="shared" si="12"/>
        <v>7.8</v>
      </c>
      <c r="AS23" s="190">
        <f t="shared" si="13"/>
        <v>7.8</v>
      </c>
      <c r="AU23" s="299" t="str">
        <f t="shared" si="47"/>
        <v>48" T12 bulb, 34 Watt Cool White</v>
      </c>
      <c r="AV23" s="304" t="str">
        <f t="shared" si="75"/>
        <v>The more expensive "grow light" bulbs are not necessary to grow successfully grow algae</v>
      </c>
    </row>
    <row r="24" spans="1:48" ht="47.25" x14ac:dyDescent="0.25">
      <c r="A24" s="469" t="s">
        <v>232</v>
      </c>
      <c r="B24" s="440" t="s">
        <v>794</v>
      </c>
      <c r="C24" s="438" t="s">
        <v>68</v>
      </c>
      <c r="D24" s="437" t="s">
        <v>230</v>
      </c>
      <c r="E24" s="437" t="s">
        <v>235</v>
      </c>
      <c r="F24" s="410">
        <v>2.1800000000000002</v>
      </c>
      <c r="G24" s="410">
        <v>5</v>
      </c>
      <c r="H24" s="1131">
        <v>2</v>
      </c>
      <c r="I24" s="1118">
        <v>1</v>
      </c>
      <c r="J24" s="1119">
        <f t="shared" si="48"/>
        <v>5</v>
      </c>
      <c r="K24" s="1120">
        <f t="shared" si="49"/>
        <v>-0.1</v>
      </c>
      <c r="L24" s="1118">
        <f t="shared" si="50"/>
        <v>2</v>
      </c>
      <c r="M24" s="431">
        <f t="shared" si="51"/>
        <v>4.3600000000000003</v>
      </c>
      <c r="N24" s="431">
        <f t="shared" si="52"/>
        <v>4.3600000000000003</v>
      </c>
      <c r="O24" s="431">
        <f t="shared" si="53"/>
        <v>2.1800000000000002</v>
      </c>
      <c r="P24" s="431">
        <f t="shared" si="54"/>
        <v>10</v>
      </c>
      <c r="Q24" s="431">
        <f t="shared" si="55"/>
        <v>10</v>
      </c>
      <c r="R24" s="431">
        <f t="shared" si="56"/>
        <v>5</v>
      </c>
      <c r="S24" s="732">
        <f t="shared" si="76"/>
        <v>0</v>
      </c>
      <c r="T24" s="694">
        <f t="shared" si="77"/>
        <v>0</v>
      </c>
      <c r="U24" s="694">
        <f t="shared" si="78"/>
        <v>0</v>
      </c>
      <c r="V24" s="1141">
        <v>1</v>
      </c>
      <c r="W24" s="1141">
        <v>0</v>
      </c>
      <c r="X24" s="1141">
        <f t="shared" si="60"/>
        <v>1</v>
      </c>
      <c r="Y24" s="430">
        <f t="shared" si="61"/>
        <v>2.1800000000000002</v>
      </c>
      <c r="Z24" s="430">
        <f t="shared" si="62"/>
        <v>5</v>
      </c>
      <c r="AA24" s="1141">
        <v>1</v>
      </c>
      <c r="AB24" s="1141">
        <f t="shared" si="63"/>
        <v>1</v>
      </c>
      <c r="AC24" s="1141">
        <f t="shared" si="79"/>
        <v>0</v>
      </c>
      <c r="AD24" s="1100">
        <f t="shared" si="65"/>
        <v>0</v>
      </c>
      <c r="AE24" s="883">
        <f t="shared" si="66"/>
        <v>0</v>
      </c>
      <c r="AI24" s="243" t="str">
        <f t="shared" si="45"/>
        <v>3/4" PVC pipe, 10 ft long</v>
      </c>
      <c r="AJ24" s="206" t="str">
        <f t="shared" si="67"/>
        <v>Yes</v>
      </c>
      <c r="AK24" s="206" t="str">
        <f t="shared" si="68"/>
        <v>Home Imp, Hardware, Variety</v>
      </c>
      <c r="AL24" s="188">
        <f t="shared" si="69"/>
        <v>2</v>
      </c>
      <c r="AM24" s="188">
        <f t="shared" si="70"/>
        <v>1</v>
      </c>
      <c r="AN24" s="189">
        <f t="shared" si="71"/>
        <v>2.1800000000000002</v>
      </c>
      <c r="AO24" s="189">
        <f t="shared" si="72"/>
        <v>4.3600000000000003</v>
      </c>
      <c r="AP24" s="189">
        <f t="shared" si="73"/>
        <v>2.1800000000000002</v>
      </c>
      <c r="AQ24" s="189">
        <f t="shared" si="74"/>
        <v>5</v>
      </c>
      <c r="AR24" s="189">
        <f t="shared" si="12"/>
        <v>10</v>
      </c>
      <c r="AS24" s="190">
        <f t="shared" si="13"/>
        <v>5</v>
      </c>
      <c r="AU24" s="299" t="str">
        <f t="shared" si="47"/>
        <v>3/4" PVC pipe, 10 ft long</v>
      </c>
      <c r="AV24" s="304" t="str">
        <f t="shared" si="75"/>
        <v>For building a stand to hold the shop light close to the bottles; no reasonable online source found</v>
      </c>
    </row>
    <row r="25" spans="1:48" ht="63" x14ac:dyDescent="0.25">
      <c r="A25" s="625" t="s">
        <v>600</v>
      </c>
      <c r="B25" s="440" t="s">
        <v>794</v>
      </c>
      <c r="C25" s="571" t="s">
        <v>66</v>
      </c>
      <c r="D25" s="437" t="s">
        <v>606</v>
      </c>
      <c r="E25" s="437" t="s">
        <v>609</v>
      </c>
      <c r="F25" s="410">
        <v>0.77</v>
      </c>
      <c r="G25" s="410">
        <v>0.63</v>
      </c>
      <c r="H25" s="1131">
        <v>4</v>
      </c>
      <c r="I25" s="1118">
        <v>4</v>
      </c>
      <c r="J25" s="1119">
        <f t="shared" si="48"/>
        <v>4</v>
      </c>
      <c r="K25" s="1120">
        <f t="shared" si="49"/>
        <v>0</v>
      </c>
      <c r="L25" s="1118">
        <f t="shared" si="50"/>
        <v>4</v>
      </c>
      <c r="M25" s="431">
        <f t="shared" si="51"/>
        <v>3.08</v>
      </c>
      <c r="N25" s="431">
        <f t="shared" si="52"/>
        <v>3.08</v>
      </c>
      <c r="O25" s="431">
        <f t="shared" si="53"/>
        <v>3.08</v>
      </c>
      <c r="P25" s="431">
        <f t="shared" si="54"/>
        <v>2.52</v>
      </c>
      <c r="Q25" s="431">
        <f t="shared" si="55"/>
        <v>2.52</v>
      </c>
      <c r="R25" s="431">
        <f t="shared" si="56"/>
        <v>2.52</v>
      </c>
      <c r="S25" s="732">
        <f t="shared" si="76"/>
        <v>0</v>
      </c>
      <c r="T25" s="694">
        <f t="shared" si="77"/>
        <v>0</v>
      </c>
      <c r="U25" s="694">
        <f t="shared" si="78"/>
        <v>0</v>
      </c>
      <c r="V25" s="1141">
        <v>4</v>
      </c>
      <c r="W25" s="1141">
        <v>0</v>
      </c>
      <c r="X25" s="1141">
        <f t="shared" si="60"/>
        <v>4</v>
      </c>
      <c r="Y25" s="430">
        <f t="shared" si="61"/>
        <v>3.08</v>
      </c>
      <c r="Z25" s="430">
        <f t="shared" si="62"/>
        <v>2.52</v>
      </c>
      <c r="AA25" s="1141">
        <v>2</v>
      </c>
      <c r="AB25" s="1141">
        <f t="shared" si="63"/>
        <v>2</v>
      </c>
      <c r="AC25" s="1141">
        <f t="shared" si="79"/>
        <v>2</v>
      </c>
      <c r="AD25" s="1100">
        <f t="shared" si="65"/>
        <v>1.54</v>
      </c>
      <c r="AE25" s="883">
        <f t="shared" si="66"/>
        <v>1.26</v>
      </c>
      <c r="AI25" s="293" t="str">
        <f t="shared" si="45"/>
        <v>3/4" PVC T fitting, threaded in middle only aka "3/4" S x 3/4" S x 3/4" Fips"</v>
      </c>
      <c r="AJ25" s="294" t="str">
        <f t="shared" si="67"/>
        <v>yes</v>
      </c>
      <c r="AK25" s="206" t="str">
        <f t="shared" si="68"/>
        <v>Home Imp. Store or plumbingsuppply.com</v>
      </c>
      <c r="AL25" s="188">
        <f t="shared" si="69"/>
        <v>4</v>
      </c>
      <c r="AM25" s="188">
        <f t="shared" si="70"/>
        <v>4</v>
      </c>
      <c r="AN25" s="189">
        <f t="shared" si="71"/>
        <v>0.77</v>
      </c>
      <c r="AO25" s="189">
        <f t="shared" si="72"/>
        <v>3.08</v>
      </c>
      <c r="AP25" s="189">
        <f t="shared" si="73"/>
        <v>3.08</v>
      </c>
      <c r="AQ25" s="189">
        <f t="shared" si="74"/>
        <v>0.63</v>
      </c>
      <c r="AR25" s="189">
        <f t="shared" si="12"/>
        <v>2.52</v>
      </c>
      <c r="AS25" s="190">
        <f t="shared" si="13"/>
        <v>2.52</v>
      </c>
      <c r="AU25" s="299" t="str">
        <f t="shared" si="47"/>
        <v>3/4" PVC T fitting, threaded in middle only aka "3/4" S x 3/4" S x 3/4" Fips"</v>
      </c>
      <c r="AV25" s="304" t="str">
        <f t="shared" si="75"/>
        <v>See Light Fixture Construction Instructions</v>
      </c>
    </row>
    <row r="26" spans="1:48" ht="63" x14ac:dyDescent="0.25">
      <c r="A26" s="625" t="s">
        <v>237</v>
      </c>
      <c r="B26" s="440" t="s">
        <v>794</v>
      </c>
      <c r="C26" s="571" t="s">
        <v>66</v>
      </c>
      <c r="D26" s="437" t="s">
        <v>606</v>
      </c>
      <c r="E26" s="437" t="s">
        <v>609</v>
      </c>
      <c r="F26" s="410">
        <v>0.39</v>
      </c>
      <c r="G26" s="410">
        <v>0.35</v>
      </c>
      <c r="H26" s="1131">
        <v>4</v>
      </c>
      <c r="I26" s="1118">
        <v>4</v>
      </c>
      <c r="J26" s="1119">
        <f t="shared" si="48"/>
        <v>4</v>
      </c>
      <c r="K26" s="1120">
        <f t="shared" si="49"/>
        <v>0</v>
      </c>
      <c r="L26" s="1118">
        <f t="shared" si="50"/>
        <v>4</v>
      </c>
      <c r="M26" s="431">
        <f t="shared" si="51"/>
        <v>1.56</v>
      </c>
      <c r="N26" s="431">
        <f t="shared" si="52"/>
        <v>1.56</v>
      </c>
      <c r="O26" s="431">
        <f t="shared" si="53"/>
        <v>1.56</v>
      </c>
      <c r="P26" s="431">
        <f t="shared" si="54"/>
        <v>1.4</v>
      </c>
      <c r="Q26" s="431">
        <f t="shared" si="55"/>
        <v>1.4</v>
      </c>
      <c r="R26" s="431">
        <f t="shared" si="56"/>
        <v>1.4</v>
      </c>
      <c r="S26" s="732">
        <f t="shared" si="76"/>
        <v>0</v>
      </c>
      <c r="T26" s="694">
        <f t="shared" si="77"/>
        <v>0</v>
      </c>
      <c r="U26" s="694">
        <f t="shared" si="78"/>
        <v>0</v>
      </c>
      <c r="V26" s="1141">
        <v>2</v>
      </c>
      <c r="W26" s="1141">
        <v>0</v>
      </c>
      <c r="X26" s="1141">
        <f t="shared" si="60"/>
        <v>2</v>
      </c>
      <c r="Y26" s="430">
        <f t="shared" si="61"/>
        <v>0.78</v>
      </c>
      <c r="Z26" s="430">
        <f t="shared" si="62"/>
        <v>0.7</v>
      </c>
      <c r="AA26" s="1141">
        <v>2</v>
      </c>
      <c r="AB26" s="1141">
        <f t="shared" si="63"/>
        <v>2</v>
      </c>
      <c r="AC26" s="1141">
        <f t="shared" si="79"/>
        <v>0</v>
      </c>
      <c r="AD26" s="1100">
        <f t="shared" si="65"/>
        <v>0</v>
      </c>
      <c r="AE26" s="883">
        <f t="shared" si="66"/>
        <v>0</v>
      </c>
      <c r="AI26" s="293" t="str">
        <f t="shared" si="45"/>
        <v>3/4" PVC right angle elbows</v>
      </c>
      <c r="AJ26" s="294" t="str">
        <f t="shared" si="67"/>
        <v>yes</v>
      </c>
      <c r="AK26" s="206" t="str">
        <f t="shared" si="68"/>
        <v>Home Imp. Store or plumbingsuppply.com</v>
      </c>
      <c r="AL26" s="188">
        <f t="shared" si="69"/>
        <v>4</v>
      </c>
      <c r="AM26" s="188">
        <f t="shared" si="70"/>
        <v>4</v>
      </c>
      <c r="AN26" s="189">
        <f t="shared" si="71"/>
        <v>0.39</v>
      </c>
      <c r="AO26" s="189">
        <f t="shared" si="72"/>
        <v>1.56</v>
      </c>
      <c r="AP26" s="189">
        <f t="shared" si="73"/>
        <v>1.56</v>
      </c>
      <c r="AQ26" s="189">
        <f t="shared" si="74"/>
        <v>0.35</v>
      </c>
      <c r="AR26" s="189">
        <f t="shared" si="12"/>
        <v>1.4</v>
      </c>
      <c r="AS26" s="190">
        <f t="shared" si="13"/>
        <v>1.4</v>
      </c>
      <c r="AU26" s="299" t="str">
        <f t="shared" si="47"/>
        <v>3/4" PVC right angle elbows</v>
      </c>
      <c r="AV26" s="304" t="str">
        <f t="shared" si="75"/>
        <v>See Light Fixture Construction Instructions</v>
      </c>
    </row>
    <row r="27" spans="1:48" ht="63" x14ac:dyDescent="0.25">
      <c r="A27" s="625" t="s">
        <v>601</v>
      </c>
      <c r="B27" s="440" t="s">
        <v>794</v>
      </c>
      <c r="C27" s="571" t="s">
        <v>68</v>
      </c>
      <c r="D27" s="437" t="s">
        <v>606</v>
      </c>
      <c r="E27" s="437" t="s">
        <v>609</v>
      </c>
      <c r="F27" s="410">
        <v>0.35</v>
      </c>
      <c r="G27" s="410">
        <v>0.24</v>
      </c>
      <c r="H27" s="1131">
        <v>10</v>
      </c>
      <c r="I27" s="1132">
        <v>10</v>
      </c>
      <c r="J27" s="1119">
        <f t="shared" si="48"/>
        <v>10</v>
      </c>
      <c r="K27" s="1120">
        <f t="shared" si="49"/>
        <v>0</v>
      </c>
      <c r="L27" s="1118">
        <f t="shared" si="50"/>
        <v>10</v>
      </c>
      <c r="M27" s="431">
        <f t="shared" si="51"/>
        <v>3.5</v>
      </c>
      <c r="N27" s="431">
        <f t="shared" si="52"/>
        <v>3.5</v>
      </c>
      <c r="O27" s="431">
        <f t="shared" si="53"/>
        <v>3.5</v>
      </c>
      <c r="P27" s="431">
        <f t="shared" si="54"/>
        <v>2.4</v>
      </c>
      <c r="Q27" s="431">
        <f t="shared" si="55"/>
        <v>2.4</v>
      </c>
      <c r="R27" s="431">
        <f t="shared" si="56"/>
        <v>2.4</v>
      </c>
      <c r="S27" s="732">
        <f t="shared" si="76"/>
        <v>0</v>
      </c>
      <c r="T27" s="694">
        <f t="shared" si="77"/>
        <v>0</v>
      </c>
      <c r="U27" s="694">
        <f t="shared" si="78"/>
        <v>0</v>
      </c>
      <c r="V27" s="1141">
        <v>1</v>
      </c>
      <c r="W27" s="1141">
        <v>0</v>
      </c>
      <c r="X27" s="1141">
        <f t="shared" si="60"/>
        <v>1</v>
      </c>
      <c r="Y27" s="430">
        <f t="shared" si="61"/>
        <v>0.35</v>
      </c>
      <c r="Z27" s="430">
        <f t="shared" si="62"/>
        <v>0.24</v>
      </c>
      <c r="AA27" s="1141">
        <v>5</v>
      </c>
      <c r="AB27" s="1141">
        <f t="shared" si="63"/>
        <v>5</v>
      </c>
      <c r="AC27" s="1141">
        <f t="shared" si="79"/>
        <v>0</v>
      </c>
      <c r="AD27" s="1100">
        <f t="shared" si="65"/>
        <v>0</v>
      </c>
      <c r="AE27" s="883">
        <f t="shared" si="66"/>
        <v>0</v>
      </c>
      <c r="AI27" s="295" t="str">
        <f t="shared" si="45"/>
        <v>3/4" PVC male threaded adapters -- 3/4" S x 3/4" Mips</v>
      </c>
      <c r="AJ27" s="296" t="str">
        <f t="shared" si="67"/>
        <v>Yes</v>
      </c>
      <c r="AK27" s="296" t="str">
        <f t="shared" si="68"/>
        <v>Home Imp. Store or plumbingsuppply.com</v>
      </c>
      <c r="AL27" s="188">
        <f t="shared" si="69"/>
        <v>10</v>
      </c>
      <c r="AM27" s="188">
        <f t="shared" si="70"/>
        <v>10</v>
      </c>
      <c r="AN27" s="189">
        <f t="shared" si="71"/>
        <v>0.35</v>
      </c>
      <c r="AO27" s="189">
        <f t="shared" si="72"/>
        <v>3.5</v>
      </c>
      <c r="AP27" s="189">
        <f t="shared" si="73"/>
        <v>3.5</v>
      </c>
      <c r="AQ27" s="189">
        <f t="shared" si="74"/>
        <v>0.24</v>
      </c>
      <c r="AR27" s="189">
        <f t="shared" ref="AR27:AR28" si="80">Q27</f>
        <v>2.4</v>
      </c>
      <c r="AS27" s="190">
        <f t="shared" ref="AS27:AS28" si="81">R27</f>
        <v>2.4</v>
      </c>
      <c r="AU27" s="299" t="str">
        <f t="shared" si="47"/>
        <v>3/4" PVC male threaded adapters -- 3/4" S x 3/4" Mips</v>
      </c>
      <c r="AV27" s="304" t="str">
        <f t="shared" si="75"/>
        <v>See Light Fixture Construction Instructions</v>
      </c>
    </row>
    <row r="28" spans="1:48" ht="63" x14ac:dyDescent="0.25">
      <c r="A28" s="625" t="s">
        <v>602</v>
      </c>
      <c r="B28" s="440" t="s">
        <v>794</v>
      </c>
      <c r="C28" s="571" t="s">
        <v>68</v>
      </c>
      <c r="D28" s="437" t="s">
        <v>606</v>
      </c>
      <c r="E28" s="437" t="s">
        <v>609</v>
      </c>
      <c r="F28" s="410">
        <v>0.46</v>
      </c>
      <c r="G28" s="410">
        <v>0.35</v>
      </c>
      <c r="H28" s="1131">
        <v>6</v>
      </c>
      <c r="I28" s="1132">
        <v>6</v>
      </c>
      <c r="J28" s="1119">
        <f t="shared" si="48"/>
        <v>6</v>
      </c>
      <c r="K28" s="1120">
        <f t="shared" si="49"/>
        <v>0</v>
      </c>
      <c r="L28" s="1118">
        <f t="shared" si="50"/>
        <v>6</v>
      </c>
      <c r="M28" s="431">
        <f t="shared" si="51"/>
        <v>2.7600000000000002</v>
      </c>
      <c r="N28" s="431">
        <f t="shared" si="52"/>
        <v>2.7600000000000002</v>
      </c>
      <c r="O28" s="431">
        <f t="shared" si="53"/>
        <v>2.7600000000000002</v>
      </c>
      <c r="P28" s="431">
        <f t="shared" si="54"/>
        <v>2.0999999999999996</v>
      </c>
      <c r="Q28" s="431">
        <f t="shared" si="55"/>
        <v>2.0999999999999996</v>
      </c>
      <c r="R28" s="431">
        <f t="shared" si="56"/>
        <v>2.0999999999999996</v>
      </c>
      <c r="S28" s="732">
        <f t="shared" si="76"/>
        <v>0</v>
      </c>
      <c r="T28" s="694">
        <f t="shared" si="77"/>
        <v>0</v>
      </c>
      <c r="U28" s="694">
        <f t="shared" si="78"/>
        <v>0</v>
      </c>
      <c r="V28" s="1141">
        <v>1</v>
      </c>
      <c r="W28" s="1141">
        <v>0</v>
      </c>
      <c r="X28" s="1141">
        <f t="shared" si="60"/>
        <v>1</v>
      </c>
      <c r="Y28" s="430">
        <f t="shared" si="61"/>
        <v>0.46</v>
      </c>
      <c r="Z28" s="430">
        <f t="shared" si="62"/>
        <v>0.35</v>
      </c>
      <c r="AA28" s="1141">
        <v>3</v>
      </c>
      <c r="AB28" s="1141">
        <f t="shared" si="63"/>
        <v>3</v>
      </c>
      <c r="AC28" s="1141">
        <f t="shared" si="79"/>
        <v>0</v>
      </c>
      <c r="AD28" s="1100">
        <f t="shared" si="65"/>
        <v>0</v>
      </c>
      <c r="AE28" s="883">
        <f t="shared" si="66"/>
        <v>0</v>
      </c>
      <c r="AI28" s="295" t="str">
        <f t="shared" si="45"/>
        <v>3/4" PVC female threaded adapters -- 3/4" S x 3/4" Fips</v>
      </c>
      <c r="AJ28" s="296" t="str">
        <f t="shared" si="67"/>
        <v>Yes</v>
      </c>
      <c r="AK28" s="296" t="str">
        <f t="shared" si="68"/>
        <v>Home Imp. Store or plumbingsuppply.com</v>
      </c>
      <c r="AL28" s="188">
        <f t="shared" si="69"/>
        <v>6</v>
      </c>
      <c r="AM28" s="188">
        <f t="shared" si="70"/>
        <v>6</v>
      </c>
      <c r="AN28" s="189">
        <f t="shared" si="71"/>
        <v>0.46</v>
      </c>
      <c r="AO28" s="189">
        <f t="shared" si="72"/>
        <v>2.7600000000000002</v>
      </c>
      <c r="AP28" s="189">
        <f t="shared" si="73"/>
        <v>2.7600000000000002</v>
      </c>
      <c r="AQ28" s="189">
        <f t="shared" si="74"/>
        <v>0.35</v>
      </c>
      <c r="AR28" s="189">
        <f t="shared" si="80"/>
        <v>2.0999999999999996</v>
      </c>
      <c r="AS28" s="190">
        <f t="shared" si="81"/>
        <v>2.0999999999999996</v>
      </c>
      <c r="AU28" s="299" t="str">
        <f t="shared" si="47"/>
        <v>3/4" PVC female threaded adapters -- 3/4" S x 3/4" Fips</v>
      </c>
      <c r="AV28" s="304" t="str">
        <f t="shared" si="75"/>
        <v>See Light Fixture Construction Instructions</v>
      </c>
    </row>
    <row r="29" spans="1:48" ht="47.25" x14ac:dyDescent="0.25">
      <c r="A29" s="469" t="s">
        <v>238</v>
      </c>
      <c r="B29" s="440" t="s">
        <v>794</v>
      </c>
      <c r="C29" s="438" t="s">
        <v>68</v>
      </c>
      <c r="D29" s="437" t="s">
        <v>230</v>
      </c>
      <c r="E29" s="437" t="s">
        <v>609</v>
      </c>
      <c r="F29" s="410">
        <v>0.39</v>
      </c>
      <c r="G29" s="410">
        <v>0.46</v>
      </c>
      <c r="H29" s="1131">
        <v>8</v>
      </c>
      <c r="I29" s="1118">
        <v>8</v>
      </c>
      <c r="J29" s="1119">
        <f t="shared" si="48"/>
        <v>8</v>
      </c>
      <c r="K29" s="1120">
        <f t="shared" si="49"/>
        <v>0</v>
      </c>
      <c r="L29" s="1118">
        <f t="shared" si="50"/>
        <v>8</v>
      </c>
      <c r="M29" s="431">
        <f t="shared" si="51"/>
        <v>3.12</v>
      </c>
      <c r="N29" s="431">
        <f t="shared" si="52"/>
        <v>3.12</v>
      </c>
      <c r="O29" s="431">
        <f t="shared" si="53"/>
        <v>3.12</v>
      </c>
      <c r="P29" s="431">
        <f t="shared" si="54"/>
        <v>3.68</v>
      </c>
      <c r="Q29" s="431">
        <f t="shared" si="55"/>
        <v>3.68</v>
      </c>
      <c r="R29" s="431">
        <f t="shared" si="56"/>
        <v>3.68</v>
      </c>
      <c r="S29" s="732">
        <f t="shared" si="76"/>
        <v>0</v>
      </c>
      <c r="T29" s="694">
        <f t="shared" si="77"/>
        <v>0</v>
      </c>
      <c r="U29" s="694">
        <f t="shared" si="78"/>
        <v>0</v>
      </c>
      <c r="V29" s="1141">
        <v>4</v>
      </c>
      <c r="W29" s="1141">
        <v>0</v>
      </c>
      <c r="X29" s="1141">
        <f t="shared" si="60"/>
        <v>4</v>
      </c>
      <c r="Y29" s="430">
        <f t="shared" si="61"/>
        <v>1.56</v>
      </c>
      <c r="Z29" s="430">
        <f t="shared" si="62"/>
        <v>1.84</v>
      </c>
      <c r="AA29" s="1141">
        <v>4</v>
      </c>
      <c r="AB29" s="1141">
        <f t="shared" si="63"/>
        <v>4</v>
      </c>
      <c r="AC29" s="1141">
        <f t="shared" si="79"/>
        <v>0</v>
      </c>
      <c r="AD29" s="1100">
        <f t="shared" si="65"/>
        <v>0</v>
      </c>
      <c r="AE29" s="883">
        <f t="shared" si="66"/>
        <v>0</v>
      </c>
      <c r="AI29" s="243" t="str">
        <f t="shared" si="45"/>
        <v>3/4" PVC caps</v>
      </c>
      <c r="AJ29" s="206" t="str">
        <f t="shared" si="67"/>
        <v>Yes</v>
      </c>
      <c r="AK29" s="206" t="str">
        <f t="shared" si="68"/>
        <v>Home Imp, Hardware, Variety</v>
      </c>
      <c r="AL29" s="188">
        <f t="shared" si="69"/>
        <v>8</v>
      </c>
      <c r="AM29" s="188">
        <f t="shared" si="70"/>
        <v>8</v>
      </c>
      <c r="AN29" s="189">
        <f t="shared" si="71"/>
        <v>0.39</v>
      </c>
      <c r="AO29" s="189">
        <f t="shared" si="72"/>
        <v>3.12</v>
      </c>
      <c r="AP29" s="189">
        <f t="shared" si="73"/>
        <v>3.12</v>
      </c>
      <c r="AQ29" s="189">
        <f t="shared" si="74"/>
        <v>0.46</v>
      </c>
      <c r="AR29" s="189">
        <f t="shared" si="12"/>
        <v>3.68</v>
      </c>
      <c r="AS29" s="190">
        <f t="shared" si="13"/>
        <v>3.68</v>
      </c>
      <c r="AU29" s="299" t="str">
        <f t="shared" si="47"/>
        <v>3/4" PVC caps</v>
      </c>
      <c r="AV29" s="304" t="str">
        <f t="shared" si="75"/>
        <v>See Light Fixture Construction Instructions</v>
      </c>
    </row>
    <row r="30" spans="1:48" ht="47.25" x14ac:dyDescent="0.25">
      <c r="A30" s="469" t="s">
        <v>239</v>
      </c>
      <c r="B30" s="440" t="s">
        <v>794</v>
      </c>
      <c r="C30" s="438" t="s">
        <v>68</v>
      </c>
      <c r="D30" s="437" t="s">
        <v>230</v>
      </c>
      <c r="E30" s="437" t="s">
        <v>240</v>
      </c>
      <c r="F30" s="410">
        <v>0.98</v>
      </c>
      <c r="G30" s="410">
        <v>3.79</v>
      </c>
      <c r="H30" s="1131">
        <v>4</v>
      </c>
      <c r="I30" s="1118">
        <v>4</v>
      </c>
      <c r="J30" s="1119">
        <f t="shared" si="48"/>
        <v>4</v>
      </c>
      <c r="K30" s="1120">
        <f t="shared" si="49"/>
        <v>0</v>
      </c>
      <c r="L30" s="1118">
        <f t="shared" si="50"/>
        <v>4</v>
      </c>
      <c r="M30" s="431">
        <f t="shared" si="51"/>
        <v>3.92</v>
      </c>
      <c r="N30" s="431">
        <f t="shared" si="52"/>
        <v>3.92</v>
      </c>
      <c r="O30" s="431">
        <f t="shared" si="53"/>
        <v>3.92</v>
      </c>
      <c r="P30" s="431">
        <f t="shared" si="54"/>
        <v>15.16</v>
      </c>
      <c r="Q30" s="431">
        <f t="shared" si="55"/>
        <v>15.16</v>
      </c>
      <c r="R30" s="431">
        <f t="shared" si="56"/>
        <v>15.16</v>
      </c>
      <c r="S30" s="732">
        <f t="shared" si="76"/>
        <v>0</v>
      </c>
      <c r="T30" s="694">
        <f t="shared" si="77"/>
        <v>0</v>
      </c>
      <c r="U30" s="694">
        <f t="shared" si="78"/>
        <v>0</v>
      </c>
      <c r="V30" s="1141">
        <v>2</v>
      </c>
      <c r="W30" s="1141">
        <v>0</v>
      </c>
      <c r="X30" s="1141">
        <f t="shared" si="60"/>
        <v>2</v>
      </c>
      <c r="Y30" s="430">
        <f t="shared" si="61"/>
        <v>1.96</v>
      </c>
      <c r="Z30" s="430">
        <f t="shared" si="62"/>
        <v>7.58</v>
      </c>
      <c r="AA30" s="1141">
        <v>2</v>
      </c>
      <c r="AB30" s="1141">
        <f t="shared" si="63"/>
        <v>2</v>
      </c>
      <c r="AC30" s="1141">
        <f t="shared" ref="AC30:AC34" si="82">MAX(X30-AB30,0)</f>
        <v>0</v>
      </c>
      <c r="AD30" s="1100">
        <f t="shared" si="65"/>
        <v>0</v>
      </c>
      <c r="AE30" s="883">
        <f t="shared" si="66"/>
        <v>0</v>
      </c>
      <c r="AI30" s="243" t="str">
        <f t="shared" si="45"/>
        <v>3/4" 3/4 pipe U-bolts</v>
      </c>
      <c r="AJ30" s="206" t="str">
        <f t="shared" si="67"/>
        <v>Yes</v>
      </c>
      <c r="AK30" s="206" t="str">
        <f t="shared" si="68"/>
        <v>Home Imp, Hardware, Variety</v>
      </c>
      <c r="AL30" s="188">
        <f t="shared" si="69"/>
        <v>4</v>
      </c>
      <c r="AM30" s="188">
        <f t="shared" si="70"/>
        <v>4</v>
      </c>
      <c r="AN30" s="189">
        <f t="shared" si="71"/>
        <v>0.98</v>
      </c>
      <c r="AO30" s="189">
        <f t="shared" si="72"/>
        <v>3.92</v>
      </c>
      <c r="AP30" s="189">
        <f t="shared" si="73"/>
        <v>3.92</v>
      </c>
      <c r="AQ30" s="189">
        <f t="shared" si="74"/>
        <v>3.79</v>
      </c>
      <c r="AR30" s="189">
        <f t="shared" si="12"/>
        <v>15.16</v>
      </c>
      <c r="AS30" s="190">
        <f t="shared" si="13"/>
        <v>15.16</v>
      </c>
      <c r="AU30" s="299" t="str">
        <f t="shared" si="47"/>
        <v>3/4" 3/4 pipe U-bolts</v>
      </c>
      <c r="AV30" s="304" t="str">
        <f t="shared" si="75"/>
        <v>Used to connect chains which suspend shop light from PVC stand; online source is lowes.com</v>
      </c>
    </row>
    <row r="31" spans="1:48" ht="47.25" x14ac:dyDescent="0.25">
      <c r="A31" s="469" t="s">
        <v>242</v>
      </c>
      <c r="B31" s="438" t="s">
        <v>828</v>
      </c>
      <c r="C31" s="438" t="s">
        <v>66</v>
      </c>
      <c r="D31" s="437" t="s">
        <v>230</v>
      </c>
      <c r="E31" s="437" t="s">
        <v>610</v>
      </c>
      <c r="F31" s="410">
        <v>6.4</v>
      </c>
      <c r="G31" s="410">
        <v>3.44</v>
      </c>
      <c r="H31" s="1131">
        <v>1</v>
      </c>
      <c r="I31" s="1118">
        <v>1</v>
      </c>
      <c r="J31" s="1119">
        <f t="shared" si="48"/>
        <v>1</v>
      </c>
      <c r="K31" s="1120">
        <f t="shared" si="49"/>
        <v>0</v>
      </c>
      <c r="L31" s="1118">
        <f t="shared" si="50"/>
        <v>1</v>
      </c>
      <c r="M31" s="431">
        <f t="shared" si="51"/>
        <v>6.4</v>
      </c>
      <c r="N31" s="431">
        <f t="shared" si="52"/>
        <v>6.4</v>
      </c>
      <c r="O31" s="431">
        <f t="shared" si="53"/>
        <v>6.4</v>
      </c>
      <c r="P31" s="431">
        <f t="shared" si="54"/>
        <v>3.44</v>
      </c>
      <c r="Q31" s="431">
        <f t="shared" si="55"/>
        <v>3.44</v>
      </c>
      <c r="R31" s="431">
        <f t="shared" si="56"/>
        <v>3.44</v>
      </c>
      <c r="S31" s="732">
        <f t="shared" si="76"/>
        <v>0</v>
      </c>
      <c r="T31" s="694">
        <f t="shared" si="77"/>
        <v>0</v>
      </c>
      <c r="U31" s="694">
        <f t="shared" si="78"/>
        <v>0</v>
      </c>
      <c r="V31" s="1141">
        <v>1</v>
      </c>
      <c r="W31" s="1141">
        <v>0</v>
      </c>
      <c r="X31" s="1141">
        <f t="shared" si="60"/>
        <v>1</v>
      </c>
      <c r="Y31" s="430">
        <f t="shared" si="61"/>
        <v>6.4</v>
      </c>
      <c r="Z31" s="430">
        <f t="shared" si="62"/>
        <v>3.44</v>
      </c>
      <c r="AA31" s="1141">
        <v>1</v>
      </c>
      <c r="AB31" s="1141">
        <f t="shared" si="63"/>
        <v>1</v>
      </c>
      <c r="AC31" s="1141">
        <f t="shared" si="82"/>
        <v>0</v>
      </c>
      <c r="AD31" s="1100">
        <f t="shared" si="65"/>
        <v>0</v>
      </c>
      <c r="AE31" s="883">
        <f t="shared" si="66"/>
        <v>0</v>
      </c>
      <c r="AI31" s="243" t="str">
        <f t="shared" si="45"/>
        <v>All purpose PVC Cement</v>
      </c>
      <c r="AJ31" s="206" t="str">
        <f t="shared" si="67"/>
        <v>yes</v>
      </c>
      <c r="AK31" s="206" t="str">
        <f t="shared" si="68"/>
        <v>Home Imp, Hardware, Variety</v>
      </c>
      <c r="AL31" s="188">
        <f t="shared" si="69"/>
        <v>1</v>
      </c>
      <c r="AM31" s="188">
        <f t="shared" si="70"/>
        <v>1</v>
      </c>
      <c r="AN31" s="189">
        <f t="shared" si="71"/>
        <v>6.4</v>
      </c>
      <c r="AO31" s="189">
        <f t="shared" si="72"/>
        <v>6.4</v>
      </c>
      <c r="AP31" s="189">
        <f t="shared" si="73"/>
        <v>6.4</v>
      </c>
      <c r="AQ31" s="189">
        <f t="shared" si="74"/>
        <v>3.44</v>
      </c>
      <c r="AR31" s="189">
        <f t="shared" si="12"/>
        <v>3.44</v>
      </c>
      <c r="AS31" s="190">
        <f t="shared" si="13"/>
        <v>3.44</v>
      </c>
      <c r="AU31" s="299" t="str">
        <f t="shared" si="47"/>
        <v>All purpose PVC Cement</v>
      </c>
      <c r="AV31" s="304" t="str">
        <f t="shared" si="75"/>
        <v>Plumbers also use a primer but it's not needed as pipe assembly will not be subject to water pressure.</v>
      </c>
    </row>
    <row r="32" spans="1:48" ht="47.25" x14ac:dyDescent="0.25">
      <c r="A32" s="469" t="s">
        <v>243</v>
      </c>
      <c r="B32" s="440" t="s">
        <v>794</v>
      </c>
      <c r="C32" s="438" t="s">
        <v>66</v>
      </c>
      <c r="D32" s="437" t="s">
        <v>230</v>
      </c>
      <c r="E32" s="437" t="s">
        <v>244</v>
      </c>
      <c r="F32" s="410">
        <v>6</v>
      </c>
      <c r="G32" s="410">
        <v>8.5</v>
      </c>
      <c r="H32" s="1131">
        <v>1</v>
      </c>
      <c r="I32" s="1118">
        <v>1</v>
      </c>
      <c r="J32" s="1119">
        <f t="shared" si="48"/>
        <v>1</v>
      </c>
      <c r="K32" s="1120">
        <f t="shared" si="49"/>
        <v>0</v>
      </c>
      <c r="L32" s="1118">
        <f t="shared" si="50"/>
        <v>1</v>
      </c>
      <c r="M32" s="431">
        <f t="shared" si="51"/>
        <v>6</v>
      </c>
      <c r="N32" s="431">
        <f t="shared" si="52"/>
        <v>6</v>
      </c>
      <c r="O32" s="431">
        <f t="shared" si="53"/>
        <v>6</v>
      </c>
      <c r="P32" s="431">
        <f t="shared" si="54"/>
        <v>8.5</v>
      </c>
      <c r="Q32" s="431">
        <f t="shared" si="55"/>
        <v>8.5</v>
      </c>
      <c r="R32" s="431">
        <f t="shared" si="56"/>
        <v>8.5</v>
      </c>
      <c r="S32" s="732">
        <f t="shared" si="76"/>
        <v>0</v>
      </c>
      <c r="T32" s="694">
        <f t="shared" si="77"/>
        <v>0</v>
      </c>
      <c r="U32" s="694">
        <f t="shared" si="78"/>
        <v>0</v>
      </c>
      <c r="V32" s="1141">
        <v>1</v>
      </c>
      <c r="W32" s="1141">
        <v>0</v>
      </c>
      <c r="X32" s="1141">
        <f t="shared" si="60"/>
        <v>1</v>
      </c>
      <c r="Y32" s="430">
        <f t="shared" si="61"/>
        <v>6</v>
      </c>
      <c r="Z32" s="430">
        <f t="shared" si="62"/>
        <v>8.5</v>
      </c>
      <c r="AA32" s="1141">
        <v>1</v>
      </c>
      <c r="AB32" s="1141">
        <f t="shared" si="63"/>
        <v>1</v>
      </c>
      <c r="AC32" s="1141">
        <f t="shared" si="82"/>
        <v>0</v>
      </c>
      <c r="AD32" s="1100">
        <f t="shared" si="65"/>
        <v>0</v>
      </c>
      <c r="AE32" s="883">
        <f t="shared" si="66"/>
        <v>0</v>
      </c>
      <c r="AI32" s="243" t="str">
        <f t="shared" si="45"/>
        <v>Light Timer</v>
      </c>
      <c r="AJ32" s="206" t="str">
        <f t="shared" si="67"/>
        <v>yes</v>
      </c>
      <c r="AK32" s="206" t="str">
        <f t="shared" si="68"/>
        <v>Home Imp, Hardware, Variety</v>
      </c>
      <c r="AL32" s="188">
        <f t="shared" si="69"/>
        <v>1</v>
      </c>
      <c r="AM32" s="188">
        <f t="shared" si="70"/>
        <v>1</v>
      </c>
      <c r="AN32" s="189">
        <f t="shared" si="71"/>
        <v>6</v>
      </c>
      <c r="AO32" s="189">
        <f t="shared" si="72"/>
        <v>6</v>
      </c>
      <c r="AP32" s="189">
        <f t="shared" si="73"/>
        <v>6</v>
      </c>
      <c r="AQ32" s="189">
        <f t="shared" si="74"/>
        <v>8.5</v>
      </c>
      <c r="AR32" s="189">
        <f t="shared" si="12"/>
        <v>8.5</v>
      </c>
      <c r="AS32" s="190">
        <f t="shared" si="13"/>
        <v>8.5</v>
      </c>
      <c r="AU32" s="299" t="str">
        <f t="shared" si="47"/>
        <v>Light Timer</v>
      </c>
      <c r="AV32" s="304" t="str">
        <f t="shared" si="75"/>
        <v>Controls when light is on/off over 24 hours</v>
      </c>
    </row>
    <row r="33" spans="1:48" ht="47.25" x14ac:dyDescent="0.25">
      <c r="A33" s="469" t="s">
        <v>245</v>
      </c>
      <c r="B33" s="438" t="s">
        <v>822</v>
      </c>
      <c r="C33" s="438" t="s">
        <v>68</v>
      </c>
      <c r="D33" s="437" t="s">
        <v>230</v>
      </c>
      <c r="E33" s="437" t="s">
        <v>246</v>
      </c>
      <c r="F33" s="410">
        <v>21.99</v>
      </c>
      <c r="G33" s="410">
        <v>28.23</v>
      </c>
      <c r="H33" s="1131">
        <v>1</v>
      </c>
      <c r="I33" s="1118">
        <v>1</v>
      </c>
      <c r="J33" s="1119">
        <f t="shared" si="48"/>
        <v>1</v>
      </c>
      <c r="K33" s="1120">
        <f t="shared" si="49"/>
        <v>0</v>
      </c>
      <c r="L33" s="1118">
        <f t="shared" si="50"/>
        <v>1</v>
      </c>
      <c r="M33" s="431">
        <f t="shared" si="51"/>
        <v>21.99</v>
      </c>
      <c r="N33" s="431">
        <f t="shared" si="52"/>
        <v>21.99</v>
      </c>
      <c r="O33" s="431">
        <f t="shared" si="53"/>
        <v>21.99</v>
      </c>
      <c r="P33" s="431">
        <f t="shared" si="54"/>
        <v>28.23</v>
      </c>
      <c r="Q33" s="431">
        <f t="shared" si="55"/>
        <v>28.23</v>
      </c>
      <c r="R33" s="431">
        <f t="shared" si="56"/>
        <v>28.23</v>
      </c>
      <c r="S33" s="732">
        <f t="shared" si="76"/>
        <v>0</v>
      </c>
      <c r="T33" s="694">
        <f t="shared" si="77"/>
        <v>0</v>
      </c>
      <c r="U33" s="694">
        <f t="shared" si="78"/>
        <v>0</v>
      </c>
      <c r="V33" s="1141">
        <v>1</v>
      </c>
      <c r="W33" s="1141">
        <v>0</v>
      </c>
      <c r="X33" s="1141">
        <f t="shared" si="60"/>
        <v>1</v>
      </c>
      <c r="Y33" s="430">
        <f t="shared" si="61"/>
        <v>21.99</v>
      </c>
      <c r="Z33" s="430">
        <f t="shared" si="62"/>
        <v>28.23</v>
      </c>
      <c r="AA33" s="1141">
        <v>1</v>
      </c>
      <c r="AB33" s="1141">
        <f t="shared" si="63"/>
        <v>1</v>
      </c>
      <c r="AC33" s="1141">
        <f t="shared" si="82"/>
        <v>0</v>
      </c>
      <c r="AD33" s="1100">
        <f t="shared" si="65"/>
        <v>0</v>
      </c>
      <c r="AE33" s="883">
        <f t="shared" si="66"/>
        <v>0</v>
      </c>
      <c r="AI33" s="243" t="str">
        <f t="shared" si="45"/>
        <v>Plastic Sheeting</v>
      </c>
      <c r="AJ33" s="206" t="str">
        <f t="shared" si="67"/>
        <v>Yes</v>
      </c>
      <c r="AK33" s="206" t="str">
        <f t="shared" si="68"/>
        <v>Home Imp, Hardware, Variety</v>
      </c>
      <c r="AL33" s="188">
        <f t="shared" si="69"/>
        <v>1</v>
      </c>
      <c r="AM33" s="188">
        <f t="shared" si="70"/>
        <v>1</v>
      </c>
      <c r="AN33" s="189">
        <f t="shared" si="71"/>
        <v>21.99</v>
      </c>
      <c r="AO33" s="189">
        <f t="shared" si="72"/>
        <v>21.99</v>
      </c>
      <c r="AP33" s="189">
        <f t="shared" si="73"/>
        <v>21.99</v>
      </c>
      <c r="AQ33" s="189">
        <f t="shared" si="74"/>
        <v>28.23</v>
      </c>
      <c r="AR33" s="189">
        <f t="shared" si="12"/>
        <v>28.23</v>
      </c>
      <c r="AS33" s="190">
        <f t="shared" si="13"/>
        <v>28.23</v>
      </c>
      <c r="AU33" s="299" t="str">
        <f t="shared" si="47"/>
        <v>Plastic Sheeting</v>
      </c>
      <c r="AV33" s="304" t="str">
        <f t="shared" si="75"/>
        <v>Used to create a tent that holds the lamp heat so that algae bottles ambient temperature is higher than room temp.</v>
      </c>
    </row>
    <row r="34" spans="1:48" ht="48" thickBot="1" x14ac:dyDescent="0.3">
      <c r="A34" s="572" t="s">
        <v>72</v>
      </c>
      <c r="B34" s="1400" t="s">
        <v>794</v>
      </c>
      <c r="C34" s="573" t="s">
        <v>66</v>
      </c>
      <c r="D34" s="574" t="s">
        <v>230</v>
      </c>
      <c r="E34" s="574"/>
      <c r="F34" s="638">
        <v>10</v>
      </c>
      <c r="G34" s="1317">
        <v>6.7</v>
      </c>
      <c r="H34" s="1133">
        <v>1</v>
      </c>
      <c r="I34" s="1125">
        <v>1</v>
      </c>
      <c r="J34" s="1126">
        <f t="shared" si="48"/>
        <v>1</v>
      </c>
      <c r="K34" s="1127">
        <f t="shared" si="49"/>
        <v>0</v>
      </c>
      <c r="L34" s="1125">
        <f t="shared" si="50"/>
        <v>1</v>
      </c>
      <c r="M34" s="1062">
        <f t="shared" si="51"/>
        <v>10</v>
      </c>
      <c r="N34" s="1062">
        <f t="shared" si="52"/>
        <v>10</v>
      </c>
      <c r="O34" s="1062">
        <f t="shared" si="53"/>
        <v>10</v>
      </c>
      <c r="P34" s="1062">
        <f t="shared" si="54"/>
        <v>6.7</v>
      </c>
      <c r="Q34" s="1062">
        <f t="shared" si="55"/>
        <v>6.7</v>
      </c>
      <c r="R34" s="1062">
        <f t="shared" si="56"/>
        <v>6.7</v>
      </c>
      <c r="S34" s="732">
        <f t="shared" si="76"/>
        <v>0</v>
      </c>
      <c r="T34" s="694">
        <f t="shared" si="77"/>
        <v>0</v>
      </c>
      <c r="U34" s="694">
        <f t="shared" si="78"/>
        <v>0</v>
      </c>
      <c r="V34" s="1147">
        <v>1</v>
      </c>
      <c r="W34" s="1147">
        <v>0</v>
      </c>
      <c r="X34" s="1147">
        <f t="shared" si="60"/>
        <v>1</v>
      </c>
      <c r="Y34" s="1063">
        <f t="shared" si="61"/>
        <v>10</v>
      </c>
      <c r="Z34" s="1063">
        <f t="shared" si="62"/>
        <v>6.7</v>
      </c>
      <c r="AA34" s="1147">
        <v>1</v>
      </c>
      <c r="AB34" s="1147">
        <f t="shared" si="63"/>
        <v>1</v>
      </c>
      <c r="AC34" s="1147">
        <f t="shared" si="82"/>
        <v>0</v>
      </c>
      <c r="AD34" s="1106">
        <f t="shared" si="65"/>
        <v>0</v>
      </c>
      <c r="AE34" s="1107">
        <f t="shared" si="66"/>
        <v>0</v>
      </c>
      <c r="AI34" s="260" t="str">
        <f t="shared" si="45"/>
        <v>Thermometer</v>
      </c>
      <c r="AJ34" s="259" t="str">
        <f t="shared" si="67"/>
        <v>yes</v>
      </c>
      <c r="AK34" s="259" t="str">
        <f t="shared" si="68"/>
        <v>Home Imp, Hardware, Variety</v>
      </c>
      <c r="AL34" s="229">
        <f t="shared" si="69"/>
        <v>1</v>
      </c>
      <c r="AM34" s="229">
        <f t="shared" si="70"/>
        <v>1</v>
      </c>
      <c r="AN34" s="216">
        <f t="shared" si="71"/>
        <v>10</v>
      </c>
      <c r="AO34" s="216">
        <f t="shared" si="72"/>
        <v>10</v>
      </c>
      <c r="AP34" s="216">
        <f t="shared" si="73"/>
        <v>10</v>
      </c>
      <c r="AQ34" s="216">
        <f t="shared" si="74"/>
        <v>6.7</v>
      </c>
      <c r="AR34" s="216">
        <f t="shared" si="12"/>
        <v>6.7</v>
      </c>
      <c r="AS34" s="250">
        <f t="shared" si="13"/>
        <v>6.7</v>
      </c>
      <c r="AU34" s="299" t="str">
        <f t="shared" si="47"/>
        <v>Thermometer</v>
      </c>
      <c r="AV34" s="304"/>
    </row>
    <row r="35" spans="1:48" s="8" customFormat="1" ht="30" customHeight="1" thickBot="1" x14ac:dyDescent="0.3">
      <c r="A35" s="1084" t="s">
        <v>105</v>
      </c>
      <c r="B35" s="1085"/>
      <c r="C35" s="1085"/>
      <c r="D35" s="1085"/>
      <c r="E35" s="1085"/>
      <c r="F35" s="1315" t="s">
        <v>576</v>
      </c>
      <c r="G35" s="1316" t="s">
        <v>576</v>
      </c>
      <c r="H35" s="1128"/>
      <c r="I35" s="1128"/>
      <c r="J35" s="1128"/>
      <c r="K35" s="1128"/>
      <c r="L35" s="1128"/>
      <c r="M35" s="1086">
        <f t="shared" ref="M35:U35" si="83">SUM(M14:M34)</f>
        <v>265.47000000000003</v>
      </c>
      <c r="N35" s="1086">
        <f t="shared" si="83"/>
        <v>265.47000000000003</v>
      </c>
      <c r="O35" s="1086">
        <f t="shared" si="83"/>
        <v>295.29000000000002</v>
      </c>
      <c r="P35" s="1086">
        <f t="shared" si="83"/>
        <v>259.55</v>
      </c>
      <c r="Q35" s="1086">
        <f t="shared" si="83"/>
        <v>259.55</v>
      </c>
      <c r="R35" s="1086">
        <f t="shared" si="83"/>
        <v>278.51000000000005</v>
      </c>
      <c r="S35" s="1086"/>
      <c r="T35" s="1086">
        <f t="shared" si="83"/>
        <v>0</v>
      </c>
      <c r="U35" s="1086">
        <f t="shared" si="83"/>
        <v>0</v>
      </c>
      <c r="V35" s="1148"/>
      <c r="W35" s="1148"/>
      <c r="X35" s="1148"/>
      <c r="Y35" s="1087">
        <f>SUM(Y14:Y34)</f>
        <v>224.54000000000005</v>
      </c>
      <c r="Z35" s="1087">
        <f>SUM(Z14:Z34)</f>
        <v>215.28</v>
      </c>
      <c r="AA35" s="1148"/>
      <c r="AB35" s="1148"/>
      <c r="AC35" s="1148"/>
      <c r="AD35" s="1087">
        <f>SUM(AD14:AD34)</f>
        <v>52.54</v>
      </c>
      <c r="AE35" s="1088">
        <f>SUM(AE14:AE34)</f>
        <v>43.499999999999993</v>
      </c>
      <c r="AI35" s="1815" t="str">
        <f t="shared" si="45"/>
        <v>Subtotal</v>
      </c>
      <c r="AJ35" s="1766"/>
      <c r="AK35" s="1766"/>
      <c r="AL35" s="1766"/>
      <c r="AM35" s="1766"/>
      <c r="AN35" s="261" t="str">
        <f t="shared" si="71"/>
        <v>-</v>
      </c>
      <c r="AO35" s="256">
        <f t="shared" si="72"/>
        <v>265.47000000000003</v>
      </c>
      <c r="AP35" s="256">
        <f t="shared" si="73"/>
        <v>295.29000000000002</v>
      </c>
      <c r="AQ35" s="256" t="str">
        <f t="shared" si="74"/>
        <v>-</v>
      </c>
      <c r="AR35" s="256">
        <f t="shared" si="12"/>
        <v>259.55</v>
      </c>
      <c r="AS35" s="257">
        <f t="shared" si="13"/>
        <v>278.51000000000005</v>
      </c>
      <c r="AU35" s="13"/>
      <c r="AV35" s="13"/>
    </row>
    <row r="36" spans="1:48" s="8" customFormat="1" ht="67.5" customHeight="1" x14ac:dyDescent="0.25">
      <c r="A36" s="1064" t="s">
        <v>562</v>
      </c>
      <c r="B36" s="1065"/>
      <c r="C36" s="1065"/>
      <c r="D36" s="1065"/>
      <c r="E36" s="1065" t="s">
        <v>248</v>
      </c>
      <c r="F36" s="1318" t="s">
        <v>576</v>
      </c>
      <c r="G36" s="1066" t="s">
        <v>576</v>
      </c>
      <c r="H36" s="1134"/>
      <c r="I36" s="1134"/>
      <c r="J36" s="1134"/>
      <c r="K36" s="1134"/>
      <c r="L36" s="1134"/>
      <c r="M36" s="1023">
        <v>16.5</v>
      </c>
      <c r="N36" s="1023">
        <v>16.5</v>
      </c>
      <c r="O36" s="1023">
        <v>16.5</v>
      </c>
      <c r="P36" s="1023">
        <v>16.5</v>
      </c>
      <c r="Q36" s="1023">
        <v>16.5</v>
      </c>
      <c r="R36" s="1023">
        <v>16.5</v>
      </c>
      <c r="S36" s="1023"/>
      <c r="T36" s="1023"/>
      <c r="U36" s="1023"/>
      <c r="V36" s="1149"/>
      <c r="W36" s="1149"/>
      <c r="X36" s="1149"/>
      <c r="Y36" s="1024">
        <v>16.5</v>
      </c>
      <c r="Z36" s="1024">
        <v>16.5</v>
      </c>
      <c r="AA36" s="1149"/>
      <c r="AB36" s="1149"/>
      <c r="AC36" s="1149"/>
      <c r="AD36" s="1024">
        <v>16.5</v>
      </c>
      <c r="AE36" s="1025">
        <v>16.5</v>
      </c>
      <c r="AI36" s="1814" t="str">
        <f t="shared" si="45"/>
        <v>Online Shipping</v>
      </c>
      <c r="AJ36" s="1817" t="str">
        <f>E36</f>
        <v>Live culture surcharge $5-$28; average $16.50 for budgeting</v>
      </c>
      <c r="AK36" s="1818"/>
      <c r="AL36" s="1818"/>
      <c r="AM36" s="1819"/>
      <c r="AN36" s="263" t="str">
        <f t="shared" si="71"/>
        <v>-</v>
      </c>
      <c r="AO36" s="212">
        <f t="shared" si="72"/>
        <v>16.5</v>
      </c>
      <c r="AP36" s="212">
        <f t="shared" si="73"/>
        <v>16.5</v>
      </c>
      <c r="AQ36" s="212" t="str">
        <f t="shared" si="74"/>
        <v>-</v>
      </c>
      <c r="AR36" s="212">
        <f t="shared" si="12"/>
        <v>16.5</v>
      </c>
      <c r="AS36" s="253">
        <f t="shared" si="13"/>
        <v>16.5</v>
      </c>
      <c r="AU36" s="1799" t="str">
        <f>A36</f>
        <v>Online Shipping</v>
      </c>
      <c r="AV36" s="298" t="str">
        <f>E36</f>
        <v>Live culture surcharge $5-$28; average $16.50 for budgeting</v>
      </c>
    </row>
    <row r="37" spans="1:48" ht="28.5" customHeight="1" thickBot="1" x14ac:dyDescent="0.3">
      <c r="A37" s="1054"/>
      <c r="B37" s="1055"/>
      <c r="C37" s="1055"/>
      <c r="D37" s="1055"/>
      <c r="E37" s="1055" t="s">
        <v>247</v>
      </c>
      <c r="F37" s="1319"/>
      <c r="G37" s="638"/>
      <c r="H37" s="1125"/>
      <c r="I37" s="1124"/>
      <c r="J37" s="1124"/>
      <c r="K37" s="1124"/>
      <c r="L37" s="1124"/>
      <c r="M37" s="453"/>
      <c r="N37" s="454"/>
      <c r="O37" s="454"/>
      <c r="P37" s="454"/>
      <c r="Q37" s="454"/>
      <c r="R37" s="454"/>
      <c r="S37" s="454"/>
      <c r="T37" s="454"/>
      <c r="U37" s="454"/>
      <c r="V37" s="1144"/>
      <c r="W37" s="1144"/>
      <c r="X37" s="1144"/>
      <c r="Y37" s="639"/>
      <c r="Z37" s="639"/>
      <c r="AA37" s="1144"/>
      <c r="AB37" s="1144"/>
      <c r="AC37" s="1144"/>
      <c r="AD37" s="639"/>
      <c r="AE37" s="885"/>
      <c r="AI37" s="1815"/>
      <c r="AJ37" s="1811" t="str">
        <f>E37</f>
        <v>Amazon, PetCo, PetSmart, Lowe's and Home Depot often offer free shipping or free in-store pickup</v>
      </c>
      <c r="AK37" s="1812"/>
      <c r="AL37" s="1812"/>
      <c r="AM37" s="1813"/>
      <c r="AN37" s="262">
        <f t="shared" si="71"/>
        <v>0</v>
      </c>
      <c r="AO37" s="216">
        <f t="shared" si="72"/>
        <v>0</v>
      </c>
      <c r="AP37" s="216">
        <f t="shared" si="73"/>
        <v>0</v>
      </c>
      <c r="AQ37" s="216">
        <f t="shared" si="74"/>
        <v>0</v>
      </c>
      <c r="AR37" s="216">
        <f t="shared" si="12"/>
        <v>0</v>
      </c>
      <c r="AS37" s="250">
        <f t="shared" si="13"/>
        <v>0</v>
      </c>
      <c r="AU37" s="1800"/>
      <c r="AV37" s="298" t="str">
        <f>E37</f>
        <v>Amazon, PetCo, PetSmart, Lowe's and Home Depot often offer free shipping or free in-store pickup</v>
      </c>
    </row>
    <row r="38" spans="1:48" ht="30" customHeight="1" thickBot="1" x14ac:dyDescent="0.3">
      <c r="A38" s="621" t="s">
        <v>26</v>
      </c>
      <c r="B38" s="1056"/>
      <c r="C38" s="1056"/>
      <c r="D38" s="1056"/>
      <c r="E38" s="1056"/>
      <c r="F38" s="1312" t="s">
        <v>576</v>
      </c>
      <c r="G38" s="1313" t="s">
        <v>576</v>
      </c>
      <c r="H38" s="1135"/>
      <c r="I38" s="1135"/>
      <c r="J38" s="1135"/>
      <c r="K38" s="1135"/>
      <c r="L38" s="1135"/>
      <c r="M38" s="1057">
        <f t="shared" ref="M38:U38" si="84">M12+M20+M35+M36</f>
        <v>394.56000000000006</v>
      </c>
      <c r="N38" s="1057">
        <f t="shared" si="84"/>
        <v>394.56000000000006</v>
      </c>
      <c r="O38" s="1057">
        <f t="shared" si="84"/>
        <v>444.38</v>
      </c>
      <c r="P38" s="1057">
        <f t="shared" si="84"/>
        <v>373.9</v>
      </c>
      <c r="Q38" s="1057">
        <f t="shared" si="84"/>
        <v>373.9</v>
      </c>
      <c r="R38" s="1057">
        <f t="shared" si="84"/>
        <v>408.84000000000003</v>
      </c>
      <c r="S38" s="1057"/>
      <c r="T38" s="1057">
        <f t="shared" si="84"/>
        <v>6</v>
      </c>
      <c r="U38" s="1057">
        <f t="shared" si="84"/>
        <v>4.9000000000000004</v>
      </c>
      <c r="V38" s="1150"/>
      <c r="W38" s="1150"/>
      <c r="X38" s="1150"/>
      <c r="Y38" s="1058">
        <f>Y12+Y20+Y35+Y36</f>
        <v>350.63000000000005</v>
      </c>
      <c r="Z38" s="1058">
        <f>Z12+Z20+Z35+Z36</f>
        <v>332.03999999999996</v>
      </c>
      <c r="AA38" s="1150"/>
      <c r="AB38" s="1150"/>
      <c r="AC38" s="1150"/>
      <c r="AD38" s="1058">
        <f>AD12+AD20+AD35+AD36</f>
        <v>117.03999999999999</v>
      </c>
      <c r="AE38" s="1059">
        <f>AE12+AE20+AE35+AE36</f>
        <v>103.16999999999999</v>
      </c>
      <c r="AI38" s="1761" t="str">
        <f>A38</f>
        <v>Totals</v>
      </c>
      <c r="AJ38" s="1816"/>
      <c r="AK38" s="1816"/>
      <c r="AL38" s="1816"/>
      <c r="AM38" s="1816"/>
      <c r="AN38" s="261" t="str">
        <f t="shared" si="71"/>
        <v>-</v>
      </c>
      <c r="AO38" s="256">
        <f t="shared" si="72"/>
        <v>394.56000000000006</v>
      </c>
      <c r="AP38" s="256">
        <f t="shared" si="73"/>
        <v>444.38</v>
      </c>
      <c r="AQ38" s="256" t="str">
        <f t="shared" si="74"/>
        <v>-</v>
      </c>
      <c r="AR38" s="256">
        <f t="shared" si="12"/>
        <v>373.9</v>
      </c>
      <c r="AS38" s="257">
        <f t="shared" si="13"/>
        <v>408.84000000000003</v>
      </c>
      <c r="AU38" s="13"/>
      <c r="AV38" s="13"/>
    </row>
    <row r="39" spans="1:48" ht="30" customHeight="1" thickBot="1" x14ac:dyDescent="0.3">
      <c r="A39" s="1866" t="s">
        <v>829</v>
      </c>
      <c r="B39" s="1867"/>
      <c r="C39" s="1867"/>
      <c r="D39" s="1867"/>
      <c r="E39" s="1867"/>
      <c r="F39" s="1867"/>
      <c r="G39" s="1868"/>
      <c r="H39" s="1123"/>
      <c r="I39" s="1123"/>
      <c r="J39" s="1123"/>
      <c r="K39" s="1123"/>
      <c r="L39" s="1123"/>
      <c r="M39" s="881"/>
      <c r="N39" s="881"/>
      <c r="O39" s="881"/>
      <c r="P39" s="881"/>
      <c r="Q39" s="881"/>
      <c r="R39" s="881"/>
      <c r="S39" s="881"/>
      <c r="T39" s="881"/>
      <c r="U39" s="881"/>
      <c r="V39" s="1143"/>
      <c r="W39" s="1143"/>
      <c r="X39" s="1143"/>
      <c r="Y39" s="640"/>
      <c r="Z39" s="640"/>
      <c r="AA39" s="1152"/>
      <c r="AB39" s="1152"/>
      <c r="AC39" s="1152"/>
      <c r="AD39" s="1101"/>
      <c r="AE39" s="1102"/>
      <c r="AI39" s="1855" t="str">
        <f>A39</f>
        <v>Parts to purchase if building low-cost light stand that doesn't use threaded connectors
(omit all threaded PVC pieces listed above)</v>
      </c>
      <c r="AJ39" s="1856"/>
      <c r="AK39" s="1856"/>
      <c r="AL39" s="1856"/>
      <c r="AM39" s="1856"/>
      <c r="AN39" s="1856"/>
      <c r="AO39" s="1856"/>
      <c r="AP39" s="1856"/>
      <c r="AQ39" s="1856"/>
      <c r="AR39" s="1856"/>
      <c r="AS39" s="1857"/>
      <c r="AU39" s="1801" t="str">
        <f>A39</f>
        <v>Parts to purchase if building low-cost light stand that doesn't use threaded connectors
(omit all threaded PVC pieces listed above)</v>
      </c>
      <c r="AV39" s="1802"/>
    </row>
    <row r="40" spans="1:48" ht="47.25" x14ac:dyDescent="0.25">
      <c r="A40" s="1858" t="s">
        <v>599</v>
      </c>
      <c r="B40" s="1397" t="s">
        <v>794</v>
      </c>
      <c r="C40" s="1860" t="s">
        <v>66</v>
      </c>
      <c r="D40" s="521" t="s">
        <v>230</v>
      </c>
      <c r="E40" s="1862" t="s">
        <v>236</v>
      </c>
      <c r="F40" s="641">
        <v>0.42</v>
      </c>
      <c r="G40" s="641">
        <v>0</v>
      </c>
      <c r="H40" s="1113">
        <v>4</v>
      </c>
      <c r="I40" s="1114">
        <v>4</v>
      </c>
      <c r="J40" s="1115">
        <f t="shared" ref="J40:J41" si="85">H40-K40*30</f>
        <v>4</v>
      </c>
      <c r="K40" s="1116">
        <f t="shared" ref="K40:K41" si="86">(I40-H40)/10</f>
        <v>0</v>
      </c>
      <c r="L40" s="1114">
        <f t="shared" ref="L40:L41" si="87">ROUNDUP(J40+(K40*L$3),0)</f>
        <v>4</v>
      </c>
      <c r="M40" s="636">
        <f>L40*F40</f>
        <v>1.68</v>
      </c>
      <c r="N40" s="636">
        <f>H40*F40</f>
        <v>1.68</v>
      </c>
      <c r="O40" s="636">
        <f>F40*I40</f>
        <v>1.68</v>
      </c>
      <c r="P40" s="636">
        <f>G40*L40</f>
        <v>0</v>
      </c>
      <c r="Q40" s="636">
        <f>G40*H40</f>
        <v>0</v>
      </c>
      <c r="R40" s="636">
        <f>G40*I40</f>
        <v>0</v>
      </c>
      <c r="S40" s="732">
        <f t="shared" ref="S40:S41" si="88">IF(C40="yes",0,L40)</f>
        <v>0</v>
      </c>
      <c r="T40" s="694">
        <f t="shared" ref="T40:T41" si="89">S40*F40</f>
        <v>0</v>
      </c>
      <c r="U40" s="694">
        <f t="shared" ref="U40:U41" si="90">S40*G40</f>
        <v>0</v>
      </c>
      <c r="V40" s="1140">
        <v>4</v>
      </c>
      <c r="W40" s="1140">
        <v>0</v>
      </c>
      <c r="X40" s="1140">
        <f>ROUNDUP(V40+AB$3/X$3*W40,0)</f>
        <v>4</v>
      </c>
      <c r="Y40" s="637">
        <f>X40*F40</f>
        <v>1.68</v>
      </c>
      <c r="Z40" s="637">
        <f>X40*G40</f>
        <v>0</v>
      </c>
      <c r="AA40" s="1140">
        <v>1</v>
      </c>
      <c r="AB40" s="1140">
        <f>AE$3*AA40</f>
        <v>1</v>
      </c>
      <c r="AC40" s="1140">
        <f t="shared" ref="AC40:AC41" si="91">MAX(X40-AB40,0)</f>
        <v>3</v>
      </c>
      <c r="AD40" s="1099">
        <f>AC40*F40</f>
        <v>1.26</v>
      </c>
      <c r="AE40" s="882">
        <f>AC40*G40</f>
        <v>0</v>
      </c>
      <c r="AI40" s="1864" t="str">
        <f>A40</f>
        <v>3/4" PVC T couplings</v>
      </c>
      <c r="AJ40" s="1865" t="str">
        <f>C40</f>
        <v>yes</v>
      </c>
      <c r="AK40" s="238" t="str">
        <f>D40</f>
        <v>Home Imp, Hardware, Variety</v>
      </c>
      <c r="AL40" s="239">
        <f>H40</f>
        <v>4</v>
      </c>
      <c r="AM40" s="239">
        <f>I40</f>
        <v>4</v>
      </c>
      <c r="AN40" s="209">
        <f>F40</f>
        <v>0.42</v>
      </c>
      <c r="AO40" s="209">
        <f>N40</f>
        <v>1.68</v>
      </c>
      <c r="AP40" s="209">
        <f>O40</f>
        <v>1.68</v>
      </c>
      <c r="AQ40" s="209">
        <f>G40</f>
        <v>0</v>
      </c>
      <c r="AR40" s="209">
        <f t="shared" ref="AR40:AR41" si="92">Q40</f>
        <v>0</v>
      </c>
      <c r="AS40" s="208">
        <f t="shared" ref="AS40:AS41" si="93">R40</f>
        <v>0</v>
      </c>
      <c r="AU40" s="302" t="str">
        <f>A40</f>
        <v>3/4" PVC T couplings</v>
      </c>
      <c r="AV40" s="303" t="str">
        <f>E40</f>
        <v>See instructions for assembling stand</v>
      </c>
    </row>
    <row r="41" spans="1:48" ht="16.5" thickBot="1" x14ac:dyDescent="0.3">
      <c r="A41" s="1859"/>
      <c r="B41" s="1437" t="s">
        <v>776</v>
      </c>
      <c r="C41" s="1861"/>
      <c r="D41" s="527" t="s">
        <v>104</v>
      </c>
      <c r="E41" s="1863"/>
      <c r="F41" s="575">
        <v>0</v>
      </c>
      <c r="G41" s="575">
        <v>6.41</v>
      </c>
      <c r="H41" s="1136">
        <v>1</v>
      </c>
      <c r="I41" s="1137">
        <v>1</v>
      </c>
      <c r="J41" s="1138">
        <f t="shared" si="85"/>
        <v>1</v>
      </c>
      <c r="K41" s="1139">
        <f t="shared" si="86"/>
        <v>0</v>
      </c>
      <c r="L41" s="1137">
        <f t="shared" si="87"/>
        <v>1</v>
      </c>
      <c r="M41" s="576">
        <f>L41*F41</f>
        <v>0</v>
      </c>
      <c r="N41" s="576">
        <f>H41*F41</f>
        <v>0</v>
      </c>
      <c r="O41" s="576">
        <f>F41*I41</f>
        <v>0</v>
      </c>
      <c r="P41" s="576">
        <f>G41*L41</f>
        <v>6.41</v>
      </c>
      <c r="Q41" s="576">
        <f>G41*H41</f>
        <v>6.41</v>
      </c>
      <c r="R41" s="576">
        <f>G41*I41</f>
        <v>6.41</v>
      </c>
      <c r="S41" s="732">
        <f t="shared" si="88"/>
        <v>1</v>
      </c>
      <c r="T41" s="694">
        <f t="shared" si="89"/>
        <v>0</v>
      </c>
      <c r="U41" s="694">
        <f t="shared" si="90"/>
        <v>6.41</v>
      </c>
      <c r="V41" s="1151">
        <v>1</v>
      </c>
      <c r="W41" s="1151">
        <v>0</v>
      </c>
      <c r="X41" s="1151">
        <f>ROUNDUP(V41+AB$3/X$3*W41,0)</f>
        <v>1</v>
      </c>
      <c r="Y41" s="578">
        <f>X41*F41</f>
        <v>0</v>
      </c>
      <c r="Z41" s="578">
        <f>X41*G41</f>
        <v>6.41</v>
      </c>
      <c r="AA41" s="1151">
        <v>1</v>
      </c>
      <c r="AB41" s="1151">
        <f>AE$3*AA41</f>
        <v>1</v>
      </c>
      <c r="AC41" s="1151">
        <f t="shared" si="91"/>
        <v>0</v>
      </c>
      <c r="AD41" s="1108">
        <f>AC41*F41</f>
        <v>0</v>
      </c>
      <c r="AE41" s="1109">
        <f>AC41*G41</f>
        <v>0</v>
      </c>
      <c r="AI41" s="1822"/>
      <c r="AJ41" s="1823"/>
      <c r="AK41" s="297" t="str">
        <f>D41</f>
        <v>Amazon</v>
      </c>
      <c r="AL41" s="229">
        <f>H41</f>
        <v>1</v>
      </c>
      <c r="AM41" s="229">
        <f>I41</f>
        <v>1</v>
      </c>
      <c r="AN41" s="218">
        <f>F41</f>
        <v>0</v>
      </c>
      <c r="AO41" s="218">
        <f>N41</f>
        <v>0</v>
      </c>
      <c r="AP41" s="218">
        <f>O41</f>
        <v>0</v>
      </c>
      <c r="AQ41" s="218">
        <f>G41</f>
        <v>6.41</v>
      </c>
      <c r="AR41" s="218">
        <f t="shared" si="92"/>
        <v>6.41</v>
      </c>
      <c r="AS41" s="237">
        <f t="shared" si="93"/>
        <v>6.41</v>
      </c>
    </row>
  </sheetData>
  <mergeCells count="61">
    <mergeCell ref="F3:G3"/>
    <mergeCell ref="E17:E18"/>
    <mergeCell ref="E14:E15"/>
    <mergeCell ref="A14:A15"/>
    <mergeCell ref="A17:A18"/>
    <mergeCell ref="A8:A9"/>
    <mergeCell ref="A10:A11"/>
    <mergeCell ref="C10:C11"/>
    <mergeCell ref="AI39:AS39"/>
    <mergeCell ref="A40:A41"/>
    <mergeCell ref="C40:C41"/>
    <mergeCell ref="E40:E41"/>
    <mergeCell ref="AI40:AI41"/>
    <mergeCell ref="AJ40:AJ41"/>
    <mergeCell ref="A39:G39"/>
    <mergeCell ref="A2:E2"/>
    <mergeCell ref="AI3:AS3"/>
    <mergeCell ref="AI4:AK4"/>
    <mergeCell ref="AL4:AM4"/>
    <mergeCell ref="AN4:AP4"/>
    <mergeCell ref="AQ4:AS4"/>
    <mergeCell ref="V2:AE2"/>
    <mergeCell ref="H4:I4"/>
    <mergeCell ref="J4:L4"/>
    <mergeCell ref="Y4:Z4"/>
    <mergeCell ref="AD4:AE4"/>
    <mergeCell ref="AA4:AC4"/>
    <mergeCell ref="V4:X4"/>
    <mergeCell ref="H2:R2"/>
    <mergeCell ref="M4:O4"/>
    <mergeCell ref="P4:R4"/>
    <mergeCell ref="AI20:AM20"/>
    <mergeCell ref="AI35:AM35"/>
    <mergeCell ref="AJ36:AM36"/>
    <mergeCell ref="AI12:AM12"/>
    <mergeCell ref="AI6:AS6"/>
    <mergeCell ref="AI8:AI9"/>
    <mergeCell ref="AJ8:AJ9"/>
    <mergeCell ref="AI10:AI11"/>
    <mergeCell ref="AJ10:AJ11"/>
    <mergeCell ref="AI17:AI18"/>
    <mergeCell ref="AI21:AS21"/>
    <mergeCell ref="AI13:AS13"/>
    <mergeCell ref="AI14:AI15"/>
    <mergeCell ref="AJ14:AJ15"/>
    <mergeCell ref="S3:U3"/>
    <mergeCell ref="AU36:AU37"/>
    <mergeCell ref="AU39:AV39"/>
    <mergeCell ref="AU17:AU18"/>
    <mergeCell ref="AV17:AV18"/>
    <mergeCell ref="AU6:AV6"/>
    <mergeCell ref="AU13:AV13"/>
    <mergeCell ref="AU21:AV21"/>
    <mergeCell ref="AU8:AU9"/>
    <mergeCell ref="AV8:AV9"/>
    <mergeCell ref="AU10:AU11"/>
    <mergeCell ref="AU14:AU15"/>
    <mergeCell ref="AV14:AV15"/>
    <mergeCell ref="AJ37:AM37"/>
    <mergeCell ref="AI36:AI37"/>
    <mergeCell ref="AI38:AM38"/>
  </mergeCells>
  <pageMargins left="0.25" right="0.25" top="0.75" bottom="0.75" header="0.3" footer="0.3"/>
  <pageSetup scale="85"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zoomScaleNormal="100" workbookViewId="0">
      <selection activeCell="P25" sqref="P25"/>
    </sheetView>
  </sheetViews>
  <sheetFormatPr defaultRowHeight="15" x14ac:dyDescent="0.25"/>
  <cols>
    <col min="1" max="1" width="34.42578125" customWidth="1"/>
    <col min="2" max="2" width="13.140625" customWidth="1"/>
    <col min="3" max="3" width="12.42578125" customWidth="1"/>
    <col min="4" max="4" width="14.140625" customWidth="1"/>
    <col min="5" max="5" width="10.42578125" customWidth="1"/>
    <col min="7" max="7" width="11.42578125" customWidth="1"/>
    <col min="8" max="8" width="10.42578125" customWidth="1"/>
  </cols>
  <sheetData>
    <row r="1" spans="1:8" s="107" customFormat="1" ht="15.75" x14ac:dyDescent="0.25">
      <c r="A1" s="59" t="s">
        <v>289</v>
      </c>
      <c r="B1" s="111"/>
      <c r="C1" s="111"/>
      <c r="D1" s="111"/>
      <c r="E1" s="111"/>
      <c r="F1" s="111"/>
      <c r="G1" s="111"/>
      <c r="H1" s="111"/>
    </row>
    <row r="2" spans="1:8" ht="54.75" customHeight="1" x14ac:dyDescent="0.25">
      <c r="A2" s="37"/>
      <c r="B2" s="112" t="s">
        <v>290</v>
      </c>
      <c r="C2" s="106" t="s">
        <v>291</v>
      </c>
      <c r="D2" s="113">
        <f>Budget!B27</f>
        <v>30</v>
      </c>
      <c r="E2" s="106" t="s">
        <v>99</v>
      </c>
      <c r="F2" s="113">
        <f>Budget!C27</f>
        <v>3</v>
      </c>
      <c r="G2" s="122" t="s">
        <v>196</v>
      </c>
      <c r="H2" s="123">
        <f>Budget!I7</f>
        <v>1</v>
      </c>
    </row>
    <row r="3" spans="1:8" ht="43.15" x14ac:dyDescent="0.3">
      <c r="A3" s="114" t="s">
        <v>293</v>
      </c>
      <c r="B3" s="115" t="s">
        <v>75</v>
      </c>
      <c r="C3" s="58" t="s">
        <v>295</v>
      </c>
      <c r="D3" s="58" t="s">
        <v>294</v>
      </c>
      <c r="E3" s="109" t="s">
        <v>197</v>
      </c>
      <c r="F3" s="109" t="s">
        <v>198</v>
      </c>
      <c r="G3" s="110" t="s">
        <v>200</v>
      </c>
      <c r="H3" s="109" t="s">
        <v>296</v>
      </c>
    </row>
    <row r="4" spans="1:8" ht="15.6" x14ac:dyDescent="0.3">
      <c r="A4" s="116" t="s">
        <v>284</v>
      </c>
      <c r="B4" s="117">
        <v>0.05</v>
      </c>
      <c r="C4" s="118">
        <f>D$2/F$2</f>
        <v>10</v>
      </c>
      <c r="D4" s="119">
        <f>B4*C4</f>
        <v>0.5</v>
      </c>
      <c r="E4" s="37">
        <v>5</v>
      </c>
      <c r="F4" s="37">
        <f>E4*H$2</f>
        <v>5</v>
      </c>
      <c r="G4" s="124">
        <f>MAX(C4-F4,0)</f>
        <v>5</v>
      </c>
      <c r="H4" s="117">
        <f>G4*B4</f>
        <v>0.25</v>
      </c>
    </row>
    <row r="5" spans="1:8" ht="15.6" x14ac:dyDescent="0.3">
      <c r="A5" s="116" t="s">
        <v>285</v>
      </c>
      <c r="B5" s="117">
        <v>0.02</v>
      </c>
      <c r="C5" s="118">
        <f>D$2/F$2</f>
        <v>10</v>
      </c>
      <c r="D5" s="119">
        <f t="shared" ref="D5:D8" si="0">B5*C5</f>
        <v>0.2</v>
      </c>
      <c r="E5" s="37">
        <v>5</v>
      </c>
      <c r="F5" s="37">
        <f t="shared" ref="F5:F8" si="1">E5*H$2</f>
        <v>5</v>
      </c>
      <c r="G5" s="124">
        <f t="shared" ref="G5:G8" si="2">MAX(C5-F5,0)</f>
        <v>5</v>
      </c>
      <c r="H5" s="117">
        <f t="shared" ref="H5:H8" si="3">G5*B5</f>
        <v>0.1</v>
      </c>
    </row>
    <row r="6" spans="1:8" ht="15.6" x14ac:dyDescent="0.3">
      <c r="A6" s="116" t="s">
        <v>286</v>
      </c>
      <c r="B6" s="117">
        <v>0.02</v>
      </c>
      <c r="C6" s="118">
        <f>D$2/F$2</f>
        <v>10</v>
      </c>
      <c r="D6" s="119">
        <f t="shared" si="0"/>
        <v>0.2</v>
      </c>
      <c r="E6" s="37">
        <v>5</v>
      </c>
      <c r="F6" s="37">
        <f t="shared" si="1"/>
        <v>5</v>
      </c>
      <c r="G6" s="124">
        <f t="shared" si="2"/>
        <v>5</v>
      </c>
      <c r="H6" s="117">
        <f t="shared" si="3"/>
        <v>0.1</v>
      </c>
    </row>
    <row r="7" spans="1:8" ht="15.75" x14ac:dyDescent="0.25">
      <c r="A7" s="116" t="s">
        <v>306</v>
      </c>
      <c r="B7" s="117">
        <v>0</v>
      </c>
      <c r="C7" s="118">
        <f>D$2/F$2</f>
        <v>10</v>
      </c>
      <c r="D7" s="119">
        <f t="shared" si="0"/>
        <v>0</v>
      </c>
      <c r="E7" s="37">
        <v>1</v>
      </c>
      <c r="F7" s="37">
        <f t="shared" si="1"/>
        <v>1</v>
      </c>
      <c r="G7" s="124">
        <f t="shared" si="2"/>
        <v>9</v>
      </c>
      <c r="H7" s="117">
        <f t="shared" si="3"/>
        <v>0</v>
      </c>
    </row>
    <row r="8" spans="1:8" ht="15.75" x14ac:dyDescent="0.25">
      <c r="A8" s="120" t="s">
        <v>288</v>
      </c>
      <c r="B8" s="117">
        <v>0.02</v>
      </c>
      <c r="C8" s="118">
        <f>D$2/F$2</f>
        <v>10</v>
      </c>
      <c r="D8" s="119">
        <f t="shared" si="0"/>
        <v>0.2</v>
      </c>
      <c r="E8" s="37">
        <v>5</v>
      </c>
      <c r="F8" s="37">
        <f t="shared" si="1"/>
        <v>5</v>
      </c>
      <c r="G8" s="124">
        <f t="shared" si="2"/>
        <v>5</v>
      </c>
      <c r="H8" s="117">
        <f t="shared" si="3"/>
        <v>0.1</v>
      </c>
    </row>
    <row r="9" spans="1:8" ht="15.75" x14ac:dyDescent="0.25">
      <c r="A9" s="121" t="s">
        <v>5</v>
      </c>
      <c r="B9" s="117">
        <f>SUM(B4:B8)</f>
        <v>0.11000000000000001</v>
      </c>
      <c r="C9" s="118"/>
      <c r="D9" s="117">
        <f>SUM(D4:D8)</f>
        <v>1.0999999999999999</v>
      </c>
      <c r="E9" s="37"/>
      <c r="F9" s="37"/>
      <c r="G9" s="37"/>
      <c r="H9" s="117">
        <f>SUM(H4:H8)</f>
        <v>0.54999999999999993</v>
      </c>
    </row>
    <row r="11" spans="1:8" x14ac:dyDescent="0.25">
      <c r="A11" t="s">
        <v>310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C14" sqref="C14"/>
    </sheetView>
  </sheetViews>
  <sheetFormatPr defaultRowHeight="15" x14ac:dyDescent="0.25"/>
  <cols>
    <col min="2" max="2" width="55" customWidth="1"/>
    <col min="3" max="4" width="13" customWidth="1"/>
    <col min="5" max="5" width="10" customWidth="1"/>
    <col min="9" max="9" width="10.28515625" customWidth="1"/>
  </cols>
  <sheetData>
    <row r="1" spans="1:9" s="107" customFormat="1" ht="18.75" x14ac:dyDescent="0.35">
      <c r="A1" s="1879" t="s">
        <v>297</v>
      </c>
      <c r="B1" s="1879"/>
      <c r="C1" s="111"/>
      <c r="D1" s="111"/>
      <c r="E1" s="111"/>
      <c r="F1" s="111"/>
      <c r="G1" s="111"/>
      <c r="H1" s="111"/>
      <c r="I1" s="111"/>
    </row>
    <row r="2" spans="1:9" ht="54.75" customHeight="1" x14ac:dyDescent="0.25">
      <c r="A2" s="37"/>
      <c r="B2" s="112" t="s">
        <v>290</v>
      </c>
      <c r="C2" s="106" t="s">
        <v>291</v>
      </c>
      <c r="D2" s="113">
        <f>Budget!B27</f>
        <v>30</v>
      </c>
      <c r="E2" s="106" t="s">
        <v>99</v>
      </c>
      <c r="F2" s="113">
        <f>Budget!C27</f>
        <v>3</v>
      </c>
      <c r="G2" s="122" t="s">
        <v>196</v>
      </c>
      <c r="H2" s="123">
        <f>Budget!I7</f>
        <v>1</v>
      </c>
      <c r="I2" s="37"/>
    </row>
    <row r="3" spans="1:9" ht="72" x14ac:dyDescent="0.3">
      <c r="A3" s="114" t="s">
        <v>276</v>
      </c>
      <c r="B3" s="37"/>
      <c r="C3" s="115" t="s">
        <v>75</v>
      </c>
      <c r="D3" s="58" t="s">
        <v>295</v>
      </c>
      <c r="E3" s="58" t="s">
        <v>294</v>
      </c>
      <c r="F3" s="109" t="s">
        <v>197</v>
      </c>
      <c r="G3" s="109" t="s">
        <v>198</v>
      </c>
      <c r="H3" s="110" t="s">
        <v>200</v>
      </c>
      <c r="I3" s="109" t="s">
        <v>296</v>
      </c>
    </row>
    <row r="4" spans="1:9" ht="31.9" customHeight="1" x14ac:dyDescent="0.25">
      <c r="A4" s="1880" t="s">
        <v>308</v>
      </c>
      <c r="B4" s="1881"/>
      <c r="C4" s="117">
        <v>0.15</v>
      </c>
      <c r="D4" s="118">
        <f>D$2/F$2</f>
        <v>10</v>
      </c>
      <c r="E4" s="119">
        <f>C4*D4</f>
        <v>1.5</v>
      </c>
      <c r="F4" s="37">
        <v>5</v>
      </c>
      <c r="G4" s="37">
        <f>F4*H$2</f>
        <v>5</v>
      </c>
      <c r="H4" s="124">
        <f>MAX(D4-G4,0)</f>
        <v>5</v>
      </c>
      <c r="I4" s="117">
        <f>H4*C4</f>
        <v>0.75</v>
      </c>
    </row>
    <row r="5" spans="1:9" ht="15.75" customHeight="1" x14ac:dyDescent="0.25">
      <c r="A5" s="1875" t="s">
        <v>304</v>
      </c>
      <c r="B5" s="1876"/>
      <c r="C5" s="117">
        <v>0.46</v>
      </c>
      <c r="D5" s="118">
        <f t="shared" ref="D5:D12" si="0">D$2/F$2</f>
        <v>10</v>
      </c>
      <c r="E5" s="119">
        <f t="shared" ref="E5:E12" si="1">C5*D5</f>
        <v>4.6000000000000005</v>
      </c>
      <c r="F5" s="37">
        <v>1</v>
      </c>
      <c r="G5" s="37">
        <f t="shared" ref="G5:G12" si="2">F5*H$2</f>
        <v>1</v>
      </c>
      <c r="H5" s="124">
        <f t="shared" ref="H5:H12" si="3">MAX(D5-G5,0)</f>
        <v>9</v>
      </c>
      <c r="I5" s="117">
        <f t="shared" ref="I5:I12" si="4">H5*C5</f>
        <v>4.1400000000000006</v>
      </c>
    </row>
    <row r="6" spans="1:9" ht="15.75" customHeight="1" x14ac:dyDescent="0.25">
      <c r="A6" s="1875" t="s">
        <v>755</v>
      </c>
      <c r="B6" s="1876"/>
      <c r="C6" s="117">
        <v>1</v>
      </c>
      <c r="D6" s="118">
        <f t="shared" si="0"/>
        <v>10</v>
      </c>
      <c r="E6" s="119">
        <f t="shared" si="1"/>
        <v>10</v>
      </c>
      <c r="F6" s="37">
        <v>1</v>
      </c>
      <c r="G6" s="37">
        <f t="shared" si="2"/>
        <v>1</v>
      </c>
      <c r="H6" s="124">
        <f t="shared" si="3"/>
        <v>9</v>
      </c>
      <c r="I6" s="117">
        <f t="shared" si="4"/>
        <v>9</v>
      </c>
    </row>
    <row r="7" spans="1:9" ht="15.75" customHeight="1" x14ac:dyDescent="0.25">
      <c r="A7" s="1875" t="s">
        <v>277</v>
      </c>
      <c r="B7" s="1876"/>
      <c r="C7" s="117">
        <v>0.5</v>
      </c>
      <c r="D7" s="118">
        <f t="shared" si="0"/>
        <v>10</v>
      </c>
      <c r="E7" s="119">
        <f t="shared" si="1"/>
        <v>5</v>
      </c>
      <c r="F7" s="37">
        <v>0</v>
      </c>
      <c r="G7" s="37">
        <f t="shared" si="2"/>
        <v>0</v>
      </c>
      <c r="H7" s="124">
        <f t="shared" si="3"/>
        <v>10</v>
      </c>
      <c r="I7" s="117">
        <f t="shared" si="4"/>
        <v>5</v>
      </c>
    </row>
    <row r="8" spans="1:9" ht="15.75" customHeight="1" x14ac:dyDescent="0.25">
      <c r="A8" s="1875" t="s">
        <v>278</v>
      </c>
      <c r="B8" s="1876"/>
      <c r="C8" s="117">
        <v>1</v>
      </c>
      <c r="D8" s="118">
        <f t="shared" si="0"/>
        <v>10</v>
      </c>
      <c r="E8" s="119">
        <f t="shared" si="1"/>
        <v>10</v>
      </c>
      <c r="F8" s="37">
        <v>1</v>
      </c>
      <c r="G8" s="37">
        <f t="shared" si="2"/>
        <v>1</v>
      </c>
      <c r="H8" s="124">
        <f t="shared" si="3"/>
        <v>9</v>
      </c>
      <c r="I8" s="117">
        <f t="shared" si="4"/>
        <v>9</v>
      </c>
    </row>
    <row r="9" spans="1:9" ht="15.75" customHeight="1" x14ac:dyDescent="0.25">
      <c r="A9" s="1877" t="s">
        <v>279</v>
      </c>
      <c r="B9" s="1878"/>
      <c r="C9" s="117">
        <v>0.85</v>
      </c>
      <c r="D9" s="118">
        <f t="shared" si="0"/>
        <v>10</v>
      </c>
      <c r="E9" s="119">
        <f t="shared" si="1"/>
        <v>8.5</v>
      </c>
      <c r="F9" s="37">
        <v>1</v>
      </c>
      <c r="G9" s="37">
        <f t="shared" si="2"/>
        <v>1</v>
      </c>
      <c r="H9" s="124">
        <f t="shared" si="3"/>
        <v>9</v>
      </c>
      <c r="I9" s="117">
        <f t="shared" si="4"/>
        <v>7.6499999999999995</v>
      </c>
    </row>
    <row r="10" spans="1:9" ht="15.75" customHeight="1" x14ac:dyDescent="0.25">
      <c r="A10" s="1875" t="s">
        <v>280</v>
      </c>
      <c r="B10" s="1876"/>
      <c r="C10" s="117">
        <v>0.02</v>
      </c>
      <c r="D10" s="118">
        <f t="shared" si="0"/>
        <v>10</v>
      </c>
      <c r="E10" s="119">
        <f t="shared" si="1"/>
        <v>0.2</v>
      </c>
      <c r="F10" s="37">
        <v>1</v>
      </c>
      <c r="G10" s="37">
        <f t="shared" si="2"/>
        <v>1</v>
      </c>
      <c r="H10" s="124">
        <f t="shared" si="3"/>
        <v>9</v>
      </c>
      <c r="I10" s="117">
        <f t="shared" si="4"/>
        <v>0.18</v>
      </c>
    </row>
    <row r="11" spans="1:9" ht="15.75" customHeight="1" x14ac:dyDescent="0.25">
      <c r="A11" s="1875" t="s">
        <v>281</v>
      </c>
      <c r="B11" s="1876"/>
      <c r="C11" s="117">
        <v>0.04</v>
      </c>
      <c r="D11" s="118">
        <f t="shared" si="0"/>
        <v>10</v>
      </c>
      <c r="E11" s="119">
        <f t="shared" si="1"/>
        <v>0.4</v>
      </c>
      <c r="F11" s="37">
        <v>1</v>
      </c>
      <c r="G11" s="37">
        <f t="shared" si="2"/>
        <v>1</v>
      </c>
      <c r="H11" s="124">
        <f t="shared" si="3"/>
        <v>9</v>
      </c>
      <c r="I11" s="117">
        <f t="shared" si="4"/>
        <v>0.36</v>
      </c>
    </row>
    <row r="12" spans="1:9" ht="15.75" customHeight="1" x14ac:dyDescent="0.25">
      <c r="A12" s="1875" t="s">
        <v>282</v>
      </c>
      <c r="B12" s="1876"/>
      <c r="C12" s="117">
        <v>1.19</v>
      </c>
      <c r="D12" s="118">
        <f t="shared" si="0"/>
        <v>10</v>
      </c>
      <c r="E12" s="119">
        <f t="shared" si="1"/>
        <v>11.899999999999999</v>
      </c>
      <c r="F12" s="37">
        <v>1</v>
      </c>
      <c r="G12" s="37">
        <f t="shared" si="2"/>
        <v>1</v>
      </c>
      <c r="H12" s="124">
        <f t="shared" si="3"/>
        <v>9</v>
      </c>
      <c r="I12" s="117">
        <f t="shared" si="4"/>
        <v>10.709999999999999</v>
      </c>
    </row>
    <row r="13" spans="1:9" ht="15.75" customHeight="1" x14ac:dyDescent="0.25">
      <c r="A13" s="1875" t="s">
        <v>283</v>
      </c>
      <c r="B13" s="1876"/>
      <c r="C13" s="117">
        <v>0.3</v>
      </c>
      <c r="D13" s="118">
        <f t="shared" ref="D13" si="5">D$2/F$2</f>
        <v>10</v>
      </c>
      <c r="E13" s="119">
        <f t="shared" ref="E13:E15" si="6">C13*D13</f>
        <v>3</v>
      </c>
      <c r="F13" s="37">
        <v>1</v>
      </c>
      <c r="G13" s="37">
        <f t="shared" ref="G13:G15" si="7">F13*H$2</f>
        <v>1</v>
      </c>
      <c r="H13" s="124">
        <f t="shared" ref="H13:H15" si="8">MAX(D13-G13,0)</f>
        <v>9</v>
      </c>
      <c r="I13" s="117">
        <f t="shared" ref="I13:I15" si="9">H13*C13</f>
        <v>2.6999999999999997</v>
      </c>
    </row>
    <row r="14" spans="1:9" ht="18.75" customHeight="1" x14ac:dyDescent="0.25">
      <c r="A14" s="1880" t="s">
        <v>765</v>
      </c>
      <c r="B14" s="1881"/>
      <c r="C14" s="125">
        <v>0</v>
      </c>
      <c r="D14" s="118">
        <v>1</v>
      </c>
      <c r="E14" s="134">
        <f t="shared" si="6"/>
        <v>0</v>
      </c>
      <c r="F14" s="37">
        <v>0</v>
      </c>
      <c r="G14" s="37">
        <f t="shared" si="7"/>
        <v>0</v>
      </c>
      <c r="H14" s="124">
        <f t="shared" si="8"/>
        <v>1</v>
      </c>
      <c r="I14" s="125">
        <f t="shared" si="9"/>
        <v>0</v>
      </c>
    </row>
    <row r="15" spans="1:9" ht="16.5" customHeight="1" x14ac:dyDescent="0.25">
      <c r="A15" s="1875" t="s">
        <v>309</v>
      </c>
      <c r="B15" s="1876"/>
      <c r="C15" s="117">
        <v>0</v>
      </c>
      <c r="D15" s="118">
        <v>5</v>
      </c>
      <c r="E15" s="119">
        <f t="shared" si="6"/>
        <v>0</v>
      </c>
      <c r="F15" s="37">
        <v>1</v>
      </c>
      <c r="G15" s="37">
        <f t="shared" si="7"/>
        <v>1</v>
      </c>
      <c r="H15" s="124">
        <f t="shared" si="8"/>
        <v>4</v>
      </c>
      <c r="I15" s="117">
        <f t="shared" si="9"/>
        <v>0</v>
      </c>
    </row>
    <row r="16" spans="1:9" x14ac:dyDescent="0.25">
      <c r="A16" s="1882" t="s">
        <v>5</v>
      </c>
      <c r="B16" s="1883"/>
      <c r="C16" s="125"/>
      <c r="D16" s="118"/>
      <c r="E16" s="125">
        <f>SUM(E4:E15)</f>
        <v>55.1</v>
      </c>
      <c r="F16" s="37"/>
      <c r="G16" s="37"/>
      <c r="H16" s="37"/>
      <c r="I16" s="125">
        <f>SUM(I4:I15)</f>
        <v>49.49</v>
      </c>
    </row>
  </sheetData>
  <mergeCells count="14">
    <mergeCell ref="A10:B10"/>
    <mergeCell ref="A11:B11"/>
    <mergeCell ref="A12:B12"/>
    <mergeCell ref="A15:B15"/>
    <mergeCell ref="A16:B16"/>
    <mergeCell ref="A13:B13"/>
    <mergeCell ref="A14:B14"/>
    <mergeCell ref="A8:B8"/>
    <mergeCell ref="A9:B9"/>
    <mergeCell ref="A1:B1"/>
    <mergeCell ref="A7:B7"/>
    <mergeCell ref="A4:B4"/>
    <mergeCell ref="A5:B5"/>
    <mergeCell ref="A6:B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H30" sqref="H30"/>
    </sheetView>
  </sheetViews>
  <sheetFormatPr defaultRowHeight="15" x14ac:dyDescent="0.25"/>
  <cols>
    <col min="1" max="1" width="46.140625" customWidth="1"/>
    <col min="2" max="2" width="13.140625" customWidth="1"/>
    <col min="3" max="3" width="12.42578125" customWidth="1"/>
    <col min="4" max="4" width="14.140625" customWidth="1"/>
    <col min="5" max="5" width="10.42578125" customWidth="1"/>
    <col min="7" max="7" width="11.42578125" customWidth="1"/>
    <col min="8" max="8" width="10.42578125" customWidth="1"/>
  </cols>
  <sheetData>
    <row r="1" spans="1:8" ht="15.75" x14ac:dyDescent="0.25">
      <c r="A1" s="59" t="s">
        <v>303</v>
      </c>
      <c r="B1" s="111"/>
      <c r="C1" s="111"/>
      <c r="D1" s="111"/>
      <c r="E1" s="111"/>
      <c r="F1" s="111"/>
      <c r="G1" s="111"/>
      <c r="H1" s="111"/>
    </row>
    <row r="2" spans="1:8" ht="30" x14ac:dyDescent="0.25">
      <c r="A2" s="37"/>
      <c r="B2" s="112" t="s">
        <v>290</v>
      </c>
      <c r="C2" s="106" t="s">
        <v>291</v>
      </c>
      <c r="D2" s="113">
        <f>Budget!B27</f>
        <v>30</v>
      </c>
      <c r="E2" s="106" t="s">
        <v>99</v>
      </c>
      <c r="F2" s="113">
        <f>Budget!C27</f>
        <v>3</v>
      </c>
      <c r="G2" s="122" t="s">
        <v>196</v>
      </c>
      <c r="H2" s="123">
        <f>Budget!I7</f>
        <v>1</v>
      </c>
    </row>
    <row r="3" spans="1:8" ht="60" x14ac:dyDescent="0.25">
      <c r="A3" s="114" t="s">
        <v>293</v>
      </c>
      <c r="B3" s="115" t="s">
        <v>75</v>
      </c>
      <c r="C3" s="58" t="s">
        <v>295</v>
      </c>
      <c r="D3" s="58" t="s">
        <v>294</v>
      </c>
      <c r="E3" s="109" t="s">
        <v>197</v>
      </c>
      <c r="F3" s="109" t="s">
        <v>198</v>
      </c>
      <c r="G3" s="110" t="s">
        <v>200</v>
      </c>
      <c r="H3" s="109" t="s">
        <v>296</v>
      </c>
    </row>
    <row r="4" spans="1:8" ht="15.6" x14ac:dyDescent="0.3">
      <c r="A4" s="116" t="s">
        <v>543</v>
      </c>
      <c r="B4" s="117">
        <v>0.7</v>
      </c>
      <c r="C4" s="118">
        <v>1</v>
      </c>
      <c r="D4" s="119">
        <f>B4*C4</f>
        <v>0.7</v>
      </c>
      <c r="E4" s="37">
        <v>1</v>
      </c>
      <c r="F4" s="37">
        <f>E4*H$2</f>
        <v>1</v>
      </c>
      <c r="G4" s="124">
        <f>MAX(C4-F4,0)</f>
        <v>0</v>
      </c>
      <c r="H4" s="117">
        <f>G4*B4</f>
        <v>0</v>
      </c>
    </row>
    <row r="5" spans="1:8" ht="15.6" x14ac:dyDescent="0.3">
      <c r="A5" s="116" t="s">
        <v>306</v>
      </c>
      <c r="B5" s="117">
        <v>0</v>
      </c>
      <c r="C5" s="118">
        <f>D$2/F$2</f>
        <v>10</v>
      </c>
      <c r="D5" s="119">
        <f t="shared" ref="D5:D7" si="0">B5*C5</f>
        <v>0</v>
      </c>
      <c r="E5" s="37">
        <v>1</v>
      </c>
      <c r="F5" s="37">
        <f t="shared" ref="F5:F7" si="1">E5*H$2</f>
        <v>1</v>
      </c>
      <c r="G5" s="124">
        <f t="shared" ref="G5:G7" si="2">MAX(C5-F5,0)</f>
        <v>9</v>
      </c>
      <c r="H5" s="117">
        <f t="shared" ref="H5:H7" si="3">G5*B5</f>
        <v>0</v>
      </c>
    </row>
    <row r="6" spans="1:8" ht="15.6" x14ac:dyDescent="0.3">
      <c r="A6" s="116" t="s">
        <v>305</v>
      </c>
      <c r="B6" s="117">
        <v>0.3</v>
      </c>
      <c r="C6" s="118">
        <v>3</v>
      </c>
      <c r="D6" s="119">
        <f t="shared" si="0"/>
        <v>0.89999999999999991</v>
      </c>
      <c r="E6" s="37">
        <v>2</v>
      </c>
      <c r="F6" s="37">
        <v>1</v>
      </c>
      <c r="G6" s="124">
        <f t="shared" si="2"/>
        <v>2</v>
      </c>
      <c r="H6" s="117">
        <f t="shared" si="3"/>
        <v>0.6</v>
      </c>
    </row>
    <row r="7" spans="1:8" ht="15.75" x14ac:dyDescent="0.25">
      <c r="A7" s="120" t="s">
        <v>321</v>
      </c>
      <c r="B7" s="117">
        <v>0.02</v>
      </c>
      <c r="C7" s="118">
        <f>D$2/F$2</f>
        <v>10</v>
      </c>
      <c r="D7" s="119">
        <f t="shared" si="0"/>
        <v>0.2</v>
      </c>
      <c r="E7" s="37">
        <v>5</v>
      </c>
      <c r="F7" s="37">
        <f t="shared" si="1"/>
        <v>5</v>
      </c>
      <c r="G7" s="124">
        <f t="shared" si="2"/>
        <v>5</v>
      </c>
      <c r="H7" s="117">
        <f t="shared" si="3"/>
        <v>0.1</v>
      </c>
    </row>
    <row r="8" spans="1:8" ht="15.75" x14ac:dyDescent="0.25">
      <c r="A8" s="121" t="s">
        <v>5</v>
      </c>
      <c r="B8" s="117">
        <f>SUM(B4:B7)</f>
        <v>1.02</v>
      </c>
      <c r="C8" s="118"/>
      <c r="D8" s="117">
        <f>SUM(D4:D7)</f>
        <v>1.7999999999999998</v>
      </c>
      <c r="E8" s="37"/>
      <c r="F8" s="37"/>
      <c r="G8" s="37"/>
      <c r="H8" s="117">
        <f>SUM(H4:H7)</f>
        <v>0.7</v>
      </c>
    </row>
    <row r="10" spans="1:8" x14ac:dyDescent="0.25">
      <c r="A10" t="s">
        <v>307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C10" sqref="C10"/>
    </sheetView>
  </sheetViews>
  <sheetFormatPr defaultRowHeight="15" x14ac:dyDescent="0.25"/>
  <cols>
    <col min="1" max="1" width="34.42578125" customWidth="1"/>
    <col min="2" max="2" width="13.140625" customWidth="1"/>
    <col min="3" max="3" width="12.42578125" customWidth="1"/>
    <col min="4" max="4" width="14.140625" customWidth="1"/>
    <col min="5" max="5" width="10.42578125" customWidth="1"/>
    <col min="7" max="7" width="11.42578125" customWidth="1"/>
    <col min="8" max="8" width="10.42578125" customWidth="1"/>
  </cols>
  <sheetData>
    <row r="1" spans="1:8" ht="15.75" x14ac:dyDescent="0.25">
      <c r="A1" s="59" t="s">
        <v>311</v>
      </c>
      <c r="B1" s="111"/>
      <c r="C1" s="111"/>
      <c r="D1" s="111"/>
      <c r="E1" s="111"/>
      <c r="F1" s="111"/>
      <c r="G1" s="111"/>
      <c r="H1" s="111"/>
    </row>
    <row r="2" spans="1:8" ht="30" x14ac:dyDescent="0.25">
      <c r="A2" s="37"/>
      <c r="B2" s="112" t="s">
        <v>290</v>
      </c>
      <c r="C2" s="106" t="s">
        <v>291</v>
      </c>
      <c r="D2" s="113">
        <f>Budget!B27</f>
        <v>30</v>
      </c>
      <c r="E2" s="106" t="s">
        <v>99</v>
      </c>
      <c r="F2" s="113">
        <f>Budget!C27</f>
        <v>3</v>
      </c>
      <c r="G2" s="122" t="s">
        <v>196</v>
      </c>
      <c r="H2" s="123">
        <f>Budget!I7</f>
        <v>1</v>
      </c>
    </row>
    <row r="3" spans="1:8" ht="60" x14ac:dyDescent="0.25">
      <c r="A3" s="114" t="s">
        <v>293</v>
      </c>
      <c r="B3" s="115" t="s">
        <v>75</v>
      </c>
      <c r="C3" s="58" t="s">
        <v>295</v>
      </c>
      <c r="D3" s="58" t="s">
        <v>294</v>
      </c>
      <c r="E3" s="109" t="s">
        <v>197</v>
      </c>
      <c r="F3" s="109" t="s">
        <v>198</v>
      </c>
      <c r="G3" s="110" t="s">
        <v>200</v>
      </c>
      <c r="H3" s="109" t="s">
        <v>296</v>
      </c>
    </row>
    <row r="4" spans="1:8" ht="15.6" x14ac:dyDescent="0.3">
      <c r="A4" s="116" t="s">
        <v>318</v>
      </c>
      <c r="B4" s="117">
        <v>0.44</v>
      </c>
      <c r="C4" s="133">
        <v>1</v>
      </c>
      <c r="D4" s="119">
        <f>B4*C4</f>
        <v>0.44</v>
      </c>
      <c r="E4" s="37">
        <v>1</v>
      </c>
      <c r="F4" s="37">
        <f>E4*H$2</f>
        <v>1</v>
      </c>
      <c r="G4" s="124">
        <f>MAX(C4-F4,0)</f>
        <v>0</v>
      </c>
      <c r="H4" s="117">
        <f>G4*B4</f>
        <v>0</v>
      </c>
    </row>
    <row r="5" spans="1:8" ht="15.6" x14ac:dyDescent="0.3">
      <c r="A5" s="116" t="s">
        <v>287</v>
      </c>
      <c r="B5" s="117">
        <v>3.89</v>
      </c>
      <c r="C5" s="118">
        <f>D$2/F$2</f>
        <v>10</v>
      </c>
      <c r="D5" s="119">
        <f t="shared" ref="D5:D10" si="0">B5*C5</f>
        <v>38.9</v>
      </c>
      <c r="E5" s="37">
        <v>1</v>
      </c>
      <c r="F5" s="37">
        <f t="shared" ref="F5:F13" si="1">E5*H$2</f>
        <v>1</v>
      </c>
      <c r="G5" s="124">
        <f t="shared" ref="G5:G13" si="2">MAX(C5-F5,0)</f>
        <v>9</v>
      </c>
      <c r="H5" s="117">
        <f t="shared" ref="H5:H13" si="3">G5*B5</f>
        <v>35.01</v>
      </c>
    </row>
    <row r="6" spans="1:8" ht="15.6" x14ac:dyDescent="0.3">
      <c r="A6" s="116" t="s">
        <v>312</v>
      </c>
      <c r="B6" s="117">
        <v>1.27</v>
      </c>
      <c r="C6" s="133">
        <v>3</v>
      </c>
      <c r="D6" s="119">
        <f t="shared" si="0"/>
        <v>3.81</v>
      </c>
      <c r="E6" s="37">
        <v>2</v>
      </c>
      <c r="F6" s="37">
        <f t="shared" si="1"/>
        <v>2</v>
      </c>
      <c r="G6" s="124">
        <f t="shared" si="2"/>
        <v>1</v>
      </c>
      <c r="H6" s="117">
        <f t="shared" si="3"/>
        <v>1.27</v>
      </c>
    </row>
    <row r="7" spans="1:8" ht="15.75" x14ac:dyDescent="0.25">
      <c r="A7" s="116" t="s">
        <v>313</v>
      </c>
      <c r="B7" s="117">
        <v>1.1100000000000001</v>
      </c>
      <c r="C7" s="118">
        <f>D$2/F$2</f>
        <v>10</v>
      </c>
      <c r="D7" s="119">
        <f t="shared" si="0"/>
        <v>11.100000000000001</v>
      </c>
      <c r="E7" s="37">
        <v>1</v>
      </c>
      <c r="F7" s="37">
        <f t="shared" si="1"/>
        <v>1</v>
      </c>
      <c r="G7" s="124">
        <f t="shared" si="2"/>
        <v>9</v>
      </c>
      <c r="H7" s="117">
        <f t="shared" si="3"/>
        <v>9.99</v>
      </c>
    </row>
    <row r="8" spans="1:8" ht="15.75" x14ac:dyDescent="0.25">
      <c r="A8" s="116" t="s">
        <v>314</v>
      </c>
      <c r="B8" s="117">
        <v>2.15</v>
      </c>
      <c r="C8" s="118">
        <f>D$2/F$2</f>
        <v>10</v>
      </c>
      <c r="D8" s="119">
        <f t="shared" si="0"/>
        <v>21.5</v>
      </c>
      <c r="E8" s="37">
        <v>1</v>
      </c>
      <c r="F8" s="37">
        <f t="shared" si="1"/>
        <v>1</v>
      </c>
      <c r="G8" s="124">
        <f t="shared" si="2"/>
        <v>9</v>
      </c>
      <c r="H8" s="117">
        <f t="shared" si="3"/>
        <v>19.349999999999998</v>
      </c>
    </row>
    <row r="9" spans="1:8" ht="15.75" x14ac:dyDescent="0.25">
      <c r="A9" s="116" t="s">
        <v>317</v>
      </c>
      <c r="B9" s="117">
        <v>0.06</v>
      </c>
      <c r="C9" s="133">
        <f>(D$2/F$2)/3</f>
        <v>3.3333333333333335</v>
      </c>
      <c r="D9" s="119">
        <f t="shared" si="0"/>
        <v>0.2</v>
      </c>
      <c r="E9" s="37">
        <v>1</v>
      </c>
      <c r="F9" s="37">
        <f t="shared" si="1"/>
        <v>1</v>
      </c>
      <c r="G9" s="124">
        <f t="shared" si="2"/>
        <v>2.3333333333333335</v>
      </c>
      <c r="H9" s="117">
        <f t="shared" si="3"/>
        <v>0.14000000000000001</v>
      </c>
    </row>
    <row r="10" spans="1:8" ht="15.75" x14ac:dyDescent="0.25">
      <c r="A10" s="116" t="s">
        <v>315</v>
      </c>
      <c r="B10" s="117">
        <v>0.19</v>
      </c>
      <c r="C10" s="133">
        <f>MasterShoppingList!D8348</f>
        <v>0</v>
      </c>
      <c r="D10" s="119">
        <f t="shared" si="0"/>
        <v>0</v>
      </c>
      <c r="E10" s="37">
        <v>0</v>
      </c>
      <c r="F10" s="37">
        <f t="shared" si="1"/>
        <v>0</v>
      </c>
      <c r="G10" s="124">
        <f t="shared" si="2"/>
        <v>0</v>
      </c>
      <c r="H10" s="117">
        <f t="shared" si="3"/>
        <v>0</v>
      </c>
    </row>
    <row r="11" spans="1:8" ht="15.75" x14ac:dyDescent="0.25">
      <c r="A11" s="120" t="s">
        <v>316</v>
      </c>
      <c r="B11" s="117">
        <v>0.7</v>
      </c>
      <c r="C11" s="118">
        <f>D$2/F$2</f>
        <v>10</v>
      </c>
      <c r="D11" s="119">
        <f t="shared" ref="D11:D13" si="4">B11*C11</f>
        <v>7</v>
      </c>
      <c r="E11" s="37">
        <v>1</v>
      </c>
      <c r="F11" s="37">
        <f t="shared" ref="F11:F12" si="5">E11*H$2</f>
        <v>1</v>
      </c>
      <c r="G11" s="124">
        <f t="shared" ref="G11:G12" si="6">MAX(C11-F11,0)</f>
        <v>9</v>
      </c>
      <c r="H11" s="117">
        <f t="shared" ref="H11:H12" si="7">G11*B11</f>
        <v>6.3</v>
      </c>
    </row>
    <row r="12" spans="1:8" ht="15.75" x14ac:dyDescent="0.25">
      <c r="A12" s="116" t="s">
        <v>328</v>
      </c>
      <c r="B12" s="117">
        <v>20</v>
      </c>
      <c r="C12" s="133">
        <f>ROUNDUP((D$2/F$2)/3,0)</f>
        <v>4</v>
      </c>
      <c r="D12" s="119">
        <f t="shared" si="4"/>
        <v>80</v>
      </c>
      <c r="E12" s="37">
        <v>0</v>
      </c>
      <c r="F12" s="37">
        <f t="shared" si="5"/>
        <v>0</v>
      </c>
      <c r="G12" s="124">
        <f t="shared" si="6"/>
        <v>4</v>
      </c>
      <c r="H12" s="117">
        <f t="shared" si="7"/>
        <v>80</v>
      </c>
    </row>
    <row r="13" spans="1:8" ht="15.75" x14ac:dyDescent="0.25">
      <c r="A13" s="120" t="s">
        <v>329</v>
      </c>
      <c r="B13" s="117">
        <v>1.2</v>
      </c>
      <c r="C13" s="118">
        <f>D$2/F$2</f>
        <v>10</v>
      </c>
      <c r="D13" s="119">
        <f t="shared" si="4"/>
        <v>12</v>
      </c>
      <c r="E13" s="37">
        <v>0</v>
      </c>
      <c r="F13" s="37">
        <f t="shared" si="1"/>
        <v>0</v>
      </c>
      <c r="G13" s="124">
        <f t="shared" si="2"/>
        <v>10</v>
      </c>
      <c r="H13" s="117">
        <f t="shared" si="3"/>
        <v>12</v>
      </c>
    </row>
    <row r="14" spans="1:8" ht="15.75" x14ac:dyDescent="0.25">
      <c r="A14" s="121" t="s">
        <v>5</v>
      </c>
      <c r="B14" s="117">
        <f>SUM(B4:B13)</f>
        <v>31.009999999999998</v>
      </c>
      <c r="C14" s="118"/>
      <c r="D14" s="117">
        <f>SUM(D4:D13)</f>
        <v>174.95</v>
      </c>
      <c r="E14" s="37"/>
      <c r="F14" s="37"/>
      <c r="G14" s="37"/>
      <c r="H14" s="117">
        <f>SUM(H4:H13)</f>
        <v>164.06</v>
      </c>
    </row>
    <row r="16" spans="1:8" x14ac:dyDescent="0.25">
      <c r="A16" t="s">
        <v>325</v>
      </c>
    </row>
    <row r="17" spans="1:1" x14ac:dyDescent="0.25">
      <c r="A17" t="s">
        <v>326</v>
      </c>
    </row>
    <row r="18" spans="1:1" x14ac:dyDescent="0.25">
      <c r="A18" t="s">
        <v>327</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2"/>
  <sheetViews>
    <sheetView workbookViewId="0">
      <pane xSplit="2" ySplit="15" topLeftCell="C16" activePane="bottomRight" state="frozen"/>
      <selection pane="topRight" activeCell="C1" sqref="C1"/>
      <selection pane="bottomLeft" activeCell="A16" sqref="A16"/>
      <selection pane="bottomRight" activeCell="G31" sqref="G31"/>
    </sheetView>
  </sheetViews>
  <sheetFormatPr defaultRowHeight="15" customHeight="1" x14ac:dyDescent="0.25"/>
  <cols>
    <col min="1" max="1" width="17.85546875" customWidth="1"/>
    <col min="2" max="5" width="26.7109375" customWidth="1"/>
    <col min="6" max="7" width="16.85546875" customWidth="1"/>
    <col min="9" max="9" width="9.7109375" customWidth="1"/>
    <col min="10" max="10" width="27.28515625" customWidth="1"/>
  </cols>
  <sheetData>
    <row r="1" spans="1:10" ht="15" customHeight="1" x14ac:dyDescent="0.25">
      <c r="A1" s="6" t="s">
        <v>381</v>
      </c>
    </row>
    <row r="2" spans="1:10" ht="15" customHeight="1" x14ac:dyDescent="0.25">
      <c r="A2" s="15" t="s">
        <v>330</v>
      </c>
      <c r="C2" t="s">
        <v>341</v>
      </c>
      <c r="E2" s="132">
        <f>Budget!$D$45</f>
        <v>30</v>
      </c>
      <c r="F2" s="63" t="s">
        <v>99</v>
      </c>
      <c r="G2" s="63"/>
      <c r="H2" s="10">
        <f>Budget!B27</f>
        <v>30</v>
      </c>
      <c r="I2" s="102" t="s">
        <v>196</v>
      </c>
      <c r="J2" s="103">
        <f>Budget!I7</f>
        <v>1</v>
      </c>
    </row>
    <row r="3" spans="1:10" ht="5.25" customHeight="1" x14ac:dyDescent="0.25"/>
    <row r="4" spans="1:10" ht="15" customHeight="1" x14ac:dyDescent="0.25">
      <c r="A4" s="15" t="s">
        <v>331</v>
      </c>
    </row>
    <row r="5" spans="1:10" ht="15" customHeight="1" x14ac:dyDescent="0.25">
      <c r="A5" s="136" t="s">
        <v>340</v>
      </c>
      <c r="B5" s="136"/>
      <c r="C5" s="136"/>
      <c r="D5" s="136"/>
      <c r="E5" s="136"/>
      <c r="F5" s="136"/>
      <c r="G5" s="136"/>
      <c r="H5" s="136"/>
      <c r="I5" s="136"/>
      <c r="J5" s="136"/>
    </row>
    <row r="6" spans="1:10" ht="15" customHeight="1" x14ac:dyDescent="0.25">
      <c r="A6" s="136" t="s">
        <v>332</v>
      </c>
      <c r="B6" s="136"/>
      <c r="C6" s="136"/>
      <c r="D6" s="136"/>
      <c r="E6" s="136"/>
      <c r="F6" s="136"/>
      <c r="G6" s="136"/>
      <c r="H6" s="136"/>
      <c r="I6" s="136"/>
      <c r="J6" s="136"/>
    </row>
    <row r="7" spans="1:10" ht="15" customHeight="1" x14ac:dyDescent="0.25">
      <c r="A7" s="136" t="s">
        <v>333</v>
      </c>
      <c r="B7" s="136"/>
      <c r="C7" s="136"/>
      <c r="D7" s="136"/>
      <c r="E7" s="136"/>
      <c r="F7" s="136"/>
      <c r="G7" s="136"/>
      <c r="H7" s="136"/>
      <c r="I7" s="136"/>
      <c r="J7" s="136"/>
    </row>
    <row r="8" spans="1:10" ht="15" customHeight="1" x14ac:dyDescent="0.25">
      <c r="A8" s="136" t="s">
        <v>339</v>
      </c>
      <c r="B8" s="136"/>
      <c r="C8" s="136"/>
      <c r="D8" s="136"/>
      <c r="E8" s="136"/>
      <c r="F8" s="136"/>
      <c r="G8" s="136"/>
      <c r="H8" s="136"/>
      <c r="I8" s="136"/>
      <c r="J8" s="136"/>
    </row>
    <row r="9" spans="1:10" ht="15" customHeight="1" x14ac:dyDescent="0.25">
      <c r="A9" s="136" t="s">
        <v>334</v>
      </c>
      <c r="B9" s="136"/>
      <c r="C9" s="136"/>
      <c r="D9" s="136"/>
      <c r="E9" s="136"/>
      <c r="F9" s="136"/>
      <c r="G9" s="136"/>
      <c r="H9" s="136"/>
      <c r="I9" s="136"/>
      <c r="J9" s="136"/>
    </row>
    <row r="10" spans="1:10" ht="15" customHeight="1" x14ac:dyDescent="0.25">
      <c r="A10" s="136" t="s">
        <v>335</v>
      </c>
      <c r="B10" s="136"/>
      <c r="C10" s="136"/>
      <c r="D10" s="136"/>
      <c r="E10" s="136"/>
      <c r="F10" s="136"/>
      <c r="G10" s="136"/>
      <c r="H10" s="136"/>
      <c r="I10" s="136"/>
      <c r="J10" s="136"/>
    </row>
    <row r="11" spans="1:10" ht="15" customHeight="1" x14ac:dyDescent="0.25">
      <c r="A11" s="136" t="s">
        <v>336</v>
      </c>
      <c r="B11" s="136"/>
      <c r="C11" s="136"/>
      <c r="D11" s="136"/>
      <c r="E11" s="136"/>
      <c r="F11" s="136"/>
      <c r="G11" s="136"/>
      <c r="H11" s="136"/>
      <c r="I11" s="136"/>
      <c r="J11" s="136"/>
    </row>
    <row r="12" spans="1:10" ht="15" customHeight="1" x14ac:dyDescent="0.25">
      <c r="A12" s="136" t="s">
        <v>337</v>
      </c>
      <c r="B12" s="136"/>
      <c r="C12" s="136"/>
      <c r="D12" s="136"/>
      <c r="E12" s="136"/>
      <c r="F12" s="136"/>
      <c r="G12" s="136"/>
      <c r="H12" s="136"/>
      <c r="I12" s="136"/>
      <c r="J12" s="136"/>
    </row>
    <row r="13" spans="1:10" ht="4.5" customHeight="1" x14ac:dyDescent="0.25"/>
    <row r="14" spans="1:10" ht="10.5" customHeight="1" x14ac:dyDescent="0.25">
      <c r="E14" s="137" t="s">
        <v>201</v>
      </c>
      <c r="F14" s="137" t="s">
        <v>367</v>
      </c>
      <c r="G14" s="146" t="s">
        <v>427</v>
      </c>
      <c r="H14" s="1884" t="s">
        <v>382</v>
      </c>
      <c r="I14" s="1884"/>
      <c r="J14" s="1884"/>
    </row>
    <row r="15" spans="1:10" s="15" customFormat="1" ht="15" customHeight="1" x14ac:dyDescent="0.25">
      <c r="A15" s="15" t="s">
        <v>338</v>
      </c>
      <c r="B15" s="15" t="s">
        <v>0</v>
      </c>
      <c r="C15" s="15" t="s">
        <v>377</v>
      </c>
      <c r="D15" s="15" t="s">
        <v>378</v>
      </c>
      <c r="E15" s="15" t="s">
        <v>396</v>
      </c>
      <c r="F15" s="15" t="s">
        <v>397</v>
      </c>
      <c r="G15" s="15" t="s">
        <v>428</v>
      </c>
      <c r="H15" s="15" t="s">
        <v>383</v>
      </c>
      <c r="I15" s="15" t="s">
        <v>384</v>
      </c>
      <c r="J15" s="15" t="s">
        <v>437</v>
      </c>
    </row>
    <row r="16" spans="1:10" ht="15" customHeight="1" x14ac:dyDescent="0.25">
      <c r="A16" t="s">
        <v>146</v>
      </c>
      <c r="B16" t="s">
        <v>343</v>
      </c>
      <c r="C16" t="s">
        <v>376</v>
      </c>
      <c r="D16">
        <v>6</v>
      </c>
      <c r="E16" s="14">
        <f>'ES-JoanieAppleseed'!$M$7</f>
        <v>9</v>
      </c>
      <c r="F16" s="14">
        <f>'ES-JoanieAppleseed'!$Y$7</f>
        <v>4</v>
      </c>
      <c r="G16" s="14">
        <f>'ES-JoanieAppleseed'!$AC$7</f>
        <v>1</v>
      </c>
      <c r="J16" t="s">
        <v>429</v>
      </c>
    </row>
    <row r="17" spans="2:10" ht="15" customHeight="1" x14ac:dyDescent="0.25">
      <c r="B17" t="s">
        <v>344</v>
      </c>
      <c r="C17" t="s">
        <v>376</v>
      </c>
      <c r="D17">
        <v>8</v>
      </c>
      <c r="E17" s="14">
        <f>'ES-JoanieAppleseed'!$M$9</f>
        <v>8</v>
      </c>
      <c r="F17" s="14">
        <f>'ES-JoanieAppleseed'!$Y$9</f>
        <v>2</v>
      </c>
      <c r="G17" s="14">
        <f>'ES-JoanieAppleseed'!$AC$9</f>
        <v>1</v>
      </c>
      <c r="J17" t="s">
        <v>430</v>
      </c>
    </row>
    <row r="18" spans="2:10" ht="15" customHeight="1" x14ac:dyDescent="0.25">
      <c r="B18" t="s">
        <v>345</v>
      </c>
      <c r="C18" t="s">
        <v>376</v>
      </c>
      <c r="D18">
        <v>13</v>
      </c>
      <c r="E18" s="14">
        <f>'ES-JoanieAppleseed'!$M$13</f>
        <v>1</v>
      </c>
      <c r="F18" s="14">
        <f>'ES-JoanieAppleseed'!$Y$13</f>
        <v>1</v>
      </c>
      <c r="G18" s="14">
        <f>'ES-JoanieAppleseed'!$AC$13</f>
        <v>1</v>
      </c>
      <c r="J18" t="s">
        <v>431</v>
      </c>
    </row>
    <row r="19" spans="2:10" ht="15" customHeight="1" x14ac:dyDescent="0.25">
      <c r="B19" t="s">
        <v>346</v>
      </c>
      <c r="C19" t="s">
        <v>376</v>
      </c>
      <c r="D19">
        <v>16</v>
      </c>
      <c r="E19" s="14">
        <f>'ES-JoanieAppleseed'!$M$15</f>
        <v>1</v>
      </c>
      <c r="F19" s="14">
        <f>'ES-JoanieAppleseed'!$Y$15</f>
        <v>1</v>
      </c>
      <c r="G19" s="14">
        <f>'ES-JoanieAppleseed'!$AC$15</f>
        <v>1</v>
      </c>
      <c r="J19" t="s">
        <v>432</v>
      </c>
    </row>
    <row r="20" spans="2:10" ht="15" customHeight="1" x14ac:dyDescent="0.25">
      <c r="B20" t="s">
        <v>347</v>
      </c>
      <c r="C20" t="s">
        <v>402</v>
      </c>
      <c r="D20">
        <v>5</v>
      </c>
      <c r="E20" s="14" t="e">
        <f>'HS-LittlefootsRide'!#REF!</f>
        <v>#REF!</v>
      </c>
      <c r="F20" s="139" t="e">
        <f>'HS-LittlefootsRide'!#REF!</f>
        <v>#REF!</v>
      </c>
      <c r="G20" s="139" t="e">
        <f>'HS-LittlefootsRide'!#REF!</f>
        <v>#REF!</v>
      </c>
      <c r="J20" t="s">
        <v>526</v>
      </c>
    </row>
    <row r="21" spans="2:10" s="140" customFormat="1" ht="15" customHeight="1" x14ac:dyDescent="0.25">
      <c r="B21" s="140" t="s">
        <v>347</v>
      </c>
      <c r="C21" s="140" t="s">
        <v>376</v>
      </c>
      <c r="D21" s="140">
        <v>16</v>
      </c>
      <c r="E21" s="143"/>
      <c r="F21" s="142"/>
      <c r="G21" s="142">
        <f>'ES-JoanieAppleseed'!$AC$15</f>
        <v>1</v>
      </c>
      <c r="J21" s="140" t="s">
        <v>432</v>
      </c>
    </row>
    <row r="22" spans="2:10" ht="15" customHeight="1" x14ac:dyDescent="0.25">
      <c r="B22" t="s">
        <v>347</v>
      </c>
      <c r="C22" t="s">
        <v>379</v>
      </c>
      <c r="D22">
        <v>7</v>
      </c>
      <c r="E22" s="14">
        <f>'MS-UltimateSpeed'!$L$8</f>
        <v>2</v>
      </c>
      <c r="F22" s="14">
        <f>'MS-UltimateSpeed'!$X$8</f>
        <v>1</v>
      </c>
      <c r="G22" s="14">
        <f>'MS-UltimateSpeed'!$AB$8</f>
        <v>1</v>
      </c>
      <c r="J22" t="s">
        <v>532</v>
      </c>
    </row>
    <row r="23" spans="2:10" ht="15" customHeight="1" x14ac:dyDescent="0.25">
      <c r="B23" t="s">
        <v>347</v>
      </c>
      <c r="C23" t="s">
        <v>380</v>
      </c>
      <c r="D23">
        <v>6</v>
      </c>
      <c r="E23" s="14">
        <f>'ES-ToadsCar'!$M$7</f>
        <v>1</v>
      </c>
      <c r="F23">
        <f>'ES-ToadsCar'!$Y$7</f>
        <v>1</v>
      </c>
      <c r="G23" s="14">
        <f>'ES-ToadsCar'!$AC$7</f>
        <v>1</v>
      </c>
      <c r="J23" t="s">
        <v>447</v>
      </c>
    </row>
    <row r="24" spans="2:10" s="140" customFormat="1" ht="15" customHeight="1" x14ac:dyDescent="0.25">
      <c r="B24" s="140" t="s">
        <v>347</v>
      </c>
      <c r="C24" s="140" t="s">
        <v>398</v>
      </c>
      <c r="D24" s="140">
        <v>13</v>
      </c>
      <c r="E24" s="143">
        <f>'ES-BricksForPigs'!$L$12</f>
        <v>10</v>
      </c>
      <c r="F24" s="140">
        <f>'ES-BricksForPigs'!$X$12</f>
        <v>4</v>
      </c>
      <c r="G24" s="143">
        <f>'ES-BricksForPigs'!$AB$12</f>
        <v>3</v>
      </c>
      <c r="J24" s="140" t="s">
        <v>440</v>
      </c>
    </row>
    <row r="25" spans="2:10" s="140" customFormat="1" ht="15" customHeight="1" x14ac:dyDescent="0.25">
      <c r="B25" s="140" t="s">
        <v>348</v>
      </c>
      <c r="C25" t="s">
        <v>402</v>
      </c>
      <c r="D25" s="140">
        <v>6</v>
      </c>
      <c r="E25" s="143"/>
      <c r="G25" s="143"/>
      <c r="J25" s="140" t="s">
        <v>526</v>
      </c>
    </row>
    <row r="26" spans="2:10" ht="15" customHeight="1" x14ac:dyDescent="0.25">
      <c r="B26" t="s">
        <v>348</v>
      </c>
      <c r="C26" t="s">
        <v>379</v>
      </c>
      <c r="D26">
        <v>7</v>
      </c>
      <c r="E26" s="14">
        <f>'MS-UltimateSpeed'!$L$8</f>
        <v>2</v>
      </c>
      <c r="F26" s="14">
        <f>'MS-UltimateSpeed'!$X$8</f>
        <v>1</v>
      </c>
      <c r="G26" t="s">
        <v>453</v>
      </c>
      <c r="J26" s="140" t="s">
        <v>532</v>
      </c>
    </row>
    <row r="27" spans="2:10" ht="15" customHeight="1" x14ac:dyDescent="0.25">
      <c r="B27" t="s">
        <v>348</v>
      </c>
      <c r="C27" t="s">
        <v>380</v>
      </c>
      <c r="D27">
        <v>6</v>
      </c>
      <c r="E27" s="14">
        <f>'ES-ToadsCar'!$M$7</f>
        <v>1</v>
      </c>
      <c r="F27">
        <f>'ES-ToadsCar'!$Y$7</f>
        <v>1</v>
      </c>
      <c r="G27" t="s">
        <v>454</v>
      </c>
      <c r="J27" t="s">
        <v>447</v>
      </c>
    </row>
    <row r="28" spans="2:10" ht="15" customHeight="1" x14ac:dyDescent="0.25">
      <c r="B28" t="s">
        <v>349</v>
      </c>
      <c r="C28" t="s">
        <v>376</v>
      </c>
      <c r="D28">
        <v>23</v>
      </c>
      <c r="E28" s="14">
        <f>'ES-JoanieAppleseed'!$M$18</f>
        <v>1</v>
      </c>
      <c r="F28" s="14">
        <f>'ES-JoanieAppleseed'!$Y$18</f>
        <v>1</v>
      </c>
      <c r="G28" t="s">
        <v>455</v>
      </c>
      <c r="J28" t="s">
        <v>433</v>
      </c>
    </row>
    <row r="29" spans="2:10" ht="15" customHeight="1" x14ac:dyDescent="0.25">
      <c r="B29" t="s">
        <v>350</v>
      </c>
      <c r="C29" t="s">
        <v>376</v>
      </c>
      <c r="D29">
        <v>28</v>
      </c>
      <c r="E29" s="14">
        <f>'ES-JoanieAppleseed'!$M$21</f>
        <v>2</v>
      </c>
      <c r="F29" s="14">
        <f>'ES-JoanieAppleseed'!$Y$21</f>
        <v>1</v>
      </c>
      <c r="G29" t="s">
        <v>456</v>
      </c>
      <c r="J29" t="s">
        <v>434</v>
      </c>
    </row>
    <row r="30" spans="2:10" ht="15" customHeight="1" x14ac:dyDescent="0.25">
      <c r="B30" t="s">
        <v>351</v>
      </c>
      <c r="C30" t="s">
        <v>376</v>
      </c>
      <c r="D30">
        <v>14</v>
      </c>
      <c r="E30" s="14">
        <f>'ES-JoanieAppleseed'!$M$14</f>
        <v>1</v>
      </c>
      <c r="F30" s="14">
        <f>'ES-JoanieAppleseed'!$Y$14</f>
        <v>1</v>
      </c>
      <c r="G30" t="s">
        <v>457</v>
      </c>
      <c r="J30" t="s">
        <v>435</v>
      </c>
    </row>
    <row r="31" spans="2:10" ht="15" customHeight="1" x14ac:dyDescent="0.25">
      <c r="B31" t="s">
        <v>3</v>
      </c>
      <c r="C31" t="s">
        <v>380</v>
      </c>
      <c r="D31">
        <v>8</v>
      </c>
      <c r="E31" s="14">
        <f>'ES-ToadsCar'!$M$8</f>
        <v>1</v>
      </c>
      <c r="F31">
        <f>'ES-ToadsCar'!$Y$8</f>
        <v>1</v>
      </c>
      <c r="G31" t="s">
        <v>458</v>
      </c>
      <c r="J31" t="s">
        <v>447</v>
      </c>
    </row>
    <row r="32" spans="2:10" ht="15" customHeight="1" x14ac:dyDescent="0.25">
      <c r="B32" t="s">
        <v>3</v>
      </c>
      <c r="C32" t="s">
        <v>379</v>
      </c>
      <c r="D32">
        <v>9</v>
      </c>
      <c r="E32" s="14">
        <f>'MS-UltimateSpeed'!$L$9</f>
        <v>1</v>
      </c>
      <c r="F32" s="14">
        <f>'MS-UltimateSpeed'!$X$9</f>
        <v>1</v>
      </c>
      <c r="G32" t="s">
        <v>459</v>
      </c>
      <c r="J32" t="s">
        <v>447</v>
      </c>
    </row>
    <row r="33" spans="1:10" ht="15" customHeight="1" x14ac:dyDescent="0.25">
      <c r="B33" t="s">
        <v>3</v>
      </c>
      <c r="C33" t="s">
        <v>402</v>
      </c>
      <c r="D33">
        <v>9</v>
      </c>
      <c r="E33" s="14" t="e">
        <f>'HS-LittlefootsRide'!#REF!</f>
        <v>#REF!</v>
      </c>
      <c r="F33" s="139" t="e">
        <f>'HS-LittlefootsRide'!#REF!</f>
        <v>#REF!</v>
      </c>
      <c r="G33" s="138" t="s">
        <v>460</v>
      </c>
      <c r="J33" t="s">
        <v>526</v>
      </c>
    </row>
    <row r="34" spans="1:10" ht="15" customHeight="1" x14ac:dyDescent="0.25">
      <c r="B34" t="s">
        <v>352</v>
      </c>
      <c r="C34" t="s">
        <v>376</v>
      </c>
      <c r="D34">
        <v>19</v>
      </c>
      <c r="E34" s="14">
        <f>'ES-JoanieAppleseed'!$M$16</f>
        <v>1</v>
      </c>
      <c r="F34" s="14">
        <f>'ES-JoanieAppleseed'!$Y$16</f>
        <v>1</v>
      </c>
      <c r="G34" t="s">
        <v>461</v>
      </c>
      <c r="J34" t="s">
        <v>433</v>
      </c>
    </row>
    <row r="35" spans="1:10" ht="15" customHeight="1" x14ac:dyDescent="0.25">
      <c r="B35" t="s">
        <v>353</v>
      </c>
      <c r="C35" t="s">
        <v>376</v>
      </c>
      <c r="D35">
        <v>21</v>
      </c>
      <c r="E35" s="14" t="e">
        <f>'ES-JoanieAppleseed'!#REF!</f>
        <v>#REF!</v>
      </c>
      <c r="F35" s="14" t="e">
        <f>'ES-JoanieAppleseed'!#REF!</f>
        <v>#REF!</v>
      </c>
      <c r="G35" t="s">
        <v>462</v>
      </c>
      <c r="J35" t="s">
        <v>433</v>
      </c>
    </row>
    <row r="36" spans="1:10" ht="15" customHeight="1" x14ac:dyDescent="0.25">
      <c r="B36" t="s">
        <v>27</v>
      </c>
      <c r="C36" t="s">
        <v>402</v>
      </c>
      <c r="D36">
        <v>10</v>
      </c>
      <c r="E36" s="14" t="e">
        <f>'HS-LittlefootsRide'!#REF!</f>
        <v>#REF!</v>
      </c>
      <c r="F36" s="139" t="e">
        <f>'HS-LittlefootsRide'!#REF!</f>
        <v>#REF!</v>
      </c>
      <c r="G36" s="138" t="s">
        <v>463</v>
      </c>
      <c r="J36" t="s">
        <v>530</v>
      </c>
    </row>
    <row r="37" spans="1:10" ht="15" customHeight="1" x14ac:dyDescent="0.25">
      <c r="B37" t="s">
        <v>421</v>
      </c>
      <c r="C37" t="s">
        <v>380</v>
      </c>
      <c r="E37" s="14"/>
      <c r="F37" s="139"/>
      <c r="G37" s="138"/>
      <c r="J37" t="s">
        <v>447</v>
      </c>
    </row>
    <row r="38" spans="1:10" ht="15" customHeight="1" x14ac:dyDescent="0.25">
      <c r="B38" t="s">
        <v>531</v>
      </c>
      <c r="C38" t="s">
        <v>379</v>
      </c>
      <c r="E38" s="14"/>
      <c r="F38" s="139"/>
      <c r="G38" s="138"/>
      <c r="J38" t="s">
        <v>447</v>
      </c>
    </row>
    <row r="39" spans="1:10" ht="15" customHeight="1" x14ac:dyDescent="0.25">
      <c r="B39" t="s">
        <v>421</v>
      </c>
      <c r="C39" t="s">
        <v>402</v>
      </c>
      <c r="E39" s="14"/>
      <c r="F39" s="139"/>
      <c r="G39" s="138"/>
      <c r="J39" t="s">
        <v>527</v>
      </c>
    </row>
    <row r="40" spans="1:10" s="140" customFormat="1" ht="15" customHeight="1" x14ac:dyDescent="0.25">
      <c r="B40" s="140" t="s">
        <v>421</v>
      </c>
      <c r="C40" s="140" t="s">
        <v>401</v>
      </c>
      <c r="D40" s="140">
        <v>8</v>
      </c>
      <c r="E40" s="141">
        <f>'All-CO2 Cannon'!$K$8</f>
        <v>0</v>
      </c>
      <c r="F40" s="141">
        <f>'All-CO2 Cannon'!$V$8</f>
        <v>0</v>
      </c>
      <c r="G40" s="141" t="s">
        <v>464</v>
      </c>
    </row>
    <row r="41" spans="1:10" s="140" customFormat="1" ht="15" customHeight="1" x14ac:dyDescent="0.25">
      <c r="B41" s="140" t="s">
        <v>151</v>
      </c>
      <c r="C41" s="140" t="s">
        <v>376</v>
      </c>
      <c r="D41" s="140">
        <v>26</v>
      </c>
      <c r="E41" s="142">
        <f>'ES-JoanieAppleseed'!$M$20</f>
        <v>1</v>
      </c>
      <c r="F41" s="142">
        <f>'ES-JoanieAppleseed'!$Y$20</f>
        <v>1</v>
      </c>
      <c r="G41" s="141" t="s">
        <v>465</v>
      </c>
      <c r="J41" s="140" t="s">
        <v>436</v>
      </c>
    </row>
    <row r="42" spans="1:10" s="140" customFormat="1" ht="15" customHeight="1" x14ac:dyDescent="0.25">
      <c r="B42" s="140" t="s">
        <v>150</v>
      </c>
      <c r="C42" s="140" t="s">
        <v>376</v>
      </c>
      <c r="D42" s="140">
        <v>25</v>
      </c>
      <c r="E42" s="143"/>
      <c r="F42" s="142"/>
      <c r="G42" s="141" t="s">
        <v>466</v>
      </c>
      <c r="J42" s="140" t="s">
        <v>436</v>
      </c>
    </row>
    <row r="44" spans="1:10" ht="15" customHeight="1" x14ac:dyDescent="0.25">
      <c r="A44" t="s">
        <v>143</v>
      </c>
      <c r="B44" t="s">
        <v>354</v>
      </c>
      <c r="C44" t="s">
        <v>385</v>
      </c>
      <c r="D44">
        <v>6</v>
      </c>
      <c r="E44" s="14">
        <f>'MS-Bioswale'!$L$7</f>
        <v>2</v>
      </c>
      <c r="F44">
        <f>'MS-Bioswale'!$X$7</f>
        <v>1</v>
      </c>
      <c r="G44" t="s">
        <v>468</v>
      </c>
      <c r="J44" s="140" t="s">
        <v>534</v>
      </c>
    </row>
    <row r="45" spans="1:10" s="140" customFormat="1" ht="15" customHeight="1" x14ac:dyDescent="0.25">
      <c r="B45" s="140" t="s">
        <v>404</v>
      </c>
      <c r="C45" s="140" t="s">
        <v>376</v>
      </c>
      <c r="D45" s="140">
        <v>9</v>
      </c>
      <c r="E45" s="143"/>
      <c r="G45" s="140" t="s">
        <v>469</v>
      </c>
      <c r="J45" s="140" t="s">
        <v>435</v>
      </c>
    </row>
    <row r="46" spans="1:10" ht="15" customHeight="1" x14ac:dyDescent="0.25">
      <c r="B46" t="s">
        <v>404</v>
      </c>
      <c r="C46" t="s">
        <v>398</v>
      </c>
      <c r="D46">
        <v>8</v>
      </c>
      <c r="E46" s="14">
        <f>'ES-BricksForPigs'!$L$9</f>
        <v>1</v>
      </c>
      <c r="F46" s="138">
        <f>'ES-BricksForPigs'!$X$9</f>
        <v>1</v>
      </c>
      <c r="G46" s="138" t="s">
        <v>470</v>
      </c>
      <c r="J46" s="140" t="s">
        <v>441</v>
      </c>
    </row>
    <row r="47" spans="1:10" ht="15" customHeight="1" x14ac:dyDescent="0.25">
      <c r="B47" t="s">
        <v>355</v>
      </c>
      <c r="C47" t="s">
        <v>376</v>
      </c>
      <c r="D47">
        <v>30</v>
      </c>
      <c r="E47" s="14">
        <f>'ES-JoanieAppleseed'!$M$22</f>
        <v>1</v>
      </c>
      <c r="F47" s="14">
        <f>'ES-JoanieAppleseed'!$Y$22</f>
        <v>1</v>
      </c>
      <c r="G47" t="s">
        <v>471</v>
      </c>
      <c r="J47" t="s">
        <v>433</v>
      </c>
    </row>
    <row r="48" spans="1:10" ht="15" customHeight="1" x14ac:dyDescent="0.25">
      <c r="B48" t="s">
        <v>22</v>
      </c>
      <c r="C48" t="s">
        <v>385</v>
      </c>
      <c r="D48">
        <v>13</v>
      </c>
      <c r="E48" s="14">
        <f>'MS-Bioswale'!$L$11</f>
        <v>1</v>
      </c>
      <c r="F48">
        <f>'MS-Bioswale'!$X$11</f>
        <v>1</v>
      </c>
      <c r="G48" t="s">
        <v>472</v>
      </c>
      <c r="J48" t="s">
        <v>451</v>
      </c>
    </row>
    <row r="50" spans="1:10" ht="15" customHeight="1" x14ac:dyDescent="0.25">
      <c r="A50" t="s">
        <v>185</v>
      </c>
      <c r="B50" t="s">
        <v>386</v>
      </c>
      <c r="C50" t="s">
        <v>385</v>
      </c>
      <c r="D50">
        <v>17</v>
      </c>
      <c r="E50" s="14">
        <f>'MS-Bioswale'!$L$15</f>
        <v>2</v>
      </c>
      <c r="F50">
        <f>'MS-Bioswale'!$X$15</f>
        <v>1</v>
      </c>
      <c r="G50" t="s">
        <v>473</v>
      </c>
      <c r="J50" t="s">
        <v>535</v>
      </c>
    </row>
    <row r="51" spans="1:10" ht="15" customHeight="1" x14ac:dyDescent="0.25">
      <c r="B51" t="s">
        <v>356</v>
      </c>
      <c r="C51" t="s">
        <v>385</v>
      </c>
      <c r="D51">
        <v>18</v>
      </c>
      <c r="E51" s="14">
        <f>'MS-Bioswale'!$L$16</f>
        <v>1</v>
      </c>
      <c r="F51">
        <f>'MS-Bioswale'!$X$16</f>
        <v>1</v>
      </c>
      <c r="G51" t="s">
        <v>474</v>
      </c>
      <c r="J51" t="s">
        <v>536</v>
      </c>
    </row>
    <row r="52" spans="1:10" ht="15" customHeight="1" x14ac:dyDescent="0.25">
      <c r="B52" t="s">
        <v>357</v>
      </c>
      <c r="C52" t="s">
        <v>387</v>
      </c>
      <c r="D52">
        <v>6</v>
      </c>
      <c r="E52">
        <f>'All-IndexCardChair'!$K$6</f>
        <v>0</v>
      </c>
      <c r="F52">
        <f>'All-IndexCardChair'!$V$6</f>
        <v>0</v>
      </c>
      <c r="G52" t="s">
        <v>475</v>
      </c>
      <c r="J52" t="s">
        <v>537</v>
      </c>
    </row>
    <row r="53" spans="1:10" ht="15" customHeight="1" x14ac:dyDescent="0.25">
      <c r="B53" t="s">
        <v>358</v>
      </c>
      <c r="C53" t="s">
        <v>398</v>
      </c>
      <c r="D53">
        <v>10</v>
      </c>
      <c r="E53" s="14" t="e">
        <f>'ES-BricksForPigs'!#REF!</f>
        <v>#REF!</v>
      </c>
      <c r="F53" s="138" t="e">
        <f>'ES-BricksForPigs'!#REF!</f>
        <v>#REF!</v>
      </c>
      <c r="G53" s="138" t="s">
        <v>476</v>
      </c>
      <c r="J53" t="s">
        <v>446</v>
      </c>
    </row>
    <row r="54" spans="1:10" ht="15" customHeight="1" x14ac:dyDescent="0.25">
      <c r="B54" t="s">
        <v>388</v>
      </c>
      <c r="C54" t="s">
        <v>398</v>
      </c>
      <c r="D54">
        <v>9</v>
      </c>
      <c r="E54" s="14" t="e">
        <f>'ES-BricksForPigs'!#REF!</f>
        <v>#REF!</v>
      </c>
      <c r="F54" s="138" t="e">
        <f>'ES-BricksForPigs'!#REF!</f>
        <v>#REF!</v>
      </c>
      <c r="G54" s="138" t="s">
        <v>477</v>
      </c>
      <c r="J54" t="s">
        <v>445</v>
      </c>
    </row>
    <row r="55" spans="1:10" ht="15" customHeight="1" x14ac:dyDescent="0.25">
      <c r="B55" t="s">
        <v>364</v>
      </c>
      <c r="C55" t="s">
        <v>398</v>
      </c>
      <c r="D55">
        <v>12</v>
      </c>
      <c r="E55" s="14">
        <f>'ES-BricksForPigs'!$L$14</f>
        <v>15</v>
      </c>
      <c r="F55" s="138">
        <f>'ES-BricksForPigs'!$X$14</f>
        <v>7</v>
      </c>
      <c r="G55" s="138" t="s">
        <v>478</v>
      </c>
    </row>
    <row r="56" spans="1:10" ht="15" customHeight="1" x14ac:dyDescent="0.25">
      <c r="B56" t="s">
        <v>389</v>
      </c>
      <c r="C56" t="s">
        <v>385</v>
      </c>
      <c r="D56">
        <v>5</v>
      </c>
      <c r="E56" s="14">
        <f>'MS-Bioswale'!$L$6</f>
        <v>20</v>
      </c>
      <c r="F56">
        <f>'MS-Bioswale'!$X$6</f>
        <v>4</v>
      </c>
      <c r="G56" t="s">
        <v>479</v>
      </c>
      <c r="J56" t="s">
        <v>538</v>
      </c>
    </row>
    <row r="57" spans="1:10" s="140" customFormat="1" ht="15" customHeight="1" x14ac:dyDescent="0.25">
      <c r="B57" s="140" t="s">
        <v>389</v>
      </c>
      <c r="C57" s="140" t="s">
        <v>409</v>
      </c>
      <c r="D57" s="140">
        <v>9</v>
      </c>
      <c r="E57" s="143"/>
      <c r="G57" s="140" t="s">
        <v>480</v>
      </c>
    </row>
    <row r="58" spans="1:10" s="140" customFormat="1" ht="15" customHeight="1" x14ac:dyDescent="0.25">
      <c r="B58" s="140" t="s">
        <v>419</v>
      </c>
      <c r="C58" s="140" t="s">
        <v>401</v>
      </c>
      <c r="D58" s="140">
        <v>4</v>
      </c>
      <c r="E58" s="143"/>
      <c r="G58" s="140" t="s">
        <v>481</v>
      </c>
    </row>
    <row r="59" spans="1:10" s="140" customFormat="1" ht="15" customHeight="1" x14ac:dyDescent="0.25">
      <c r="B59" s="140" t="s">
        <v>438</v>
      </c>
      <c r="C59" s="140" t="s">
        <v>398</v>
      </c>
      <c r="D59" s="140">
        <v>12</v>
      </c>
      <c r="E59" s="142">
        <f>'ES-BricksForPigs'!$L$11</f>
        <v>10</v>
      </c>
      <c r="F59" s="141">
        <f>'ES-BricksForPigs'!$X$11</f>
        <v>4</v>
      </c>
      <c r="G59" s="143">
        <f>'ES-BricksForPigs'!$AB$11</f>
        <v>1</v>
      </c>
      <c r="J59" s="140" t="s">
        <v>439</v>
      </c>
    </row>
    <row r="61" spans="1:10" ht="15" customHeight="1" x14ac:dyDescent="0.25">
      <c r="A61" t="s">
        <v>359</v>
      </c>
      <c r="B61" t="s">
        <v>360</v>
      </c>
      <c r="C61" t="s">
        <v>402</v>
      </c>
      <c r="D61">
        <v>18</v>
      </c>
      <c r="E61" s="14" t="e">
        <f>'HS-LittlefootsRide'!#REF!</f>
        <v>#REF!</v>
      </c>
      <c r="F61" s="139" t="e">
        <f>'HS-LittlefootsRide'!#REF!</f>
        <v>#REF!</v>
      </c>
      <c r="G61" s="138" t="s">
        <v>482</v>
      </c>
      <c r="J61" t="s">
        <v>527</v>
      </c>
    </row>
    <row r="62" spans="1:10" ht="15" customHeight="1" x14ac:dyDescent="0.25">
      <c r="B62" t="s">
        <v>361</v>
      </c>
      <c r="C62" t="s">
        <v>402</v>
      </c>
      <c r="D62">
        <v>17</v>
      </c>
      <c r="E62" s="139">
        <f>'HS-LittlefootsRide'!$L$15</f>
        <v>4</v>
      </c>
      <c r="F62" s="139">
        <f>'HS-LittlefootsRide'!$X$13</f>
        <v>2</v>
      </c>
      <c r="G62" s="138" t="s">
        <v>483</v>
      </c>
      <c r="J62" t="s">
        <v>527</v>
      </c>
    </row>
    <row r="63" spans="1:10" ht="15" customHeight="1" x14ac:dyDescent="0.25">
      <c r="B63" t="s">
        <v>442</v>
      </c>
      <c r="C63" t="s">
        <v>398</v>
      </c>
      <c r="D63">
        <v>11</v>
      </c>
      <c r="E63" s="14">
        <f>'ES-BricksForPigs'!$L$10</f>
        <v>1</v>
      </c>
      <c r="F63" s="138">
        <f>'ES-BricksForPigs'!$X$10</f>
        <v>1</v>
      </c>
      <c r="G63" s="138" t="s">
        <v>484</v>
      </c>
      <c r="J63" t="s">
        <v>443</v>
      </c>
    </row>
    <row r="64" spans="1:10" ht="15" customHeight="1" x14ac:dyDescent="0.25">
      <c r="B64" t="s">
        <v>390</v>
      </c>
      <c r="C64" t="s">
        <v>402</v>
      </c>
      <c r="D64">
        <v>12</v>
      </c>
      <c r="E64" s="14" t="e">
        <f>'HS-LittlefootsRide'!#REF!</f>
        <v>#REF!</v>
      </c>
      <c r="F64" s="139" t="e">
        <f>'HS-LittlefootsRide'!#REF!</f>
        <v>#REF!</v>
      </c>
      <c r="G64" s="138" t="s">
        <v>485</v>
      </c>
      <c r="J64" t="s">
        <v>527</v>
      </c>
    </row>
    <row r="65" spans="1:10" ht="15" customHeight="1" x14ac:dyDescent="0.25">
      <c r="B65" t="s">
        <v>390</v>
      </c>
      <c r="C65" t="s">
        <v>379</v>
      </c>
      <c r="D65">
        <v>6</v>
      </c>
      <c r="E65" s="14">
        <f>'MS-UltimateSpeed'!$L$7</f>
        <v>12</v>
      </c>
      <c r="F65" s="14">
        <f>'MS-UltimateSpeed'!$X$7</f>
        <v>4</v>
      </c>
      <c r="G65" t="s">
        <v>486</v>
      </c>
      <c r="J65" t="s">
        <v>447</v>
      </c>
    </row>
    <row r="66" spans="1:10" ht="15" customHeight="1" x14ac:dyDescent="0.25">
      <c r="G66" t="s">
        <v>467</v>
      </c>
    </row>
    <row r="67" spans="1:10" ht="15" customHeight="1" x14ac:dyDescent="0.25">
      <c r="A67" t="s">
        <v>362</v>
      </c>
      <c r="B67" t="s">
        <v>425</v>
      </c>
      <c r="C67" t="s">
        <v>380</v>
      </c>
      <c r="D67">
        <v>11</v>
      </c>
      <c r="E67" s="14">
        <f>'ES-ToadsCar'!$M$12</f>
        <v>2</v>
      </c>
      <c r="F67">
        <f>'ES-ToadsCar'!$Y$12</f>
        <v>1</v>
      </c>
      <c r="G67" t="s">
        <v>487</v>
      </c>
      <c r="J67" t="s">
        <v>448</v>
      </c>
    </row>
    <row r="68" spans="1:10" ht="15" customHeight="1" x14ac:dyDescent="0.25">
      <c r="B68" t="s">
        <v>425</v>
      </c>
      <c r="C68" t="s">
        <v>379</v>
      </c>
      <c r="D68">
        <v>14</v>
      </c>
      <c r="E68" s="14">
        <f>'MS-UltimateSpeed'!$L$15</f>
        <v>1</v>
      </c>
      <c r="F68" s="14">
        <f>'MS-UltimateSpeed'!$X$15</f>
        <v>1</v>
      </c>
      <c r="G68" t="s">
        <v>488</v>
      </c>
      <c r="J68" t="s">
        <v>448</v>
      </c>
    </row>
    <row r="69" spans="1:10" ht="15" customHeight="1" x14ac:dyDescent="0.25">
      <c r="B69" t="s">
        <v>426</v>
      </c>
      <c r="C69" t="s">
        <v>402</v>
      </c>
      <c r="D69">
        <v>16</v>
      </c>
      <c r="E69" s="14">
        <f>'HS-LittlefootsRide'!$L$12</f>
        <v>8</v>
      </c>
      <c r="F69" s="139">
        <f>'HS-LittlefootsRide'!$X$12</f>
        <v>4</v>
      </c>
      <c r="G69" s="138" t="s">
        <v>489</v>
      </c>
      <c r="J69" t="s">
        <v>528</v>
      </c>
    </row>
    <row r="70" spans="1:10" ht="15" customHeight="1" x14ac:dyDescent="0.25">
      <c r="B70" t="s">
        <v>391</v>
      </c>
      <c r="C70" t="s">
        <v>380</v>
      </c>
      <c r="D70">
        <v>10</v>
      </c>
      <c r="E70" s="14">
        <f>'ES-ToadsCar'!$M$11</f>
        <v>2</v>
      </c>
      <c r="F70">
        <f>'ES-ToadsCar'!$Y$11</f>
        <v>1</v>
      </c>
      <c r="G70" t="s">
        <v>490</v>
      </c>
      <c r="J70" t="s">
        <v>449</v>
      </c>
    </row>
    <row r="71" spans="1:10" ht="15" customHeight="1" x14ac:dyDescent="0.25">
      <c r="B71" t="s">
        <v>391</v>
      </c>
      <c r="C71" t="s">
        <v>379</v>
      </c>
      <c r="D71">
        <v>13</v>
      </c>
      <c r="E71" s="14">
        <f>'MS-UltimateSpeed'!$L$14</f>
        <v>1</v>
      </c>
      <c r="F71" s="14">
        <f>'MS-UltimateSpeed'!$X$14</f>
        <v>1</v>
      </c>
      <c r="G71" t="s">
        <v>491</v>
      </c>
      <c r="J71" t="s">
        <v>449</v>
      </c>
    </row>
    <row r="72" spans="1:10" ht="15" customHeight="1" x14ac:dyDescent="0.25">
      <c r="B72" t="s">
        <v>392</v>
      </c>
      <c r="C72" t="s">
        <v>380</v>
      </c>
      <c r="D72">
        <v>9</v>
      </c>
      <c r="E72" s="14">
        <f>'ES-ToadsCar'!$M$10</f>
        <v>2</v>
      </c>
      <c r="F72">
        <f>-'ES-ToadsCar'!$Y$10</f>
        <v>-1</v>
      </c>
      <c r="G72" t="s">
        <v>492</v>
      </c>
      <c r="J72" t="s">
        <v>449</v>
      </c>
    </row>
    <row r="73" spans="1:10" ht="15" customHeight="1" x14ac:dyDescent="0.25">
      <c r="B73" t="s">
        <v>392</v>
      </c>
      <c r="C73" t="s">
        <v>379</v>
      </c>
      <c r="D73">
        <v>12</v>
      </c>
      <c r="E73" s="14">
        <f>'MS-UltimateSpeed'!$L$13</f>
        <v>2</v>
      </c>
      <c r="F73" s="14">
        <f>'MS-UltimateSpeed'!$X$13</f>
        <v>1</v>
      </c>
      <c r="G73" t="s">
        <v>493</v>
      </c>
      <c r="J73" t="s">
        <v>449</v>
      </c>
    </row>
    <row r="74" spans="1:10" ht="15" customHeight="1" x14ac:dyDescent="0.25">
      <c r="B74" t="s">
        <v>363</v>
      </c>
      <c r="C74" t="s">
        <v>402</v>
      </c>
      <c r="D74">
        <v>15</v>
      </c>
      <c r="E74" s="139">
        <f>'HS-LittlefootsRide'!$L$11</f>
        <v>4</v>
      </c>
      <c r="F74" s="139">
        <f>'HS-LittlefootsRide'!$X$11</f>
        <v>2</v>
      </c>
      <c r="G74" s="138" t="s">
        <v>494</v>
      </c>
      <c r="J74" t="s">
        <v>529</v>
      </c>
    </row>
    <row r="75" spans="1:10" s="140" customFormat="1" ht="15" customHeight="1" x14ac:dyDescent="0.25">
      <c r="B75" s="140" t="s">
        <v>406</v>
      </c>
      <c r="C75" s="140" t="s">
        <v>385</v>
      </c>
      <c r="D75" s="140">
        <v>14</v>
      </c>
      <c r="G75" s="140" t="s">
        <v>495</v>
      </c>
      <c r="J75" s="140" t="s">
        <v>538</v>
      </c>
    </row>
    <row r="76" spans="1:10" s="140" customFormat="1" ht="15" customHeight="1" x14ac:dyDescent="0.25">
      <c r="B76" s="140" t="s">
        <v>408</v>
      </c>
      <c r="C76" s="140" t="s">
        <v>409</v>
      </c>
      <c r="D76" s="140">
        <v>6</v>
      </c>
      <c r="G76" s="140" t="s">
        <v>496</v>
      </c>
    </row>
    <row r="77" spans="1:10" s="140" customFormat="1" ht="15" customHeight="1" x14ac:dyDescent="0.25">
      <c r="B77" s="140" t="s">
        <v>211</v>
      </c>
      <c r="C77" s="140" t="s">
        <v>409</v>
      </c>
      <c r="D77" s="140">
        <v>7</v>
      </c>
      <c r="G77" s="140" t="s">
        <v>497</v>
      </c>
    </row>
    <row r="78" spans="1:10" s="140" customFormat="1" ht="15" customHeight="1" x14ac:dyDescent="0.25">
      <c r="B78" s="140" t="s">
        <v>72</v>
      </c>
      <c r="C78" s="140" t="s">
        <v>409</v>
      </c>
      <c r="D78" s="140">
        <v>35</v>
      </c>
      <c r="G78" s="140" t="s">
        <v>498</v>
      </c>
    </row>
    <row r="79" spans="1:10" s="140" customFormat="1" ht="15" customHeight="1" x14ac:dyDescent="0.25">
      <c r="B79" s="140" t="s">
        <v>420</v>
      </c>
      <c r="C79" s="140" t="s">
        <v>401</v>
      </c>
      <c r="D79" s="140">
        <v>6</v>
      </c>
      <c r="G79" s="140" t="s">
        <v>499</v>
      </c>
      <c r="J79" s="140" t="s">
        <v>539</v>
      </c>
    </row>
    <row r="80" spans="1:10" s="140" customFormat="1" ht="15" customHeight="1" x14ac:dyDescent="0.25">
      <c r="B80" s="140" t="s">
        <v>424</v>
      </c>
      <c r="C80" s="140" t="s">
        <v>401</v>
      </c>
      <c r="D80" s="140">
        <v>14</v>
      </c>
      <c r="G80" s="140" t="s">
        <v>500</v>
      </c>
    </row>
    <row r="82" spans="1:10" ht="15" customHeight="1" x14ac:dyDescent="0.25">
      <c r="A82" t="s">
        <v>181</v>
      </c>
      <c r="B82" t="s">
        <v>8</v>
      </c>
      <c r="C82" t="s">
        <v>385</v>
      </c>
      <c r="D82">
        <v>6</v>
      </c>
      <c r="E82" s="14">
        <f>'MS-Bioswale'!$L$7</f>
        <v>2</v>
      </c>
      <c r="F82">
        <f>'MS-Bioswale'!$X$7</f>
        <v>1</v>
      </c>
      <c r="G82" t="s">
        <v>468</v>
      </c>
      <c r="J82" t="s">
        <v>540</v>
      </c>
    </row>
    <row r="83" spans="1:10" ht="15" customHeight="1" x14ac:dyDescent="0.25">
      <c r="B83" t="s">
        <v>8</v>
      </c>
      <c r="C83" t="s">
        <v>398</v>
      </c>
      <c r="D83">
        <v>5</v>
      </c>
      <c r="E83" s="139">
        <f>'ES-BricksForPigs'!$L$6</f>
        <v>1</v>
      </c>
      <c r="F83" s="138">
        <f>'ES-BricksForPigs'!$X$6</f>
        <v>1</v>
      </c>
      <c r="G83" s="138" t="s">
        <v>501</v>
      </c>
      <c r="J83" t="s">
        <v>444</v>
      </c>
    </row>
    <row r="84" spans="1:10" ht="15" customHeight="1" x14ac:dyDescent="0.25">
      <c r="B84" t="s">
        <v>10</v>
      </c>
      <c r="C84" t="s">
        <v>385</v>
      </c>
      <c r="D84">
        <v>9</v>
      </c>
      <c r="E84" s="14">
        <f>'MS-Bioswale'!$L$8</f>
        <v>2</v>
      </c>
      <c r="F84">
        <f>'MS-Bioswale'!$X$8</f>
        <v>1</v>
      </c>
      <c r="G84" t="s">
        <v>502</v>
      </c>
      <c r="J84" t="s">
        <v>540</v>
      </c>
    </row>
    <row r="85" spans="1:10" ht="15" customHeight="1" x14ac:dyDescent="0.25">
      <c r="B85" t="s">
        <v>10</v>
      </c>
      <c r="C85" t="s">
        <v>398</v>
      </c>
      <c r="D85">
        <v>6</v>
      </c>
      <c r="E85" s="139">
        <f>'ES-BricksForPigs'!$L$7</f>
        <v>2</v>
      </c>
      <c r="F85" s="138">
        <f>'ES-BricksForPigs'!$X$7</f>
        <v>1</v>
      </c>
      <c r="G85" s="138" t="s">
        <v>503</v>
      </c>
      <c r="J85" t="s">
        <v>444</v>
      </c>
    </row>
    <row r="86" spans="1:10" ht="15" customHeight="1" x14ac:dyDescent="0.25">
      <c r="B86" t="s">
        <v>393</v>
      </c>
      <c r="C86" t="s">
        <v>385</v>
      </c>
      <c r="D86">
        <v>11</v>
      </c>
      <c r="E86" s="14">
        <f>'MS-Bioswale'!$L$9</f>
        <v>2</v>
      </c>
      <c r="F86">
        <f>'MS-Bioswale'!$X$9</f>
        <v>1</v>
      </c>
      <c r="G86" t="s">
        <v>504</v>
      </c>
      <c r="J86" t="s">
        <v>540</v>
      </c>
    </row>
    <row r="87" spans="1:10" ht="15" customHeight="1" x14ac:dyDescent="0.25">
      <c r="B87" t="s">
        <v>393</v>
      </c>
      <c r="C87" t="s">
        <v>398</v>
      </c>
      <c r="D87">
        <v>7</v>
      </c>
      <c r="E87" s="139">
        <f>'ES-BricksForPigs'!$L$8</f>
        <v>1</v>
      </c>
      <c r="F87" s="138">
        <f>'ES-BricksForPigs'!$X$8</f>
        <v>1</v>
      </c>
      <c r="G87" s="138" t="s">
        <v>505</v>
      </c>
      <c r="J87" t="s">
        <v>444</v>
      </c>
    </row>
    <row r="88" spans="1:10" s="140" customFormat="1" ht="15" customHeight="1" x14ac:dyDescent="0.25">
      <c r="B88" s="140" t="s">
        <v>410</v>
      </c>
      <c r="C88" s="140" t="s">
        <v>409</v>
      </c>
      <c r="D88" s="140">
        <v>14</v>
      </c>
      <c r="E88" s="142"/>
      <c r="F88" s="141"/>
      <c r="G88" s="141" t="s">
        <v>506</v>
      </c>
    </row>
    <row r="89" spans="1:10" s="140" customFormat="1" ht="15" customHeight="1" x14ac:dyDescent="0.25">
      <c r="B89" s="140" t="s">
        <v>411</v>
      </c>
      <c r="C89" s="140" t="s">
        <v>409</v>
      </c>
      <c r="D89" s="140">
        <v>16</v>
      </c>
      <c r="E89" s="142"/>
      <c r="F89" s="141"/>
      <c r="G89" s="141" t="s">
        <v>507</v>
      </c>
    </row>
    <row r="90" spans="1:10" s="140" customFormat="1" ht="15" customHeight="1" x14ac:dyDescent="0.25">
      <c r="B90" s="140" t="s">
        <v>224</v>
      </c>
      <c r="C90" s="140" t="s">
        <v>409</v>
      </c>
      <c r="D90" s="140">
        <v>17</v>
      </c>
      <c r="E90" s="142"/>
      <c r="F90" s="141"/>
      <c r="G90" s="141" t="s">
        <v>508</v>
      </c>
    </row>
    <row r="91" spans="1:10" s="140" customFormat="1" ht="15" customHeight="1" x14ac:dyDescent="0.25">
      <c r="B91" s="140" t="s">
        <v>412</v>
      </c>
      <c r="C91" s="140" t="s">
        <v>409</v>
      </c>
      <c r="D91" s="140">
        <v>19</v>
      </c>
      <c r="E91" s="142"/>
      <c r="F91" s="141"/>
      <c r="G91" s="141" t="s">
        <v>509</v>
      </c>
    </row>
    <row r="92" spans="1:10" ht="15" customHeight="1" x14ac:dyDescent="0.25">
      <c r="E92" s="139"/>
      <c r="F92" s="138"/>
      <c r="G92" s="138" t="s">
        <v>467</v>
      </c>
    </row>
    <row r="93" spans="1:10" ht="15" customHeight="1" x14ac:dyDescent="0.25">
      <c r="E93" s="139"/>
      <c r="F93" s="138"/>
      <c r="G93" s="138" t="s">
        <v>467</v>
      </c>
    </row>
    <row r="94" spans="1:10" ht="15" customHeight="1" x14ac:dyDescent="0.25">
      <c r="G94" t="s">
        <v>467</v>
      </c>
    </row>
    <row r="95" spans="1:10" ht="15" customHeight="1" x14ac:dyDescent="0.25">
      <c r="A95" t="s">
        <v>365</v>
      </c>
      <c r="B95" t="s">
        <v>450</v>
      </c>
      <c r="C95" t="s">
        <v>385</v>
      </c>
      <c r="D95">
        <v>15</v>
      </c>
      <c r="E95" s="14">
        <f>'MS-Bioswale'!$L$13</f>
        <v>1</v>
      </c>
      <c r="F95">
        <f>'MS-Bioswale'!$X$13</f>
        <v>1</v>
      </c>
      <c r="G95" t="s">
        <v>510</v>
      </c>
    </row>
    <row r="96" spans="1:10" ht="15" customHeight="1" x14ac:dyDescent="0.25">
      <c r="B96" t="s">
        <v>366</v>
      </c>
      <c r="G96" t="s">
        <v>467</v>
      </c>
    </row>
    <row r="97" spans="2:10" ht="15" customHeight="1" x14ac:dyDescent="0.25">
      <c r="B97" t="s">
        <v>394</v>
      </c>
      <c r="C97" t="s">
        <v>380</v>
      </c>
      <c r="D97">
        <v>5</v>
      </c>
      <c r="E97" s="14">
        <f>'ES-ToadsCar'!$M$6</f>
        <v>4</v>
      </c>
      <c r="F97">
        <f>'ES-ToadsCar'!$Y$6</f>
        <v>1</v>
      </c>
      <c r="G97" t="s">
        <v>511</v>
      </c>
      <c r="J97" t="s">
        <v>533</v>
      </c>
    </row>
    <row r="98" spans="2:10" ht="15" customHeight="1" x14ac:dyDescent="0.25">
      <c r="B98" t="s">
        <v>394</v>
      </c>
      <c r="C98" t="s">
        <v>379</v>
      </c>
      <c r="D98">
        <v>5</v>
      </c>
      <c r="E98" s="14">
        <f>'MS-UltimateSpeed'!$L$6</f>
        <v>4</v>
      </c>
      <c r="F98" s="14">
        <f>'MS-UltimateSpeed'!$X$6</f>
        <v>4</v>
      </c>
      <c r="G98" t="s">
        <v>512</v>
      </c>
      <c r="J98" t="s">
        <v>533</v>
      </c>
    </row>
    <row r="99" spans="2:10" s="140" customFormat="1" ht="15" customHeight="1" x14ac:dyDescent="0.25">
      <c r="B99" s="140" t="s">
        <v>413</v>
      </c>
      <c r="C99" s="140" t="s">
        <v>409</v>
      </c>
      <c r="D99" s="140">
        <v>23</v>
      </c>
      <c r="E99" s="143"/>
      <c r="F99" s="143"/>
      <c r="G99" s="140" t="s">
        <v>513</v>
      </c>
    </row>
    <row r="100" spans="2:10" s="140" customFormat="1" ht="15" customHeight="1" x14ac:dyDescent="0.25">
      <c r="B100" s="140" t="s">
        <v>414</v>
      </c>
      <c r="C100" s="140" t="s">
        <v>409</v>
      </c>
      <c r="D100" s="140">
        <v>14</v>
      </c>
      <c r="E100" s="143"/>
      <c r="F100" s="143"/>
      <c r="G100" s="140" t="s">
        <v>506</v>
      </c>
    </row>
    <row r="101" spans="2:10" s="140" customFormat="1" ht="15" customHeight="1" x14ac:dyDescent="0.25">
      <c r="B101" s="140" t="s">
        <v>415</v>
      </c>
      <c r="C101" s="140" t="s">
        <v>409</v>
      </c>
      <c r="D101" s="140">
        <v>25</v>
      </c>
      <c r="E101" s="143"/>
      <c r="F101" s="143"/>
      <c r="G101" s="140" t="s">
        <v>514</v>
      </c>
    </row>
    <row r="102" spans="2:10" s="140" customFormat="1" ht="15" customHeight="1" x14ac:dyDescent="0.25">
      <c r="B102" s="140" t="s">
        <v>233</v>
      </c>
      <c r="C102" s="140" t="s">
        <v>409</v>
      </c>
      <c r="D102" s="140">
        <v>26</v>
      </c>
      <c r="E102" s="143"/>
      <c r="F102" s="143"/>
      <c r="G102" s="140" t="s">
        <v>515</v>
      </c>
    </row>
    <row r="103" spans="2:10" s="140" customFormat="1" ht="15" customHeight="1" x14ac:dyDescent="0.25">
      <c r="B103" s="140" t="s">
        <v>416</v>
      </c>
      <c r="C103" s="140" t="s">
        <v>409</v>
      </c>
      <c r="D103" s="140">
        <v>28</v>
      </c>
      <c r="E103" s="143"/>
      <c r="F103" s="143"/>
      <c r="G103" s="140" t="s">
        <v>516</v>
      </c>
    </row>
    <row r="104" spans="2:10" s="140" customFormat="1" ht="15" customHeight="1" x14ac:dyDescent="0.25">
      <c r="B104" s="140" t="s">
        <v>238</v>
      </c>
      <c r="C104" s="140" t="s">
        <v>409</v>
      </c>
      <c r="D104" s="140">
        <v>30</v>
      </c>
      <c r="E104" s="143"/>
      <c r="F104" s="143"/>
      <c r="G104" s="140" t="s">
        <v>517</v>
      </c>
    </row>
    <row r="105" spans="2:10" s="140" customFormat="1" ht="15" customHeight="1" x14ac:dyDescent="0.25">
      <c r="B105" s="140" t="s">
        <v>239</v>
      </c>
      <c r="C105" s="140" t="s">
        <v>409</v>
      </c>
      <c r="D105" s="140">
        <v>31</v>
      </c>
      <c r="E105" s="143"/>
      <c r="F105" s="143"/>
      <c r="G105" s="140" t="s">
        <v>518</v>
      </c>
    </row>
    <row r="106" spans="2:10" s="140" customFormat="1" ht="15" customHeight="1" x14ac:dyDescent="0.25">
      <c r="B106" s="144" t="s">
        <v>242</v>
      </c>
      <c r="C106" s="140" t="s">
        <v>409</v>
      </c>
      <c r="D106" s="140">
        <v>32</v>
      </c>
      <c r="E106" s="143"/>
      <c r="F106" s="143"/>
      <c r="G106" s="140" t="s">
        <v>519</v>
      </c>
    </row>
    <row r="107" spans="2:10" s="140" customFormat="1" ht="15" customHeight="1" x14ac:dyDescent="0.25">
      <c r="B107" s="144" t="s">
        <v>243</v>
      </c>
      <c r="C107" s="140" t="s">
        <v>409</v>
      </c>
      <c r="D107" s="140">
        <v>33</v>
      </c>
      <c r="E107" s="143"/>
      <c r="F107" s="143"/>
      <c r="G107" s="140" t="s">
        <v>520</v>
      </c>
    </row>
    <row r="108" spans="2:10" s="140" customFormat="1" ht="15" customHeight="1" x14ac:dyDescent="0.25">
      <c r="B108" s="144" t="s">
        <v>245</v>
      </c>
      <c r="C108" s="140" t="s">
        <v>409</v>
      </c>
      <c r="D108" s="140">
        <v>34</v>
      </c>
      <c r="E108" s="143"/>
      <c r="F108" s="143"/>
      <c r="G108" s="140" t="s">
        <v>521</v>
      </c>
    </row>
    <row r="109" spans="2:10" s="140" customFormat="1" ht="15" customHeight="1" x14ac:dyDescent="0.25">
      <c r="B109" s="145" t="s">
        <v>422</v>
      </c>
      <c r="C109" s="140" t="s">
        <v>401</v>
      </c>
      <c r="D109" s="140">
        <v>9</v>
      </c>
      <c r="E109" s="143"/>
      <c r="F109" s="143"/>
      <c r="G109" s="140" t="s">
        <v>522</v>
      </c>
      <c r="J109" s="140" t="s">
        <v>541</v>
      </c>
    </row>
    <row r="110" spans="2:10" s="140" customFormat="1" ht="15" customHeight="1" x14ac:dyDescent="0.25">
      <c r="B110" s="145" t="s">
        <v>423</v>
      </c>
      <c r="C110" s="140" t="s">
        <v>401</v>
      </c>
      <c r="D110" s="140">
        <v>12</v>
      </c>
      <c r="E110" s="143"/>
      <c r="F110" s="143"/>
      <c r="G110" s="140" t="s">
        <v>523</v>
      </c>
      <c r="J110" s="140" t="s">
        <v>542</v>
      </c>
    </row>
    <row r="111" spans="2:10" s="140" customFormat="1" ht="15" customHeight="1" x14ac:dyDescent="0.25">
      <c r="B111" s="145"/>
      <c r="E111" s="143"/>
      <c r="F111" s="143"/>
    </row>
    <row r="113" spans="1:4" ht="15" customHeight="1" x14ac:dyDescent="0.25">
      <c r="A113" t="s">
        <v>368</v>
      </c>
      <c r="B113" t="s">
        <v>369</v>
      </c>
      <c r="C113" t="s">
        <v>387</v>
      </c>
      <c r="D113">
        <v>4</v>
      </c>
    </row>
    <row r="114" spans="1:4" ht="15" customHeight="1" x14ac:dyDescent="0.25">
      <c r="B114" t="s">
        <v>370</v>
      </c>
      <c r="C114" t="s">
        <v>395</v>
      </c>
      <c r="D114">
        <v>5</v>
      </c>
    </row>
    <row r="115" spans="1:4" ht="15" customHeight="1" x14ac:dyDescent="0.25">
      <c r="B115" t="s">
        <v>371</v>
      </c>
      <c r="C115" t="s">
        <v>395</v>
      </c>
      <c r="D115">
        <v>4</v>
      </c>
    </row>
    <row r="116" spans="1:4" ht="15" customHeight="1" x14ac:dyDescent="0.25">
      <c r="B116" t="s">
        <v>372</v>
      </c>
      <c r="C116" t="s">
        <v>395</v>
      </c>
      <c r="D116">
        <v>6</v>
      </c>
    </row>
    <row r="117" spans="1:4" ht="15" customHeight="1" x14ac:dyDescent="0.25">
      <c r="B117" t="s">
        <v>373</v>
      </c>
      <c r="C117" t="s">
        <v>395</v>
      </c>
      <c r="D117">
        <v>7</v>
      </c>
    </row>
    <row r="118" spans="1:4" ht="15" customHeight="1" x14ac:dyDescent="0.25">
      <c r="B118" t="s">
        <v>374</v>
      </c>
      <c r="C118" t="s">
        <v>395</v>
      </c>
      <c r="D118">
        <v>8</v>
      </c>
    </row>
    <row r="119" spans="1:4" ht="15" customHeight="1" x14ac:dyDescent="0.25">
      <c r="B119" t="s">
        <v>375</v>
      </c>
      <c r="C119" t="s">
        <v>395</v>
      </c>
      <c r="D119">
        <v>11</v>
      </c>
    </row>
    <row r="120" spans="1:4" s="140" customFormat="1" ht="15" customHeight="1" x14ac:dyDescent="0.25">
      <c r="B120" s="140" t="s">
        <v>417</v>
      </c>
      <c r="C120" s="140" t="s">
        <v>418</v>
      </c>
      <c r="D120" s="140">
        <v>4</v>
      </c>
    </row>
    <row r="122" spans="1:4" ht="15" customHeight="1" x14ac:dyDescent="0.25">
      <c r="A122" t="s">
        <v>400</v>
      </c>
      <c r="B122" t="s">
        <v>399</v>
      </c>
      <c r="C122" t="s">
        <v>401</v>
      </c>
    </row>
  </sheetData>
  <mergeCells count="1">
    <mergeCell ref="H14:J14"/>
  </mergeCells>
  <printOptions gridLines="1"/>
  <pageMargins left="0.25" right="0.25" top="0.75" bottom="0.75" header="0.3" footer="0.3"/>
  <pageSetup paperSize="3" scale="9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85" zoomScaleNormal="85" workbookViewId="0"/>
  </sheetViews>
  <sheetFormatPr defaultRowHeight="15" x14ac:dyDescent="0.25"/>
  <cols>
    <col min="1" max="1" width="35.7109375" customWidth="1"/>
    <col min="2" max="2" width="34.42578125" customWidth="1"/>
    <col min="3" max="3" width="35.140625" customWidth="1"/>
  </cols>
  <sheetData>
    <row r="1" spans="1:3" ht="30" customHeight="1" thickBot="1" x14ac:dyDescent="0.3">
      <c r="A1" s="593" t="s">
        <v>687</v>
      </c>
      <c r="B1" s="594"/>
      <c r="C1" s="408" t="s">
        <v>684</v>
      </c>
    </row>
    <row r="2" spans="1:3" ht="39.950000000000003" customHeight="1" thickBot="1" x14ac:dyDescent="0.3">
      <c r="A2" s="1524" t="s">
        <v>688</v>
      </c>
      <c r="B2" s="1525"/>
      <c r="C2" s="1526"/>
    </row>
    <row r="3" spans="1:3" ht="30" customHeight="1" thickBot="1" x14ac:dyDescent="0.3">
      <c r="A3" s="595" t="s">
        <v>88</v>
      </c>
      <c r="B3" s="599" t="s">
        <v>85</v>
      </c>
      <c r="C3" s="600"/>
    </row>
    <row r="4" spans="1:3" ht="30" customHeight="1" x14ac:dyDescent="0.25">
      <c r="A4" s="596" t="s">
        <v>51</v>
      </c>
      <c r="B4" s="403">
        <v>30</v>
      </c>
      <c r="C4" s="601"/>
    </row>
    <row r="5" spans="1:3" ht="30" customHeight="1" x14ac:dyDescent="0.25">
      <c r="A5" s="597" t="s">
        <v>32</v>
      </c>
      <c r="B5" s="401">
        <v>30</v>
      </c>
      <c r="C5" s="601"/>
    </row>
    <row r="6" spans="1:3" ht="30" customHeight="1" thickBot="1" x14ac:dyDescent="0.3">
      <c r="A6" s="598" t="s">
        <v>33</v>
      </c>
      <c r="B6" s="402">
        <v>30</v>
      </c>
      <c r="C6" s="602"/>
    </row>
  </sheetData>
  <mergeCells count="1">
    <mergeCell ref="A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workbookViewId="0">
      <pane xSplit="1" ySplit="2" topLeftCell="B3" activePane="bottomRight" state="frozen"/>
      <selection pane="topRight" activeCell="B1" sqref="B1"/>
      <selection pane="bottomLeft" activeCell="A3" sqref="A3"/>
      <selection pane="bottomRight" activeCell="G8" sqref="G8"/>
    </sheetView>
  </sheetViews>
  <sheetFormatPr defaultRowHeight="15" x14ac:dyDescent="0.25"/>
  <cols>
    <col min="1" max="1" width="15.7109375" customWidth="1"/>
    <col min="2" max="2" width="10.28515625" customWidth="1"/>
    <col min="4" max="4" width="11.7109375" customWidth="1"/>
    <col min="5" max="5" width="10.5703125" style="4" customWidth="1"/>
    <col min="6" max="7" width="9.140625" style="4"/>
    <col min="8" max="8" width="8.42578125" style="4" customWidth="1"/>
    <col min="9" max="9" width="10.140625" style="4" customWidth="1"/>
    <col min="10" max="10" width="49.85546875" customWidth="1"/>
    <col min="11" max="11" width="9" style="14" customWidth="1"/>
    <col min="12" max="12" width="11.85546875" style="14" customWidth="1"/>
    <col min="14" max="14" width="1.28515625" customWidth="1"/>
  </cols>
  <sheetData>
    <row r="1" spans="1:15" ht="18" customHeight="1" x14ac:dyDescent="0.3">
      <c r="A1" s="7" t="s">
        <v>45</v>
      </c>
      <c r="C1" s="7" t="s">
        <v>452</v>
      </c>
      <c r="D1" s="1528" t="s">
        <v>126</v>
      </c>
      <c r="E1" s="1529"/>
      <c r="F1" s="1529"/>
      <c r="G1" s="1529"/>
      <c r="H1" s="1529"/>
      <c r="I1" s="1529"/>
      <c r="J1" s="1529"/>
      <c r="K1" s="1529"/>
      <c r="L1" s="1529"/>
      <c r="M1" s="1529"/>
    </row>
    <row r="2" spans="1:15" ht="28.5" customHeight="1" x14ac:dyDescent="0.25">
      <c r="B2" t="s">
        <v>132</v>
      </c>
      <c r="J2" s="90" t="s">
        <v>38</v>
      </c>
      <c r="K2" s="91" t="s">
        <v>46</v>
      </c>
      <c r="L2" s="92" t="s">
        <v>121</v>
      </c>
      <c r="M2" s="92" t="s">
        <v>26</v>
      </c>
    </row>
    <row r="3" spans="1:15" ht="15.75" customHeight="1" x14ac:dyDescent="0.25">
      <c r="A3" s="79" t="s">
        <v>120</v>
      </c>
      <c r="B3" s="80"/>
      <c r="C3" s="80"/>
      <c r="D3" s="81"/>
      <c r="F3" s="37" t="s">
        <v>91</v>
      </c>
      <c r="G3" s="28"/>
      <c r="H3" s="28"/>
      <c r="I3" s="77">
        <v>200</v>
      </c>
      <c r="J3" s="83" t="s">
        <v>125</v>
      </c>
      <c r="K3" s="93"/>
      <c r="L3" s="93"/>
      <c r="M3" s="93"/>
    </row>
    <row r="4" spans="1:15" ht="21" customHeight="1" x14ac:dyDescent="0.25">
      <c r="A4" s="1534" t="s">
        <v>35</v>
      </c>
      <c r="B4" s="1535"/>
      <c r="C4" s="1535"/>
      <c r="D4" s="1536"/>
      <c r="F4" s="37" t="s">
        <v>90</v>
      </c>
      <c r="G4" s="28"/>
      <c r="H4" s="28"/>
      <c r="I4" s="77">
        <v>190</v>
      </c>
      <c r="J4" s="83" t="s">
        <v>122</v>
      </c>
      <c r="K4" s="93"/>
      <c r="L4" s="93"/>
      <c r="M4" s="93"/>
    </row>
    <row r="5" spans="1:15" ht="29.25" customHeight="1" x14ac:dyDescent="0.25">
      <c r="A5" s="82" t="s">
        <v>43</v>
      </c>
      <c r="B5" s="82"/>
      <c r="C5" s="82"/>
      <c r="D5" s="82"/>
      <c r="F5" s="37" t="s">
        <v>89</v>
      </c>
      <c r="G5" s="28"/>
      <c r="H5" s="28"/>
      <c r="I5" s="77">
        <v>230</v>
      </c>
      <c r="J5" s="84" t="s">
        <v>61</v>
      </c>
      <c r="K5" s="93"/>
      <c r="L5" s="93"/>
      <c r="M5" s="93"/>
    </row>
    <row r="6" spans="1:15" ht="45" customHeight="1" x14ac:dyDescent="0.25">
      <c r="A6" s="1533" t="s">
        <v>124</v>
      </c>
      <c r="B6" s="1533"/>
      <c r="C6" s="1533"/>
      <c r="D6" s="1533"/>
      <c r="F6" s="1532" t="s">
        <v>92</v>
      </c>
      <c r="G6" s="1532"/>
      <c r="H6" s="1532"/>
      <c r="I6" s="31" t="s">
        <v>93</v>
      </c>
      <c r="J6" s="84" t="s">
        <v>94</v>
      </c>
      <c r="K6" s="93"/>
      <c r="L6" s="93"/>
      <c r="M6" s="93"/>
    </row>
    <row r="7" spans="1:15" ht="31.5" customHeight="1" x14ac:dyDescent="0.25">
      <c r="E7" s="104"/>
      <c r="F7" s="1527" t="s">
        <v>271</v>
      </c>
      <c r="G7" s="1527"/>
      <c r="H7" s="1527"/>
      <c r="I7" s="397">
        <f>'Workshop Assumptions'!B3</f>
        <v>1</v>
      </c>
      <c r="J7" s="1" t="s">
        <v>274</v>
      </c>
      <c r="K7" s="41"/>
      <c r="L7" s="41"/>
      <c r="M7" s="37"/>
    </row>
    <row r="8" spans="1:15" s="1" customFormat="1" ht="33" customHeight="1" x14ac:dyDescent="0.25">
      <c r="A8" s="16" t="s">
        <v>115</v>
      </c>
      <c r="B8" s="127"/>
      <c r="C8" s="5" t="s">
        <v>36</v>
      </c>
      <c r="D8" s="5" t="s">
        <v>37</v>
      </c>
      <c r="E8" s="36" t="s">
        <v>34</v>
      </c>
      <c r="F8" s="60"/>
      <c r="G8" s="60"/>
      <c r="H8" s="60"/>
      <c r="I8" s="128" t="s">
        <v>42</v>
      </c>
      <c r="J8" s="85" t="s">
        <v>107</v>
      </c>
      <c r="K8" s="42"/>
      <c r="L8" s="40"/>
      <c r="M8" s="43"/>
      <c r="O8" s="27"/>
    </row>
    <row r="9" spans="1:15" ht="32.25" customHeight="1" x14ac:dyDescent="0.25">
      <c r="A9" s="5" t="s">
        <v>48</v>
      </c>
      <c r="B9" s="37"/>
      <c r="C9" s="30">
        <v>0</v>
      </c>
      <c r="D9" s="30">
        <v>5</v>
      </c>
      <c r="E9" s="28">
        <f>I5</f>
        <v>230</v>
      </c>
      <c r="F9" s="1551"/>
      <c r="G9" s="1551"/>
      <c r="H9" s="1551"/>
      <c r="I9" s="78">
        <f>C9*D9*E9</f>
        <v>0</v>
      </c>
      <c r="J9" s="85" t="s">
        <v>62</v>
      </c>
      <c r="K9" s="44">
        <v>0</v>
      </c>
      <c r="L9" s="33">
        <f t="shared" ref="L9:L12" si="0">M9-K9</f>
        <v>0</v>
      </c>
      <c r="M9" s="45">
        <f>I9</f>
        <v>0</v>
      </c>
    </row>
    <row r="10" spans="1:15" ht="29.25" customHeight="1" x14ac:dyDescent="0.25">
      <c r="A10" s="37" t="s">
        <v>29</v>
      </c>
      <c r="B10" s="37"/>
      <c r="C10" s="30">
        <v>0</v>
      </c>
      <c r="D10" s="30">
        <v>5</v>
      </c>
      <c r="E10" s="28">
        <f>I4</f>
        <v>190</v>
      </c>
      <c r="F10" s="1551"/>
      <c r="G10" s="1551"/>
      <c r="H10" s="1551"/>
      <c r="I10" s="78">
        <f>C10*D10*E10</f>
        <v>0</v>
      </c>
      <c r="J10" s="85" t="s">
        <v>40</v>
      </c>
      <c r="K10" s="44">
        <v>0</v>
      </c>
      <c r="L10" s="33">
        <f t="shared" si="0"/>
        <v>0</v>
      </c>
      <c r="M10" s="45">
        <f t="shared" ref="M10:M12" si="1">I10</f>
        <v>0</v>
      </c>
    </row>
    <row r="11" spans="1:15" x14ac:dyDescent="0.25">
      <c r="A11" s="37" t="s">
        <v>30</v>
      </c>
      <c r="B11" s="37"/>
      <c r="C11" s="76">
        <f>I7</f>
        <v>1</v>
      </c>
      <c r="D11" s="30">
        <v>5</v>
      </c>
      <c r="E11" s="31">
        <v>50</v>
      </c>
      <c r="F11" s="1551"/>
      <c r="G11" s="1551"/>
      <c r="H11" s="1551"/>
      <c r="I11" s="78">
        <f>C11*D11*E11</f>
        <v>250</v>
      </c>
      <c r="J11" s="83" t="s">
        <v>130</v>
      </c>
      <c r="K11" s="44">
        <v>0</v>
      </c>
      <c r="L11" s="33">
        <f t="shared" si="0"/>
        <v>250</v>
      </c>
      <c r="M11" s="45">
        <f t="shared" si="1"/>
        <v>250</v>
      </c>
    </row>
    <row r="12" spans="1:15" ht="45" x14ac:dyDescent="0.25">
      <c r="A12" s="37" t="s">
        <v>108</v>
      </c>
      <c r="B12" s="76"/>
      <c r="C12" s="76">
        <f>I7</f>
        <v>1</v>
      </c>
      <c r="D12" s="30">
        <v>5</v>
      </c>
      <c r="E12" s="28">
        <v>0</v>
      </c>
      <c r="F12" s="1552"/>
      <c r="G12" s="1552"/>
      <c r="H12" s="1552"/>
      <c r="I12" s="78">
        <f>C12*D12*E12</f>
        <v>0</v>
      </c>
      <c r="J12" s="86" t="s">
        <v>47</v>
      </c>
      <c r="K12" s="44">
        <v>0</v>
      </c>
      <c r="L12" s="33">
        <f t="shared" si="0"/>
        <v>0</v>
      </c>
      <c r="M12" s="45">
        <f t="shared" si="1"/>
        <v>0</v>
      </c>
    </row>
    <row r="13" spans="1:15" x14ac:dyDescent="0.25">
      <c r="A13" s="15" t="s">
        <v>119</v>
      </c>
      <c r="I13" s="78">
        <f>SUM(I9:I12)</f>
        <v>250</v>
      </c>
      <c r="J13" s="83"/>
      <c r="K13" s="46">
        <f>SUM(K9:K12)</f>
        <v>0</v>
      </c>
      <c r="L13" s="46">
        <f t="shared" ref="L13:M13" si="2">SUM(L9:L12)</f>
        <v>250</v>
      </c>
      <c r="M13" s="46">
        <f t="shared" si="2"/>
        <v>250</v>
      </c>
    </row>
    <row r="14" spans="1:15" ht="7.5" customHeight="1" x14ac:dyDescent="0.25">
      <c r="K14" s="47"/>
      <c r="L14" s="41"/>
      <c r="M14" s="48"/>
    </row>
    <row r="15" spans="1:15" ht="15.75" x14ac:dyDescent="0.25">
      <c r="A15" s="6" t="s">
        <v>114</v>
      </c>
      <c r="K15" s="47"/>
      <c r="L15" s="41"/>
      <c r="M15" s="48"/>
    </row>
    <row r="16" spans="1:15" ht="93.75" customHeight="1" x14ac:dyDescent="0.25">
      <c r="A16" s="15" t="s">
        <v>52</v>
      </c>
      <c r="B16" s="37"/>
      <c r="C16" s="35" t="s">
        <v>53</v>
      </c>
      <c r="D16" s="35" t="s">
        <v>54</v>
      </c>
      <c r="E16" s="128" t="s">
        <v>34</v>
      </c>
      <c r="F16" s="28"/>
      <c r="G16" s="28"/>
      <c r="H16" s="28"/>
      <c r="I16" s="128" t="s">
        <v>42</v>
      </c>
      <c r="J16" s="85" t="s">
        <v>123</v>
      </c>
      <c r="K16" s="47"/>
      <c r="L16" s="41"/>
      <c r="M16" s="48"/>
    </row>
    <row r="17" spans="1:13" ht="60" x14ac:dyDescent="0.25">
      <c r="A17" s="67" t="s">
        <v>109</v>
      </c>
      <c r="B17" s="20"/>
      <c r="C17" s="129">
        <v>0</v>
      </c>
      <c r="D17" s="129">
        <v>3</v>
      </c>
      <c r="E17" s="130">
        <f>I5</f>
        <v>230</v>
      </c>
      <c r="I17" s="131">
        <f>C17*D17*E17</f>
        <v>0</v>
      </c>
      <c r="J17" s="85" t="s">
        <v>63</v>
      </c>
      <c r="K17" s="52">
        <v>0</v>
      </c>
      <c r="L17" s="38">
        <f t="shared" ref="L17:L19" si="3">M17-K17</f>
        <v>0</v>
      </c>
      <c r="M17" s="50">
        <f t="shared" ref="M17:M19" si="4">I17</f>
        <v>0</v>
      </c>
    </row>
    <row r="18" spans="1:13" ht="30" x14ac:dyDescent="0.25">
      <c r="A18" s="19" t="s">
        <v>29</v>
      </c>
      <c r="B18" s="20"/>
      <c r="C18" s="30">
        <v>0</v>
      </c>
      <c r="D18" s="30">
        <v>3</v>
      </c>
      <c r="E18" s="28">
        <f>I4</f>
        <v>190</v>
      </c>
      <c r="I18" s="131">
        <f t="shared" ref="I18:I19" si="5">C18*D18*E18</f>
        <v>0</v>
      </c>
      <c r="J18" s="85" t="s">
        <v>55</v>
      </c>
      <c r="K18" s="52">
        <v>0</v>
      </c>
      <c r="L18" s="38">
        <f t="shared" si="3"/>
        <v>0</v>
      </c>
      <c r="M18" s="50">
        <f t="shared" si="4"/>
        <v>0</v>
      </c>
    </row>
    <row r="19" spans="1:13" x14ac:dyDescent="0.25">
      <c r="A19" s="22" t="s">
        <v>49</v>
      </c>
      <c r="B19" s="23"/>
      <c r="C19" s="30">
        <v>0</v>
      </c>
      <c r="D19" s="30">
        <v>3</v>
      </c>
      <c r="E19" s="31">
        <v>25</v>
      </c>
      <c r="I19" s="131">
        <f t="shared" si="5"/>
        <v>0</v>
      </c>
      <c r="J19" s="83" t="s">
        <v>131</v>
      </c>
      <c r="K19" s="52">
        <v>0</v>
      </c>
      <c r="L19" s="38">
        <f t="shared" si="3"/>
        <v>0</v>
      </c>
      <c r="M19" s="50">
        <f t="shared" si="4"/>
        <v>0</v>
      </c>
    </row>
    <row r="20" spans="1:13" ht="45" x14ac:dyDescent="0.25">
      <c r="A20" s="32" t="s">
        <v>56</v>
      </c>
      <c r="C20" s="25" t="s">
        <v>31</v>
      </c>
      <c r="D20" s="25" t="s">
        <v>37</v>
      </c>
      <c r="E20" s="26" t="s">
        <v>34</v>
      </c>
      <c r="F20" s="56"/>
      <c r="G20" s="21"/>
      <c r="I20" s="36" t="s">
        <v>42</v>
      </c>
      <c r="J20" s="87" t="s">
        <v>58</v>
      </c>
      <c r="K20" s="49"/>
      <c r="L20" s="38"/>
      <c r="M20" s="50"/>
    </row>
    <row r="21" spans="1:13" ht="27.75" customHeight="1" x14ac:dyDescent="0.25">
      <c r="A21" s="17" t="s">
        <v>48</v>
      </c>
      <c r="B21" s="18"/>
      <c r="C21" s="30">
        <v>0</v>
      </c>
      <c r="D21" s="30">
        <v>3</v>
      </c>
      <c r="E21" s="28">
        <f>$I$3</f>
        <v>200</v>
      </c>
      <c r="F21" s="21"/>
      <c r="G21" s="21"/>
      <c r="H21" s="21"/>
      <c r="I21" s="131">
        <f>C21*D21*E21</f>
        <v>0</v>
      </c>
      <c r="J21" s="85" t="s">
        <v>64</v>
      </c>
      <c r="K21" s="52">
        <v>0</v>
      </c>
      <c r="L21" s="38">
        <f t="shared" ref="L21:L23" si="6">M21-K21</f>
        <v>0</v>
      </c>
      <c r="M21" s="50">
        <f t="shared" ref="M21:M23" si="7">I21</f>
        <v>0</v>
      </c>
    </row>
    <row r="22" spans="1:13" ht="30.75" customHeight="1" x14ac:dyDescent="0.25">
      <c r="A22" s="19" t="s">
        <v>29</v>
      </c>
      <c r="B22" s="20"/>
      <c r="C22" s="30">
        <v>0</v>
      </c>
      <c r="D22" s="30">
        <v>0</v>
      </c>
      <c r="E22" s="28">
        <f>I4</f>
        <v>190</v>
      </c>
      <c r="F22" s="21"/>
      <c r="G22" s="21"/>
      <c r="H22" s="21"/>
      <c r="I22" s="131">
        <f t="shared" ref="I22:I23" si="8">C22*D22*E22</f>
        <v>0</v>
      </c>
      <c r="J22" s="85" t="s">
        <v>39</v>
      </c>
      <c r="K22" s="52">
        <v>0</v>
      </c>
      <c r="L22" s="38">
        <f t="shared" si="6"/>
        <v>0</v>
      </c>
      <c r="M22" s="50">
        <f t="shared" si="7"/>
        <v>0</v>
      </c>
    </row>
    <row r="23" spans="1:13" x14ac:dyDescent="0.25">
      <c r="A23" s="22" t="s">
        <v>49</v>
      </c>
      <c r="B23" s="23"/>
      <c r="C23" s="30">
        <v>0</v>
      </c>
      <c r="D23" s="30">
        <v>0</v>
      </c>
      <c r="E23" s="31">
        <v>25</v>
      </c>
      <c r="F23" s="56"/>
      <c r="G23" s="21"/>
      <c r="H23" s="21"/>
      <c r="I23" s="131">
        <f t="shared" si="8"/>
        <v>0</v>
      </c>
      <c r="J23" s="83" t="s">
        <v>131</v>
      </c>
      <c r="K23" s="52">
        <v>0</v>
      </c>
      <c r="L23" s="38">
        <f t="shared" si="6"/>
        <v>0</v>
      </c>
      <c r="M23" s="50">
        <f t="shared" si="7"/>
        <v>0</v>
      </c>
    </row>
    <row r="24" spans="1:13" ht="8.25" customHeight="1" x14ac:dyDescent="0.25">
      <c r="B24" s="20"/>
      <c r="C24" s="24"/>
      <c r="D24" s="24"/>
      <c r="E24" s="21"/>
      <c r="F24" s="21"/>
      <c r="G24" s="21"/>
      <c r="H24" s="21"/>
      <c r="I24" s="21"/>
      <c r="K24" s="49"/>
      <c r="L24" s="68"/>
      <c r="M24" s="69"/>
    </row>
    <row r="25" spans="1:13" ht="43.5" customHeight="1" x14ac:dyDescent="0.25">
      <c r="A25" s="34" t="s">
        <v>57</v>
      </c>
      <c r="B25" s="37"/>
      <c r="C25" s="76"/>
      <c r="D25" s="1555" t="s">
        <v>269</v>
      </c>
      <c r="E25" s="1556"/>
      <c r="F25" s="1556"/>
      <c r="G25" s="1556"/>
      <c r="H25" s="1556"/>
      <c r="I25" s="1557"/>
      <c r="J25" s="83"/>
      <c r="K25" s="49"/>
      <c r="L25" s="68"/>
      <c r="M25" s="69"/>
    </row>
    <row r="26" spans="1:13" s="1" customFormat="1" ht="61.5" customHeight="1" x14ac:dyDescent="0.25">
      <c r="A26" s="1" t="s">
        <v>272</v>
      </c>
      <c r="B26" s="35" t="s">
        <v>103</v>
      </c>
      <c r="C26" s="35" t="s">
        <v>60</v>
      </c>
      <c r="D26" s="105" t="s">
        <v>273</v>
      </c>
      <c r="E26" s="36" t="s">
        <v>18</v>
      </c>
      <c r="F26" s="36" t="s">
        <v>13</v>
      </c>
      <c r="G26" s="36" t="s">
        <v>41</v>
      </c>
      <c r="H26" s="36" t="s">
        <v>298</v>
      </c>
      <c r="I26" s="36" t="s">
        <v>42</v>
      </c>
      <c r="J26" s="85" t="s">
        <v>270</v>
      </c>
      <c r="K26" s="51"/>
      <c r="L26" s="40"/>
      <c r="M26" s="43"/>
    </row>
    <row r="27" spans="1:13" s="1" customFormat="1" ht="45" customHeight="1" x14ac:dyDescent="0.25">
      <c r="A27" s="108" t="s">
        <v>292</v>
      </c>
      <c r="B27" s="395">
        <f>'Workshop Assumptions'!B9</f>
        <v>30</v>
      </c>
      <c r="C27" s="396">
        <f>'Workshop Assumptions'!C9</f>
        <v>3</v>
      </c>
      <c r="D27" s="126">
        <f>'All-Tallest Tower'!H9+'All-CO2 Cannon'!I16+'All-IndexCardChair'!H8</f>
        <v>50.74</v>
      </c>
      <c r="E27" s="36"/>
      <c r="F27" s="36"/>
      <c r="G27" s="36"/>
      <c r="H27" s="135">
        <f>CommonOfficeSupplies!H14</f>
        <v>164.06</v>
      </c>
      <c r="I27" s="28">
        <f>SUM(D27:H27)</f>
        <v>214.8</v>
      </c>
      <c r="J27" s="85" t="s">
        <v>322</v>
      </c>
      <c r="K27" s="52">
        <v>0</v>
      </c>
      <c r="L27" s="38">
        <f>M27-K27</f>
        <v>214.8</v>
      </c>
      <c r="M27" s="50">
        <f>I27</f>
        <v>214.8</v>
      </c>
    </row>
    <row r="28" spans="1:13" x14ac:dyDescent="0.25">
      <c r="A28" s="70" t="s">
        <v>51</v>
      </c>
      <c r="B28" s="395">
        <f>'Workshop Assumptions'!B6</f>
        <v>10</v>
      </c>
      <c r="C28" s="395">
        <f>'Workshop Assumptions'!C6</f>
        <v>3</v>
      </c>
      <c r="D28" s="37"/>
      <c r="E28" s="60">
        <f>IF($I$6="No",'Material Cost Summary'!D26,IF($I$6="Yes",'Material Cost Summary'!G26,"I6 not Yes or No"))</f>
        <v>7.39</v>
      </c>
      <c r="F28" s="60">
        <f>IF($I$6="No",'Material Cost Summary'!K26,IF($I$6="Yes",'Material Cost Summary'!N26,"I6 not Yes or No"))</f>
        <v>0</v>
      </c>
      <c r="G28" s="60">
        <f>IF($I$6="No",'Material Cost Summary'!R26,IF($I$6="Yes",'Material Cost Summary'!U26,"I6 not Yes or No"))</f>
        <v>4.1399999999999997</v>
      </c>
      <c r="H28" s="28"/>
      <c r="I28" s="28">
        <f t="shared" ref="I28:I30" si="9">SUM(D28:H28)</f>
        <v>11.53</v>
      </c>
      <c r="J28" s="1543" t="s">
        <v>323</v>
      </c>
      <c r="K28" s="52">
        <v>0</v>
      </c>
      <c r="L28" s="38">
        <f>M28-K28</f>
        <v>11.53</v>
      </c>
      <c r="M28" s="50">
        <f>I28</f>
        <v>11.53</v>
      </c>
    </row>
    <row r="29" spans="1:13" x14ac:dyDescent="0.25">
      <c r="A29" s="70" t="s">
        <v>32</v>
      </c>
      <c r="B29" s="395">
        <f>'Workshop Assumptions'!B7</f>
        <v>10</v>
      </c>
      <c r="C29" s="395">
        <f>'Workshop Assumptions'!C7</f>
        <v>3</v>
      </c>
      <c r="D29" s="37"/>
      <c r="E29" s="60">
        <f>IF($I$6="No",'Material Cost Summary'!D27,IF($I$6="Yes",'Material Cost Summary'!G27,"I6 not Yes or No"))</f>
        <v>149.24</v>
      </c>
      <c r="F29" s="60">
        <f>IF($I$6="No",'Material Cost Summary'!K27,IF($I$6="Yes",'Material Cost Summary'!N27,"I6 not Yes or No"))</f>
        <v>42</v>
      </c>
      <c r="G29" s="60">
        <f>IF($I$6="No",'Material Cost Summary'!R27,IF($I$6="Yes",'Material Cost Summary'!U27,"I6 not Yes or No"))</f>
        <v>0</v>
      </c>
      <c r="H29" s="28"/>
      <c r="I29" s="28">
        <f t="shared" si="9"/>
        <v>191.24</v>
      </c>
      <c r="J29" s="1543"/>
      <c r="K29" s="52">
        <v>0</v>
      </c>
      <c r="L29" s="38">
        <f>M29-K29</f>
        <v>191.24</v>
      </c>
      <c r="M29" s="50">
        <f t="shared" ref="M29:M30" si="10">I29</f>
        <v>191.24</v>
      </c>
    </row>
    <row r="30" spans="1:13" x14ac:dyDescent="0.25">
      <c r="A30" s="70" t="s">
        <v>33</v>
      </c>
      <c r="B30" s="395">
        <f>'Workshop Assumptions'!B8</f>
        <v>10</v>
      </c>
      <c r="C30" s="395">
        <f>'Workshop Assumptions'!C8</f>
        <v>3</v>
      </c>
      <c r="D30" s="37"/>
      <c r="E30" s="60">
        <f>IF($I$6="No",'Material Cost Summary'!D28,IF($I$6="Yes",'Material Cost Summary'!G28,"I6 not Yes or No"))</f>
        <v>117.03999999999999</v>
      </c>
      <c r="F30" s="60">
        <f>IF($I$6="No",'Material Cost Summary'!K28,IF($I$6="Yes",'Material Cost Summary'!N28,"I6 not Yes or No"))</f>
        <v>253.24</v>
      </c>
      <c r="G30" s="60">
        <f>IF($I$6="No",'Material Cost Summary'!R28,IF($I$6="Yes",'Material Cost Summary'!U28,"I6 not Yes or No"))</f>
        <v>64.39</v>
      </c>
      <c r="H30" s="28"/>
      <c r="I30" s="28">
        <f t="shared" si="9"/>
        <v>434.66999999999996</v>
      </c>
      <c r="J30" s="1543"/>
      <c r="K30" s="52">
        <v>0</v>
      </c>
      <c r="L30" s="38">
        <f>M30-K30</f>
        <v>434.66999999999996</v>
      </c>
      <c r="M30" s="50">
        <f t="shared" si="10"/>
        <v>434.66999999999996</v>
      </c>
    </row>
    <row r="31" spans="1:13" x14ac:dyDescent="0.25">
      <c r="A31" s="1547" t="s">
        <v>59</v>
      </c>
      <c r="B31" s="1547"/>
      <c r="C31" s="1547"/>
      <c r="D31" s="1547"/>
      <c r="E31" s="1547"/>
      <c r="F31" s="1547"/>
      <c r="G31" s="1547"/>
      <c r="H31" s="1547"/>
      <c r="I31" s="1547"/>
      <c r="J31" s="83"/>
      <c r="K31" s="49"/>
      <c r="L31" s="38"/>
      <c r="M31" s="50"/>
    </row>
    <row r="32" spans="1:13" x14ac:dyDescent="0.25">
      <c r="A32" s="1548" t="s">
        <v>112</v>
      </c>
      <c r="B32" s="1548"/>
      <c r="C32" s="1548"/>
      <c r="D32" s="1548"/>
      <c r="E32" s="1548"/>
      <c r="F32" s="1548"/>
      <c r="G32" s="1548"/>
      <c r="H32" s="1548"/>
      <c r="I32" s="1548"/>
      <c r="J32" s="83"/>
      <c r="K32" s="49"/>
      <c r="L32" s="38"/>
      <c r="M32" s="50"/>
    </row>
    <row r="33" spans="1:13" x14ac:dyDescent="0.25">
      <c r="A33" s="1549" t="s">
        <v>48</v>
      </c>
      <c r="B33" s="1549"/>
      <c r="C33" s="1549"/>
      <c r="D33" s="1549"/>
      <c r="E33" s="1549"/>
      <c r="F33" s="1549"/>
      <c r="G33" s="1549"/>
      <c r="H33" s="1549"/>
      <c r="I33" s="1549"/>
      <c r="J33" s="88"/>
      <c r="K33" s="46">
        <f t="shared" ref="K33:M35" si="11">K17+K21</f>
        <v>0</v>
      </c>
      <c r="L33" s="33">
        <f t="shared" si="11"/>
        <v>0</v>
      </c>
      <c r="M33" s="45">
        <f t="shared" si="11"/>
        <v>0</v>
      </c>
    </row>
    <row r="34" spans="1:13" x14ac:dyDescent="0.25">
      <c r="A34" s="1549" t="s">
        <v>29</v>
      </c>
      <c r="B34" s="1549"/>
      <c r="C34" s="1549"/>
      <c r="D34" s="1549"/>
      <c r="E34" s="1549"/>
      <c r="F34" s="1549"/>
      <c r="G34" s="1549"/>
      <c r="H34" s="1549"/>
      <c r="I34" s="1549"/>
      <c r="J34" s="88"/>
      <c r="K34" s="46">
        <f t="shared" si="11"/>
        <v>0</v>
      </c>
      <c r="L34" s="33">
        <f t="shared" si="11"/>
        <v>0</v>
      </c>
      <c r="M34" s="45">
        <f t="shared" si="11"/>
        <v>0</v>
      </c>
    </row>
    <row r="35" spans="1:13" x14ac:dyDescent="0.25">
      <c r="A35" s="1549" t="s">
        <v>49</v>
      </c>
      <c r="B35" s="1549"/>
      <c r="C35" s="1549"/>
      <c r="D35" s="1549"/>
      <c r="E35" s="1549"/>
      <c r="F35" s="1549"/>
      <c r="G35" s="1549"/>
      <c r="H35" s="1549"/>
      <c r="I35" s="1549"/>
      <c r="J35" s="88"/>
      <c r="K35" s="46">
        <f t="shared" si="11"/>
        <v>0</v>
      </c>
      <c r="L35" s="33">
        <f t="shared" si="11"/>
        <v>0</v>
      </c>
      <c r="M35" s="45">
        <f t="shared" si="11"/>
        <v>0</v>
      </c>
    </row>
    <row r="36" spans="1:13" x14ac:dyDescent="0.25">
      <c r="A36" s="1538" t="s">
        <v>110</v>
      </c>
      <c r="B36" s="1553"/>
      <c r="C36" s="1553"/>
      <c r="D36" s="1553"/>
      <c r="E36" s="1553"/>
      <c r="F36" s="1553"/>
      <c r="G36" s="1553"/>
      <c r="H36" s="1553"/>
      <c r="I36" s="1554"/>
      <c r="J36" s="88"/>
      <c r="K36" s="46">
        <f>SUM(K27:K30)</f>
        <v>0</v>
      </c>
      <c r="L36" s="46">
        <f t="shared" ref="L36:M36" si="12">SUM(L27:L30)</f>
        <v>852.24</v>
      </c>
      <c r="M36" s="46">
        <f t="shared" si="12"/>
        <v>852.24</v>
      </c>
    </row>
    <row r="37" spans="1:13" ht="32.25" customHeight="1" x14ac:dyDescent="0.25">
      <c r="A37" s="72" t="s">
        <v>50</v>
      </c>
      <c r="B37" s="57"/>
      <c r="C37" s="1545"/>
      <c r="D37" s="1545"/>
      <c r="E37" s="1545"/>
      <c r="F37" s="1545"/>
      <c r="G37" s="1545"/>
      <c r="H37" s="1545"/>
      <c r="I37" s="1545"/>
      <c r="J37" s="1546"/>
      <c r="K37" s="44">
        <v>0</v>
      </c>
      <c r="L37" s="33">
        <f t="shared" ref="L37" si="13">M37-K37</f>
        <v>0</v>
      </c>
      <c r="M37" s="53">
        <v>0</v>
      </c>
    </row>
    <row r="38" spans="1:13" x14ac:dyDescent="0.25">
      <c r="A38" s="72" t="s">
        <v>111</v>
      </c>
      <c r="B38" s="57"/>
      <c r="C38" s="73"/>
      <c r="D38" s="73"/>
      <c r="E38" s="73"/>
      <c r="F38" s="73"/>
      <c r="G38" s="73"/>
      <c r="H38" s="74"/>
      <c r="I38" s="74"/>
      <c r="J38" s="88"/>
      <c r="K38" s="46">
        <f>SUM(K33:K37)</f>
        <v>0</v>
      </c>
      <c r="L38" s="46">
        <f>SUM(L33:L37)</f>
        <v>852.24</v>
      </c>
      <c r="M38" s="46">
        <f>SUM(M33:M37)</f>
        <v>852.24</v>
      </c>
    </row>
    <row r="39" spans="1:13" x14ac:dyDescent="0.25">
      <c r="A39" s="32"/>
      <c r="B39" s="20"/>
      <c r="C39" s="39"/>
      <c r="D39" s="39"/>
      <c r="E39" s="39"/>
      <c r="F39" s="39"/>
      <c r="G39" s="39"/>
      <c r="I39" s="21"/>
      <c r="K39" s="49"/>
      <c r="L39" s="38"/>
      <c r="M39" s="50"/>
    </row>
    <row r="40" spans="1:13" ht="15.75" x14ac:dyDescent="0.25">
      <c r="A40" s="6" t="s">
        <v>113</v>
      </c>
      <c r="E40" s="65"/>
      <c r="K40" s="47"/>
      <c r="L40" s="41"/>
      <c r="M40" s="54"/>
    </row>
    <row r="41" spans="1:13" ht="60.75" customHeight="1" x14ac:dyDescent="0.25">
      <c r="A41" s="34" t="s">
        <v>88</v>
      </c>
      <c r="B41" s="35" t="s">
        <v>31</v>
      </c>
      <c r="C41" s="35" t="s">
        <v>44</v>
      </c>
      <c r="D41" s="35" t="s">
        <v>85</v>
      </c>
      <c r="E41" s="36" t="str">
        <f>E26</f>
        <v>Life Science</v>
      </c>
      <c r="F41" s="36" t="str">
        <f t="shared" ref="F41" si="14">F26</f>
        <v>Physical Science</v>
      </c>
      <c r="G41" s="36" t="str">
        <f>G26</f>
        <v>Earth &amp; Space Science</v>
      </c>
      <c r="H41" s="36" t="s">
        <v>95</v>
      </c>
      <c r="I41" s="36" t="str">
        <f>I26</f>
        <v>Subtotals</v>
      </c>
      <c r="J41" s="89" t="s">
        <v>84</v>
      </c>
      <c r="K41" s="47"/>
      <c r="L41" s="41"/>
      <c r="M41" s="54"/>
    </row>
    <row r="42" spans="1:13" ht="60.75" customHeight="1" x14ac:dyDescent="0.25">
      <c r="A42" s="61" t="s">
        <v>96</v>
      </c>
      <c r="B42" s="35"/>
      <c r="C42" s="35"/>
      <c r="D42" s="35"/>
      <c r="E42" s="64"/>
      <c r="F42" s="36"/>
      <c r="G42" s="36"/>
      <c r="H42" s="36"/>
      <c r="I42" s="36"/>
      <c r="J42" s="89" t="s">
        <v>97</v>
      </c>
      <c r="K42" s="47"/>
      <c r="L42" s="41"/>
      <c r="M42" s="54"/>
    </row>
    <row r="43" spans="1:13" ht="46.5" customHeight="1" x14ac:dyDescent="0.25">
      <c r="A43" s="57" t="s">
        <v>51</v>
      </c>
      <c r="B43" s="30">
        <v>0</v>
      </c>
      <c r="C43" s="30">
        <v>1</v>
      </c>
      <c r="D43" s="395">
        <f>'Deployment Assumptions'!B4</f>
        <v>30</v>
      </c>
      <c r="E43" s="60">
        <f>IF($I$6="No",'Material Cost Summary'!E9,IF($I$6="Yes",'Material Cost Summary'!H9,"I6 not Yes or No"))</f>
        <v>39.119999999999997</v>
      </c>
      <c r="F43" s="60">
        <f>IF($I$6="No",'Material Cost Summary'!L9,IF($I$6="Yes",'Material Cost Summary'!O9,"I6 not Yes or No"))</f>
        <v>96.789999999999992</v>
      </c>
      <c r="G43" s="60">
        <f>IF($I$6="No",'Material Cost Summary'!S9,IF($I$6="Yes",'Material Cost Summary'!V9,"I6 not Yes or No"))</f>
        <v>43.25</v>
      </c>
      <c r="H43" s="28">
        <f t="shared" ref="H43:H46" si="15">SUM(E43:G43)</f>
        <v>179.16</v>
      </c>
      <c r="I43" s="28">
        <f>B43*C43*H43</f>
        <v>0</v>
      </c>
      <c r="J43" s="89" t="s">
        <v>87</v>
      </c>
      <c r="K43" s="52">
        <v>0</v>
      </c>
      <c r="L43" s="38">
        <f>M43-K43</f>
        <v>0</v>
      </c>
      <c r="M43" s="50">
        <f>I43</f>
        <v>0</v>
      </c>
    </row>
    <row r="44" spans="1:13" ht="42" customHeight="1" x14ac:dyDescent="0.25">
      <c r="A44" s="57" t="s">
        <v>32</v>
      </c>
      <c r="B44" s="30">
        <v>0</v>
      </c>
      <c r="C44" s="30">
        <v>1</v>
      </c>
      <c r="D44" s="395">
        <f>'Deployment Assumptions'!B5</f>
        <v>30</v>
      </c>
      <c r="E44" s="60"/>
      <c r="F44" s="60">
        <f>IF($I$6="No",'Material Cost Summary'!L10,IF($I$6="Yes",'Material Cost Summary'!O10,"I6 not Yes or No"))</f>
        <v>159.79000000000002</v>
      </c>
      <c r="G44" s="60">
        <f>IF($I$6="No",'Material Cost Summary'!S10,IF($I$6="Yes",'Material Cost Summary'!V10,"I6 not Yes or No"))</f>
        <v>73.180000000000007</v>
      </c>
      <c r="H44" s="28">
        <f t="shared" si="15"/>
        <v>232.97000000000003</v>
      </c>
      <c r="I44" s="28">
        <f>B44*C44*H44</f>
        <v>0</v>
      </c>
      <c r="J44" s="1544" t="s">
        <v>106</v>
      </c>
      <c r="K44" s="52">
        <v>0</v>
      </c>
      <c r="L44" s="38">
        <f t="shared" ref="L44:L49" si="16">M44-K44</f>
        <v>0</v>
      </c>
      <c r="M44" s="50">
        <f>I44</f>
        <v>0</v>
      </c>
    </row>
    <row r="45" spans="1:13" ht="42.75" customHeight="1" x14ac:dyDescent="0.25">
      <c r="A45" s="57" t="s">
        <v>33</v>
      </c>
      <c r="B45" s="30">
        <v>0</v>
      </c>
      <c r="C45" s="30">
        <v>1</v>
      </c>
      <c r="D45" s="395">
        <f>'Deployment Assumptions'!B6</f>
        <v>30</v>
      </c>
      <c r="E45" s="60">
        <f>IF($I$6="No",'Material Cost Summary'!E11,IF($I$6="Yes",'Material Cost Summary'!H11,"I6 not Yes or No"))</f>
        <v>394.56000000000006</v>
      </c>
      <c r="F45" s="60">
        <f>IF($I$6="No",'Material Cost Summary'!L11,IF($I$6="Yes",'Material Cost Summary'!O11,"I6 not Yes or No"))</f>
        <v>524.85</v>
      </c>
      <c r="G45" s="60"/>
      <c r="H45" s="28">
        <f t="shared" si="15"/>
        <v>919.41000000000008</v>
      </c>
      <c r="I45" s="28">
        <f>B45*C45*H45</f>
        <v>0</v>
      </c>
      <c r="J45" s="1544"/>
      <c r="K45" s="52">
        <v>0</v>
      </c>
      <c r="L45" s="38">
        <f t="shared" si="16"/>
        <v>0</v>
      </c>
      <c r="M45" s="50">
        <f>I45</f>
        <v>0</v>
      </c>
    </row>
    <row r="46" spans="1:13" ht="46.5" customHeight="1" x14ac:dyDescent="0.25">
      <c r="A46" s="62" t="s">
        <v>86</v>
      </c>
      <c r="B46" s="30">
        <v>0</v>
      </c>
      <c r="C46" s="30">
        <v>1</v>
      </c>
      <c r="D46" s="30">
        <v>30</v>
      </c>
      <c r="E46" s="31">
        <v>0</v>
      </c>
      <c r="F46" s="31">
        <v>0</v>
      </c>
      <c r="G46" s="31">
        <v>0</v>
      </c>
      <c r="H46" s="28">
        <f t="shared" si="15"/>
        <v>0</v>
      </c>
      <c r="I46" s="28">
        <f>B46*C46*H46</f>
        <v>0</v>
      </c>
      <c r="J46" s="89" t="s">
        <v>98</v>
      </c>
      <c r="K46" s="52">
        <v>0</v>
      </c>
      <c r="L46" s="38">
        <f t="shared" si="16"/>
        <v>0</v>
      </c>
      <c r="M46" s="50">
        <f>I46</f>
        <v>0</v>
      </c>
    </row>
    <row r="47" spans="1:13" ht="21.75" customHeight="1" x14ac:dyDescent="0.25">
      <c r="A47" s="1539" t="s">
        <v>118</v>
      </c>
      <c r="B47" s="1540"/>
      <c r="C47" s="1540"/>
      <c r="D47" s="1540"/>
      <c r="E47" s="1540"/>
      <c r="F47" s="1540"/>
      <c r="G47" s="1540"/>
      <c r="H47" s="1540"/>
      <c r="I47" s="1540"/>
      <c r="J47" s="1540"/>
      <c r="K47" s="49"/>
      <c r="L47" s="38"/>
      <c r="M47" s="50"/>
    </row>
    <row r="48" spans="1:13" ht="19.5" customHeight="1" x14ac:dyDescent="0.25">
      <c r="A48" s="1537" t="s">
        <v>116</v>
      </c>
      <c r="B48" s="1537"/>
      <c r="C48" s="1537"/>
      <c r="D48" s="1537"/>
      <c r="E48" s="1537"/>
      <c r="F48" s="1537"/>
      <c r="G48" s="1537"/>
      <c r="H48" s="1537"/>
      <c r="I48" s="1537"/>
      <c r="J48" s="1538"/>
      <c r="K48" s="46">
        <f>SUM(K43:K46)</f>
        <v>0</v>
      </c>
      <c r="L48" s="33">
        <f t="shared" ref="L48:M48" si="17">SUM(L43:L45)</f>
        <v>0</v>
      </c>
      <c r="M48" s="45">
        <f t="shared" si="17"/>
        <v>0</v>
      </c>
    </row>
    <row r="49" spans="1:13" ht="30" x14ac:dyDescent="0.25">
      <c r="A49" s="75" t="s">
        <v>50</v>
      </c>
      <c r="B49" s="1545"/>
      <c r="C49" s="1545"/>
      <c r="D49" s="1545"/>
      <c r="E49" s="1545"/>
      <c r="F49" s="1545"/>
      <c r="G49" s="1545"/>
      <c r="H49" s="1545"/>
      <c r="I49" s="1545"/>
      <c r="J49" s="1546"/>
      <c r="K49" s="44">
        <v>0</v>
      </c>
      <c r="L49" s="33">
        <f t="shared" si="16"/>
        <v>0</v>
      </c>
      <c r="M49" s="53">
        <v>0</v>
      </c>
    </row>
    <row r="50" spans="1:13" ht="17.25" customHeight="1" x14ac:dyDescent="0.25">
      <c r="A50" s="1541" t="s">
        <v>117</v>
      </c>
      <c r="B50" s="1541"/>
      <c r="C50" s="1541"/>
      <c r="D50" s="1541"/>
      <c r="E50" s="1541"/>
      <c r="F50" s="1541"/>
      <c r="G50" s="1541"/>
      <c r="H50" s="1541"/>
      <c r="I50" s="1541"/>
      <c r="J50" s="1542"/>
      <c r="K50" s="46">
        <f>SUM(K48:K49)</f>
        <v>0</v>
      </c>
      <c r="L50" s="46">
        <f t="shared" ref="L50:M50" si="18">SUM(L48:L49)</f>
        <v>0</v>
      </c>
      <c r="M50" s="46">
        <f t="shared" si="18"/>
        <v>0</v>
      </c>
    </row>
    <row r="51" spans="1:13" ht="15.75" thickBot="1" x14ac:dyDescent="0.3">
      <c r="A51" s="71" t="s">
        <v>7</v>
      </c>
      <c r="B51" s="1530"/>
      <c r="C51" s="1531"/>
      <c r="D51" s="1531"/>
      <c r="E51" s="1531"/>
      <c r="F51" s="1531"/>
      <c r="G51" s="1531"/>
      <c r="H51" s="1531"/>
      <c r="I51" s="1531"/>
      <c r="J51" s="1531"/>
      <c r="K51" s="55">
        <f>K13+K38+K50</f>
        <v>0</v>
      </c>
      <c r="L51" s="55">
        <f>L13+L38+L50</f>
        <v>1102.24</v>
      </c>
      <c r="M51" s="66">
        <f>M13+M38+M50</f>
        <v>1102.24</v>
      </c>
    </row>
    <row r="52" spans="1:13" ht="80.25" customHeight="1" x14ac:dyDescent="0.25">
      <c r="A52" s="1550" t="s">
        <v>127</v>
      </c>
      <c r="B52" s="1550"/>
      <c r="C52" s="1550"/>
      <c r="D52" s="1550"/>
      <c r="E52" s="1550"/>
      <c r="F52" s="1550"/>
      <c r="G52" s="1550"/>
      <c r="H52" s="1550"/>
      <c r="I52" s="1550"/>
      <c r="J52" s="1550"/>
      <c r="K52" s="1550"/>
      <c r="L52" s="1550"/>
      <c r="M52" s="1550"/>
    </row>
    <row r="53" spans="1:13" x14ac:dyDescent="0.25">
      <c r="A53" s="29"/>
      <c r="B53" s="29"/>
      <c r="C53" s="29"/>
      <c r="D53" s="29"/>
      <c r="E53" s="65"/>
    </row>
    <row r="54" spans="1:13" x14ac:dyDescent="0.25">
      <c r="A54" s="29"/>
      <c r="B54" s="29"/>
      <c r="C54" s="29"/>
      <c r="D54" s="29"/>
      <c r="E54" s="65"/>
    </row>
  </sheetData>
  <mergeCells count="25">
    <mergeCell ref="A52:M52"/>
    <mergeCell ref="F9:H9"/>
    <mergeCell ref="F10:H10"/>
    <mergeCell ref="F11:H11"/>
    <mergeCell ref="F12:H12"/>
    <mergeCell ref="A35:I35"/>
    <mergeCell ref="A36:I36"/>
    <mergeCell ref="B49:J49"/>
    <mergeCell ref="A34:I34"/>
    <mergeCell ref="D25:I25"/>
    <mergeCell ref="F7:H7"/>
    <mergeCell ref="D1:M1"/>
    <mergeCell ref="B51:J51"/>
    <mergeCell ref="F6:H6"/>
    <mergeCell ref="A6:D6"/>
    <mergeCell ref="A4:D4"/>
    <mergeCell ref="A48:J48"/>
    <mergeCell ref="A47:J47"/>
    <mergeCell ref="A50:J50"/>
    <mergeCell ref="J28:J30"/>
    <mergeCell ref="J44:J45"/>
    <mergeCell ref="C37:J37"/>
    <mergeCell ref="A31:I31"/>
    <mergeCell ref="A32:I32"/>
    <mergeCell ref="A33:I33"/>
  </mergeCells>
  <pageMargins left="0.25" right="0.25" top="0.75" bottom="0.75" header="0.3" footer="0.3"/>
  <pageSetup paperSize="1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32"/>
  <sheetViews>
    <sheetView zoomScale="85" zoomScaleNormal="85" workbookViewId="0">
      <pane xSplit="1" ySplit="1" topLeftCell="B11" activePane="bottomRight" state="frozen"/>
      <selection pane="topRight" activeCell="B1" sqref="B1"/>
      <selection pane="bottomLeft" activeCell="A2" sqref="A2"/>
      <selection pane="bottomRight" activeCell="K26" sqref="K26"/>
    </sheetView>
  </sheetViews>
  <sheetFormatPr defaultRowHeight="16.5" customHeight="1" x14ac:dyDescent="0.3"/>
  <cols>
    <col min="1" max="1" width="24.42578125" style="7" customWidth="1"/>
    <col min="2" max="2" width="16.85546875" customWidth="1"/>
    <col min="3" max="8" width="5.85546875" style="4" customWidth="1"/>
    <col min="9" max="9" width="18.140625" customWidth="1"/>
    <col min="10" max="10" width="6" customWidth="1"/>
    <col min="11" max="11" width="6.85546875" style="4" customWidth="1"/>
    <col min="12" max="15" width="5.85546875" style="4" customWidth="1"/>
    <col min="16" max="16" width="18.140625" style="14" customWidth="1"/>
    <col min="17" max="17" width="5.85546875" style="14" customWidth="1"/>
    <col min="18" max="22" width="5.85546875" style="4" customWidth="1"/>
    <col min="23" max="23" width="6.85546875" customWidth="1"/>
    <col min="24" max="24" width="7.85546875" customWidth="1"/>
    <col min="25" max="25" width="6.85546875" customWidth="1"/>
    <col min="26" max="26" width="7.28515625" customWidth="1"/>
    <col min="27" max="28" width="7.5703125" customWidth="1"/>
  </cols>
  <sheetData>
    <row r="1" spans="1:67" ht="30" customHeight="1" x14ac:dyDescent="0.25">
      <c r="A1" s="416" t="s">
        <v>690</v>
      </c>
    </row>
    <row r="2" spans="1:67" ht="16.5" customHeight="1" x14ac:dyDescent="0.25">
      <c r="A2" s="419" t="s">
        <v>5</v>
      </c>
    </row>
    <row r="3" spans="1:67" ht="16.5" customHeight="1" x14ac:dyDescent="0.25">
      <c r="A3" s="420" t="s">
        <v>7</v>
      </c>
    </row>
    <row r="4" spans="1:67" ht="16.5" customHeight="1" thickBot="1" x14ac:dyDescent="0.3">
      <c r="A4" s="407"/>
    </row>
    <row r="5" spans="1:67" s="405" customFormat="1" ht="42.75" customHeight="1" thickBot="1" x14ac:dyDescent="0.4">
      <c r="A5" s="614" t="s">
        <v>834</v>
      </c>
      <c r="B5" s="615" t="s">
        <v>837</v>
      </c>
      <c r="C5" s="616"/>
      <c r="D5" s="616"/>
      <c r="E5" s="616"/>
      <c r="F5" s="616"/>
      <c r="G5" s="616"/>
      <c r="H5" s="616"/>
      <c r="I5" s="616"/>
      <c r="J5" s="616"/>
      <c r="K5" s="616"/>
      <c r="L5" s="616"/>
      <c r="M5" s="616"/>
      <c r="N5" s="616"/>
      <c r="O5" s="616"/>
      <c r="P5" s="616"/>
      <c r="Q5" s="616"/>
      <c r="R5" s="616"/>
      <c r="S5" s="616"/>
      <c r="T5" s="616"/>
      <c r="U5" s="616"/>
      <c r="V5" s="616"/>
      <c r="W5" s="616"/>
      <c r="X5" s="616"/>
      <c r="Y5" s="616"/>
      <c r="Z5" s="616"/>
      <c r="AA5" s="616"/>
      <c r="AB5" s="617"/>
    </row>
    <row r="6" spans="1:67" ht="16.5" customHeight="1" thickBot="1" x14ac:dyDescent="0.35">
      <c r="A6" s="1335"/>
      <c r="B6" s="1558" t="s">
        <v>18</v>
      </c>
      <c r="C6" s="1559"/>
      <c r="D6" s="1559"/>
      <c r="E6" s="1559"/>
      <c r="F6" s="1559"/>
      <c r="G6" s="1559"/>
      <c r="H6" s="1560"/>
      <c r="I6" s="1558" t="s">
        <v>13</v>
      </c>
      <c r="J6" s="1559"/>
      <c r="K6" s="1559"/>
      <c r="L6" s="1559"/>
      <c r="M6" s="1559"/>
      <c r="N6" s="1559"/>
      <c r="O6" s="1560"/>
      <c r="P6" s="1561" t="s">
        <v>14</v>
      </c>
      <c r="Q6" s="1562"/>
      <c r="R6" s="1562"/>
      <c r="S6" s="1562"/>
      <c r="T6" s="1562"/>
      <c r="U6" s="1562"/>
      <c r="V6" s="1563"/>
      <c r="W6" s="1575" t="s">
        <v>26</v>
      </c>
      <c r="X6" s="1575"/>
      <c r="Y6" s="1575"/>
      <c r="Z6" s="1575"/>
      <c r="AA6" s="1575"/>
      <c r="AB6" s="1576"/>
    </row>
    <row r="7" spans="1:67" ht="16.5" customHeight="1" x14ac:dyDescent="0.3">
      <c r="A7" s="1494"/>
      <c r="B7" s="1569" t="s">
        <v>689</v>
      </c>
      <c r="C7" s="1573" t="s">
        <v>79</v>
      </c>
      <c r="D7" s="1573"/>
      <c r="E7" s="1573"/>
      <c r="F7" s="1573" t="s">
        <v>80</v>
      </c>
      <c r="G7" s="1573"/>
      <c r="H7" s="1574"/>
      <c r="I7" s="1571" t="s">
        <v>689</v>
      </c>
      <c r="J7" s="1573" t="s">
        <v>79</v>
      </c>
      <c r="K7" s="1573"/>
      <c r="L7" s="1573"/>
      <c r="M7" s="1573" t="s">
        <v>80</v>
      </c>
      <c r="N7" s="1573"/>
      <c r="O7" s="1574"/>
      <c r="P7" s="1571" t="s">
        <v>689</v>
      </c>
      <c r="Q7" s="1573" t="s">
        <v>79</v>
      </c>
      <c r="R7" s="1573"/>
      <c r="S7" s="1573"/>
      <c r="T7" s="1573" t="s">
        <v>80</v>
      </c>
      <c r="U7" s="1573"/>
      <c r="V7" s="1574"/>
      <c r="W7" s="1577" t="s">
        <v>79</v>
      </c>
      <c r="X7" s="1578"/>
      <c r="Y7" s="1578"/>
      <c r="Z7" s="1578" t="s">
        <v>80</v>
      </c>
      <c r="AA7" s="1578"/>
      <c r="AB7" s="1581"/>
    </row>
    <row r="8" spans="1:67" s="9" customFormat="1" ht="33" customHeight="1" x14ac:dyDescent="0.25">
      <c r="A8" s="1495"/>
      <c r="B8" s="1570"/>
      <c r="C8" s="1442" t="s">
        <v>250</v>
      </c>
      <c r="D8" s="1442" t="s">
        <v>249</v>
      </c>
      <c r="E8" s="1442" t="s">
        <v>201</v>
      </c>
      <c r="F8" s="1442" t="s">
        <v>250</v>
      </c>
      <c r="G8" s="1442" t="s">
        <v>249</v>
      </c>
      <c r="H8" s="1444" t="s">
        <v>201</v>
      </c>
      <c r="I8" s="1572"/>
      <c r="J8" s="1442" t="s">
        <v>250</v>
      </c>
      <c r="K8" s="1442" t="s">
        <v>249</v>
      </c>
      <c r="L8" s="1442" t="s">
        <v>201</v>
      </c>
      <c r="M8" s="1442" t="s">
        <v>67</v>
      </c>
      <c r="N8" s="1442" t="s">
        <v>249</v>
      </c>
      <c r="O8" s="1444" t="s">
        <v>201</v>
      </c>
      <c r="P8" s="1572"/>
      <c r="Q8" s="1442" t="s">
        <v>250</v>
      </c>
      <c r="R8" s="1442" t="s">
        <v>249</v>
      </c>
      <c r="S8" s="1442" t="s">
        <v>201</v>
      </c>
      <c r="T8" s="1442" t="s">
        <v>250</v>
      </c>
      <c r="U8" s="1442" t="s">
        <v>249</v>
      </c>
      <c r="V8" s="1444" t="s">
        <v>201</v>
      </c>
      <c r="W8" s="1445" t="s">
        <v>250</v>
      </c>
      <c r="X8" s="1443" t="s">
        <v>249</v>
      </c>
      <c r="Y8" s="1443" t="s">
        <v>201</v>
      </c>
      <c r="Z8" s="1443" t="s">
        <v>250</v>
      </c>
      <c r="AA8" s="1443" t="s">
        <v>249</v>
      </c>
      <c r="AB8" s="1446" t="s">
        <v>201</v>
      </c>
    </row>
    <row r="9" spans="1:67" s="98" customFormat="1" ht="16.5" customHeight="1" x14ac:dyDescent="0.3">
      <c r="A9" s="1496" t="s">
        <v>15</v>
      </c>
      <c r="B9" s="1488" t="s">
        <v>252</v>
      </c>
      <c r="C9" s="1329">
        <f>'ES-JoanieAppleseed'!O28</f>
        <v>34.340000000000003</v>
      </c>
      <c r="D9" s="1329">
        <f>'ES-JoanieAppleseed'!P28</f>
        <v>43.12</v>
      </c>
      <c r="E9" s="1329">
        <f>'ES-JoanieAppleseed'!N28</f>
        <v>39.119999999999997</v>
      </c>
      <c r="F9" s="1329">
        <f>'ES-JoanieAppleseed'!R28</f>
        <v>62.58</v>
      </c>
      <c r="G9" s="1329">
        <f>'ES-JoanieAppleseed'!S28</f>
        <v>82.47</v>
      </c>
      <c r="H9" s="1334">
        <f>'ES-JoanieAppleseed'!Q28</f>
        <v>69.17</v>
      </c>
      <c r="I9" s="1333" t="s">
        <v>251</v>
      </c>
      <c r="J9" s="1329">
        <f>'ES-ToadsCar'!O16</f>
        <v>86.789999999999992</v>
      </c>
      <c r="K9" s="1329">
        <f>'ES-ToadsCar'!P16</f>
        <v>132.79</v>
      </c>
      <c r="L9" s="1329">
        <f>'ES-ToadsCar'!N16</f>
        <v>96.789999999999992</v>
      </c>
      <c r="M9" s="1329">
        <f>'ES-ToadsCar'!R17</f>
        <v>109.13999999999999</v>
      </c>
      <c r="N9" s="1329">
        <f>'ES-ToadsCar'!S17</f>
        <v>159.14000000000001</v>
      </c>
      <c r="O9" s="1334">
        <f>'ES-ToadsCar'!Q17</f>
        <v>119.13999999999999</v>
      </c>
      <c r="P9" s="1336" t="s">
        <v>253</v>
      </c>
      <c r="Q9" s="1329">
        <f>'ES-BricksForPigs'!N16</f>
        <v>43.25</v>
      </c>
      <c r="R9" s="1329">
        <f>'ES-BricksForPigs'!O16</f>
        <v>52.919999999999995</v>
      </c>
      <c r="S9" s="1329">
        <f>'ES-BricksForPigs'!M16</f>
        <v>43.25</v>
      </c>
      <c r="T9" s="1329">
        <f>'ES-BricksForPigs'!Q16</f>
        <v>89.5</v>
      </c>
      <c r="U9" s="1329">
        <f>'ES-BricksForPigs'!R16</f>
        <v>109.16</v>
      </c>
      <c r="V9" s="1334">
        <f>'ES-BricksForPigs'!P16</f>
        <v>89.5</v>
      </c>
      <c r="W9" s="1447">
        <f>C9+J9+Q9</f>
        <v>164.38</v>
      </c>
      <c r="X9" s="1330">
        <f>D9+K9+R9</f>
        <v>228.82999999999998</v>
      </c>
      <c r="Y9" s="1330">
        <f>E9+L9+S9</f>
        <v>179.16</v>
      </c>
      <c r="Z9" s="1330">
        <f>F9+M9+T9</f>
        <v>261.21999999999997</v>
      </c>
      <c r="AA9" s="1330">
        <f t="shared" ref="AA9:AB11" si="0">G9+N9+U9</f>
        <v>350.77</v>
      </c>
      <c r="AB9" s="1448">
        <f t="shared" si="0"/>
        <v>277.81</v>
      </c>
      <c r="AC9" s="29"/>
      <c r="AD9"/>
      <c r="AE9"/>
      <c r="AF9"/>
      <c r="AG9"/>
      <c r="AH9"/>
      <c r="AI9"/>
      <c r="AJ9"/>
      <c r="AK9"/>
      <c r="AL9"/>
      <c r="AM9"/>
      <c r="AN9"/>
      <c r="AO9"/>
      <c r="AP9"/>
      <c r="AQ9"/>
      <c r="AR9"/>
      <c r="AS9"/>
      <c r="AT9"/>
      <c r="AU9"/>
      <c r="AV9"/>
      <c r="AW9"/>
      <c r="AX9"/>
      <c r="AY9"/>
      <c r="AZ9"/>
      <c r="BA9"/>
      <c r="BB9"/>
      <c r="BC9"/>
      <c r="BD9"/>
      <c r="BE9"/>
      <c r="BF9"/>
      <c r="BG9"/>
      <c r="BH9"/>
      <c r="BI9"/>
      <c r="BJ9"/>
      <c r="BK9"/>
      <c r="BL9"/>
      <c r="BM9"/>
      <c r="BN9"/>
      <c r="BO9"/>
    </row>
    <row r="10" spans="1:67" s="98" customFormat="1" ht="16.5" customHeight="1" x14ac:dyDescent="0.3">
      <c r="A10" s="1496" t="s">
        <v>16</v>
      </c>
      <c r="B10" s="1491" t="s">
        <v>680</v>
      </c>
      <c r="C10" s="1329">
        <f>'MS-FrankenPlants'!N22</f>
        <v>230.47</v>
      </c>
      <c r="D10" s="1329">
        <f>'MS-FrankenPlants'!O22</f>
        <v>339.62</v>
      </c>
      <c r="E10" s="1329">
        <f>'MS-FrankenPlants'!M22</f>
        <v>230.47</v>
      </c>
      <c r="F10" s="1329">
        <f>'MS-FrankenPlants'!Q22</f>
        <v>245.5</v>
      </c>
      <c r="G10" s="1329">
        <f>'MS-FrankenPlants'!R22</f>
        <v>336.85</v>
      </c>
      <c r="H10" s="1334">
        <f>'MS-FrankenPlants'!P22</f>
        <v>245.5</v>
      </c>
      <c r="I10" s="1333" t="s">
        <v>255</v>
      </c>
      <c r="J10" s="1329">
        <f>'MS-UltimateSpeed'!N19</f>
        <v>159.79000000000002</v>
      </c>
      <c r="K10" s="1329">
        <f>'MS-UltimateSpeed'!O19</f>
        <v>215.79</v>
      </c>
      <c r="L10" s="1329">
        <f>'MS-UltimateSpeed'!M19</f>
        <v>159.79000000000002</v>
      </c>
      <c r="M10" s="1329">
        <f>'MS-UltimateSpeed'!Q20</f>
        <v>181.32999999999998</v>
      </c>
      <c r="N10" s="1329">
        <f>'MS-UltimateSpeed'!R20</f>
        <v>242.59</v>
      </c>
      <c r="O10" s="1334">
        <f>'MS-UltimateSpeed'!P20</f>
        <v>181.32999999999998</v>
      </c>
      <c r="P10" s="1336" t="s">
        <v>254</v>
      </c>
      <c r="Q10" s="1329">
        <f>'MS-Bioswale'!N17</f>
        <v>73.180000000000007</v>
      </c>
      <c r="R10" s="1329">
        <f>'MS-Bioswale'!O17</f>
        <v>116.37</v>
      </c>
      <c r="S10" s="1329">
        <f>'MS-Bioswale'!M17</f>
        <v>73.180000000000007</v>
      </c>
      <c r="T10" s="1329">
        <f>'MS-Bioswale'!Q17</f>
        <v>90.35</v>
      </c>
      <c r="U10" s="1329">
        <f>'MS-Bioswale'!R17</f>
        <v>149.28</v>
      </c>
      <c r="V10" s="1334">
        <f>'MS-Bioswale'!P17</f>
        <v>90.35</v>
      </c>
      <c r="W10" s="1447">
        <f t="shared" ref="W10:W11" si="1">C10+J10+Q10</f>
        <v>463.44</v>
      </c>
      <c r="X10" s="1330">
        <f t="shared" ref="X10:AA11" si="2">D10+K10+R10</f>
        <v>671.78</v>
      </c>
      <c r="Y10" s="1330">
        <f t="shared" si="2"/>
        <v>463.44</v>
      </c>
      <c r="Z10" s="1330">
        <f t="shared" si="2"/>
        <v>517.17999999999995</v>
      </c>
      <c r="AA10" s="1330">
        <f t="shared" si="2"/>
        <v>728.72</v>
      </c>
      <c r="AB10" s="1448">
        <f t="shared" si="0"/>
        <v>517.17999999999995</v>
      </c>
      <c r="AC10" s="29"/>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row>
    <row r="11" spans="1:67" ht="16.5" customHeight="1" thickBot="1" x14ac:dyDescent="0.35">
      <c r="A11" s="1497" t="s">
        <v>17</v>
      </c>
      <c r="B11" s="1488" t="s">
        <v>256</v>
      </c>
      <c r="C11" s="1329">
        <f>'HS-BiofuelFromAlgae'!N38</f>
        <v>394.56000000000006</v>
      </c>
      <c r="D11" s="1329">
        <f>'HS-BiofuelFromAlgae'!O38</f>
        <v>444.38</v>
      </c>
      <c r="E11" s="1329">
        <f>'HS-BiofuelFromAlgae'!M38</f>
        <v>394.56000000000006</v>
      </c>
      <c r="F11" s="1329">
        <f>'HS-BiofuelFromAlgae'!Q38</f>
        <v>373.9</v>
      </c>
      <c r="G11" s="1329">
        <f>'HS-BiofuelFromAlgae'!R38</f>
        <v>408.84000000000003</v>
      </c>
      <c r="H11" s="1334">
        <f>'HS-BiofuelFromAlgae'!P38</f>
        <v>373.9</v>
      </c>
      <c r="I11" s="1333" t="s">
        <v>129</v>
      </c>
      <c r="J11" s="1329">
        <f>'HS-LittlefootsRide'!N18</f>
        <v>512.55999999999995</v>
      </c>
      <c r="K11" s="1329">
        <f>'HS-LittlefootsRide'!O18</f>
        <v>657.54</v>
      </c>
      <c r="L11" s="1329">
        <f>'HS-LittlefootsRide'!M18</f>
        <v>524.85</v>
      </c>
      <c r="M11" s="1329">
        <f>'HS-LittlefootsRide'!Q19</f>
        <v>356.96000000000004</v>
      </c>
      <c r="N11" s="1329">
        <f>'HS-LittlefootsRide'!R19</f>
        <v>460.67</v>
      </c>
      <c r="O11" s="1334">
        <f>'HS-LittlefootsRide'!P19</f>
        <v>369.25</v>
      </c>
      <c r="P11" s="1336" t="s">
        <v>682</v>
      </c>
      <c r="Q11" s="1329">
        <f>'HS-Calorimeter'!N27</f>
        <v>98.28</v>
      </c>
      <c r="R11" s="1329">
        <f>'HS-Calorimeter'!O27</f>
        <v>114.44</v>
      </c>
      <c r="S11" s="1329">
        <f>'HS-Calorimeter'!M27</f>
        <v>98.28</v>
      </c>
      <c r="T11" s="1329">
        <f>'HS-Calorimeter'!Q27</f>
        <v>105.17</v>
      </c>
      <c r="U11" s="1329">
        <f>'HS-Calorimeter'!R27</f>
        <v>123.33</v>
      </c>
      <c r="V11" s="1334">
        <f>'HS-Calorimeter'!P27</f>
        <v>105.17</v>
      </c>
      <c r="W11" s="1447">
        <f t="shared" si="1"/>
        <v>1005.4</v>
      </c>
      <c r="X11" s="1330">
        <f t="shared" si="2"/>
        <v>1216.3600000000001</v>
      </c>
      <c r="Y11" s="1330">
        <f t="shared" si="2"/>
        <v>1017.69</v>
      </c>
      <c r="Z11" s="1330">
        <f t="shared" si="2"/>
        <v>836.03</v>
      </c>
      <c r="AA11" s="1330">
        <f t="shared" si="2"/>
        <v>992.84</v>
      </c>
      <c r="AB11" s="1448">
        <f t="shared" si="0"/>
        <v>848.31999999999994</v>
      </c>
    </row>
    <row r="12" spans="1:67" ht="16.5" customHeight="1" thickBot="1" x14ac:dyDescent="0.35">
      <c r="A12" s="1493" t="s">
        <v>5</v>
      </c>
      <c r="B12" s="1323"/>
      <c r="C12" s="1324">
        <f>SUM(C9:C11)</f>
        <v>659.37000000000012</v>
      </c>
      <c r="D12" s="1325">
        <f t="shared" ref="D12:H12" si="3">SUM(D9:D11)</f>
        <v>827.12</v>
      </c>
      <c r="E12" s="1326">
        <f t="shared" si="3"/>
        <v>664.15000000000009</v>
      </c>
      <c r="F12" s="1324">
        <f t="shared" si="3"/>
        <v>681.98</v>
      </c>
      <c r="G12" s="1325">
        <f t="shared" si="3"/>
        <v>828.16000000000008</v>
      </c>
      <c r="H12" s="1327">
        <f t="shared" si="3"/>
        <v>688.56999999999994</v>
      </c>
      <c r="I12" s="1323"/>
      <c r="J12" s="1324">
        <f t="shared" ref="J12" si="4">SUM(J9:J11)</f>
        <v>759.14</v>
      </c>
      <c r="K12" s="1325">
        <f t="shared" ref="K12" si="5">SUM(K9:K11)</f>
        <v>1006.1199999999999</v>
      </c>
      <c r="L12" s="1326">
        <f t="shared" ref="L12" si="6">SUM(L9:L11)</f>
        <v>781.43000000000006</v>
      </c>
      <c r="M12" s="1324">
        <f t="shared" ref="M12" si="7">SUM(M9:M11)</f>
        <v>647.43000000000006</v>
      </c>
      <c r="N12" s="1325">
        <f t="shared" ref="N12" si="8">SUM(N9:N11)</f>
        <v>862.40000000000009</v>
      </c>
      <c r="O12" s="1327">
        <f t="shared" ref="O12" si="9">SUM(O9:O11)</f>
        <v>669.72</v>
      </c>
      <c r="P12" s="1328"/>
      <c r="Q12" s="1324">
        <f t="shared" ref="Q12" si="10">SUM(Q9:Q11)</f>
        <v>214.71</v>
      </c>
      <c r="R12" s="1325">
        <f t="shared" ref="R12" si="11">SUM(R9:R11)</f>
        <v>283.73</v>
      </c>
      <c r="S12" s="1326">
        <f t="shared" ref="S12" si="12">SUM(S9:S11)</f>
        <v>214.71</v>
      </c>
      <c r="T12" s="1324">
        <f t="shared" ref="T12" si="13">SUM(T9:T11)</f>
        <v>285.02</v>
      </c>
      <c r="U12" s="1325">
        <f t="shared" ref="U12" si="14">SUM(U9:U11)</f>
        <v>381.77</v>
      </c>
      <c r="V12" s="1327">
        <f t="shared" ref="V12" si="15">SUM(V9:V11)</f>
        <v>285.02</v>
      </c>
      <c r="W12" s="1482">
        <f t="shared" ref="W12" si="16">SUM(W9:W11)</f>
        <v>1633.2199999999998</v>
      </c>
      <c r="X12" s="1481">
        <f t="shared" ref="X12" si="17">SUM(X9:X11)</f>
        <v>2116.9700000000003</v>
      </c>
      <c r="Y12" s="1483">
        <f t="shared" ref="Y12" si="18">SUM(Y9:Y11)</f>
        <v>1660.29</v>
      </c>
      <c r="Z12" s="1484">
        <f t="shared" ref="Z12" si="19">SUM(Z9:Z11)</f>
        <v>1614.4299999999998</v>
      </c>
      <c r="AA12" s="1481">
        <f t="shared" ref="AA12" si="20">SUM(AA9:AA11)</f>
        <v>2072.33</v>
      </c>
      <c r="AB12" s="1485">
        <f t="shared" ref="AB12" si="21">SUM(AB9:AB11)</f>
        <v>1643.31</v>
      </c>
    </row>
    <row r="13" spans="1:67" ht="42.75" customHeight="1" thickBot="1" x14ac:dyDescent="0.35">
      <c r="A13" s="1487" t="s">
        <v>835</v>
      </c>
      <c r="B13" s="1489"/>
      <c r="C13" s="1490"/>
      <c r="D13" s="1490"/>
      <c r="E13" s="1490"/>
      <c r="F13" s="1490"/>
      <c r="G13" s="1490"/>
      <c r="H13" s="1490"/>
      <c r="I13" s="1489"/>
      <c r="J13" s="1490"/>
      <c r="K13" s="1490"/>
      <c r="L13" s="1490"/>
      <c r="M13" s="1490"/>
      <c r="N13" s="1490"/>
      <c r="O13" s="1490"/>
      <c r="P13" s="1492"/>
      <c r="Q13" s="1490"/>
      <c r="R13" s="1490"/>
      <c r="S13" s="1490"/>
      <c r="T13" s="1490"/>
      <c r="U13" s="1490"/>
      <c r="V13" s="1490"/>
      <c r="W13" s="1486"/>
      <c r="X13" s="1486"/>
      <c r="Y13" s="1486"/>
      <c r="Z13" s="1486"/>
      <c r="AA13" s="1486"/>
      <c r="AB13" s="1486"/>
    </row>
    <row r="14" spans="1:67" ht="16.5" customHeight="1" x14ac:dyDescent="0.3">
      <c r="A14" s="1494"/>
      <c r="B14" s="1569" t="s">
        <v>689</v>
      </c>
      <c r="C14" s="1573" t="s">
        <v>79</v>
      </c>
      <c r="D14" s="1573"/>
      <c r="E14" s="1573"/>
      <c r="F14" s="1573" t="s">
        <v>80</v>
      </c>
      <c r="G14" s="1573"/>
      <c r="H14" s="1574"/>
      <c r="I14" s="1571" t="s">
        <v>689</v>
      </c>
      <c r="J14" s="1573" t="s">
        <v>79</v>
      </c>
      <c r="K14" s="1573"/>
      <c r="L14" s="1573"/>
      <c r="M14" s="1573" t="s">
        <v>80</v>
      </c>
      <c r="N14" s="1573"/>
      <c r="O14" s="1574"/>
      <c r="P14" s="1571" t="s">
        <v>689</v>
      </c>
      <c r="Q14" s="1573" t="s">
        <v>79</v>
      </c>
      <c r="R14" s="1573"/>
      <c r="S14" s="1573"/>
      <c r="T14" s="1573" t="s">
        <v>80</v>
      </c>
      <c r="U14" s="1573"/>
      <c r="V14" s="1574"/>
      <c r="W14" s="1577" t="s">
        <v>79</v>
      </c>
      <c r="X14" s="1578"/>
      <c r="Y14" s="1578"/>
      <c r="Z14" s="1578" t="s">
        <v>80</v>
      </c>
      <c r="AA14" s="1578"/>
      <c r="AB14" s="1581"/>
    </row>
    <row r="15" spans="1:67" ht="35.25" customHeight="1" x14ac:dyDescent="0.25">
      <c r="A15" s="1495"/>
      <c r="B15" s="1570"/>
      <c r="C15" s="1329"/>
      <c r="D15" s="1329"/>
      <c r="E15" s="1442" t="s">
        <v>201</v>
      </c>
      <c r="F15" s="1329"/>
      <c r="G15" s="1329"/>
      <c r="H15" s="1442" t="s">
        <v>201</v>
      </c>
      <c r="I15" s="1572"/>
      <c r="J15" s="1329"/>
      <c r="K15" s="1329"/>
      <c r="L15" s="1442" t="s">
        <v>201</v>
      </c>
      <c r="M15" s="1329"/>
      <c r="N15" s="1329"/>
      <c r="O15" s="1442" t="s">
        <v>201</v>
      </c>
      <c r="P15" s="1572"/>
      <c r="Q15" s="1329"/>
      <c r="R15" s="1329"/>
      <c r="S15" s="1442" t="s">
        <v>201</v>
      </c>
      <c r="T15" s="1329"/>
      <c r="U15" s="1329"/>
      <c r="V15" s="1442" t="s">
        <v>201</v>
      </c>
      <c r="W15" s="1498"/>
      <c r="X15" s="1498"/>
      <c r="Y15" s="1443" t="s">
        <v>201</v>
      </c>
      <c r="Z15" s="1498"/>
      <c r="AA15" s="1498"/>
      <c r="AB15" s="1443" t="s">
        <v>201</v>
      </c>
    </row>
    <row r="16" spans="1:67" ht="16.5" customHeight="1" x14ac:dyDescent="0.3">
      <c r="A16" s="1496" t="s">
        <v>15</v>
      </c>
      <c r="B16" s="1488" t="s">
        <v>252</v>
      </c>
      <c r="C16" s="1329"/>
      <c r="D16" s="1329"/>
      <c r="E16" s="1329">
        <f>'ES-JoanieAppleseed'!U28</f>
        <v>12</v>
      </c>
      <c r="F16" s="1329"/>
      <c r="G16" s="1329"/>
      <c r="H16" s="1329">
        <f>'ES-JoanieAppleseed'!V28</f>
        <v>29.830000000000002</v>
      </c>
      <c r="I16" s="1333" t="s">
        <v>251</v>
      </c>
      <c r="J16" s="1329"/>
      <c r="K16" s="1329"/>
      <c r="L16" s="1329">
        <f>'ES-ToadsCar'!U16</f>
        <v>4.79</v>
      </c>
      <c r="M16" s="1329"/>
      <c r="N16" s="1329"/>
      <c r="O16" s="1329">
        <f>'ES-ToadsCar'!V17</f>
        <v>11.14</v>
      </c>
      <c r="P16" s="1336" t="s">
        <v>253</v>
      </c>
      <c r="Q16" s="1329"/>
      <c r="R16" s="1329"/>
      <c r="S16" s="1329">
        <f>'ES-BricksForPigs'!T16</f>
        <v>20.3</v>
      </c>
      <c r="T16" s="1329"/>
      <c r="U16" s="1329"/>
      <c r="V16" s="1329">
        <f>'ES-BricksForPigs'!U16</f>
        <v>42.06</v>
      </c>
      <c r="W16" s="1498"/>
      <c r="X16" s="1498"/>
      <c r="Y16" s="1330">
        <f>E16+L16+S16</f>
        <v>37.090000000000003</v>
      </c>
      <c r="Z16" s="1498"/>
      <c r="AA16" s="1498"/>
      <c r="AB16" s="1448">
        <f t="shared" ref="AB16:AB18" si="22">H16+O16+V16</f>
        <v>83.03</v>
      </c>
    </row>
    <row r="17" spans="1:67" ht="16.5" customHeight="1" x14ac:dyDescent="0.3">
      <c r="A17" s="1496" t="s">
        <v>16</v>
      </c>
      <c r="B17" s="1491" t="s">
        <v>680</v>
      </c>
      <c r="C17" s="1329"/>
      <c r="D17" s="1329"/>
      <c r="E17" s="1329">
        <f>'MS-FrankenPlants'!T22</f>
        <v>130.51</v>
      </c>
      <c r="F17" s="1329"/>
      <c r="G17" s="1329"/>
      <c r="H17" s="1329">
        <f>'MS-FrankenPlants'!U22</f>
        <v>136.25</v>
      </c>
      <c r="I17" s="1333" t="s">
        <v>255</v>
      </c>
      <c r="J17" s="1329"/>
      <c r="K17" s="1329"/>
      <c r="L17" s="1329">
        <f>'MS-UltimateSpeed'!T19</f>
        <v>1.79</v>
      </c>
      <c r="M17" s="1329"/>
      <c r="N17" s="1329"/>
      <c r="O17" s="1329">
        <f>'MS-UltimateSpeed'!U20</f>
        <v>4.79</v>
      </c>
      <c r="P17" s="1336" t="s">
        <v>254</v>
      </c>
      <c r="Q17" s="1329"/>
      <c r="R17" s="1329"/>
      <c r="S17" s="1329">
        <f>'MS-Bioswale'!T19</f>
        <v>38.200000000000003</v>
      </c>
      <c r="T17" s="1329"/>
      <c r="U17" s="1329"/>
      <c r="V17" s="1329">
        <f>'MS-Bioswale'!U19</f>
        <v>62.97</v>
      </c>
      <c r="W17" s="1498"/>
      <c r="X17" s="1498"/>
      <c r="Y17" s="1330">
        <f t="shared" ref="Y17:Y18" si="23">E17+L17+S17</f>
        <v>170.5</v>
      </c>
      <c r="Z17" s="1498"/>
      <c r="AA17" s="1498"/>
      <c r="AB17" s="1448">
        <f t="shared" si="22"/>
        <v>204.01</v>
      </c>
    </row>
    <row r="18" spans="1:67" ht="16.5" customHeight="1" thickBot="1" x14ac:dyDescent="0.35">
      <c r="A18" s="1497" t="s">
        <v>17</v>
      </c>
      <c r="B18" s="1488" t="s">
        <v>256</v>
      </c>
      <c r="C18" s="1329"/>
      <c r="D18" s="1329"/>
      <c r="E18" s="1329">
        <f>'HS-BiofuelFromAlgae'!T38</f>
        <v>6</v>
      </c>
      <c r="F18" s="1329"/>
      <c r="G18" s="1329"/>
      <c r="H18" s="1329">
        <f>'HS-BiofuelFromAlgae'!U38</f>
        <v>4.9000000000000004</v>
      </c>
      <c r="I18" s="1333" t="s">
        <v>129</v>
      </c>
      <c r="J18" s="1329"/>
      <c r="K18" s="1329"/>
      <c r="L18" s="1329">
        <f>'HS-LittlefootsRide'!T18</f>
        <v>1.79</v>
      </c>
      <c r="M18" s="1329"/>
      <c r="N18" s="1329"/>
      <c r="O18" s="1329">
        <f>'HS-LittlefootsRide'!U19</f>
        <v>5.79</v>
      </c>
      <c r="P18" s="1336" t="s">
        <v>682</v>
      </c>
      <c r="Q18" s="1329"/>
      <c r="R18" s="1329"/>
      <c r="S18" s="1329">
        <f>'HS-Calorimeter'!T27</f>
        <v>87.28</v>
      </c>
      <c r="T18" s="1329"/>
      <c r="U18" s="1329"/>
      <c r="V18" s="1329">
        <f>'HS-Calorimeter'!U27</f>
        <v>88.17</v>
      </c>
      <c r="W18" s="1498"/>
      <c r="X18" s="1498"/>
      <c r="Y18" s="1330">
        <f t="shared" si="23"/>
        <v>95.070000000000007</v>
      </c>
      <c r="Z18" s="1498"/>
      <c r="AA18" s="1498"/>
      <c r="AB18" s="1448">
        <f t="shared" si="22"/>
        <v>98.86</v>
      </c>
    </row>
    <row r="19" spans="1:67" ht="16.5" customHeight="1" thickBot="1" x14ac:dyDescent="0.35">
      <c r="A19" s="1493" t="s">
        <v>5</v>
      </c>
      <c r="B19" s="1323"/>
      <c r="C19" s="1324">
        <f>SUM(C16:C18)</f>
        <v>0</v>
      </c>
      <c r="D19" s="1325">
        <f t="shared" ref="D19:H19" si="24">SUM(D16:D18)</f>
        <v>0</v>
      </c>
      <c r="E19" s="1326">
        <f t="shared" si="24"/>
        <v>148.51</v>
      </c>
      <c r="F19" s="1324">
        <f t="shared" si="24"/>
        <v>0</v>
      </c>
      <c r="G19" s="1325">
        <f t="shared" si="24"/>
        <v>0</v>
      </c>
      <c r="H19" s="1327">
        <f t="shared" si="24"/>
        <v>170.98000000000002</v>
      </c>
      <c r="I19" s="1323"/>
      <c r="J19" s="1324">
        <f t="shared" ref="J19:O19" si="25">SUM(J16:J18)</f>
        <v>0</v>
      </c>
      <c r="K19" s="1325">
        <f t="shared" si="25"/>
        <v>0</v>
      </c>
      <c r="L19" s="1326">
        <f t="shared" si="25"/>
        <v>8.370000000000001</v>
      </c>
      <c r="M19" s="1324">
        <f t="shared" si="25"/>
        <v>0</v>
      </c>
      <c r="N19" s="1325">
        <f t="shared" si="25"/>
        <v>0</v>
      </c>
      <c r="O19" s="1327">
        <f t="shared" si="25"/>
        <v>21.72</v>
      </c>
      <c r="P19" s="1328"/>
      <c r="Q19" s="1324">
        <f t="shared" ref="Q19:AB19" si="26">SUM(Q16:Q18)</f>
        <v>0</v>
      </c>
      <c r="R19" s="1325">
        <f t="shared" si="26"/>
        <v>0</v>
      </c>
      <c r="S19" s="1326">
        <f t="shared" si="26"/>
        <v>145.78</v>
      </c>
      <c r="T19" s="1324">
        <f t="shared" si="26"/>
        <v>0</v>
      </c>
      <c r="U19" s="1325">
        <f t="shared" si="26"/>
        <v>0</v>
      </c>
      <c r="V19" s="1327">
        <f t="shared" si="26"/>
        <v>193.2</v>
      </c>
      <c r="W19" s="1482">
        <f t="shared" si="26"/>
        <v>0</v>
      </c>
      <c r="X19" s="1481">
        <f t="shared" si="26"/>
        <v>0</v>
      </c>
      <c r="Y19" s="1483">
        <f t="shared" si="26"/>
        <v>302.66000000000003</v>
      </c>
      <c r="Z19" s="1484">
        <f t="shared" si="26"/>
        <v>0</v>
      </c>
      <c r="AA19" s="1481">
        <f t="shared" si="26"/>
        <v>0</v>
      </c>
      <c r="AB19" s="1485">
        <f t="shared" si="26"/>
        <v>385.9</v>
      </c>
    </row>
    <row r="20" spans="1:67" ht="16.5" customHeight="1" x14ac:dyDescent="0.3">
      <c r="A20" s="404"/>
      <c r="B20" s="404"/>
      <c r="C20" s="404"/>
      <c r="D20" s="404"/>
      <c r="E20" s="404"/>
      <c r="F20" s="404"/>
      <c r="G20" s="404"/>
      <c r="H20" s="404"/>
      <c r="I20" s="404"/>
      <c r="J20" s="404"/>
      <c r="K20" s="404"/>
      <c r="L20" s="404"/>
      <c r="M20" s="404"/>
      <c r="N20" s="404"/>
      <c r="O20" s="404"/>
      <c r="P20" s="404"/>
      <c r="Q20" s="404"/>
      <c r="R20" s="404"/>
      <c r="S20" s="404"/>
      <c r="T20" s="404"/>
      <c r="U20" s="404"/>
      <c r="V20" s="404"/>
      <c r="W20" s="404"/>
      <c r="X20" s="404"/>
      <c r="Y20" s="404"/>
      <c r="Z20" s="404"/>
      <c r="AA20" s="404"/>
      <c r="AB20" s="404"/>
    </row>
    <row r="21" spans="1:67" ht="16.5" customHeight="1" thickBot="1" x14ac:dyDescent="0.35">
      <c r="A21" s="404"/>
      <c r="B21" s="404"/>
      <c r="C21" s="404"/>
      <c r="D21" s="404"/>
      <c r="E21" s="404"/>
      <c r="F21" s="404"/>
      <c r="G21" s="404"/>
      <c r="H21" s="404"/>
      <c r="I21" s="404"/>
      <c r="J21" s="404"/>
      <c r="K21" s="404"/>
      <c r="L21" s="404"/>
      <c r="M21" s="404"/>
      <c r="N21" s="404"/>
      <c r="O21" s="404"/>
      <c r="P21" s="404"/>
      <c r="Q21" s="404"/>
      <c r="R21" s="404"/>
      <c r="S21" s="404"/>
      <c r="T21" s="404"/>
      <c r="U21" s="404"/>
      <c r="V21" s="404"/>
      <c r="W21" s="404"/>
      <c r="X21" s="404"/>
      <c r="Y21" s="404"/>
      <c r="Z21" s="404"/>
      <c r="AA21" s="404"/>
      <c r="AB21" s="404"/>
    </row>
    <row r="22" spans="1:67" s="405" customFormat="1" ht="24.95" customHeight="1" thickBot="1" x14ac:dyDescent="0.4">
      <c r="A22" s="604" t="s">
        <v>691</v>
      </c>
      <c r="B22" s="605" t="s">
        <v>836</v>
      </c>
      <c r="C22" s="606"/>
      <c r="D22" s="606"/>
      <c r="E22" s="606"/>
      <c r="F22" s="606"/>
      <c r="G22" s="606"/>
      <c r="H22" s="606"/>
      <c r="I22" s="606"/>
      <c r="J22" s="606"/>
      <c r="K22" s="606"/>
      <c r="L22" s="606"/>
      <c r="M22" s="606"/>
      <c r="N22" s="606"/>
      <c r="O22" s="606"/>
      <c r="P22" s="606"/>
      <c r="Q22" s="606"/>
      <c r="R22" s="606"/>
      <c r="S22" s="606"/>
      <c r="T22" s="606"/>
      <c r="U22" s="606"/>
      <c r="V22" s="606"/>
      <c r="W22" s="612"/>
      <c r="X22" s="612"/>
      <c r="Y22" s="612"/>
      <c r="Z22" s="612"/>
      <c r="AA22" s="612"/>
      <c r="AB22" s="613"/>
    </row>
    <row r="23" spans="1:67" ht="16.5" customHeight="1" thickBot="1" x14ac:dyDescent="0.35">
      <c r="A23" s="1337"/>
      <c r="B23" s="1564" t="s">
        <v>18</v>
      </c>
      <c r="C23" s="1565"/>
      <c r="D23" s="1565"/>
      <c r="E23" s="1565"/>
      <c r="F23" s="1565"/>
      <c r="G23" s="1565"/>
      <c r="H23" s="1566"/>
      <c r="I23" s="1564" t="s">
        <v>13</v>
      </c>
      <c r="J23" s="1565"/>
      <c r="K23" s="1565"/>
      <c r="L23" s="1565"/>
      <c r="M23" s="1565"/>
      <c r="N23" s="1565"/>
      <c r="O23" s="1566"/>
      <c r="P23" s="1567" t="s">
        <v>14</v>
      </c>
      <c r="Q23" s="1567"/>
      <c r="R23" s="1567"/>
      <c r="S23" s="1567"/>
      <c r="T23" s="1567"/>
      <c r="U23" s="1567"/>
      <c r="V23" s="1568"/>
      <c r="W23" s="1583" t="s">
        <v>26</v>
      </c>
      <c r="X23" s="1584"/>
      <c r="Y23" s="1584"/>
      <c r="Z23" s="1584"/>
      <c r="AA23" s="1584"/>
      <c r="AB23" s="1585"/>
    </row>
    <row r="24" spans="1:67" ht="16.5" customHeight="1" x14ac:dyDescent="0.3">
      <c r="A24" s="1338"/>
      <c r="B24" s="1591" t="s">
        <v>689</v>
      </c>
      <c r="C24" s="1588" t="str">
        <f>C7</f>
        <v>Retail</v>
      </c>
      <c r="D24" s="1588"/>
      <c r="E24" s="1588"/>
      <c r="F24" s="1588" t="str">
        <f>F7</f>
        <v>Online</v>
      </c>
      <c r="G24" s="1588"/>
      <c r="H24" s="1589"/>
      <c r="I24" s="1586" t="s">
        <v>689</v>
      </c>
      <c r="J24" s="1588" t="str">
        <f>J7</f>
        <v>Retail</v>
      </c>
      <c r="K24" s="1588"/>
      <c r="L24" s="1588"/>
      <c r="M24" s="1588" t="str">
        <f>M7</f>
        <v>Online</v>
      </c>
      <c r="N24" s="1588"/>
      <c r="O24" s="1589"/>
      <c r="P24" s="1586" t="s">
        <v>689</v>
      </c>
      <c r="Q24" s="1590" t="str">
        <f>Q7</f>
        <v>Retail</v>
      </c>
      <c r="R24" s="1590"/>
      <c r="S24" s="1590"/>
      <c r="T24" s="1588" t="str">
        <f>T7</f>
        <v>Online</v>
      </c>
      <c r="U24" s="1588"/>
      <c r="V24" s="1589"/>
      <c r="W24" s="1579" t="s">
        <v>79</v>
      </c>
      <c r="X24" s="1580"/>
      <c r="Y24" s="1580"/>
      <c r="Z24" s="1580" t="s">
        <v>80</v>
      </c>
      <c r="AA24" s="1580"/>
      <c r="AB24" s="1582"/>
    </row>
    <row r="25" spans="1:67" ht="16.5" customHeight="1" x14ac:dyDescent="0.25">
      <c r="A25" s="1339"/>
      <c r="B25" s="1592"/>
      <c r="C25" s="1449" t="s">
        <v>202</v>
      </c>
      <c r="D25" s="1450" t="s">
        <v>203</v>
      </c>
      <c r="E25" s="1449"/>
      <c r="F25" s="1449" t="s">
        <v>202</v>
      </c>
      <c r="G25" s="1450" t="s">
        <v>203</v>
      </c>
      <c r="H25" s="1454"/>
      <c r="I25" s="1587"/>
      <c r="J25" s="1449" t="s">
        <v>202</v>
      </c>
      <c r="K25" s="1450" t="s">
        <v>203</v>
      </c>
      <c r="L25" s="1449"/>
      <c r="M25" s="1449" t="s">
        <v>202</v>
      </c>
      <c r="N25" s="1450" t="s">
        <v>203</v>
      </c>
      <c r="O25" s="1454"/>
      <c r="P25" s="1587"/>
      <c r="Q25" s="1449" t="s">
        <v>202</v>
      </c>
      <c r="R25" s="1450" t="s">
        <v>203</v>
      </c>
      <c r="S25" s="1449"/>
      <c r="T25" s="1449" t="s">
        <v>202</v>
      </c>
      <c r="U25" s="1450" t="s">
        <v>203</v>
      </c>
      <c r="V25" s="1454"/>
      <c r="W25" s="1455" t="s">
        <v>202</v>
      </c>
      <c r="X25" s="1452" t="s">
        <v>203</v>
      </c>
      <c r="Y25" s="1453"/>
      <c r="Z25" s="1451" t="s">
        <v>202</v>
      </c>
      <c r="AA25" s="1452" t="s">
        <v>203</v>
      </c>
      <c r="AB25" s="1456"/>
    </row>
    <row r="26" spans="1:67" s="98" customFormat="1" ht="16.5" customHeight="1" x14ac:dyDescent="0.3">
      <c r="A26" s="1320" t="s">
        <v>15</v>
      </c>
      <c r="B26" s="1331" t="s">
        <v>252</v>
      </c>
      <c r="C26" s="1321">
        <f>'ES-JoanieAppleseed'!Z28</f>
        <v>22.78</v>
      </c>
      <c r="D26" s="1321">
        <f>'ES-JoanieAppleseed'!AE28</f>
        <v>7.39</v>
      </c>
      <c r="E26" s="1321"/>
      <c r="F26" s="1321">
        <f>'ES-JoanieAppleseed'!AA28</f>
        <v>46.980000000000004</v>
      </c>
      <c r="G26" s="1321">
        <f>'ES-JoanieAppleseed'!AF28</f>
        <v>19.900000000000002</v>
      </c>
      <c r="H26" s="1332"/>
      <c r="I26" s="1331" t="s">
        <v>251</v>
      </c>
      <c r="J26" s="1321">
        <f>'ES-ToadsCar'!Z16</f>
        <v>58.75</v>
      </c>
      <c r="K26" s="1321">
        <f>'ES-ToadsCar'!AE16</f>
        <v>0</v>
      </c>
      <c r="L26" s="1321"/>
      <c r="M26" s="1321">
        <f>'ES-ToadsCar'!AA17</f>
        <v>85.6</v>
      </c>
      <c r="N26" s="1321">
        <f>'ES-ToadsCar'!AF17</f>
        <v>0</v>
      </c>
      <c r="O26" s="1332"/>
      <c r="P26" s="1341" t="s">
        <v>253</v>
      </c>
      <c r="Q26" s="1321">
        <f>'ES-BricksForPigs'!Y16</f>
        <v>29.630000000000003</v>
      </c>
      <c r="R26" s="1321">
        <f>'ES-BricksForPigs'!AD16</f>
        <v>4.1399999999999997</v>
      </c>
      <c r="S26" s="1321"/>
      <c r="T26" s="1321">
        <f>'ES-BricksForPigs'!Z16</f>
        <v>60.61</v>
      </c>
      <c r="U26" s="1321">
        <f>'ES-BricksForPigs'!AE16</f>
        <v>14.97</v>
      </c>
      <c r="V26" s="1332"/>
      <c r="W26" s="1457">
        <f>C26+J26+Q26</f>
        <v>111.16</v>
      </c>
      <c r="X26" s="1322">
        <f>D26+K26+R26</f>
        <v>11.53</v>
      </c>
      <c r="Y26" s="1322"/>
      <c r="Z26" s="1322">
        <f t="shared" ref="Z26:AA28" si="27">F26+M26+T26</f>
        <v>193.19</v>
      </c>
      <c r="AA26" s="1322">
        <f t="shared" si="27"/>
        <v>34.870000000000005</v>
      </c>
      <c r="AB26" s="1458"/>
      <c r="AC26" s="29"/>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row>
    <row r="27" spans="1:67" s="98" customFormat="1" ht="16.5" customHeight="1" x14ac:dyDescent="0.3">
      <c r="A27" s="1320" t="s">
        <v>16</v>
      </c>
      <c r="B27" s="1341" t="s">
        <v>680</v>
      </c>
      <c r="C27" s="1321">
        <f>'MS-FrankenPlants'!Y22</f>
        <v>236.81</v>
      </c>
      <c r="D27" s="1321">
        <f>'MS-FrankenPlants'!AD22</f>
        <v>149.24</v>
      </c>
      <c r="E27" s="1321"/>
      <c r="F27" s="1321">
        <f>'MS-FrankenPlants'!Z22</f>
        <v>237.78</v>
      </c>
      <c r="G27" s="1321">
        <f>'MS-FrankenPlants'!AE22</f>
        <v>155.20999999999998</v>
      </c>
      <c r="H27" s="1332"/>
      <c r="I27" s="1331" t="s">
        <v>255</v>
      </c>
      <c r="J27" s="1321">
        <f>'MS-UltimateSpeed'!Y19</f>
        <v>98</v>
      </c>
      <c r="K27" s="1321">
        <f>'MS-UltimateSpeed'!AD19</f>
        <v>42</v>
      </c>
      <c r="L27" s="1321"/>
      <c r="M27" s="1321">
        <f>'MS-UltimateSpeed'!Z20</f>
        <v>116.43</v>
      </c>
      <c r="N27" s="1321">
        <f>'MS-UltimateSpeed'!AE20</f>
        <v>55.26</v>
      </c>
      <c r="O27" s="1332"/>
      <c r="P27" s="1341" t="s">
        <v>254</v>
      </c>
      <c r="Q27" s="1321">
        <f>'MS-Bioswale'!Y19</f>
        <v>58.19</v>
      </c>
      <c r="R27" s="1321">
        <f>'MS-Bioswale'!AD19</f>
        <v>0</v>
      </c>
      <c r="S27" s="1321"/>
      <c r="T27" s="1321">
        <f>'MS-Bioswale'!Z19</f>
        <v>80.88</v>
      </c>
      <c r="U27" s="1321">
        <f>'MS-Bioswale'!AE19</f>
        <v>0</v>
      </c>
      <c r="V27" s="1332"/>
      <c r="W27" s="1457">
        <f t="shared" ref="W27:X28" si="28">C27+J27+Q27</f>
        <v>393</v>
      </c>
      <c r="X27" s="1322">
        <f t="shared" si="28"/>
        <v>191.24</v>
      </c>
      <c r="Y27" s="1322"/>
      <c r="Z27" s="1322">
        <f t="shared" si="27"/>
        <v>435.09000000000003</v>
      </c>
      <c r="AA27" s="1322">
        <f t="shared" si="27"/>
        <v>210.46999999999997</v>
      </c>
      <c r="AB27" s="1458"/>
      <c r="AC27" s="29"/>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row>
    <row r="28" spans="1:67" ht="16.5" customHeight="1" x14ac:dyDescent="0.3">
      <c r="A28" s="1320" t="s">
        <v>17</v>
      </c>
      <c r="B28" s="1331" t="s">
        <v>256</v>
      </c>
      <c r="C28" s="1321">
        <f>'HS-BiofuelFromAlgae'!Y38</f>
        <v>350.63000000000005</v>
      </c>
      <c r="D28" s="1321">
        <f>'HS-BiofuelFromAlgae'!AD38</f>
        <v>117.03999999999999</v>
      </c>
      <c r="E28" s="1321"/>
      <c r="F28" s="1321">
        <f>'HS-BiofuelFromAlgae'!Z38</f>
        <v>332.03999999999996</v>
      </c>
      <c r="G28" s="1321">
        <f>'HS-BiofuelFromAlgae'!AE38</f>
        <v>103.16999999999999</v>
      </c>
      <c r="H28" s="1332"/>
      <c r="I28" s="1331" t="s">
        <v>129</v>
      </c>
      <c r="J28" s="1321">
        <f>'HS-LittlefootsRide'!Y18</f>
        <v>309.83</v>
      </c>
      <c r="K28" s="1321">
        <f>'HS-LittlefootsRide'!AD18</f>
        <v>253.24</v>
      </c>
      <c r="L28" s="1321"/>
      <c r="M28" s="1321">
        <f>'HS-LittlefootsRide'!Z19</f>
        <v>213.83</v>
      </c>
      <c r="N28" s="1321">
        <f>'HS-LittlefootsRide'!AE19</f>
        <v>176.36</v>
      </c>
      <c r="O28" s="1332"/>
      <c r="P28" s="1341" t="s">
        <v>682</v>
      </c>
      <c r="Q28" s="1321">
        <f>'HS-Calorimeter'!Y27</f>
        <v>139.45000000000002</v>
      </c>
      <c r="R28" s="1321">
        <f>'HS-Calorimeter'!AD27</f>
        <v>64.39</v>
      </c>
      <c r="S28" s="1321"/>
      <c r="T28" s="1321">
        <f>'HS-Calorimeter'!Z27</f>
        <v>139.95000000000002</v>
      </c>
      <c r="U28" s="1321">
        <f>'HS-Calorimeter'!AE27</f>
        <v>64.39</v>
      </c>
      <c r="V28" s="1332"/>
      <c r="W28" s="1457">
        <f t="shared" si="28"/>
        <v>799.91000000000008</v>
      </c>
      <c r="X28" s="1322">
        <f t="shared" si="28"/>
        <v>434.66999999999996</v>
      </c>
      <c r="Y28" s="1322"/>
      <c r="Z28" s="1322">
        <f t="shared" si="27"/>
        <v>685.82</v>
      </c>
      <c r="AA28" s="1322">
        <f t="shared" si="27"/>
        <v>343.91999999999996</v>
      </c>
      <c r="AB28" s="1458"/>
    </row>
    <row r="29" spans="1:67" ht="16.5" customHeight="1" thickBot="1" x14ac:dyDescent="0.35">
      <c r="A29" s="1320" t="s">
        <v>754</v>
      </c>
      <c r="B29" s="607"/>
      <c r="C29" s="608"/>
      <c r="D29" s="609"/>
      <c r="E29" s="610"/>
      <c r="F29" s="608"/>
      <c r="G29" s="609"/>
      <c r="H29" s="611"/>
      <c r="I29" s="607"/>
      <c r="J29" s="608"/>
      <c r="K29" s="609"/>
      <c r="L29" s="610"/>
      <c r="M29" s="608"/>
      <c r="N29" s="609"/>
      <c r="O29" s="611"/>
      <c r="P29" s="1459"/>
      <c r="Q29" s="608"/>
      <c r="R29" s="609"/>
      <c r="S29" s="610"/>
      <c r="T29" s="608"/>
      <c r="U29" s="609"/>
      <c r="V29" s="611"/>
      <c r="W29" s="1463">
        <f>'All-Tallest Tower'!$D9+'All-CO2 Cannon'!$E16+'All-IndexCardChair'!$D8</f>
        <v>58</v>
      </c>
      <c r="X29" s="1464">
        <f>'All-Tallest Tower'!$H9+'All-CO2 Cannon'!$I16+'All-IndexCardChair'!$H8</f>
        <v>50.74</v>
      </c>
      <c r="Y29" s="1464"/>
      <c r="Z29" s="1464">
        <f>'All-Tallest Tower'!$D9+'All-CO2 Cannon'!$E16+'All-IndexCardChair'!$D8</f>
        <v>58</v>
      </c>
      <c r="AA29" s="1464">
        <f>'All-Tallest Tower'!$H9+'All-CO2 Cannon'!$I16+'All-IndexCardChair'!$H8</f>
        <v>50.74</v>
      </c>
      <c r="AB29" s="1465"/>
    </row>
    <row r="30" spans="1:67" ht="16.5" customHeight="1" thickBot="1" x14ac:dyDescent="0.35">
      <c r="A30" s="1340" t="s">
        <v>5</v>
      </c>
      <c r="B30" s="417"/>
      <c r="C30" s="1460">
        <f>SUM(C26:C28)</f>
        <v>610.22</v>
      </c>
      <c r="D30" s="1460">
        <f t="shared" ref="D30:G30" si="29">SUM(D26:D28)</f>
        <v>273.66999999999996</v>
      </c>
      <c r="E30" s="1460"/>
      <c r="F30" s="1460">
        <f t="shared" si="29"/>
        <v>616.79999999999995</v>
      </c>
      <c r="G30" s="1460">
        <f t="shared" si="29"/>
        <v>278.27999999999997</v>
      </c>
      <c r="H30" s="1461"/>
      <c r="I30" s="417"/>
      <c r="J30" s="1460">
        <f t="shared" ref="J30" si="30">SUM(J26:J28)</f>
        <v>466.58</v>
      </c>
      <c r="K30" s="1460">
        <f t="shared" ref="K30" si="31">SUM(K26:K28)</f>
        <v>295.24</v>
      </c>
      <c r="L30" s="1460"/>
      <c r="M30" s="1460">
        <f t="shared" ref="M30" si="32">SUM(M26:M28)</f>
        <v>415.86</v>
      </c>
      <c r="N30" s="1460">
        <f t="shared" ref="N30" si="33">SUM(N26:N28)</f>
        <v>231.62</v>
      </c>
      <c r="O30" s="1461"/>
      <c r="P30" s="1462"/>
      <c r="Q30" s="1460">
        <f t="shared" ref="Q30" si="34">SUM(Q26:Q28)</f>
        <v>227.27</v>
      </c>
      <c r="R30" s="1460">
        <f t="shared" ref="R30" si="35">SUM(R26:R28)</f>
        <v>68.53</v>
      </c>
      <c r="S30" s="1460"/>
      <c r="T30" s="1460">
        <f t="shared" ref="T30" si="36">SUM(T26:T28)</f>
        <v>281.44000000000005</v>
      </c>
      <c r="U30" s="1460">
        <f t="shared" ref="U30" si="37">SUM(U26:U28)</f>
        <v>79.36</v>
      </c>
      <c r="V30" s="418"/>
      <c r="W30" s="1466">
        <f t="shared" ref="W30" si="38">SUM(W26:W28)</f>
        <v>1304.0700000000002</v>
      </c>
      <c r="X30" s="1467">
        <f t="shared" ref="X30" si="39">SUM(X26:X28)</f>
        <v>637.43999999999994</v>
      </c>
      <c r="Y30" s="1468"/>
      <c r="Z30" s="1467">
        <f t="shared" ref="Z30" si="40">SUM(Z26:Z28)</f>
        <v>1314.1</v>
      </c>
      <c r="AA30" s="1467">
        <f t="shared" ref="AA30" si="41">SUM(AA26:AA28)</f>
        <v>589.26</v>
      </c>
      <c r="AB30" s="1469"/>
    </row>
    <row r="31" spans="1:67" ht="16.5" customHeight="1" x14ac:dyDescent="0.25">
      <c r="A31" s="603" t="s">
        <v>257</v>
      </c>
      <c r="I31" s="24" t="s">
        <v>132</v>
      </c>
      <c r="W31" s="12"/>
    </row>
    <row r="32" spans="1:67" ht="16.5" customHeight="1" x14ac:dyDescent="0.25">
      <c r="A32" s="406"/>
    </row>
  </sheetData>
  <mergeCells count="41">
    <mergeCell ref="C24:E24"/>
    <mergeCell ref="B14:B15"/>
    <mergeCell ref="C14:E14"/>
    <mergeCell ref="F14:H14"/>
    <mergeCell ref="W14:Y14"/>
    <mergeCell ref="B24:B25"/>
    <mergeCell ref="I24:I25"/>
    <mergeCell ref="F24:H24"/>
    <mergeCell ref="I14:I15"/>
    <mergeCell ref="J24:L24"/>
    <mergeCell ref="J14:L14"/>
    <mergeCell ref="W6:AB6"/>
    <mergeCell ref="M7:O7"/>
    <mergeCell ref="W7:Y7"/>
    <mergeCell ref="W24:Y24"/>
    <mergeCell ref="Z7:AB7"/>
    <mergeCell ref="Z24:AB24"/>
    <mergeCell ref="W23:AB23"/>
    <mergeCell ref="P24:P25"/>
    <mergeCell ref="Q7:S7"/>
    <mergeCell ref="T7:V7"/>
    <mergeCell ref="M24:O24"/>
    <mergeCell ref="Q24:S24"/>
    <mergeCell ref="T24:V24"/>
    <mergeCell ref="M14:O14"/>
    <mergeCell ref="Z14:AB14"/>
    <mergeCell ref="B6:H6"/>
    <mergeCell ref="I6:O6"/>
    <mergeCell ref="P6:V6"/>
    <mergeCell ref="B23:H23"/>
    <mergeCell ref="I23:O23"/>
    <mergeCell ref="P23:V23"/>
    <mergeCell ref="B7:B8"/>
    <mergeCell ref="I7:I8"/>
    <mergeCell ref="P7:P8"/>
    <mergeCell ref="J7:L7"/>
    <mergeCell ref="P14:P15"/>
    <mergeCell ref="Q14:S14"/>
    <mergeCell ref="T14:V14"/>
    <mergeCell ref="C7:E7"/>
    <mergeCell ref="F7:H7"/>
  </mergeCells>
  <printOptions gridLines="1"/>
  <pageMargins left="0.7" right="0.7" top="0.75" bottom="0.75" header="0.3" footer="0.3"/>
  <pageSetup paperSize="3" orientation="landscape" r:id="rId1"/>
  <headerFooter>
    <oddHeader>&amp;LEngineering Design Lesson Materials Costs&amp;R&amp;D</oddHeader>
    <oddFooter>&amp;L&amp;Z&amp;F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30"/>
  <sheetViews>
    <sheetView zoomScale="85" zoomScaleNormal="85" workbookViewId="0">
      <pane xSplit="1" ySplit="5" topLeftCell="J19" activePane="bottomRight" state="frozen"/>
      <selection pane="topRight" activeCell="B1" sqref="B1"/>
      <selection pane="bottomLeft" activeCell="A5" sqref="A5"/>
      <selection pane="bottomRight" activeCell="Y25" sqref="Y25"/>
    </sheetView>
  </sheetViews>
  <sheetFormatPr defaultColWidth="9.140625" defaultRowHeight="15" x14ac:dyDescent="0.25"/>
  <cols>
    <col min="1" max="1" width="24.85546875" style="3" customWidth="1"/>
    <col min="2" max="2" width="25" style="3" customWidth="1"/>
    <col min="3" max="3" width="9.140625" style="3"/>
    <col min="4" max="4" width="7" style="3" customWidth="1"/>
    <col min="5" max="5" width="9.140625" style="3"/>
    <col min="6" max="6" width="34.7109375" style="3" customWidth="1"/>
    <col min="7" max="7" width="7.42578125" style="94" customWidth="1"/>
    <col min="8" max="8" width="9.140625" style="2"/>
    <col min="9" max="10" width="7.42578125" style="11" customWidth="1"/>
    <col min="11" max="11" width="9.42578125" style="11" customWidth="1"/>
    <col min="12" max="12" width="11" style="11" customWidth="1"/>
    <col min="13" max="13" width="8.85546875" style="11" customWidth="1"/>
    <col min="14" max="14" width="8.140625" style="11" customWidth="1"/>
    <col min="15" max="15" width="9.28515625" style="2" customWidth="1"/>
    <col min="16" max="16" width="9.140625" style="2"/>
    <col min="17" max="17" width="9.7109375" style="2" customWidth="1"/>
    <col min="18" max="22" width="9.140625" style="2"/>
    <col min="23" max="25" width="9.140625" style="3"/>
    <col min="26" max="27" width="11.85546875" style="3" customWidth="1"/>
    <col min="28" max="28" width="9.140625" style="3"/>
    <col min="29" max="29" width="10.85546875" style="3" customWidth="1"/>
    <col min="30" max="30" width="10.7109375" style="3" customWidth="1"/>
    <col min="31" max="31" width="10.5703125" style="3" customWidth="1"/>
    <col min="32" max="32" width="10.7109375" style="3" customWidth="1"/>
    <col min="33" max="33" width="9.140625" style="3"/>
    <col min="34" max="34" width="20.7109375" style="3" customWidth="1"/>
    <col min="35" max="35" width="8" style="3" customWidth="1"/>
    <col min="36" max="36" width="13.42578125" style="3" customWidth="1"/>
    <col min="37" max="38" width="7.28515625" style="149" customWidth="1"/>
    <col min="39" max="39" width="7.28515625" style="149" bestFit="1" customWidth="1"/>
    <col min="40" max="41" width="10" style="3" bestFit="1" customWidth="1"/>
    <col min="42" max="42" width="6.140625" style="3" bestFit="1" customWidth="1"/>
    <col min="43" max="44" width="10" style="3" bestFit="1" customWidth="1"/>
    <col min="45" max="45" width="9.140625" style="3"/>
    <col min="46" max="46" width="22.42578125" style="3" customWidth="1"/>
    <col min="47" max="47" width="66.42578125" style="3" bestFit="1" customWidth="1"/>
    <col min="48" max="16384" width="9.140625" style="3"/>
  </cols>
  <sheetData>
    <row r="1" spans="1:47" s="411" customFormat="1" ht="30" customHeight="1" thickBot="1" x14ac:dyDescent="0.45">
      <c r="A1" s="874" t="s">
        <v>702</v>
      </c>
      <c r="B1" s="875"/>
      <c r="C1" s="875"/>
      <c r="D1" s="875"/>
      <c r="E1" s="875"/>
      <c r="F1" s="875"/>
      <c r="G1" s="878"/>
      <c r="H1" s="876"/>
      <c r="I1" s="877"/>
      <c r="J1" s="877"/>
      <c r="K1" s="877"/>
      <c r="L1" s="877"/>
      <c r="M1" s="877"/>
      <c r="N1" s="877"/>
      <c r="O1" s="876"/>
      <c r="P1" s="876"/>
      <c r="Q1" s="876"/>
      <c r="R1" s="876"/>
      <c r="S1" s="876"/>
      <c r="T1" s="876"/>
      <c r="U1" s="876"/>
      <c r="V1" s="876"/>
      <c r="W1" s="875"/>
      <c r="X1" s="875"/>
      <c r="Y1" s="875"/>
      <c r="Z1" s="875"/>
      <c r="AA1" s="875"/>
      <c r="AB1" s="875"/>
      <c r="AC1" s="875"/>
      <c r="AD1" s="875"/>
      <c r="AE1" s="875"/>
      <c r="AF1" s="875"/>
      <c r="AK1" s="414"/>
      <c r="AL1" s="414"/>
      <c r="AM1" s="414"/>
    </row>
    <row r="2" spans="1:47" s="426" customFormat="1" ht="30" customHeight="1" thickBot="1" x14ac:dyDescent="0.3">
      <c r="A2" s="1593" t="s">
        <v>560</v>
      </c>
      <c r="B2" s="1594"/>
      <c r="C2" s="1594"/>
      <c r="D2" s="1594"/>
      <c r="E2" s="1594"/>
      <c r="F2" s="1594"/>
      <c r="G2" s="1204"/>
      <c r="H2" s="1216"/>
      <c r="I2" s="1612" t="s">
        <v>747</v>
      </c>
      <c r="J2" s="1612"/>
      <c r="K2" s="1612"/>
      <c r="L2" s="1612"/>
      <c r="M2" s="1612"/>
      <c r="N2" s="1612"/>
      <c r="O2" s="1612"/>
      <c r="P2" s="1612"/>
      <c r="Q2" s="1612"/>
      <c r="R2" s="1612"/>
      <c r="S2" s="1613"/>
      <c r="T2" s="1373"/>
      <c r="U2" s="1373"/>
      <c r="V2" s="1373"/>
      <c r="W2" s="1614" t="s">
        <v>692</v>
      </c>
      <c r="X2" s="1615"/>
      <c r="Y2" s="1615"/>
      <c r="Z2" s="1615"/>
      <c r="AA2" s="1615"/>
      <c r="AB2" s="1615"/>
      <c r="AC2" s="1615"/>
      <c r="AD2" s="1615"/>
      <c r="AE2" s="1615"/>
      <c r="AF2" s="1616"/>
      <c r="AH2" s="425" t="s">
        <v>559</v>
      </c>
      <c r="AK2" s="427"/>
      <c r="AL2" s="427"/>
      <c r="AM2" s="427"/>
      <c r="AT2" s="425" t="s">
        <v>607</v>
      </c>
    </row>
    <row r="3" spans="1:47" s="634" customFormat="1" ht="49.5" customHeight="1" thickBot="1" x14ac:dyDescent="0.25">
      <c r="A3" s="643" t="s">
        <v>729</v>
      </c>
      <c r="B3" s="644"/>
      <c r="C3" s="644"/>
      <c r="D3" s="644"/>
      <c r="E3" s="644"/>
      <c r="F3" s="644"/>
      <c r="G3" s="1603" t="s">
        <v>768</v>
      </c>
      <c r="H3" s="1604"/>
      <c r="I3" s="1605" t="s">
        <v>744</v>
      </c>
      <c r="J3" s="1606"/>
      <c r="K3" s="1607"/>
      <c r="L3" s="646">
        <f>Budget!$D$43</f>
        <v>30</v>
      </c>
      <c r="M3" s="645"/>
      <c r="N3" s="1201"/>
      <c r="O3" s="1202"/>
      <c r="P3" s="647"/>
      <c r="Q3" s="647"/>
      <c r="R3" s="1640"/>
      <c r="S3" s="1641"/>
      <c r="T3" s="1645" t="s">
        <v>766</v>
      </c>
      <c r="U3" s="1645"/>
      <c r="V3" s="1646"/>
      <c r="W3" s="1473"/>
      <c r="X3" s="648" t="s">
        <v>99</v>
      </c>
      <c r="Y3" s="649">
        <f>Budget!C28</f>
        <v>3</v>
      </c>
      <c r="Z3" s="650"/>
      <c r="AA3" s="651"/>
      <c r="AB3" s="648" t="s">
        <v>100</v>
      </c>
      <c r="AC3" s="649">
        <f>Budget!B28</f>
        <v>10</v>
      </c>
      <c r="AD3" s="650"/>
      <c r="AE3" s="652" t="s">
        <v>196</v>
      </c>
      <c r="AF3" s="653">
        <f>Budget!I7</f>
        <v>1</v>
      </c>
      <c r="AH3" s="1634" t="s">
        <v>568</v>
      </c>
      <c r="AI3" s="1634"/>
      <c r="AJ3" s="1634"/>
      <c r="AK3" s="1634"/>
      <c r="AL3" s="1634"/>
      <c r="AM3" s="1634"/>
      <c r="AN3" s="1634"/>
      <c r="AO3" s="1634"/>
      <c r="AP3" s="1634"/>
      <c r="AQ3" s="1634"/>
      <c r="AR3" s="1634"/>
      <c r="AS3" s="635"/>
    </row>
    <row r="4" spans="1:47" ht="30" customHeight="1" thickBot="1" x14ac:dyDescent="0.3">
      <c r="A4" s="687"/>
      <c r="B4" s="688"/>
      <c r="C4" s="689" t="s">
        <v>717</v>
      </c>
      <c r="D4" s="688"/>
      <c r="E4" s="688"/>
      <c r="F4" s="688"/>
      <c r="G4" s="1205" t="s">
        <v>79</v>
      </c>
      <c r="H4" s="1217" t="s">
        <v>80</v>
      </c>
      <c r="I4" s="1609" t="s">
        <v>544</v>
      </c>
      <c r="J4" s="1609"/>
      <c r="K4" s="1642" t="s">
        <v>267</v>
      </c>
      <c r="L4" s="1643"/>
      <c r="M4" s="1644"/>
      <c r="N4" s="1608" t="s">
        <v>745</v>
      </c>
      <c r="O4" s="1609"/>
      <c r="P4" s="1611"/>
      <c r="Q4" s="1608" t="s">
        <v>746</v>
      </c>
      <c r="R4" s="1609"/>
      <c r="S4" s="1610"/>
      <c r="T4" s="1372"/>
      <c r="U4" s="1372"/>
      <c r="V4" s="1372"/>
      <c r="W4" s="1620" t="s">
        <v>70</v>
      </c>
      <c r="X4" s="1618"/>
      <c r="Y4" s="1619"/>
      <c r="Z4" s="1617" t="s">
        <v>727</v>
      </c>
      <c r="AA4" s="1619"/>
      <c r="AB4" s="1617" t="s">
        <v>70</v>
      </c>
      <c r="AC4" s="1618"/>
      <c r="AD4" s="1619"/>
      <c r="AE4" s="1617" t="s">
        <v>726</v>
      </c>
      <c r="AF4" s="1621"/>
      <c r="AH4" s="1637" t="str">
        <f>A2</f>
        <v>Item Information</v>
      </c>
      <c r="AI4" s="1638"/>
      <c r="AJ4" s="1639"/>
      <c r="AK4" s="1599" t="str">
        <f>I4</f>
        <v>Quantity: class size of…</v>
      </c>
      <c r="AL4" s="1599"/>
      <c r="AM4" s="1635" t="str">
        <f>G4</f>
        <v>Retail</v>
      </c>
      <c r="AN4" s="1635"/>
      <c r="AO4" s="1635"/>
      <c r="AP4" s="1635" t="str">
        <f>H4</f>
        <v>Online</v>
      </c>
      <c r="AQ4" s="1635"/>
      <c r="AR4" s="1636"/>
      <c r="AS4" s="147"/>
    </row>
    <row r="5" spans="1:47" s="8" customFormat="1" ht="51.75" customHeight="1" thickBot="1" x14ac:dyDescent="0.3">
      <c r="A5" s="1218" t="s">
        <v>718</v>
      </c>
      <c r="B5" s="1219" t="s">
        <v>547</v>
      </c>
      <c r="C5" s="1220" t="s">
        <v>777</v>
      </c>
      <c r="D5" s="1220" t="s">
        <v>65</v>
      </c>
      <c r="E5" s="1220" t="s">
        <v>133</v>
      </c>
      <c r="F5" s="1220" t="s">
        <v>548</v>
      </c>
      <c r="G5" s="1206" t="s">
        <v>545</v>
      </c>
      <c r="H5" s="1221" t="s">
        <v>545</v>
      </c>
      <c r="I5" s="1203">
        <v>30</v>
      </c>
      <c r="J5" s="1199">
        <v>40</v>
      </c>
      <c r="K5" s="1199" t="s">
        <v>159</v>
      </c>
      <c r="L5" s="1199" t="s">
        <v>134</v>
      </c>
      <c r="M5" s="1199" t="s">
        <v>275</v>
      </c>
      <c r="N5" s="1199" t="s">
        <v>546</v>
      </c>
      <c r="O5" s="1199">
        <v>30</v>
      </c>
      <c r="P5" s="1199">
        <v>40</v>
      </c>
      <c r="Q5" s="1199" t="s">
        <v>546</v>
      </c>
      <c r="R5" s="1199">
        <v>30</v>
      </c>
      <c r="S5" s="1200">
        <v>40</v>
      </c>
      <c r="T5" s="766" t="s">
        <v>70</v>
      </c>
      <c r="U5" s="766" t="s">
        <v>757</v>
      </c>
      <c r="V5" s="1472" t="s">
        <v>758</v>
      </c>
      <c r="W5" s="1474" t="s">
        <v>83</v>
      </c>
      <c r="X5" s="692" t="s">
        <v>82</v>
      </c>
      <c r="Y5" s="690" t="s">
        <v>199</v>
      </c>
      <c r="Z5" s="691" t="s">
        <v>79</v>
      </c>
      <c r="AA5" s="690" t="s">
        <v>80</v>
      </c>
      <c r="AB5" s="691" t="s">
        <v>197</v>
      </c>
      <c r="AC5" s="692" t="s">
        <v>198</v>
      </c>
      <c r="AD5" s="690" t="s">
        <v>200</v>
      </c>
      <c r="AE5" s="691" t="s">
        <v>79</v>
      </c>
      <c r="AF5" s="693" t="s">
        <v>80</v>
      </c>
      <c r="AH5" s="160" t="str">
        <f t="shared" ref="AH5:AH23" si="0">A5</f>
        <v>Item to Purchase
(item it simulates)</v>
      </c>
      <c r="AI5" s="161" t="str">
        <f>D5</f>
        <v>Re usable</v>
      </c>
      <c r="AJ5" s="161" t="str">
        <f>E5</f>
        <v>Store Type</v>
      </c>
      <c r="AK5" s="162">
        <f>I5</f>
        <v>30</v>
      </c>
      <c r="AL5" s="162">
        <f>J5</f>
        <v>40</v>
      </c>
      <c r="AM5" s="162" t="str">
        <f>G5</f>
        <v>ea.</v>
      </c>
      <c r="AN5" s="161">
        <f>O5</f>
        <v>30</v>
      </c>
      <c r="AO5" s="161">
        <f>P5</f>
        <v>40</v>
      </c>
      <c r="AP5" s="161" t="str">
        <f>H5</f>
        <v>ea.</v>
      </c>
      <c r="AQ5" s="161">
        <f>R5</f>
        <v>30</v>
      </c>
      <c r="AR5" s="163">
        <f>S5</f>
        <v>40</v>
      </c>
      <c r="AT5" s="382" t="str">
        <f t="shared" ref="AT5:AT10" si="1">A5</f>
        <v>Item to Purchase
(item it simulates)</v>
      </c>
      <c r="AU5" s="383" t="str">
        <f>F5</f>
        <v>Other Notes</v>
      </c>
    </row>
    <row r="6" spans="1:47" s="8" customFormat="1" ht="30" customHeight="1" thickBot="1" x14ac:dyDescent="0.3">
      <c r="A6" s="684" t="s">
        <v>683</v>
      </c>
      <c r="B6" s="685"/>
      <c r="C6" s="685"/>
      <c r="D6" s="686"/>
      <c r="E6" s="685"/>
      <c r="F6" s="685"/>
      <c r="G6" s="1207"/>
      <c r="H6" s="1207"/>
      <c r="I6" s="1197" t="s">
        <v>299</v>
      </c>
      <c r="J6" s="1197" t="s">
        <v>300</v>
      </c>
      <c r="K6" s="1198"/>
      <c r="L6" s="1198"/>
      <c r="M6" s="1198" t="s">
        <v>301</v>
      </c>
      <c r="N6" s="1196"/>
      <c r="O6" s="1196"/>
      <c r="P6" s="1196"/>
      <c r="Q6" s="1196"/>
      <c r="R6" s="1196"/>
      <c r="S6" s="1196"/>
      <c r="T6" s="1196"/>
      <c r="U6" s="1196"/>
      <c r="V6" s="1196"/>
      <c r="W6" s="655"/>
      <c r="X6" s="656"/>
      <c r="Y6" s="657"/>
      <c r="Z6" s="658"/>
      <c r="AA6" s="658"/>
      <c r="AB6" s="659"/>
      <c r="AC6" s="659"/>
      <c r="AD6" s="659"/>
      <c r="AE6" s="658"/>
      <c r="AF6" s="660"/>
      <c r="AH6" s="1622" t="str">
        <f t="shared" si="0"/>
        <v>*General Materials</v>
      </c>
      <c r="AI6" s="1623"/>
      <c r="AJ6" s="1623"/>
      <c r="AK6" s="1623"/>
      <c r="AL6" s="1623"/>
      <c r="AM6" s="1623"/>
      <c r="AN6" s="1623"/>
      <c r="AO6" s="1623"/>
      <c r="AP6" s="1623"/>
      <c r="AQ6" s="1623"/>
      <c r="AR6" s="1624"/>
      <c r="AT6" s="1628" t="str">
        <f t="shared" si="1"/>
        <v>*General Materials</v>
      </c>
      <c r="AU6" s="1629"/>
    </row>
    <row r="7" spans="1:47" ht="90.75" customHeight="1" x14ac:dyDescent="0.25">
      <c r="A7" s="628" t="s">
        <v>719</v>
      </c>
      <c r="B7" s="629" t="s">
        <v>549</v>
      </c>
      <c r="C7" s="569" t="s">
        <v>11</v>
      </c>
      <c r="D7" s="569" t="s">
        <v>66</v>
      </c>
      <c r="E7" s="569" t="s">
        <v>136</v>
      </c>
      <c r="F7" s="569" t="s">
        <v>137</v>
      </c>
      <c r="G7" s="711">
        <v>1</v>
      </c>
      <c r="H7" s="711">
        <v>1.85</v>
      </c>
      <c r="I7" s="731">
        <v>8</v>
      </c>
      <c r="J7" s="732">
        <v>10</v>
      </c>
      <c r="K7" s="733">
        <v>1</v>
      </c>
      <c r="L7" s="733">
        <v>0.25</v>
      </c>
      <c r="M7" s="732">
        <f>ROUNDUP(K7+(L7*L$3),0)</f>
        <v>9</v>
      </c>
      <c r="N7" s="694">
        <f>M7*G7</f>
        <v>9</v>
      </c>
      <c r="O7" s="694">
        <f>I7*G7</f>
        <v>8</v>
      </c>
      <c r="P7" s="694">
        <f>G7*J7</f>
        <v>10</v>
      </c>
      <c r="Q7" s="694">
        <f>H7*M7</f>
        <v>16.650000000000002</v>
      </c>
      <c r="R7" s="694">
        <f>H7*I7</f>
        <v>14.8</v>
      </c>
      <c r="S7" s="695">
        <f>H7*J7</f>
        <v>18.5</v>
      </c>
      <c r="T7" s="732">
        <f>IF(D7="yes",0,M7)</f>
        <v>0</v>
      </c>
      <c r="U7" s="694">
        <f>T7*G7</f>
        <v>0</v>
      </c>
      <c r="V7" s="694">
        <f>T7*H7</f>
        <v>0</v>
      </c>
      <c r="W7" s="742">
        <v>0</v>
      </c>
      <c r="X7" s="743">
        <v>1</v>
      </c>
      <c r="Y7" s="743">
        <f>ROUNDUP(W7+AC$3/Y$3*X7,0)</f>
        <v>4</v>
      </c>
      <c r="Z7" s="696">
        <f>(W7+ROUNDUP(AC$3/Y$3*X7,0))*G7</f>
        <v>4</v>
      </c>
      <c r="AA7" s="697">
        <f>(W7+ROUNDUP(AC$3/Y$3*X7,0))*H7</f>
        <v>7.4</v>
      </c>
      <c r="AB7" s="743">
        <v>1</v>
      </c>
      <c r="AC7" s="743">
        <f>AB7*AF$3</f>
        <v>1</v>
      </c>
      <c r="AD7" s="743">
        <f>MAX(Y7-AC7,0)</f>
        <v>3</v>
      </c>
      <c r="AE7" s="720">
        <f>AD7*G7</f>
        <v>3</v>
      </c>
      <c r="AF7" s="721">
        <f>AD7*H7</f>
        <v>5.5500000000000007</v>
      </c>
      <c r="AH7" s="282" t="str">
        <f t="shared" si="0"/>
        <v>Fake Flowers
(Apple Blossoms)</v>
      </c>
      <c r="AI7" s="281" t="str">
        <f t="shared" ref="AI7:AJ10" si="2">D7</f>
        <v>yes</v>
      </c>
      <c r="AJ7" s="281" t="str">
        <f t="shared" si="2"/>
        <v>Dollar, craft</v>
      </c>
      <c r="AK7" s="164">
        <f t="shared" ref="AK7:AL10" si="3">I7</f>
        <v>8</v>
      </c>
      <c r="AL7" s="164">
        <f t="shared" si="3"/>
        <v>10</v>
      </c>
      <c r="AM7" s="165">
        <f>G7</f>
        <v>1</v>
      </c>
      <c r="AN7" s="165">
        <f t="shared" ref="AN7:AO11" si="4">O7</f>
        <v>8</v>
      </c>
      <c r="AO7" s="165">
        <f t="shared" si="4"/>
        <v>10</v>
      </c>
      <c r="AP7" s="165">
        <f>H7</f>
        <v>1.85</v>
      </c>
      <c r="AQ7" s="165">
        <f>R7</f>
        <v>14.8</v>
      </c>
      <c r="AR7" s="166">
        <f>S7</f>
        <v>18.5</v>
      </c>
      <c r="AT7" s="378" t="str">
        <f t="shared" si="1"/>
        <v>Fake Flowers
(Apple Blossoms)</v>
      </c>
      <c r="AU7" s="379" t="str">
        <f>F7</f>
        <v xml:space="preserve">The fake flowers that meet this description tend to have small centers, so if you are working with younger children, get daisies or other flowers with larger centers, for easier pollination, and cut off excess petals. Stems are attached to paper towel rolls to make "trees"  </v>
      </c>
    </row>
    <row r="8" spans="1:47" ht="112.5" customHeight="1" x14ac:dyDescent="0.25">
      <c r="A8" s="622" t="s">
        <v>720</v>
      </c>
      <c r="B8" s="436"/>
      <c r="C8" s="436" t="s">
        <v>4</v>
      </c>
      <c r="D8" s="436" t="s">
        <v>66</v>
      </c>
      <c r="E8" s="436" t="s">
        <v>12</v>
      </c>
      <c r="F8" s="436" t="s">
        <v>781</v>
      </c>
      <c r="G8" s="698">
        <v>0</v>
      </c>
      <c r="H8" s="698">
        <v>0.25</v>
      </c>
      <c r="I8" s="734">
        <v>8</v>
      </c>
      <c r="J8" s="735">
        <v>10</v>
      </c>
      <c r="K8" s="736">
        <v>1</v>
      </c>
      <c r="L8" s="736">
        <v>0.25</v>
      </c>
      <c r="M8" s="735">
        <f>ROUNDUP(K8+(L8*L$3),0)</f>
        <v>9</v>
      </c>
      <c r="N8" s="699">
        <f>M8*G8</f>
        <v>0</v>
      </c>
      <c r="O8" s="699">
        <f>I8*G8</f>
        <v>0</v>
      </c>
      <c r="P8" s="699">
        <f>G8*J8</f>
        <v>0</v>
      </c>
      <c r="Q8" s="699">
        <f>H8*M8</f>
        <v>2.25</v>
      </c>
      <c r="R8" s="699">
        <f>H8*I8</f>
        <v>2</v>
      </c>
      <c r="S8" s="700">
        <f>H8*J8</f>
        <v>2.5</v>
      </c>
      <c r="T8" s="732">
        <f t="shared" ref="T8:T10" si="5">IF(D8="yes",0,M8)</f>
        <v>0</v>
      </c>
      <c r="U8" s="694">
        <f t="shared" ref="U8:U10" si="6">T8*G8</f>
        <v>0</v>
      </c>
      <c r="V8" s="694">
        <f t="shared" ref="V8:V10" si="7">T8*H8</f>
        <v>0</v>
      </c>
      <c r="W8" s="744">
        <v>0</v>
      </c>
      <c r="X8" s="744">
        <v>1</v>
      </c>
      <c r="Y8" s="744">
        <f>ROUNDUP(W8+AC$3/Y$3*X8,0)</f>
        <v>4</v>
      </c>
      <c r="Z8" s="701">
        <f>(W8+ROUNDUP(AC$3/Y$3*X8,0))*G8</f>
        <v>0</v>
      </c>
      <c r="AA8" s="702">
        <f>(W8+ROUNDUP(AC$3/Y$3*X8,0))*H8</f>
        <v>1</v>
      </c>
      <c r="AB8" s="744">
        <v>1</v>
      </c>
      <c r="AC8" s="744">
        <f>AB8*AF$3</f>
        <v>1</v>
      </c>
      <c r="AD8" s="744">
        <f t="shared" ref="AD8:AD10" si="8">MAX(Y8-AC8,0)</f>
        <v>3</v>
      </c>
      <c r="AE8" s="722">
        <f>AD8*G8</f>
        <v>0</v>
      </c>
      <c r="AF8" s="723">
        <f>AD8*H8</f>
        <v>0.75</v>
      </c>
      <c r="AH8" s="282" t="str">
        <f t="shared" si="0"/>
        <v>Paper Towel Rolls
(Apple Tree Trunks)</v>
      </c>
      <c r="AI8" s="281" t="str">
        <f t="shared" si="2"/>
        <v>yes</v>
      </c>
      <c r="AJ8" s="281" t="str">
        <f t="shared" si="2"/>
        <v>Home/Students</v>
      </c>
      <c r="AK8" s="164">
        <f t="shared" si="3"/>
        <v>8</v>
      </c>
      <c r="AL8" s="164">
        <f t="shared" si="3"/>
        <v>10</v>
      </c>
      <c r="AM8" s="165">
        <f>G8</f>
        <v>0</v>
      </c>
      <c r="AN8" s="165">
        <f t="shared" si="4"/>
        <v>0</v>
      </c>
      <c r="AO8" s="165">
        <f t="shared" si="4"/>
        <v>0</v>
      </c>
      <c r="AP8" s="165">
        <f>H8</f>
        <v>0.25</v>
      </c>
      <c r="AQ8" s="165">
        <f t="shared" ref="AQ8:AQ11" si="9">R8</f>
        <v>2</v>
      </c>
      <c r="AR8" s="166">
        <f t="shared" ref="AR8:AR11" si="10">S8</f>
        <v>2.5</v>
      </c>
      <c r="AT8" s="376" t="str">
        <f t="shared" si="1"/>
        <v>Paper Towel Rolls
(Apple Tree Trunks)</v>
      </c>
      <c r="AU8" s="380" t="str">
        <f>F8</f>
        <v>Plan for 2 groups of 2 students (4 students) per "tree". A week or two before you do this lesson, ask students to bring in paper towel rolls.  You also might be able to collect these from the school janitor.  Can also make them from sheet of cardstock</v>
      </c>
    </row>
    <row r="9" spans="1:47" ht="74.25" customHeight="1" x14ac:dyDescent="0.25">
      <c r="A9" s="622" t="s">
        <v>721</v>
      </c>
      <c r="B9" s="436" t="s">
        <v>784</v>
      </c>
      <c r="C9" s="436" t="s">
        <v>780</v>
      </c>
      <c r="D9" s="436" t="s">
        <v>212</v>
      </c>
      <c r="E9" s="436" t="s">
        <v>138</v>
      </c>
      <c r="F9" s="1402" t="s">
        <v>783</v>
      </c>
      <c r="G9" s="698">
        <v>1.39</v>
      </c>
      <c r="H9" s="698">
        <v>0.8</v>
      </c>
      <c r="I9" s="734">
        <v>6</v>
      </c>
      <c r="J9" s="735">
        <v>8</v>
      </c>
      <c r="K9" s="736">
        <v>2</v>
      </c>
      <c r="L9" s="736">
        <f t="shared" ref="L9:L10" si="11">(J9-I9)/10</f>
        <v>0.2</v>
      </c>
      <c r="M9" s="735">
        <f>ROUNDUP(K9+(L9*L$3),0)</f>
        <v>8</v>
      </c>
      <c r="N9" s="699">
        <f>M9*G9</f>
        <v>11.12</v>
      </c>
      <c r="O9" s="699">
        <f>I9*G9</f>
        <v>8.34</v>
      </c>
      <c r="P9" s="699">
        <f>G9*J9</f>
        <v>11.12</v>
      </c>
      <c r="Q9" s="699">
        <f>H9*M9</f>
        <v>6.4</v>
      </c>
      <c r="R9" s="699">
        <f>H9*I9</f>
        <v>4.8000000000000007</v>
      </c>
      <c r="S9" s="700">
        <f>H9*J9</f>
        <v>6.4</v>
      </c>
      <c r="T9" s="732">
        <f t="shared" si="5"/>
        <v>8</v>
      </c>
      <c r="U9" s="694">
        <f t="shared" si="6"/>
        <v>11.12</v>
      </c>
      <c r="V9" s="694">
        <f t="shared" si="7"/>
        <v>6.4</v>
      </c>
      <c r="W9" s="744">
        <v>0</v>
      </c>
      <c r="X9" s="744">
        <v>0.5</v>
      </c>
      <c r="Y9" s="744">
        <f>ROUNDUP(W9+AC$3/Y$3*X9,0)</f>
        <v>2</v>
      </c>
      <c r="Z9" s="701">
        <f>(W9+ROUNDUP(AC$3/Y$3*X9,0))*G9</f>
        <v>2.78</v>
      </c>
      <c r="AA9" s="702">
        <f>(W9+ROUNDUP(AC$3/Y$3*X9,0))*H9</f>
        <v>1.6</v>
      </c>
      <c r="AB9" s="744">
        <v>1</v>
      </c>
      <c r="AC9" s="744">
        <f>AB9*AF$3</f>
        <v>1</v>
      </c>
      <c r="AD9" s="744">
        <f t="shared" si="8"/>
        <v>1</v>
      </c>
      <c r="AE9" s="722">
        <f>AD9*G9</f>
        <v>1.39</v>
      </c>
      <c r="AF9" s="723">
        <f>AD9*H9</f>
        <v>0.8</v>
      </c>
      <c r="AH9" s="282" t="str">
        <f t="shared" si="0"/>
        <v>Glitter
(Pollen)</v>
      </c>
      <c r="AI9" s="281" t="str">
        <f t="shared" si="2"/>
        <v>no</v>
      </c>
      <c r="AJ9" s="281" t="str">
        <f t="shared" si="2"/>
        <v>Craft, Dollar, variety</v>
      </c>
      <c r="AK9" s="164">
        <f t="shared" si="3"/>
        <v>6</v>
      </c>
      <c r="AL9" s="164">
        <f t="shared" si="3"/>
        <v>8</v>
      </c>
      <c r="AM9" s="165">
        <f>G9</f>
        <v>1.39</v>
      </c>
      <c r="AN9" s="165">
        <f t="shared" si="4"/>
        <v>8.34</v>
      </c>
      <c r="AO9" s="165">
        <f t="shared" si="4"/>
        <v>11.12</v>
      </c>
      <c r="AP9" s="165">
        <f>H9</f>
        <v>0.8</v>
      </c>
      <c r="AQ9" s="165">
        <f t="shared" si="9"/>
        <v>4.8000000000000007</v>
      </c>
      <c r="AR9" s="166">
        <f t="shared" si="10"/>
        <v>6.4</v>
      </c>
      <c r="AT9" s="376" t="str">
        <f t="shared" si="1"/>
        <v>Glitter
(Pollen)</v>
      </c>
      <c r="AU9" s="380">
        <f>B8</f>
        <v>0</v>
      </c>
    </row>
    <row r="10" spans="1:47" ht="38.25" x14ac:dyDescent="0.25">
      <c r="A10" s="630" t="s">
        <v>722</v>
      </c>
      <c r="B10" s="631" t="s">
        <v>550</v>
      </c>
      <c r="C10" s="1403" t="s">
        <v>779</v>
      </c>
      <c r="D10" s="568" t="s">
        <v>66</v>
      </c>
      <c r="E10" s="568" t="s">
        <v>139</v>
      </c>
      <c r="F10" s="1402" t="s">
        <v>782</v>
      </c>
      <c r="G10" s="703">
        <v>4</v>
      </c>
      <c r="H10" s="703">
        <v>4.79</v>
      </c>
      <c r="I10" s="737">
        <v>1</v>
      </c>
      <c r="J10" s="738">
        <v>1</v>
      </c>
      <c r="K10" s="739">
        <f t="shared" ref="K10" si="12">I10-L10*30</f>
        <v>1</v>
      </c>
      <c r="L10" s="739">
        <f t="shared" si="11"/>
        <v>0</v>
      </c>
      <c r="M10" s="738">
        <f>ROUNDUP(K10+(L10*L$3),0)</f>
        <v>1</v>
      </c>
      <c r="N10" s="704">
        <f>M13*G10</f>
        <v>4</v>
      </c>
      <c r="O10" s="704">
        <f>I10*G10</f>
        <v>4</v>
      </c>
      <c r="P10" s="704">
        <f>G10*J10</f>
        <v>4</v>
      </c>
      <c r="Q10" s="704">
        <f>H10*M13</f>
        <v>4.79</v>
      </c>
      <c r="R10" s="704">
        <f>H10*I10</f>
        <v>4.79</v>
      </c>
      <c r="S10" s="705">
        <f>H10*J10</f>
        <v>4.79</v>
      </c>
      <c r="T10" s="732">
        <f t="shared" si="5"/>
        <v>0</v>
      </c>
      <c r="U10" s="694">
        <f t="shared" si="6"/>
        <v>0</v>
      </c>
      <c r="V10" s="694">
        <f t="shared" si="7"/>
        <v>0</v>
      </c>
      <c r="W10" s="745">
        <v>1</v>
      </c>
      <c r="X10" s="745">
        <v>0</v>
      </c>
      <c r="Y10" s="745">
        <f>ROUNDUP(W10+AC$3/Y$3*X10,0)</f>
        <v>1</v>
      </c>
      <c r="Z10" s="706">
        <f>(W10+ROUNDUP(AC$3/Y$3*X10,0))*G10</f>
        <v>4</v>
      </c>
      <c r="AA10" s="707">
        <f>(W10+ROUNDUP(AC$3/Y$3*X10,0))*H10</f>
        <v>4.79</v>
      </c>
      <c r="AB10" s="745">
        <v>1</v>
      </c>
      <c r="AC10" s="745">
        <f>AB10*AF$3</f>
        <v>1</v>
      </c>
      <c r="AD10" s="745">
        <f t="shared" si="8"/>
        <v>0</v>
      </c>
      <c r="AE10" s="724">
        <f>AD10*G10</f>
        <v>0</v>
      </c>
      <c r="AF10" s="725">
        <f>AD10*H10</f>
        <v>0</v>
      </c>
      <c r="AH10" s="282" t="str">
        <f t="shared" si="0"/>
        <v>Dixie Cups, 3 oz.
(Pistils)</v>
      </c>
      <c r="AI10" s="281" t="str">
        <f t="shared" si="2"/>
        <v>yes</v>
      </c>
      <c r="AJ10" s="281" t="str">
        <f t="shared" si="2"/>
        <v>Grocery, drug, variety</v>
      </c>
      <c r="AK10" s="164">
        <f t="shared" si="3"/>
        <v>1</v>
      </c>
      <c r="AL10" s="164">
        <f t="shared" si="3"/>
        <v>1</v>
      </c>
      <c r="AM10" s="165">
        <f>G10</f>
        <v>4</v>
      </c>
      <c r="AN10" s="165">
        <f t="shared" si="4"/>
        <v>4</v>
      </c>
      <c r="AO10" s="165">
        <f t="shared" si="4"/>
        <v>4</v>
      </c>
      <c r="AP10" s="165">
        <f>H10</f>
        <v>4.79</v>
      </c>
      <c r="AQ10" s="165">
        <f t="shared" si="9"/>
        <v>4.79</v>
      </c>
      <c r="AR10" s="166">
        <f t="shared" si="10"/>
        <v>4.79</v>
      </c>
      <c r="AT10" s="1630" t="str">
        <f t="shared" si="1"/>
        <v>Dixie Cups, 3 oz.
(Pistils)</v>
      </c>
      <c r="AU10" s="1632" t="str">
        <f>F9</f>
        <v xml:space="preserve">Buy at least two different colors so that pairs sharing a tree can distinguish "their" pollen  </v>
      </c>
    </row>
    <row r="11" spans="1:47" ht="20.100000000000001" customHeight="1" thickBot="1" x14ac:dyDescent="0.3">
      <c r="A11" s="667" t="s">
        <v>105</v>
      </c>
      <c r="B11" s="668"/>
      <c r="C11" s="669"/>
      <c r="D11" s="669"/>
      <c r="E11" s="669"/>
      <c r="F11" s="669"/>
      <c r="G11" s="1208"/>
      <c r="H11" s="1209"/>
      <c r="I11" s="740"/>
      <c r="J11" s="740"/>
      <c r="K11" s="740"/>
      <c r="L11" s="740"/>
      <c r="M11" s="740"/>
      <c r="N11" s="708">
        <f t="shared" ref="N11:S11" si="13">SUM(N7:N10)</f>
        <v>24.119999999999997</v>
      </c>
      <c r="O11" s="708">
        <f t="shared" si="13"/>
        <v>20.34</v>
      </c>
      <c r="P11" s="708">
        <f t="shared" si="13"/>
        <v>25.119999999999997</v>
      </c>
      <c r="Q11" s="708">
        <f t="shared" si="13"/>
        <v>30.090000000000003</v>
      </c>
      <c r="R11" s="708">
        <f t="shared" si="13"/>
        <v>26.39</v>
      </c>
      <c r="S11" s="708">
        <f t="shared" si="13"/>
        <v>32.19</v>
      </c>
      <c r="T11" s="708"/>
      <c r="U11" s="708"/>
      <c r="V11" s="708"/>
      <c r="W11" s="746"/>
      <c r="X11" s="747"/>
      <c r="Y11" s="747"/>
      <c r="Z11" s="709">
        <f>SUM(Z7:Z10)</f>
        <v>10.78</v>
      </c>
      <c r="AA11" s="709">
        <f>SUM(AA7:AA10)</f>
        <v>14.79</v>
      </c>
      <c r="AB11" s="747"/>
      <c r="AC11" s="747"/>
      <c r="AD11" s="747"/>
      <c r="AE11" s="709">
        <f>SUM(AE7:AE10)</f>
        <v>4.3899999999999997</v>
      </c>
      <c r="AF11" s="710">
        <f>SUM(AF7:AF10)</f>
        <v>7.1000000000000005</v>
      </c>
      <c r="AH11" s="167" t="str">
        <f t="shared" si="0"/>
        <v>Subtotal</v>
      </c>
      <c r="AI11" s="168"/>
      <c r="AJ11" s="168"/>
      <c r="AK11" s="169"/>
      <c r="AL11" s="169"/>
      <c r="AM11" s="170"/>
      <c r="AN11" s="171">
        <f t="shared" si="4"/>
        <v>20.34</v>
      </c>
      <c r="AO11" s="171">
        <f t="shared" si="4"/>
        <v>25.119999999999997</v>
      </c>
      <c r="AP11" s="170"/>
      <c r="AQ11" s="171">
        <f t="shared" si="9"/>
        <v>26.39</v>
      </c>
      <c r="AR11" s="172">
        <f t="shared" si="10"/>
        <v>32.19</v>
      </c>
      <c r="AT11" s="1631"/>
      <c r="AU11" s="1633"/>
    </row>
    <row r="12" spans="1:47" ht="30" customHeight="1" thickBot="1" x14ac:dyDescent="0.3">
      <c r="A12" s="682" t="s">
        <v>551</v>
      </c>
      <c r="B12" s="683"/>
      <c r="C12" s="671"/>
      <c r="D12" s="671"/>
      <c r="E12" s="671"/>
      <c r="F12" s="671"/>
      <c r="G12" s="1210"/>
      <c r="H12" s="1210"/>
      <c r="I12" s="741"/>
      <c r="J12" s="741"/>
      <c r="K12" s="741"/>
      <c r="L12" s="741"/>
      <c r="M12" s="741"/>
      <c r="N12" s="712"/>
      <c r="O12" s="712"/>
      <c r="P12" s="712"/>
      <c r="Q12" s="712"/>
      <c r="R12" s="712"/>
      <c r="S12" s="712"/>
      <c r="T12" s="712"/>
      <c r="U12" s="712"/>
      <c r="V12" s="712"/>
      <c r="W12" s="748"/>
      <c r="X12" s="749"/>
      <c r="Y12" s="749"/>
      <c r="Z12" s="713"/>
      <c r="AA12" s="713"/>
      <c r="AB12" s="754"/>
      <c r="AC12" s="754"/>
      <c r="AD12" s="754"/>
      <c r="AE12" s="726"/>
      <c r="AF12" s="727"/>
      <c r="AH12" s="1625" t="str">
        <f t="shared" si="0"/>
        <v>*Pollentaor Materials (Purchase about 3/4 of the below items to give students a variety of pollenator choices)</v>
      </c>
      <c r="AI12" s="1626"/>
      <c r="AJ12" s="1626"/>
      <c r="AK12" s="1626"/>
      <c r="AL12" s="1626"/>
      <c r="AM12" s="1626"/>
      <c r="AN12" s="1626"/>
      <c r="AO12" s="1626"/>
      <c r="AP12" s="1626"/>
      <c r="AQ12" s="1626"/>
      <c r="AR12" s="1627"/>
      <c r="AT12" s="1628" t="str">
        <f t="shared" ref="AT12:AT22" si="14">A12</f>
        <v>*Pollentaor Materials (Purchase about 3/4 of the below items to give students a variety of pollenator choices)</v>
      </c>
      <c r="AU12" s="1629"/>
    </row>
    <row r="13" spans="1:47" ht="72.75" customHeight="1" x14ac:dyDescent="0.25">
      <c r="A13" s="632" t="s">
        <v>552</v>
      </c>
      <c r="B13" s="466" t="s">
        <v>553</v>
      </c>
      <c r="C13" s="1398" t="s">
        <v>772</v>
      </c>
      <c r="D13" s="1385" t="s">
        <v>66</v>
      </c>
      <c r="E13" s="521" t="s">
        <v>140</v>
      </c>
      <c r="F13" s="521" t="s">
        <v>206</v>
      </c>
      <c r="G13" s="711">
        <v>1</v>
      </c>
      <c r="H13" s="711">
        <v>3.25</v>
      </c>
      <c r="I13" s="732">
        <v>1</v>
      </c>
      <c r="J13" s="732">
        <v>1</v>
      </c>
      <c r="K13" s="733">
        <v>0</v>
      </c>
      <c r="L13" s="733">
        <v>2</v>
      </c>
      <c r="M13" s="732">
        <f>ROUNDUP(K10+(L10*L$3),0)</f>
        <v>1</v>
      </c>
      <c r="N13" s="694">
        <f t="shared" ref="N13:N22" si="15">M13*G13</f>
        <v>1</v>
      </c>
      <c r="O13" s="704">
        <f t="shared" ref="O13:O22" si="16">I13*G13</f>
        <v>1</v>
      </c>
      <c r="P13" s="704">
        <f t="shared" ref="P13:P22" si="17">G13*J13</f>
        <v>1</v>
      </c>
      <c r="Q13" s="694">
        <f t="shared" ref="Q13:Q22" si="18">H13*M13</f>
        <v>3.25</v>
      </c>
      <c r="R13" s="694">
        <f t="shared" ref="R13:R22" si="19">H13*I13</f>
        <v>3.25</v>
      </c>
      <c r="S13" s="695">
        <f t="shared" ref="S13:S22" si="20">H13*J13</f>
        <v>3.25</v>
      </c>
      <c r="T13" s="732">
        <f t="shared" ref="T13" si="21">IF(D13="yes",0,M13)</f>
        <v>0</v>
      </c>
      <c r="U13" s="694">
        <f t="shared" ref="U13" si="22">T13*G13</f>
        <v>0</v>
      </c>
      <c r="V13" s="694">
        <f t="shared" ref="V13" si="23">T13*H13</f>
        <v>0</v>
      </c>
      <c r="W13" s="743">
        <v>1</v>
      </c>
      <c r="X13" s="743">
        <v>0</v>
      </c>
      <c r="Y13" s="743">
        <f t="shared" ref="Y13:Y22" si="24">ROUNDUP(W13+AC$3/Y$3*X13,0)</f>
        <v>1</v>
      </c>
      <c r="Z13" s="696">
        <f t="shared" ref="Z13:Z22" si="25">(W13+ROUNDUP(AC$3/Y$3*X13,0))*G13</f>
        <v>1</v>
      </c>
      <c r="AA13" s="697">
        <f t="shared" ref="AA13:AA22" si="26">(W13+ROUNDUP(AC$3/Y$3*X13,0))*H13</f>
        <v>3.25</v>
      </c>
      <c r="AB13" s="743">
        <v>1</v>
      </c>
      <c r="AC13" s="743">
        <f t="shared" ref="AC13:AC22" si="27">AB13*AF$3</f>
        <v>1</v>
      </c>
      <c r="AD13" s="743">
        <f t="shared" ref="AD13:AD22" si="28">MAX(Y13-AC13,0)</f>
        <v>0</v>
      </c>
      <c r="AE13" s="720">
        <f t="shared" ref="AE13:AE22" si="29">AD13*G13</f>
        <v>0</v>
      </c>
      <c r="AF13" s="721">
        <f t="shared" ref="AF13:AF22" si="30">AD13*H13</f>
        <v>0</v>
      </c>
      <c r="AH13" s="283" t="str">
        <f t="shared" si="0"/>
        <v>*Pom Poms</v>
      </c>
      <c r="AI13" s="275" t="str">
        <f t="shared" ref="AI13:AI22" si="31">D13</f>
        <v>yes</v>
      </c>
      <c r="AJ13" s="275" t="str">
        <f t="shared" ref="AJ13:AJ22" si="32">E13</f>
        <v>Craft, Dollar</v>
      </c>
      <c r="AK13" s="174">
        <f t="shared" ref="AK13:AK22" si="33">I13</f>
        <v>1</v>
      </c>
      <c r="AL13" s="174">
        <f t="shared" ref="AL13:AL22" si="34">J13</f>
        <v>1</v>
      </c>
      <c r="AM13" s="175">
        <f t="shared" ref="AM13:AM22" si="35">G13</f>
        <v>1</v>
      </c>
      <c r="AN13" s="176">
        <f t="shared" ref="AN13:AN22" si="36">O13</f>
        <v>1</v>
      </c>
      <c r="AO13" s="176">
        <f t="shared" ref="AO13:AO22" si="37">P13</f>
        <v>1</v>
      </c>
      <c r="AP13" s="177">
        <f t="shared" ref="AP13:AP22" si="38">H13</f>
        <v>3.25</v>
      </c>
      <c r="AQ13" s="176">
        <f t="shared" ref="AQ13:AQ28" si="39">R13</f>
        <v>3.25</v>
      </c>
      <c r="AR13" s="178">
        <f t="shared" ref="AR13:AR28" si="40">S13</f>
        <v>3.25</v>
      </c>
      <c r="AT13" s="378" t="str">
        <f t="shared" si="14"/>
        <v>*Pom Poms</v>
      </c>
      <c r="AU13" s="379" t="str">
        <f t="shared" ref="AU13:AU22" si="41">F13</f>
        <v xml:space="preserve"> Michaels has a large variety of pompoms in different sizes and materials.  The Dollar Store only offers one type, but you get more per package.  Www.flowerfactory.com packages have 300.</v>
      </c>
    </row>
    <row r="14" spans="1:47" ht="27" customHeight="1" x14ac:dyDescent="0.25">
      <c r="A14" s="623" t="s">
        <v>148</v>
      </c>
      <c r="B14" s="625" t="s">
        <v>561</v>
      </c>
      <c r="C14" s="1395" t="s">
        <v>769</v>
      </c>
      <c r="D14" s="571" t="s">
        <v>66</v>
      </c>
      <c r="E14" s="437" t="s">
        <v>141</v>
      </c>
      <c r="F14" s="1396" t="s">
        <v>770</v>
      </c>
      <c r="G14" s="698">
        <v>2</v>
      </c>
      <c r="H14" s="698">
        <v>6</v>
      </c>
      <c r="I14" s="735">
        <v>1</v>
      </c>
      <c r="J14" s="735">
        <v>2</v>
      </c>
      <c r="K14" s="736">
        <f t="shared" ref="K14" si="42">I14-L14*30</f>
        <v>-2</v>
      </c>
      <c r="L14" s="736">
        <f t="shared" ref="L14" si="43">(J14-I14)/10</f>
        <v>0.1</v>
      </c>
      <c r="M14" s="735">
        <f t="shared" ref="M14:M22" si="44">ROUNDUP(K14+(L$3*L14),0)</f>
        <v>1</v>
      </c>
      <c r="N14" s="699">
        <f t="shared" si="15"/>
        <v>2</v>
      </c>
      <c r="O14" s="704">
        <f t="shared" si="16"/>
        <v>2</v>
      </c>
      <c r="P14" s="704">
        <f t="shared" si="17"/>
        <v>4</v>
      </c>
      <c r="Q14" s="699">
        <f t="shared" si="18"/>
        <v>6</v>
      </c>
      <c r="R14" s="699">
        <f t="shared" si="19"/>
        <v>6</v>
      </c>
      <c r="S14" s="700">
        <f t="shared" si="20"/>
        <v>12</v>
      </c>
      <c r="T14" s="732">
        <f t="shared" ref="T14:T22" si="45">IF(D14="yes",0,M14)</f>
        <v>0</v>
      </c>
      <c r="U14" s="694">
        <f t="shared" ref="U14:U22" si="46">T14*G14</f>
        <v>0</v>
      </c>
      <c r="V14" s="694">
        <f t="shared" ref="V14:V22" si="47">T14*H14</f>
        <v>0</v>
      </c>
      <c r="W14" s="744">
        <v>1</v>
      </c>
      <c r="X14" s="744">
        <v>0</v>
      </c>
      <c r="Y14" s="744">
        <f t="shared" si="24"/>
        <v>1</v>
      </c>
      <c r="Z14" s="701">
        <f t="shared" si="25"/>
        <v>2</v>
      </c>
      <c r="AA14" s="702">
        <f t="shared" si="26"/>
        <v>6</v>
      </c>
      <c r="AB14" s="744">
        <v>1</v>
      </c>
      <c r="AC14" s="744">
        <f t="shared" si="27"/>
        <v>1</v>
      </c>
      <c r="AD14" s="744">
        <f t="shared" si="28"/>
        <v>0</v>
      </c>
      <c r="AE14" s="722">
        <f t="shared" si="29"/>
        <v>0</v>
      </c>
      <c r="AF14" s="723">
        <f t="shared" si="30"/>
        <v>0</v>
      </c>
      <c r="AH14" s="285" t="str">
        <f t="shared" si="0"/>
        <v xml:space="preserve">*Eraser Caps </v>
      </c>
      <c r="AI14" s="286" t="str">
        <f t="shared" si="31"/>
        <v>yes</v>
      </c>
      <c r="AJ14" s="281" t="str">
        <f t="shared" si="32"/>
        <v>Dollar, Office</v>
      </c>
      <c r="AK14" s="164">
        <f t="shared" si="33"/>
        <v>1</v>
      </c>
      <c r="AL14" s="164">
        <f t="shared" si="34"/>
        <v>2</v>
      </c>
      <c r="AM14" s="165">
        <f t="shared" si="35"/>
        <v>2</v>
      </c>
      <c r="AN14" s="176">
        <f t="shared" si="36"/>
        <v>2</v>
      </c>
      <c r="AO14" s="176">
        <f t="shared" si="37"/>
        <v>4</v>
      </c>
      <c r="AP14" s="165">
        <f t="shared" si="38"/>
        <v>6</v>
      </c>
      <c r="AQ14" s="176">
        <f t="shared" si="39"/>
        <v>6</v>
      </c>
      <c r="AR14" s="178">
        <f t="shared" si="40"/>
        <v>12</v>
      </c>
      <c r="AT14" s="376" t="str">
        <f t="shared" si="14"/>
        <v xml:space="preserve">*Eraser Caps </v>
      </c>
      <c r="AU14" s="380" t="str">
        <f t="shared" si="41"/>
        <v>www.officedepot.com</v>
      </c>
    </row>
    <row r="15" spans="1:47" ht="89.25" x14ac:dyDescent="0.25">
      <c r="A15" s="623" t="s">
        <v>554</v>
      </c>
      <c r="B15" s="625" t="s">
        <v>555</v>
      </c>
      <c r="C15" s="1395" t="s">
        <v>771</v>
      </c>
      <c r="D15" s="571" t="s">
        <v>212</v>
      </c>
      <c r="E15" s="437" t="s">
        <v>146</v>
      </c>
      <c r="F15" s="437" t="s">
        <v>785</v>
      </c>
      <c r="G15" s="698">
        <v>2</v>
      </c>
      <c r="H15" s="698">
        <v>1.75</v>
      </c>
      <c r="I15" s="735">
        <v>1</v>
      </c>
      <c r="J15" s="735">
        <v>1</v>
      </c>
      <c r="K15" s="736">
        <v>0</v>
      </c>
      <c r="L15" s="1227">
        <v>0.03</v>
      </c>
      <c r="M15" s="735">
        <f t="shared" si="44"/>
        <v>1</v>
      </c>
      <c r="N15" s="699">
        <f t="shared" si="15"/>
        <v>2</v>
      </c>
      <c r="O15" s="704">
        <f t="shared" si="16"/>
        <v>2</v>
      </c>
      <c r="P15" s="704">
        <f t="shared" si="17"/>
        <v>2</v>
      </c>
      <c r="Q15" s="699">
        <f t="shared" si="18"/>
        <v>1.75</v>
      </c>
      <c r="R15" s="699">
        <f t="shared" si="19"/>
        <v>1.75</v>
      </c>
      <c r="S15" s="700">
        <f t="shared" si="20"/>
        <v>1.75</v>
      </c>
      <c r="T15" s="732">
        <f t="shared" si="45"/>
        <v>1</v>
      </c>
      <c r="U15" s="694">
        <f t="shared" si="46"/>
        <v>2</v>
      </c>
      <c r="V15" s="694">
        <f t="shared" si="47"/>
        <v>1.75</v>
      </c>
      <c r="W15" s="744">
        <v>1</v>
      </c>
      <c r="X15" s="744">
        <v>0</v>
      </c>
      <c r="Y15" s="744">
        <f t="shared" si="24"/>
        <v>1</v>
      </c>
      <c r="Z15" s="701">
        <f t="shared" si="25"/>
        <v>2</v>
      </c>
      <c r="AA15" s="702">
        <f t="shared" si="26"/>
        <v>1.75</v>
      </c>
      <c r="AB15" s="744">
        <v>1</v>
      </c>
      <c r="AC15" s="744">
        <f t="shared" si="27"/>
        <v>1</v>
      </c>
      <c r="AD15" s="744">
        <f t="shared" si="28"/>
        <v>0</v>
      </c>
      <c r="AE15" s="722">
        <f t="shared" si="29"/>
        <v>0</v>
      </c>
      <c r="AF15" s="723">
        <f t="shared" si="30"/>
        <v>0</v>
      </c>
      <c r="AH15" s="285" t="str">
        <f t="shared" si="0"/>
        <v>*Wooden Craft Sticks</v>
      </c>
      <c r="AI15" s="286" t="str">
        <f t="shared" si="31"/>
        <v>no</v>
      </c>
      <c r="AJ15" s="281" t="str">
        <f t="shared" si="32"/>
        <v>Craft</v>
      </c>
      <c r="AK15" s="164">
        <f t="shared" si="33"/>
        <v>1</v>
      </c>
      <c r="AL15" s="164">
        <f t="shared" si="34"/>
        <v>1</v>
      </c>
      <c r="AM15" s="165">
        <f t="shared" si="35"/>
        <v>2</v>
      </c>
      <c r="AN15" s="165">
        <f t="shared" si="36"/>
        <v>2</v>
      </c>
      <c r="AO15" s="165">
        <f t="shared" si="37"/>
        <v>2</v>
      </c>
      <c r="AP15" s="165">
        <f t="shared" si="38"/>
        <v>1.75</v>
      </c>
      <c r="AQ15" s="165">
        <f t="shared" si="39"/>
        <v>1.75</v>
      </c>
      <c r="AR15" s="166">
        <f t="shared" si="40"/>
        <v>1.75</v>
      </c>
      <c r="AT15" s="376" t="str">
        <f t="shared" si="14"/>
        <v>*Wooden Craft Sticks</v>
      </c>
      <c r="AU15" s="380" t="str">
        <f t="shared" si="41"/>
        <v xml:space="preserve"> Online has various options, 75-150 count; www.flowerfactory.com; various sizes including coffee stirrers, tongue depressors, spoons could all work. Michaels has a “Woodsies” value set that contains 10 different kinds of wood sticks and spoons, 750 pcs total.</v>
      </c>
    </row>
    <row r="16" spans="1:47" ht="51" x14ac:dyDescent="0.25">
      <c r="A16" s="623" t="s">
        <v>149</v>
      </c>
      <c r="B16" s="1384" t="s">
        <v>767</v>
      </c>
      <c r="C16" s="1395" t="s">
        <v>772</v>
      </c>
      <c r="D16" s="1379" t="s">
        <v>212</v>
      </c>
      <c r="E16" s="437" t="s">
        <v>142</v>
      </c>
      <c r="F16" s="437" t="s">
        <v>145</v>
      </c>
      <c r="G16" s="698">
        <v>1</v>
      </c>
      <c r="H16" s="698">
        <v>2</v>
      </c>
      <c r="I16" s="735">
        <v>1</v>
      </c>
      <c r="J16" s="735">
        <v>1</v>
      </c>
      <c r="K16" s="736">
        <v>0</v>
      </c>
      <c r="L16" s="1227">
        <v>0.03</v>
      </c>
      <c r="M16" s="735">
        <f t="shared" si="44"/>
        <v>1</v>
      </c>
      <c r="N16" s="699">
        <f t="shared" si="15"/>
        <v>1</v>
      </c>
      <c r="O16" s="704">
        <f t="shared" si="16"/>
        <v>1</v>
      </c>
      <c r="P16" s="704">
        <f t="shared" si="17"/>
        <v>1</v>
      </c>
      <c r="Q16" s="699">
        <f t="shared" si="18"/>
        <v>2</v>
      </c>
      <c r="R16" s="699">
        <f t="shared" si="19"/>
        <v>2</v>
      </c>
      <c r="S16" s="700">
        <f t="shared" si="20"/>
        <v>2</v>
      </c>
      <c r="T16" s="732">
        <f t="shared" si="45"/>
        <v>1</v>
      </c>
      <c r="U16" s="694">
        <f t="shared" si="46"/>
        <v>1</v>
      </c>
      <c r="V16" s="694">
        <f t="shared" si="47"/>
        <v>2</v>
      </c>
      <c r="W16" s="744">
        <v>1</v>
      </c>
      <c r="X16" s="744">
        <v>0</v>
      </c>
      <c r="Y16" s="744">
        <f t="shared" si="24"/>
        <v>1</v>
      </c>
      <c r="Z16" s="701">
        <f t="shared" si="25"/>
        <v>1</v>
      </c>
      <c r="AA16" s="702">
        <f t="shared" si="26"/>
        <v>2</v>
      </c>
      <c r="AB16" s="744">
        <v>1</v>
      </c>
      <c r="AC16" s="744">
        <f t="shared" si="27"/>
        <v>1</v>
      </c>
      <c r="AD16" s="744">
        <f t="shared" si="28"/>
        <v>0</v>
      </c>
      <c r="AE16" s="722">
        <f t="shared" si="29"/>
        <v>0</v>
      </c>
      <c r="AF16" s="723">
        <f t="shared" si="30"/>
        <v>0</v>
      </c>
      <c r="AH16" s="282" t="str">
        <f t="shared" si="0"/>
        <v>*Flexible Straws</v>
      </c>
      <c r="AI16" s="281" t="str">
        <f t="shared" si="31"/>
        <v>no</v>
      </c>
      <c r="AJ16" s="281" t="str">
        <f t="shared" si="32"/>
        <v>Dollar, craft, variety, grocery</v>
      </c>
      <c r="AK16" s="164">
        <f t="shared" si="33"/>
        <v>1</v>
      </c>
      <c r="AL16" s="164">
        <f t="shared" si="34"/>
        <v>1</v>
      </c>
      <c r="AM16" s="165">
        <f t="shared" si="35"/>
        <v>1</v>
      </c>
      <c r="AN16" s="165">
        <f t="shared" si="36"/>
        <v>1</v>
      </c>
      <c r="AO16" s="165">
        <f t="shared" si="37"/>
        <v>1</v>
      </c>
      <c r="AP16" s="165">
        <f t="shared" si="38"/>
        <v>2</v>
      </c>
      <c r="AQ16" s="165">
        <f t="shared" si="39"/>
        <v>2</v>
      </c>
      <c r="AR16" s="166">
        <f t="shared" si="40"/>
        <v>2</v>
      </c>
      <c r="AT16" s="376" t="str">
        <f t="shared" si="14"/>
        <v>*Flexible Straws</v>
      </c>
      <c r="AU16" s="380" t="str">
        <f t="shared" si="41"/>
        <v>online www.flowerfactory.com</v>
      </c>
    </row>
    <row r="17" spans="1:47" ht="47.25" x14ac:dyDescent="0.25">
      <c r="A17" s="623" t="s">
        <v>556</v>
      </c>
      <c r="B17" s="625" t="s">
        <v>557</v>
      </c>
      <c r="C17" s="1395" t="s">
        <v>773</v>
      </c>
      <c r="D17" s="571" t="s">
        <v>212</v>
      </c>
      <c r="E17" s="437" t="s">
        <v>144</v>
      </c>
      <c r="F17" s="437" t="s">
        <v>145</v>
      </c>
      <c r="G17" s="698">
        <v>1</v>
      </c>
      <c r="H17" s="698">
        <v>1</v>
      </c>
      <c r="I17" s="735">
        <v>1</v>
      </c>
      <c r="J17" s="735">
        <v>1</v>
      </c>
      <c r="K17" s="736">
        <v>0</v>
      </c>
      <c r="L17" s="1227">
        <v>0.03</v>
      </c>
      <c r="M17" s="735">
        <f t="shared" si="44"/>
        <v>1</v>
      </c>
      <c r="N17" s="699">
        <f t="shared" si="15"/>
        <v>1</v>
      </c>
      <c r="O17" s="704">
        <f t="shared" si="16"/>
        <v>1</v>
      </c>
      <c r="P17" s="704">
        <f t="shared" si="17"/>
        <v>1</v>
      </c>
      <c r="Q17" s="699">
        <f t="shared" si="18"/>
        <v>1</v>
      </c>
      <c r="R17" s="699">
        <f t="shared" si="19"/>
        <v>1</v>
      </c>
      <c r="S17" s="700">
        <f t="shared" si="20"/>
        <v>1</v>
      </c>
      <c r="T17" s="732">
        <f t="shared" si="45"/>
        <v>1</v>
      </c>
      <c r="U17" s="694">
        <f t="shared" si="46"/>
        <v>1</v>
      </c>
      <c r="V17" s="694">
        <f t="shared" si="47"/>
        <v>1</v>
      </c>
      <c r="W17" s="744">
        <v>1</v>
      </c>
      <c r="X17" s="744">
        <v>0</v>
      </c>
      <c r="Y17" s="744">
        <f t="shared" si="24"/>
        <v>1</v>
      </c>
      <c r="Z17" s="701">
        <f t="shared" si="25"/>
        <v>1</v>
      </c>
      <c r="AA17" s="702">
        <f t="shared" si="26"/>
        <v>1</v>
      </c>
      <c r="AB17" s="744"/>
      <c r="AC17" s="744">
        <f t="shared" si="27"/>
        <v>0</v>
      </c>
      <c r="AD17" s="744">
        <f t="shared" si="28"/>
        <v>1</v>
      </c>
      <c r="AE17" s="722">
        <f t="shared" si="29"/>
        <v>1</v>
      </c>
      <c r="AF17" s="723">
        <f t="shared" si="30"/>
        <v>1</v>
      </c>
      <c r="AH17" s="285" t="str">
        <f t="shared" si="0"/>
        <v>*Coffee Stirrer Straws</v>
      </c>
      <c r="AI17" s="286" t="str">
        <f t="shared" si="31"/>
        <v>no</v>
      </c>
      <c r="AJ17" s="281" t="str">
        <f t="shared" si="32"/>
        <v>Dollar, grocery, variety</v>
      </c>
      <c r="AK17" s="164">
        <f t="shared" si="33"/>
        <v>1</v>
      </c>
      <c r="AL17" s="164">
        <f t="shared" si="34"/>
        <v>1</v>
      </c>
      <c r="AM17" s="165">
        <f t="shared" si="35"/>
        <v>1</v>
      </c>
      <c r="AN17" s="165">
        <f t="shared" si="36"/>
        <v>1</v>
      </c>
      <c r="AO17" s="165">
        <f t="shared" si="37"/>
        <v>1</v>
      </c>
      <c r="AP17" s="165">
        <f t="shared" si="38"/>
        <v>1</v>
      </c>
      <c r="AQ17" s="165">
        <f t="shared" si="39"/>
        <v>1</v>
      </c>
      <c r="AR17" s="166">
        <f t="shared" si="40"/>
        <v>1</v>
      </c>
      <c r="AT17" s="376" t="str">
        <f t="shared" si="14"/>
        <v>*Coffee Stirrer Straws</v>
      </c>
      <c r="AU17" s="380" t="str">
        <f t="shared" si="41"/>
        <v>online www.flowerfactory.com</v>
      </c>
    </row>
    <row r="18" spans="1:47" ht="38.25" customHeight="1" x14ac:dyDescent="0.25">
      <c r="A18" s="623" t="s">
        <v>723</v>
      </c>
      <c r="B18" s="625" t="s">
        <v>558</v>
      </c>
      <c r="C18" s="1399" t="s">
        <v>774</v>
      </c>
      <c r="D18" s="441" t="s">
        <v>212</v>
      </c>
      <c r="E18" s="437" t="s">
        <v>140</v>
      </c>
      <c r="F18" s="437" t="s">
        <v>577</v>
      </c>
      <c r="G18" s="698">
        <v>1</v>
      </c>
      <c r="H18" s="698">
        <v>1.5</v>
      </c>
      <c r="I18" s="735">
        <v>1</v>
      </c>
      <c r="J18" s="735">
        <v>1</v>
      </c>
      <c r="K18" s="736">
        <v>0</v>
      </c>
      <c r="L18" s="1227">
        <v>0.03</v>
      </c>
      <c r="M18" s="735">
        <f t="shared" si="44"/>
        <v>1</v>
      </c>
      <c r="N18" s="699">
        <f t="shared" si="15"/>
        <v>1</v>
      </c>
      <c r="O18" s="704">
        <f t="shared" si="16"/>
        <v>1</v>
      </c>
      <c r="P18" s="704">
        <f t="shared" si="17"/>
        <v>1</v>
      </c>
      <c r="Q18" s="699">
        <f t="shared" si="18"/>
        <v>1.5</v>
      </c>
      <c r="R18" s="699">
        <f t="shared" si="19"/>
        <v>1.5</v>
      </c>
      <c r="S18" s="700">
        <f t="shared" si="20"/>
        <v>1.5</v>
      </c>
      <c r="T18" s="732">
        <f t="shared" si="45"/>
        <v>1</v>
      </c>
      <c r="U18" s="694">
        <f t="shared" si="46"/>
        <v>1</v>
      </c>
      <c r="V18" s="694">
        <f t="shared" si="47"/>
        <v>1.5</v>
      </c>
      <c r="W18" s="744">
        <v>1</v>
      </c>
      <c r="X18" s="744">
        <v>0</v>
      </c>
      <c r="Y18" s="744">
        <f t="shared" si="24"/>
        <v>1</v>
      </c>
      <c r="Z18" s="701">
        <f t="shared" si="25"/>
        <v>1</v>
      </c>
      <c r="AA18" s="702">
        <f t="shared" si="26"/>
        <v>1.5</v>
      </c>
      <c r="AB18" s="744">
        <v>1</v>
      </c>
      <c r="AC18" s="744">
        <f t="shared" si="27"/>
        <v>1</v>
      </c>
      <c r="AD18" s="744">
        <f t="shared" si="28"/>
        <v>0</v>
      </c>
      <c r="AE18" s="722">
        <f t="shared" si="29"/>
        <v>0</v>
      </c>
      <c r="AF18" s="723">
        <f t="shared" si="30"/>
        <v>0</v>
      </c>
      <c r="AH18" s="285" t="str">
        <f t="shared" si="0"/>
        <v>*Pipe Cleaners
aka Chenille Stems</v>
      </c>
      <c r="AI18" s="286" t="str">
        <f t="shared" si="31"/>
        <v>no</v>
      </c>
      <c r="AJ18" s="281" t="str">
        <f t="shared" si="32"/>
        <v>Craft, Dollar</v>
      </c>
      <c r="AK18" s="164">
        <f t="shared" si="33"/>
        <v>1</v>
      </c>
      <c r="AL18" s="164">
        <f t="shared" si="34"/>
        <v>1</v>
      </c>
      <c r="AM18" s="165">
        <f t="shared" si="35"/>
        <v>1</v>
      </c>
      <c r="AN18" s="165">
        <f t="shared" si="36"/>
        <v>1</v>
      </c>
      <c r="AO18" s="165">
        <f t="shared" si="37"/>
        <v>1</v>
      </c>
      <c r="AP18" s="165">
        <f t="shared" si="38"/>
        <v>1.5</v>
      </c>
      <c r="AQ18" s="165">
        <f t="shared" si="39"/>
        <v>1.5</v>
      </c>
      <c r="AR18" s="166">
        <f t="shared" si="40"/>
        <v>1.5</v>
      </c>
      <c r="AT18" s="376" t="str">
        <f t="shared" si="14"/>
        <v>*Pipe Cleaners
aka Chenille Stems</v>
      </c>
      <c r="AU18" s="380" t="str">
        <f t="shared" si="41"/>
        <v>Dollar store has small packages; online JoAnn's, www.flowerfactory</v>
      </c>
    </row>
    <row r="19" spans="1:47" ht="51" x14ac:dyDescent="0.25">
      <c r="A19" s="623" t="s">
        <v>150</v>
      </c>
      <c r="B19" s="1384" t="s">
        <v>775</v>
      </c>
      <c r="C19" s="1395" t="s">
        <v>776</v>
      </c>
      <c r="D19" s="1379" t="s">
        <v>212</v>
      </c>
      <c r="E19" s="437" t="s">
        <v>142</v>
      </c>
      <c r="F19" s="437" t="s">
        <v>147</v>
      </c>
      <c r="G19" s="698">
        <v>1</v>
      </c>
      <c r="H19" s="698">
        <v>2</v>
      </c>
      <c r="I19" s="735">
        <v>3</v>
      </c>
      <c r="J19" s="735">
        <v>4</v>
      </c>
      <c r="K19" s="736">
        <v>1</v>
      </c>
      <c r="L19" s="1227">
        <v>0.05</v>
      </c>
      <c r="M19" s="735">
        <f t="shared" si="44"/>
        <v>3</v>
      </c>
      <c r="N19" s="699">
        <f t="shared" si="15"/>
        <v>3</v>
      </c>
      <c r="O19" s="704">
        <f t="shared" si="16"/>
        <v>3</v>
      </c>
      <c r="P19" s="704">
        <f t="shared" si="17"/>
        <v>4</v>
      </c>
      <c r="Q19" s="699">
        <f t="shared" si="18"/>
        <v>6</v>
      </c>
      <c r="R19" s="699">
        <f t="shared" si="19"/>
        <v>6</v>
      </c>
      <c r="S19" s="700">
        <f t="shared" si="20"/>
        <v>8</v>
      </c>
      <c r="T19" s="732">
        <f t="shared" si="45"/>
        <v>3</v>
      </c>
      <c r="U19" s="694">
        <f t="shared" si="46"/>
        <v>3</v>
      </c>
      <c r="V19" s="694">
        <f t="shared" si="47"/>
        <v>6</v>
      </c>
      <c r="W19" s="744">
        <v>0</v>
      </c>
      <c r="X19" s="744">
        <v>0.25</v>
      </c>
      <c r="Y19" s="744">
        <f t="shared" si="24"/>
        <v>1</v>
      </c>
      <c r="Z19" s="701">
        <f t="shared" si="25"/>
        <v>1</v>
      </c>
      <c r="AA19" s="702">
        <f t="shared" si="26"/>
        <v>2</v>
      </c>
      <c r="AB19" s="744"/>
      <c r="AC19" s="744">
        <f t="shared" si="27"/>
        <v>0</v>
      </c>
      <c r="AD19" s="744">
        <f t="shared" si="28"/>
        <v>1</v>
      </c>
      <c r="AE19" s="722">
        <f t="shared" si="29"/>
        <v>1</v>
      </c>
      <c r="AF19" s="723">
        <f t="shared" si="30"/>
        <v>2</v>
      </c>
      <c r="AH19" s="282" t="str">
        <f t="shared" si="0"/>
        <v>*Sponges</v>
      </c>
      <c r="AI19" s="281" t="str">
        <f t="shared" si="31"/>
        <v>no</v>
      </c>
      <c r="AJ19" s="281" t="str">
        <f t="shared" si="32"/>
        <v>Dollar, craft, variety, grocery</v>
      </c>
      <c r="AK19" s="164">
        <f t="shared" si="33"/>
        <v>3</v>
      </c>
      <c r="AL19" s="164">
        <f t="shared" si="34"/>
        <v>4</v>
      </c>
      <c r="AM19" s="165">
        <f t="shared" si="35"/>
        <v>1</v>
      </c>
      <c r="AN19" s="165">
        <f t="shared" si="36"/>
        <v>3</v>
      </c>
      <c r="AO19" s="165">
        <f t="shared" si="37"/>
        <v>4</v>
      </c>
      <c r="AP19" s="165">
        <f t="shared" si="38"/>
        <v>2</v>
      </c>
      <c r="AQ19" s="165">
        <f t="shared" si="39"/>
        <v>6</v>
      </c>
      <c r="AR19" s="166">
        <f t="shared" si="40"/>
        <v>8</v>
      </c>
      <c r="AT19" s="376" t="str">
        <f t="shared" si="14"/>
        <v>*Sponges</v>
      </c>
      <c r="AU19" s="380" t="str">
        <f t="shared" si="41"/>
        <v>capsule sponges that expand into shapes; let the kids cut-them as they saw fit; no online source found</v>
      </c>
    </row>
    <row r="20" spans="1:47" ht="25.5" x14ac:dyDescent="0.25">
      <c r="A20" s="623" t="s">
        <v>151</v>
      </c>
      <c r="B20" s="625" t="s">
        <v>561</v>
      </c>
      <c r="C20" s="1395" t="s">
        <v>772</v>
      </c>
      <c r="D20" s="571" t="s">
        <v>212</v>
      </c>
      <c r="E20" s="437" t="s">
        <v>146</v>
      </c>
      <c r="F20" s="437" t="s">
        <v>578</v>
      </c>
      <c r="G20" s="698">
        <v>1</v>
      </c>
      <c r="H20" s="698">
        <v>1</v>
      </c>
      <c r="I20" s="735">
        <v>1</v>
      </c>
      <c r="J20" s="735">
        <v>1</v>
      </c>
      <c r="K20" s="736">
        <v>0</v>
      </c>
      <c r="L20" s="1227">
        <v>0.03</v>
      </c>
      <c r="M20" s="735">
        <f t="shared" si="44"/>
        <v>1</v>
      </c>
      <c r="N20" s="699">
        <f t="shared" si="15"/>
        <v>1</v>
      </c>
      <c r="O20" s="704">
        <f t="shared" si="16"/>
        <v>1</v>
      </c>
      <c r="P20" s="704">
        <f t="shared" si="17"/>
        <v>1</v>
      </c>
      <c r="Q20" s="699">
        <f t="shared" si="18"/>
        <v>1</v>
      </c>
      <c r="R20" s="699">
        <f t="shared" si="19"/>
        <v>1</v>
      </c>
      <c r="S20" s="700">
        <f t="shared" si="20"/>
        <v>1</v>
      </c>
      <c r="T20" s="732">
        <f t="shared" si="45"/>
        <v>1</v>
      </c>
      <c r="U20" s="694">
        <f t="shared" si="46"/>
        <v>1</v>
      </c>
      <c r="V20" s="694">
        <f t="shared" si="47"/>
        <v>1</v>
      </c>
      <c r="W20" s="744">
        <v>1</v>
      </c>
      <c r="X20" s="744">
        <v>0</v>
      </c>
      <c r="Y20" s="744">
        <f t="shared" si="24"/>
        <v>1</v>
      </c>
      <c r="Z20" s="701">
        <f t="shared" si="25"/>
        <v>1</v>
      </c>
      <c r="AA20" s="702">
        <f t="shared" si="26"/>
        <v>1</v>
      </c>
      <c r="AB20" s="744"/>
      <c r="AC20" s="744">
        <f t="shared" si="27"/>
        <v>0</v>
      </c>
      <c r="AD20" s="744">
        <f t="shared" si="28"/>
        <v>1</v>
      </c>
      <c r="AE20" s="722">
        <f t="shared" si="29"/>
        <v>1</v>
      </c>
      <c r="AF20" s="723">
        <f t="shared" si="30"/>
        <v>1</v>
      </c>
      <c r="AH20" s="285" t="str">
        <f t="shared" si="0"/>
        <v>*Feathers</v>
      </c>
      <c r="AI20" s="286" t="str">
        <f t="shared" si="31"/>
        <v>no</v>
      </c>
      <c r="AJ20" s="281" t="str">
        <f t="shared" si="32"/>
        <v>Craft</v>
      </c>
      <c r="AK20" s="164">
        <f t="shared" si="33"/>
        <v>1</v>
      </c>
      <c r="AL20" s="164">
        <f t="shared" si="34"/>
        <v>1</v>
      </c>
      <c r="AM20" s="165">
        <f t="shared" si="35"/>
        <v>1</v>
      </c>
      <c r="AN20" s="165">
        <f t="shared" si="36"/>
        <v>1</v>
      </c>
      <c r="AO20" s="165">
        <f t="shared" si="37"/>
        <v>1</v>
      </c>
      <c r="AP20" s="165">
        <f t="shared" si="38"/>
        <v>1</v>
      </c>
      <c r="AQ20" s="165">
        <f t="shared" si="39"/>
        <v>1</v>
      </c>
      <c r="AR20" s="166">
        <f t="shared" si="40"/>
        <v>1</v>
      </c>
      <c r="AT20" s="376" t="str">
        <f t="shared" si="14"/>
        <v>*Feathers</v>
      </c>
      <c r="AU20" s="380" t="str">
        <f t="shared" si="41"/>
        <v>online, www.discountschoolsupply.com (larger quantities)</v>
      </c>
    </row>
    <row r="21" spans="1:47" ht="38.25" x14ac:dyDescent="0.25">
      <c r="A21" s="623" t="s">
        <v>152</v>
      </c>
      <c r="B21" s="625" t="s">
        <v>561</v>
      </c>
      <c r="C21" s="1395" t="s">
        <v>778</v>
      </c>
      <c r="D21" s="571" t="s">
        <v>212</v>
      </c>
      <c r="E21" s="437" t="s">
        <v>143</v>
      </c>
      <c r="F21" s="437" t="s">
        <v>579</v>
      </c>
      <c r="G21" s="698">
        <v>1</v>
      </c>
      <c r="H21" s="698">
        <v>2.89</v>
      </c>
      <c r="I21" s="735">
        <v>1</v>
      </c>
      <c r="J21" s="735">
        <v>2</v>
      </c>
      <c r="K21" s="736">
        <v>1</v>
      </c>
      <c r="L21" s="1227">
        <v>0.01</v>
      </c>
      <c r="M21" s="735">
        <f t="shared" si="44"/>
        <v>2</v>
      </c>
      <c r="N21" s="699">
        <f t="shared" si="15"/>
        <v>2</v>
      </c>
      <c r="O21" s="704">
        <f t="shared" si="16"/>
        <v>1</v>
      </c>
      <c r="P21" s="704">
        <f t="shared" si="17"/>
        <v>2</v>
      </c>
      <c r="Q21" s="699">
        <f t="shared" si="18"/>
        <v>5.78</v>
      </c>
      <c r="R21" s="699">
        <f t="shared" si="19"/>
        <v>2.89</v>
      </c>
      <c r="S21" s="700">
        <f t="shared" si="20"/>
        <v>5.78</v>
      </c>
      <c r="T21" s="732">
        <f t="shared" si="45"/>
        <v>2</v>
      </c>
      <c r="U21" s="694">
        <f t="shared" si="46"/>
        <v>2</v>
      </c>
      <c r="V21" s="694">
        <f t="shared" si="47"/>
        <v>5.78</v>
      </c>
      <c r="W21" s="744">
        <v>0</v>
      </c>
      <c r="X21" s="744">
        <v>0.2</v>
      </c>
      <c r="Y21" s="744">
        <f t="shared" si="24"/>
        <v>1</v>
      </c>
      <c r="Z21" s="701">
        <f t="shared" si="25"/>
        <v>1</v>
      </c>
      <c r="AA21" s="702">
        <f t="shared" si="26"/>
        <v>2.89</v>
      </c>
      <c r="AB21" s="744">
        <v>1</v>
      </c>
      <c r="AC21" s="744">
        <f t="shared" si="27"/>
        <v>1</v>
      </c>
      <c r="AD21" s="744">
        <f t="shared" si="28"/>
        <v>0</v>
      </c>
      <c r="AE21" s="722">
        <f t="shared" si="29"/>
        <v>0</v>
      </c>
      <c r="AF21" s="723">
        <f t="shared" si="30"/>
        <v>0</v>
      </c>
      <c r="AH21" s="285" t="str">
        <f t="shared" si="0"/>
        <v>*Play-Doh or Clay</v>
      </c>
      <c r="AI21" s="286" t="str">
        <f t="shared" si="31"/>
        <v>no</v>
      </c>
      <c r="AJ21" s="281" t="str">
        <f t="shared" si="32"/>
        <v>Dollar</v>
      </c>
      <c r="AK21" s="164">
        <f t="shared" si="33"/>
        <v>1</v>
      </c>
      <c r="AL21" s="164">
        <f t="shared" si="34"/>
        <v>2</v>
      </c>
      <c r="AM21" s="165">
        <f t="shared" si="35"/>
        <v>1</v>
      </c>
      <c r="AN21" s="165">
        <f t="shared" si="36"/>
        <v>1</v>
      </c>
      <c r="AO21" s="165">
        <f t="shared" si="37"/>
        <v>2</v>
      </c>
      <c r="AP21" s="165">
        <f t="shared" si="38"/>
        <v>2.89</v>
      </c>
      <c r="AQ21" s="165">
        <f t="shared" si="39"/>
        <v>2.89</v>
      </c>
      <c r="AR21" s="166">
        <f t="shared" si="40"/>
        <v>5.78</v>
      </c>
      <c r="AT21" s="376" t="str">
        <f t="shared" si="14"/>
        <v>*Play-Doh or Clay</v>
      </c>
      <c r="AU21" s="380" t="str">
        <f t="shared" si="41"/>
        <v>Dollar - $1 pack of 8 small jars; www.flowerfactory.com $2.89 pack of 4, 4oz ea.</v>
      </c>
    </row>
    <row r="22" spans="1:47" ht="51.75" thickBot="1" x14ac:dyDescent="0.3">
      <c r="A22" s="624" t="s">
        <v>153</v>
      </c>
      <c r="B22" s="572" t="s">
        <v>561</v>
      </c>
      <c r="C22" s="1401" t="s">
        <v>772</v>
      </c>
      <c r="D22" s="1414" t="s">
        <v>212</v>
      </c>
      <c r="E22" s="574" t="s">
        <v>207</v>
      </c>
      <c r="F22" s="574" t="s">
        <v>154</v>
      </c>
      <c r="G22" s="703">
        <v>1</v>
      </c>
      <c r="H22" s="703">
        <v>2</v>
      </c>
      <c r="I22" s="738">
        <v>1</v>
      </c>
      <c r="J22" s="738">
        <v>1</v>
      </c>
      <c r="K22" s="739">
        <v>0</v>
      </c>
      <c r="L22" s="1404">
        <v>0.03</v>
      </c>
      <c r="M22" s="738">
        <f t="shared" si="44"/>
        <v>1</v>
      </c>
      <c r="N22" s="704">
        <f t="shared" si="15"/>
        <v>1</v>
      </c>
      <c r="O22" s="704">
        <f t="shared" si="16"/>
        <v>1</v>
      </c>
      <c r="P22" s="704">
        <f t="shared" si="17"/>
        <v>1</v>
      </c>
      <c r="Q22" s="704">
        <f t="shared" si="18"/>
        <v>2</v>
      </c>
      <c r="R22" s="704">
        <f t="shared" si="19"/>
        <v>2</v>
      </c>
      <c r="S22" s="705">
        <f t="shared" si="20"/>
        <v>2</v>
      </c>
      <c r="T22" s="1356">
        <f t="shared" si="45"/>
        <v>1</v>
      </c>
      <c r="U22" s="1357">
        <f t="shared" si="46"/>
        <v>1</v>
      </c>
      <c r="V22" s="1357">
        <f t="shared" si="47"/>
        <v>2</v>
      </c>
      <c r="W22" s="745">
        <v>1</v>
      </c>
      <c r="X22" s="745">
        <v>0</v>
      </c>
      <c r="Y22" s="745">
        <f t="shared" si="24"/>
        <v>1</v>
      </c>
      <c r="Z22" s="706">
        <f t="shared" si="25"/>
        <v>1</v>
      </c>
      <c r="AA22" s="707">
        <f t="shared" si="26"/>
        <v>2</v>
      </c>
      <c r="AB22" s="745">
        <v>1</v>
      </c>
      <c r="AC22" s="745">
        <f t="shared" si="27"/>
        <v>1</v>
      </c>
      <c r="AD22" s="745">
        <f t="shared" si="28"/>
        <v>0</v>
      </c>
      <c r="AE22" s="724">
        <f t="shared" si="29"/>
        <v>0</v>
      </c>
      <c r="AF22" s="725">
        <f t="shared" si="30"/>
        <v>0</v>
      </c>
      <c r="AH22" s="284" t="str">
        <f t="shared" si="0"/>
        <v>*Cotton Balls</v>
      </c>
      <c r="AI22" s="274" t="str">
        <f t="shared" si="31"/>
        <v>no</v>
      </c>
      <c r="AJ22" s="274" t="str">
        <f t="shared" si="32"/>
        <v>Dollar, variety, grocery, drug</v>
      </c>
      <c r="AK22" s="179">
        <f t="shared" si="33"/>
        <v>1</v>
      </c>
      <c r="AL22" s="179">
        <f t="shared" si="34"/>
        <v>1</v>
      </c>
      <c r="AM22" s="180">
        <f t="shared" si="35"/>
        <v>1</v>
      </c>
      <c r="AN22" s="165">
        <f t="shared" si="36"/>
        <v>1</v>
      </c>
      <c r="AO22" s="165">
        <f t="shared" si="37"/>
        <v>1</v>
      </c>
      <c r="AP22" s="173">
        <f t="shared" si="38"/>
        <v>2</v>
      </c>
      <c r="AQ22" s="165">
        <f t="shared" si="39"/>
        <v>2</v>
      </c>
      <c r="AR22" s="166">
        <f t="shared" si="40"/>
        <v>2</v>
      </c>
      <c r="AT22" s="377" t="str">
        <f t="shared" si="14"/>
        <v>*Cotton Balls</v>
      </c>
      <c r="AU22" s="381" t="str">
        <f t="shared" si="41"/>
        <v>online drugstore.com</v>
      </c>
    </row>
    <row r="23" spans="1:47" s="8" customFormat="1" ht="20.100000000000001" customHeight="1" thickBot="1" x14ac:dyDescent="0.3">
      <c r="A23" s="670" t="s">
        <v>105</v>
      </c>
      <c r="B23" s="671"/>
      <c r="C23" s="671"/>
      <c r="D23" s="671"/>
      <c r="E23" s="671"/>
      <c r="F23" s="671"/>
      <c r="G23" s="1210"/>
      <c r="H23" s="1210"/>
      <c r="I23" s="1406"/>
      <c r="J23" s="1407"/>
      <c r="K23" s="1407"/>
      <c r="L23" s="1407"/>
      <c r="M23" s="1407"/>
      <c r="N23" s="1408">
        <f t="shared" ref="N23:V23" si="48">SUM(N13:N22)</f>
        <v>15</v>
      </c>
      <c r="O23" s="1408">
        <f t="shared" si="48"/>
        <v>14</v>
      </c>
      <c r="P23" s="1408">
        <f t="shared" si="48"/>
        <v>18</v>
      </c>
      <c r="Q23" s="1408">
        <f t="shared" si="48"/>
        <v>30.28</v>
      </c>
      <c r="R23" s="1408">
        <f t="shared" si="48"/>
        <v>27.39</v>
      </c>
      <c r="S23" s="1408">
        <f t="shared" si="48"/>
        <v>38.28</v>
      </c>
      <c r="T23" s="1408"/>
      <c r="U23" s="1408">
        <f t="shared" si="48"/>
        <v>12</v>
      </c>
      <c r="V23" s="1409">
        <f t="shared" si="48"/>
        <v>21.03</v>
      </c>
      <c r="W23" s="749"/>
      <c r="X23" s="749"/>
      <c r="Y23" s="749"/>
      <c r="Z23" s="713">
        <f>SUM(Z13:Z22)</f>
        <v>12</v>
      </c>
      <c r="AA23" s="713">
        <f>SUM(AA13:AA22)</f>
        <v>23.39</v>
      </c>
      <c r="AB23" s="749"/>
      <c r="AC23" s="749"/>
      <c r="AD23" s="749"/>
      <c r="AE23" s="713">
        <f>SUM(AE13:AE22)</f>
        <v>3</v>
      </c>
      <c r="AF23" s="714">
        <f>SUM(AF13:AF22)</f>
        <v>4</v>
      </c>
      <c r="AH23" s="181" t="str">
        <f t="shared" si="0"/>
        <v>Subtotal</v>
      </c>
      <c r="AI23" s="168"/>
      <c r="AJ23" s="168"/>
      <c r="AK23" s="169"/>
      <c r="AL23" s="169"/>
      <c r="AM23" s="182"/>
      <c r="AN23" s="183">
        <f t="shared" ref="AN23:AO28" si="49">O23</f>
        <v>14</v>
      </c>
      <c r="AO23" s="184">
        <f t="shared" si="49"/>
        <v>18</v>
      </c>
      <c r="AP23" s="184"/>
      <c r="AQ23" s="184">
        <f t="shared" si="39"/>
        <v>27.39</v>
      </c>
      <c r="AR23" s="185">
        <f t="shared" si="40"/>
        <v>38.28</v>
      </c>
      <c r="AT23" s="375"/>
      <c r="AU23" s="375"/>
    </row>
    <row r="24" spans="1:47" ht="15.75" x14ac:dyDescent="0.25">
      <c r="A24" s="1595" t="s">
        <v>135</v>
      </c>
      <c r="B24" s="675" t="s">
        <v>324</v>
      </c>
      <c r="C24" s="676"/>
      <c r="D24" s="676"/>
      <c r="E24" s="676"/>
      <c r="F24" s="676"/>
      <c r="G24" s="1213"/>
      <c r="H24" s="1213"/>
      <c r="I24" s="1410"/>
      <c r="J24" s="735"/>
      <c r="K24" s="735"/>
      <c r="L24" s="735"/>
      <c r="M24" s="735"/>
      <c r="N24" s="699"/>
      <c r="O24" s="699"/>
      <c r="P24" s="699"/>
      <c r="Q24" s="699">
        <v>8.8000000000000007</v>
      </c>
      <c r="R24" s="699">
        <v>8.8000000000000007</v>
      </c>
      <c r="S24" s="699">
        <v>12</v>
      </c>
      <c r="T24" s="699"/>
      <c r="U24" s="699"/>
      <c r="V24" s="1411">
        <v>8.8000000000000007</v>
      </c>
      <c r="W24" s="750"/>
      <c r="X24" s="750"/>
      <c r="Y24" s="750"/>
      <c r="Z24" s="715"/>
      <c r="AA24" s="715">
        <v>8.8000000000000007</v>
      </c>
      <c r="AB24" s="750"/>
      <c r="AC24" s="750"/>
      <c r="AD24" s="750"/>
      <c r="AE24" s="715"/>
      <c r="AF24" s="728">
        <v>8.8000000000000007</v>
      </c>
      <c r="AH24" s="1598" t="s">
        <v>562</v>
      </c>
      <c r="AI24" s="1600" t="str">
        <f>B24</f>
        <v>www.flowerfactory.com -- &lt;$20 = $6.60; &lt;$35 = $8.80; &lt;$50 = $9.90; &lt;$75 = $12.65</v>
      </c>
      <c r="AJ24" s="1601"/>
      <c r="AK24" s="1601"/>
      <c r="AL24" s="1601"/>
      <c r="AM24" s="1602"/>
      <c r="AN24" s="153">
        <f t="shared" si="49"/>
        <v>0</v>
      </c>
      <c r="AO24" s="153">
        <f t="shared" si="49"/>
        <v>0</v>
      </c>
      <c r="AP24" s="150"/>
      <c r="AQ24" s="153">
        <f t="shared" si="39"/>
        <v>8.8000000000000007</v>
      </c>
      <c r="AR24" s="154">
        <f t="shared" si="40"/>
        <v>12</v>
      </c>
      <c r="AT24" s="375"/>
      <c r="AU24" s="375"/>
    </row>
    <row r="25" spans="1:47" ht="15.75" x14ac:dyDescent="0.25">
      <c r="A25" s="1596"/>
      <c r="B25" s="677" t="s">
        <v>155</v>
      </c>
      <c r="C25" s="678"/>
      <c r="D25" s="678"/>
      <c r="E25" s="678"/>
      <c r="F25" s="678"/>
      <c r="G25" s="1214"/>
      <c r="H25" s="1214"/>
      <c r="I25" s="1410"/>
      <c r="J25" s="735"/>
      <c r="K25" s="735"/>
      <c r="L25" s="735"/>
      <c r="M25" s="735"/>
      <c r="N25" s="699"/>
      <c r="O25" s="699"/>
      <c r="P25" s="699"/>
      <c r="Q25" s="699"/>
      <c r="R25" s="699"/>
      <c r="S25" s="699"/>
      <c r="T25" s="699"/>
      <c r="U25" s="699"/>
      <c r="V25" s="1411"/>
      <c r="W25" s="751"/>
      <c r="X25" s="751"/>
      <c r="Y25" s="751"/>
      <c r="Z25" s="716"/>
      <c r="AA25" s="716"/>
      <c r="AB25" s="751"/>
      <c r="AC25" s="751"/>
      <c r="AD25" s="751"/>
      <c r="AE25" s="716"/>
      <c r="AF25" s="729"/>
      <c r="AH25" s="1598"/>
      <c r="AI25" s="1600" t="str">
        <f>B25</f>
        <v>www.drugstore.com -- free over $25</v>
      </c>
      <c r="AJ25" s="1601"/>
      <c r="AK25" s="1601"/>
      <c r="AL25" s="1601"/>
      <c r="AM25" s="1602"/>
      <c r="AN25" s="153">
        <f t="shared" si="49"/>
        <v>0</v>
      </c>
      <c r="AO25" s="153">
        <f t="shared" si="49"/>
        <v>0</v>
      </c>
      <c r="AP25" s="150"/>
      <c r="AQ25" s="153">
        <f t="shared" si="39"/>
        <v>0</v>
      </c>
      <c r="AR25" s="154">
        <f t="shared" si="40"/>
        <v>0</v>
      </c>
      <c r="AT25" s="375"/>
      <c r="AU25" s="375"/>
    </row>
    <row r="26" spans="1:47" ht="15.75" x14ac:dyDescent="0.25">
      <c r="A26" s="1596"/>
      <c r="B26" s="679" t="s">
        <v>158</v>
      </c>
      <c r="C26" s="678"/>
      <c r="D26" s="678"/>
      <c r="E26" s="678"/>
      <c r="F26" s="678"/>
      <c r="G26" s="1214"/>
      <c r="H26" s="1214"/>
      <c r="I26" s="1410"/>
      <c r="J26" s="735"/>
      <c r="K26" s="735"/>
      <c r="L26" s="735"/>
      <c r="M26" s="735"/>
      <c r="N26" s="699"/>
      <c r="O26" s="699"/>
      <c r="P26" s="699"/>
      <c r="Q26" s="699"/>
      <c r="R26" s="699"/>
      <c r="S26" s="699"/>
      <c r="T26" s="699"/>
      <c r="U26" s="699"/>
      <c r="V26" s="1411"/>
      <c r="W26" s="751"/>
      <c r="X26" s="751"/>
      <c r="Y26" s="751"/>
      <c r="Z26" s="716"/>
      <c r="AA26" s="716"/>
      <c r="AB26" s="751"/>
      <c r="AC26" s="751"/>
      <c r="AD26" s="751"/>
      <c r="AE26" s="716"/>
      <c r="AF26" s="729"/>
      <c r="AH26" s="1598"/>
      <c r="AI26" s="1600" t="str">
        <f>B26</f>
        <v>www.discountschoolsupply.com -- min $5; &lt;$79 = 15%; &gt;$79 free</v>
      </c>
      <c r="AJ26" s="1601"/>
      <c r="AK26" s="1601"/>
      <c r="AL26" s="1601"/>
      <c r="AM26" s="1602"/>
      <c r="AN26" s="153">
        <f t="shared" si="49"/>
        <v>0</v>
      </c>
      <c r="AO26" s="153">
        <f t="shared" si="49"/>
        <v>0</v>
      </c>
      <c r="AP26" s="150"/>
      <c r="AQ26" s="153">
        <f t="shared" si="39"/>
        <v>0</v>
      </c>
      <c r="AR26" s="154">
        <f t="shared" si="40"/>
        <v>0</v>
      </c>
      <c r="AT26" s="375"/>
      <c r="AU26" s="375"/>
    </row>
    <row r="27" spans="1:47" ht="16.5" thickBot="1" x14ac:dyDescent="0.3">
      <c r="A27" s="1597"/>
      <c r="B27" s="680" t="s">
        <v>156</v>
      </c>
      <c r="C27" s="681"/>
      <c r="D27" s="681"/>
      <c r="E27" s="681"/>
      <c r="F27" s="681"/>
      <c r="G27" s="1215"/>
      <c r="H27" s="1215"/>
      <c r="I27" s="1410"/>
      <c r="J27" s="735"/>
      <c r="K27" s="735"/>
      <c r="L27" s="735"/>
      <c r="M27" s="735"/>
      <c r="N27" s="699"/>
      <c r="O27" s="699"/>
      <c r="P27" s="699"/>
      <c r="Q27" s="699"/>
      <c r="R27" s="699"/>
      <c r="S27" s="699"/>
      <c r="T27" s="699"/>
      <c r="U27" s="699"/>
      <c r="V27" s="1411"/>
      <c r="W27" s="752"/>
      <c r="X27" s="752"/>
      <c r="Y27" s="752"/>
      <c r="Z27" s="719"/>
      <c r="AA27" s="719"/>
      <c r="AB27" s="752"/>
      <c r="AC27" s="752"/>
      <c r="AD27" s="752"/>
      <c r="AE27" s="719"/>
      <c r="AF27" s="730"/>
      <c r="AH27" s="1598"/>
      <c r="AI27" s="1600" t="str">
        <f>B27</f>
        <v>www.amazon.com -- often free over $25</v>
      </c>
      <c r="AJ27" s="1601"/>
      <c r="AK27" s="1601"/>
      <c r="AL27" s="1601"/>
      <c r="AM27" s="1602"/>
      <c r="AN27" s="153">
        <f t="shared" si="49"/>
        <v>0</v>
      </c>
      <c r="AO27" s="153">
        <f t="shared" si="49"/>
        <v>0</v>
      </c>
      <c r="AP27" s="150"/>
      <c r="AQ27" s="153">
        <f t="shared" si="39"/>
        <v>0</v>
      </c>
      <c r="AR27" s="154">
        <f t="shared" si="40"/>
        <v>0</v>
      </c>
      <c r="AT27" s="375"/>
      <c r="AU27" s="375"/>
    </row>
    <row r="28" spans="1:47" ht="30" customHeight="1" thickBot="1" x14ac:dyDescent="0.3">
      <c r="A28" s="672" t="s">
        <v>26</v>
      </c>
      <c r="B28" s="673"/>
      <c r="C28" s="674"/>
      <c r="D28" s="674"/>
      <c r="E28" s="674"/>
      <c r="F28" s="674"/>
      <c r="G28" s="1212"/>
      <c r="H28" s="1211"/>
      <c r="I28" s="1412"/>
      <c r="J28" s="806"/>
      <c r="K28" s="806"/>
      <c r="L28" s="806"/>
      <c r="M28" s="806"/>
      <c r="N28" s="775">
        <f>N11+N23</f>
        <v>39.119999999999997</v>
      </c>
      <c r="O28" s="775">
        <f>O11+O23</f>
        <v>34.340000000000003</v>
      </c>
      <c r="P28" s="775">
        <f>P11+P23</f>
        <v>43.12</v>
      </c>
      <c r="Q28" s="775">
        <f>Q11+Q23+Q24</f>
        <v>69.17</v>
      </c>
      <c r="R28" s="775">
        <f>R11+R23+R24</f>
        <v>62.58</v>
      </c>
      <c r="S28" s="775">
        <f>S11+S23+S24</f>
        <v>82.47</v>
      </c>
      <c r="T28" s="775"/>
      <c r="U28" s="775">
        <f t="shared" ref="U28:V28" si="50">U11+U23+U24</f>
        <v>12</v>
      </c>
      <c r="V28" s="1413">
        <f t="shared" si="50"/>
        <v>29.830000000000002</v>
      </c>
      <c r="W28" s="1405"/>
      <c r="X28" s="753"/>
      <c r="Y28" s="753"/>
      <c r="Z28" s="717">
        <f>Z11+Z23</f>
        <v>22.78</v>
      </c>
      <c r="AA28" s="717">
        <f>AA11+AA23+AA24</f>
        <v>46.980000000000004</v>
      </c>
      <c r="AB28" s="753"/>
      <c r="AC28" s="753"/>
      <c r="AD28" s="753"/>
      <c r="AE28" s="717">
        <f>AE11+AE23</f>
        <v>7.39</v>
      </c>
      <c r="AF28" s="718">
        <f>AF11+AF23+AF24</f>
        <v>19.900000000000002</v>
      </c>
      <c r="AH28" s="155" t="str">
        <f>A28</f>
        <v>Totals</v>
      </c>
      <c r="AI28" s="151"/>
      <c r="AJ28" s="151"/>
      <c r="AK28" s="152"/>
      <c r="AL28" s="152"/>
      <c r="AM28" s="159"/>
      <c r="AN28" s="156">
        <f t="shared" si="49"/>
        <v>34.340000000000003</v>
      </c>
      <c r="AO28" s="157">
        <f t="shared" si="49"/>
        <v>43.12</v>
      </c>
      <c r="AP28" s="157"/>
      <c r="AQ28" s="157">
        <f t="shared" si="39"/>
        <v>62.58</v>
      </c>
      <c r="AR28" s="158">
        <f t="shared" si="40"/>
        <v>82.47</v>
      </c>
      <c r="AT28" s="13"/>
      <c r="AU28" s="13"/>
    </row>
    <row r="29" spans="1:47" ht="27.75" customHeight="1" x14ac:dyDescent="0.25"/>
    <row r="30" spans="1:47" s="13" customFormat="1" ht="15.75" customHeight="1" x14ac:dyDescent="0.25">
      <c r="A30" s="434"/>
      <c r="B30" s="434"/>
      <c r="C30" s="434"/>
      <c r="D30" s="434"/>
      <c r="E30" s="434"/>
      <c r="F30" s="434"/>
      <c r="G30" s="434"/>
      <c r="H30" s="434"/>
      <c r="I30" s="434"/>
      <c r="J30" s="434"/>
      <c r="K30" s="434"/>
      <c r="L30" s="434"/>
      <c r="M30" s="434"/>
      <c r="N30" s="434"/>
      <c r="O30" s="434"/>
      <c r="P30" s="434"/>
      <c r="Q30" s="434"/>
      <c r="R30" s="434"/>
      <c r="S30" s="434"/>
      <c r="T30" s="434"/>
      <c r="U30" s="434"/>
      <c r="V30" s="434"/>
      <c r="W30" s="434"/>
      <c r="X30" s="434"/>
      <c r="Y30" s="434"/>
      <c r="Z30" s="434"/>
      <c r="AA30" s="434"/>
      <c r="AK30" s="435"/>
      <c r="AL30" s="435"/>
      <c r="AM30" s="435"/>
    </row>
  </sheetData>
  <mergeCells count="32">
    <mergeCell ref="AH3:AR3"/>
    <mergeCell ref="AP4:AR4"/>
    <mergeCell ref="AH4:AJ4"/>
    <mergeCell ref="R3:S3"/>
    <mergeCell ref="I4:J4"/>
    <mergeCell ref="K4:M4"/>
    <mergeCell ref="AM4:AO4"/>
    <mergeCell ref="T3:V3"/>
    <mergeCell ref="AI25:AM25"/>
    <mergeCell ref="AH6:AR6"/>
    <mergeCell ref="AH12:AR12"/>
    <mergeCell ref="Z4:AA4"/>
    <mergeCell ref="AT12:AU12"/>
    <mergeCell ref="AT10:AT11"/>
    <mergeCell ref="AU10:AU11"/>
    <mergeCell ref="AT6:AU6"/>
    <mergeCell ref="A2:F2"/>
    <mergeCell ref="A24:A27"/>
    <mergeCell ref="AH24:AH27"/>
    <mergeCell ref="AK4:AL4"/>
    <mergeCell ref="AI26:AM26"/>
    <mergeCell ref="AI27:AM27"/>
    <mergeCell ref="G3:H3"/>
    <mergeCell ref="I3:K3"/>
    <mergeCell ref="Q4:S4"/>
    <mergeCell ref="N4:P4"/>
    <mergeCell ref="I2:S2"/>
    <mergeCell ref="W2:AF2"/>
    <mergeCell ref="AB4:AD4"/>
    <mergeCell ref="W4:Y4"/>
    <mergeCell ref="AE4:AF4"/>
    <mergeCell ref="AI24:AM24"/>
  </mergeCells>
  <hyperlinks>
    <hyperlink ref="B24" r:id="rId1" display="www.flowerfactory.com"/>
    <hyperlink ref="B26" r:id="rId2" display="www.discountschoolsupply.com"/>
    <hyperlink ref="F14" r:id="rId3"/>
  </hyperlinks>
  <printOptions gridLines="1"/>
  <pageMargins left="0.7" right="0.7" top="0.75" bottom="0.75" header="0.3" footer="0.3"/>
  <pageSetup scale="82" fitToHeight="0" orientation="portrait" r:id="rId4"/>
  <headerFooter>
    <oddFooter>&amp;L&amp;F &amp;A&amp;C&amp;P&amp;R&amp;D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26"/>
  <sheetViews>
    <sheetView zoomScale="85" zoomScaleNormal="85" workbookViewId="0">
      <pane xSplit="1" ySplit="5" topLeftCell="I11" activePane="bottomRight" state="frozen"/>
      <selection activeCell="A2" sqref="A2:F2"/>
      <selection pane="topRight" activeCell="A2" sqref="A2:F2"/>
      <selection pane="bottomLeft" activeCell="A2" sqref="A2:F2"/>
      <selection pane="bottomRight" activeCell="R15" sqref="R15"/>
    </sheetView>
  </sheetViews>
  <sheetFormatPr defaultRowHeight="15" x14ac:dyDescent="0.25"/>
  <cols>
    <col min="1" max="1" width="28" customWidth="1"/>
    <col min="2" max="2" width="24.85546875" customWidth="1"/>
    <col min="5" max="5" width="21.42578125" customWidth="1"/>
    <col min="6" max="6" width="37.85546875" customWidth="1"/>
    <col min="12" max="12" width="11.85546875" customWidth="1"/>
    <col min="14" max="14" width="10.28515625" customWidth="1"/>
    <col min="17" max="17" width="10.28515625" customWidth="1"/>
    <col min="23" max="23" width="10.85546875" customWidth="1"/>
    <col min="24" max="24" width="11" customWidth="1"/>
    <col min="25" max="25" width="10.85546875" customWidth="1"/>
    <col min="26" max="26" width="11.7109375" customWidth="1"/>
    <col min="27" max="27" width="12.28515625" customWidth="1"/>
    <col min="30" max="30" width="13" customWidth="1"/>
    <col min="35" max="35" width="19.42578125" customWidth="1"/>
    <col min="37" max="37" width="13.42578125" customWidth="1"/>
    <col min="47" max="47" width="27.140625" customWidth="1"/>
    <col min="48" max="48" width="51.140625" customWidth="1"/>
  </cols>
  <sheetData>
    <row r="1" spans="1:48" s="415" customFormat="1" ht="30" customHeight="1" thickBot="1" x14ac:dyDescent="0.45">
      <c r="A1" s="1661" t="s">
        <v>694</v>
      </c>
      <c r="B1" s="1661"/>
      <c r="C1" s="1662"/>
      <c r="D1" s="1662"/>
      <c r="E1" s="1662"/>
      <c r="F1" s="1662"/>
      <c r="G1" s="755"/>
      <c r="H1" s="755"/>
      <c r="I1" s="755"/>
      <c r="J1" s="755"/>
      <c r="K1" s="755"/>
      <c r="L1" s="755"/>
      <c r="M1" s="755"/>
      <c r="N1" s="755"/>
      <c r="O1" s="755"/>
      <c r="P1" s="755"/>
      <c r="Q1" s="755"/>
      <c r="R1" s="755"/>
      <c r="S1" s="755"/>
      <c r="T1" s="755"/>
      <c r="U1" s="755"/>
      <c r="V1" s="755"/>
      <c r="W1" s="755"/>
      <c r="X1" s="755"/>
      <c r="Y1" s="755"/>
      <c r="Z1" s="755"/>
      <c r="AA1" s="755"/>
      <c r="AB1" s="755"/>
      <c r="AC1" s="755"/>
      <c r="AD1" s="755"/>
      <c r="AE1" s="755"/>
      <c r="AF1" s="755"/>
    </row>
    <row r="2" spans="1:48" ht="30" customHeight="1" thickBot="1" x14ac:dyDescent="0.4">
      <c r="A2" s="1666" t="s">
        <v>560</v>
      </c>
      <c r="B2" s="1667"/>
      <c r="C2" s="1667"/>
      <c r="D2" s="1667"/>
      <c r="E2" s="1667"/>
      <c r="F2" s="1667"/>
      <c r="G2" s="1222"/>
      <c r="H2" s="1222"/>
      <c r="I2" s="1670" t="s">
        <v>747</v>
      </c>
      <c r="J2" s="1671"/>
      <c r="K2" s="1671"/>
      <c r="L2" s="1671"/>
      <c r="M2" s="1671"/>
      <c r="N2" s="1671"/>
      <c r="O2" s="1671"/>
      <c r="P2" s="1671"/>
      <c r="Q2" s="1671"/>
      <c r="R2" s="1671"/>
      <c r="S2" s="1671"/>
      <c r="T2" s="1349"/>
      <c r="U2" s="1349"/>
      <c r="V2" s="1350"/>
      <c r="W2" s="1679" t="s">
        <v>692</v>
      </c>
      <c r="X2" s="1680"/>
      <c r="Y2" s="1680"/>
      <c r="Z2" s="1680"/>
      <c r="AA2" s="1680"/>
      <c r="AB2" s="1680"/>
      <c r="AC2" s="1680"/>
      <c r="AD2" s="1680"/>
      <c r="AE2" s="1680"/>
      <c r="AF2" s="1681"/>
      <c r="AI2" s="148" t="s">
        <v>559</v>
      </c>
      <c r="AU2" s="148" t="s">
        <v>607</v>
      </c>
      <c r="AV2" s="3"/>
    </row>
    <row r="3" spans="1:48" ht="49.5" customHeight="1" thickBot="1" x14ac:dyDescent="0.35">
      <c r="A3" s="793" t="s">
        <v>729</v>
      </c>
      <c r="B3" s="794"/>
      <c r="C3" s="794"/>
      <c r="D3" s="794"/>
      <c r="E3" s="794"/>
      <c r="F3" s="794"/>
      <c r="G3" s="1668" t="s">
        <v>748</v>
      </c>
      <c r="H3" s="1669"/>
      <c r="I3" s="1351"/>
      <c r="J3" s="1352"/>
      <c r="K3" s="1353"/>
      <c r="L3" s="1354" t="s">
        <v>749</v>
      </c>
      <c r="M3" s="646">
        <f>Budget!$D$43</f>
        <v>30</v>
      </c>
      <c r="N3" s="1645" t="s">
        <v>760</v>
      </c>
      <c r="O3" s="1645"/>
      <c r="P3" s="1645"/>
      <c r="Q3" s="1645"/>
      <c r="R3" s="1645"/>
      <c r="S3" s="1645"/>
      <c r="T3" s="1645" t="s">
        <v>766</v>
      </c>
      <c r="U3" s="1645"/>
      <c r="V3" s="1687"/>
      <c r="W3" s="455"/>
      <c r="X3" s="801" t="s">
        <v>99</v>
      </c>
      <c r="Y3" s="799">
        <f>Budget!C28</f>
        <v>3</v>
      </c>
      <c r="Z3" s="455"/>
      <c r="AA3" s="455"/>
      <c r="AB3" s="802" t="s">
        <v>100</v>
      </c>
      <c r="AC3" s="799">
        <f>Budget!B28</f>
        <v>10</v>
      </c>
      <c r="AD3" s="796"/>
      <c r="AE3" s="803" t="s">
        <v>196</v>
      </c>
      <c r="AF3" s="798">
        <f>Budget!I7</f>
        <v>1</v>
      </c>
      <c r="AI3" s="1647" t="s">
        <v>569</v>
      </c>
      <c r="AJ3" s="1648"/>
      <c r="AK3" s="1648"/>
      <c r="AL3" s="1648"/>
      <c r="AM3" s="1648"/>
      <c r="AN3" s="1648"/>
      <c r="AO3" s="1648"/>
      <c r="AP3" s="1648"/>
      <c r="AQ3" s="1648"/>
      <c r="AR3" s="1648"/>
      <c r="AS3" s="1649"/>
      <c r="AU3" s="3"/>
      <c r="AV3" s="3"/>
    </row>
    <row r="4" spans="1:48" ht="28.9" customHeight="1" thickBot="1" x14ac:dyDescent="0.3">
      <c r="A4" s="757"/>
      <c r="B4" s="758"/>
      <c r="C4" s="758" t="s">
        <v>703</v>
      </c>
      <c r="D4" s="758"/>
      <c r="E4" s="758"/>
      <c r="F4" s="758"/>
      <c r="G4" s="1223" t="s">
        <v>79</v>
      </c>
      <c r="H4" s="1223" t="s">
        <v>80</v>
      </c>
      <c r="I4" s="1663" t="s">
        <v>544</v>
      </c>
      <c r="J4" s="1664"/>
      <c r="K4" s="1665" t="s">
        <v>267</v>
      </c>
      <c r="L4" s="1665"/>
      <c r="M4" s="1665"/>
      <c r="N4" s="1672" t="s">
        <v>565</v>
      </c>
      <c r="O4" s="1672"/>
      <c r="P4" s="1672"/>
      <c r="Q4" s="1664" t="s">
        <v>566</v>
      </c>
      <c r="R4" s="1664"/>
      <c r="S4" s="1664"/>
      <c r="T4" s="1343"/>
      <c r="U4" s="1343"/>
      <c r="V4" s="1355"/>
      <c r="W4" s="1686" t="s">
        <v>70</v>
      </c>
      <c r="X4" s="1686"/>
      <c r="Y4" s="1683"/>
      <c r="Z4" s="1682" t="s">
        <v>204</v>
      </c>
      <c r="AA4" s="1683"/>
      <c r="AB4" s="1677" t="s">
        <v>70</v>
      </c>
      <c r="AC4" s="1684"/>
      <c r="AD4" s="1685"/>
      <c r="AE4" s="1677" t="s">
        <v>205</v>
      </c>
      <c r="AF4" s="1678"/>
      <c r="AH4" s="20"/>
      <c r="AI4" s="1637" t="str">
        <f>A2</f>
        <v>Item Information</v>
      </c>
      <c r="AJ4" s="1638"/>
      <c r="AK4" s="1639"/>
      <c r="AL4" s="1638" t="str">
        <f t="shared" ref="AL4:AL12" si="0">I4</f>
        <v>Quantity: class size of…</v>
      </c>
      <c r="AM4" s="1638"/>
      <c r="AN4" s="1656" t="str">
        <f t="shared" ref="AN4:AN12" si="1">G4</f>
        <v>Retail</v>
      </c>
      <c r="AO4" s="1638"/>
      <c r="AP4" s="1639"/>
      <c r="AQ4" s="1656" t="str">
        <f>Q4</f>
        <v>Online Ext Costs: Class size of…</v>
      </c>
      <c r="AR4" s="1638"/>
      <c r="AS4" s="1657"/>
      <c r="AT4" s="20"/>
      <c r="AU4" s="3"/>
      <c r="AV4" s="3"/>
    </row>
    <row r="5" spans="1:48" ht="57" customHeight="1" thickBot="1" x14ac:dyDescent="0.3">
      <c r="A5" s="432" t="s">
        <v>704</v>
      </c>
      <c r="B5" s="433" t="s">
        <v>547</v>
      </c>
      <c r="C5" s="433" t="s">
        <v>786</v>
      </c>
      <c r="D5" s="433" t="s">
        <v>65</v>
      </c>
      <c r="E5" s="433" t="s">
        <v>133</v>
      </c>
      <c r="F5" s="433" t="s">
        <v>2</v>
      </c>
      <c r="G5" s="1224" t="s">
        <v>567</v>
      </c>
      <c r="H5" s="1348" t="s">
        <v>567</v>
      </c>
      <c r="I5" s="830">
        <v>30</v>
      </c>
      <c r="J5" s="831">
        <v>40</v>
      </c>
      <c r="K5" s="832" t="s">
        <v>161</v>
      </c>
      <c r="L5" s="832" t="s">
        <v>162</v>
      </c>
      <c r="M5" s="832" t="s">
        <v>70</v>
      </c>
      <c r="N5" s="766" t="s">
        <v>546</v>
      </c>
      <c r="O5" s="766">
        <v>30</v>
      </c>
      <c r="P5" s="766">
        <v>40</v>
      </c>
      <c r="Q5" s="766" t="s">
        <v>546</v>
      </c>
      <c r="R5" s="766">
        <v>30</v>
      </c>
      <c r="S5" s="766">
        <v>40</v>
      </c>
      <c r="T5" s="766" t="s">
        <v>70</v>
      </c>
      <c r="U5" s="766" t="s">
        <v>757</v>
      </c>
      <c r="V5" s="833" t="s">
        <v>758</v>
      </c>
      <c r="W5" s="1347" t="s">
        <v>756</v>
      </c>
      <c r="X5" s="834" t="s">
        <v>82</v>
      </c>
      <c r="Y5" s="835" t="s">
        <v>199</v>
      </c>
      <c r="Z5" s="770" t="s">
        <v>79</v>
      </c>
      <c r="AA5" s="770" t="s">
        <v>80</v>
      </c>
      <c r="AB5" s="836" t="s">
        <v>197</v>
      </c>
      <c r="AC5" s="836" t="s">
        <v>198</v>
      </c>
      <c r="AD5" s="836" t="s">
        <v>200</v>
      </c>
      <c r="AE5" s="770" t="s">
        <v>79</v>
      </c>
      <c r="AF5" s="770" t="s">
        <v>80</v>
      </c>
      <c r="AI5" s="196" t="str">
        <f t="shared" ref="AI5:AI14" si="2">A5</f>
        <v>Items to purchase</v>
      </c>
      <c r="AJ5" s="197" t="str">
        <f t="shared" ref="AJ5:AK12" si="3">D5</f>
        <v>Re usable</v>
      </c>
      <c r="AK5" s="198" t="str">
        <f t="shared" si="3"/>
        <v>Store Type</v>
      </c>
      <c r="AL5" s="199">
        <f t="shared" si="0"/>
        <v>30</v>
      </c>
      <c r="AM5" s="200">
        <f t="shared" ref="AM5:AM12" si="4">J5</f>
        <v>40</v>
      </c>
      <c r="AN5" s="201" t="str">
        <f t="shared" si="1"/>
        <v>Ea.</v>
      </c>
      <c r="AO5" s="202">
        <f t="shared" ref="AO5:AO13" si="5">O5</f>
        <v>30</v>
      </c>
      <c r="AP5" s="203">
        <f t="shared" ref="AP5:AP13" si="6">P5</f>
        <v>40</v>
      </c>
      <c r="AQ5" s="202" t="str">
        <f t="shared" ref="AQ5:AQ12" si="7">H5</f>
        <v>Ea.</v>
      </c>
      <c r="AR5" s="202">
        <f>R5</f>
        <v>30</v>
      </c>
      <c r="AS5" s="204">
        <f>S5</f>
        <v>40</v>
      </c>
      <c r="AU5" s="382" t="str">
        <f t="shared" ref="AU5:AU12" si="8">A5</f>
        <v>Items to purchase</v>
      </c>
      <c r="AV5" s="383" t="str">
        <f t="shared" ref="AV5:AV12" si="9">F5</f>
        <v>Notes</v>
      </c>
    </row>
    <row r="6" spans="1:48" ht="102.75" customHeight="1" x14ac:dyDescent="0.25">
      <c r="A6" s="889" t="s">
        <v>705</v>
      </c>
      <c r="B6" s="886" t="s">
        <v>564</v>
      </c>
      <c r="C6" s="619" t="s">
        <v>788</v>
      </c>
      <c r="D6" s="533" t="s">
        <v>66</v>
      </c>
      <c r="E6" s="619" t="s">
        <v>713</v>
      </c>
      <c r="F6" s="619" t="s">
        <v>258</v>
      </c>
      <c r="G6" s="711">
        <v>8</v>
      </c>
      <c r="H6" s="711">
        <v>10</v>
      </c>
      <c r="I6" s="732">
        <v>4</v>
      </c>
      <c r="J6" s="732">
        <v>6</v>
      </c>
      <c r="K6" s="733">
        <v>0</v>
      </c>
      <c r="L6" s="1475">
        <f>4/30</f>
        <v>0.13333333333333333</v>
      </c>
      <c r="M6" s="732">
        <f t="shared" ref="M6:M12" si="10">ROUNDUP(K6+(L6*M$3),0)</f>
        <v>4</v>
      </c>
      <c r="N6" s="694">
        <f t="shared" ref="N6:N12" si="11">M6*G6</f>
        <v>32</v>
      </c>
      <c r="O6" s="694">
        <f>I6*G6</f>
        <v>32</v>
      </c>
      <c r="P6" s="694">
        <f>G6*J6</f>
        <v>48</v>
      </c>
      <c r="Q6" s="694">
        <f t="shared" ref="Q6:Q12" si="12">H6*M6</f>
        <v>40</v>
      </c>
      <c r="R6" s="694">
        <f t="shared" ref="R6:R12" si="13">H6*I6</f>
        <v>40</v>
      </c>
      <c r="S6" s="694">
        <f t="shared" ref="S6:S12" si="14">H6*J6</f>
        <v>60</v>
      </c>
      <c r="T6" s="732">
        <f>IF(D6="yes",0,M6)</f>
        <v>0</v>
      </c>
      <c r="U6" s="694">
        <f>T6*G6</f>
        <v>0</v>
      </c>
      <c r="V6" s="694">
        <f>T6*H6</f>
        <v>0</v>
      </c>
      <c r="W6" s="807">
        <v>1</v>
      </c>
      <c r="X6" s="807">
        <v>0</v>
      </c>
      <c r="Y6" s="807">
        <f>W6+ROUNDUP(AC$3/Y$3*X6,0)</f>
        <v>1</v>
      </c>
      <c r="Z6" s="696">
        <f>Y6*G6</f>
        <v>8</v>
      </c>
      <c r="AA6" s="696">
        <f>Y6*H6</f>
        <v>10</v>
      </c>
      <c r="AB6" s="743">
        <v>1</v>
      </c>
      <c r="AC6" s="743">
        <f>AB6*AF$3</f>
        <v>1</v>
      </c>
      <c r="AD6" s="743">
        <f t="shared" ref="AD6:AD12" si="15">MAX(Y6-AC6,0)</f>
        <v>0</v>
      </c>
      <c r="AE6" s="720">
        <f>AD6*G6</f>
        <v>0</v>
      </c>
      <c r="AF6" s="721">
        <f>AD6*H6</f>
        <v>0</v>
      </c>
      <c r="AI6" s="207" t="str">
        <f t="shared" si="2"/>
        <v>"MDF" Particle board</v>
      </c>
      <c r="AJ6" s="210" t="str">
        <f t="shared" si="3"/>
        <v>yes</v>
      </c>
      <c r="AK6" s="210" t="str">
        <f t="shared" si="3"/>
        <v>Home Improvement;
Hardware;
Some variety</v>
      </c>
      <c r="AL6" s="211">
        <f t="shared" si="0"/>
        <v>4</v>
      </c>
      <c r="AM6" s="211">
        <f t="shared" si="4"/>
        <v>6</v>
      </c>
      <c r="AN6" s="211">
        <f t="shared" si="1"/>
        <v>8</v>
      </c>
      <c r="AO6" s="194">
        <f t="shared" si="5"/>
        <v>32</v>
      </c>
      <c r="AP6" s="212">
        <f t="shared" si="6"/>
        <v>48</v>
      </c>
      <c r="AQ6" s="194">
        <f t="shared" si="7"/>
        <v>10</v>
      </c>
      <c r="AR6" s="209">
        <f t="shared" ref="AR6:AR7" si="16">R6</f>
        <v>40</v>
      </c>
      <c r="AS6" s="208">
        <f t="shared" ref="AS6:AS7" si="17">S6</f>
        <v>60</v>
      </c>
      <c r="AU6" s="378" t="str">
        <f t="shared" si="8"/>
        <v>"MDF" Particle board</v>
      </c>
      <c r="AV6" s="379" t="str">
        <f t="shared" si="9"/>
        <v>Buy 8 foot boards and have the store pre-cut them into thirds -- giving you 3 ramps of about 32 inches each.  Class of 30 needs 12 ramps.  Class of 40 needs 16. No reasonable online alternative found.</v>
      </c>
    </row>
    <row r="7" spans="1:48" ht="77.25" customHeight="1" x14ac:dyDescent="0.25">
      <c r="A7" s="620" t="s">
        <v>706</v>
      </c>
      <c r="B7" s="887" t="s">
        <v>563</v>
      </c>
      <c r="C7" s="442">
        <v>150</v>
      </c>
      <c r="D7" s="441" t="s">
        <v>212</v>
      </c>
      <c r="E7" s="437" t="s">
        <v>714</v>
      </c>
      <c r="F7" s="437" t="s">
        <v>785</v>
      </c>
      <c r="G7" s="698">
        <v>2</v>
      </c>
      <c r="H7" s="698">
        <v>1.75</v>
      </c>
      <c r="I7" s="735">
        <v>1</v>
      </c>
      <c r="J7" s="735">
        <v>1</v>
      </c>
      <c r="K7" s="736">
        <v>0</v>
      </c>
      <c r="L7" s="1227">
        <v>0.03</v>
      </c>
      <c r="M7" s="735">
        <f t="shared" si="10"/>
        <v>1</v>
      </c>
      <c r="N7" s="699">
        <f t="shared" si="11"/>
        <v>2</v>
      </c>
      <c r="O7" s="699">
        <f>I7*G7</f>
        <v>2</v>
      </c>
      <c r="P7" s="699">
        <f>G7*J7</f>
        <v>2</v>
      </c>
      <c r="Q7" s="699">
        <f t="shared" si="12"/>
        <v>1.75</v>
      </c>
      <c r="R7" s="699">
        <f t="shared" si="13"/>
        <v>1.75</v>
      </c>
      <c r="S7" s="699">
        <f t="shared" si="14"/>
        <v>1.75</v>
      </c>
      <c r="T7" s="732">
        <f t="shared" ref="T7:T12" si="18">IF(D7="yes",0,M7)</f>
        <v>1</v>
      </c>
      <c r="U7" s="694">
        <f t="shared" ref="U7:U12" si="19">T7*G7</f>
        <v>2</v>
      </c>
      <c r="V7" s="694">
        <f t="shared" ref="V7:V12" si="20">T7*H7</f>
        <v>1.75</v>
      </c>
      <c r="W7" s="808">
        <v>1</v>
      </c>
      <c r="X7" s="808">
        <v>0</v>
      </c>
      <c r="Y7" s="808">
        <f>W7+ROUNDUP(AC$3/Y$3*X7,0)</f>
        <v>1</v>
      </c>
      <c r="Z7" s="701">
        <f>Y7*G7</f>
        <v>2</v>
      </c>
      <c r="AA7" s="701">
        <f>Y7*H7</f>
        <v>1.75</v>
      </c>
      <c r="AB7" s="744">
        <v>1</v>
      </c>
      <c r="AC7" s="744">
        <f>AB7*AF$3</f>
        <v>1</v>
      </c>
      <c r="AD7" s="744">
        <f t="shared" si="15"/>
        <v>0</v>
      </c>
      <c r="AE7" s="722">
        <f>AD7*G7</f>
        <v>0</v>
      </c>
      <c r="AF7" s="723">
        <f>AD7*H7</f>
        <v>0</v>
      </c>
      <c r="AI7" s="287" t="str">
        <f t="shared" si="2"/>
        <v>Wooden craft sticks</v>
      </c>
      <c r="AJ7" s="206" t="str">
        <f t="shared" si="3"/>
        <v>no</v>
      </c>
      <c r="AK7" s="206" t="str">
        <f t="shared" si="3"/>
        <v>Craft;
Dollar;
Variety</v>
      </c>
      <c r="AL7" s="188">
        <f t="shared" si="0"/>
        <v>1</v>
      </c>
      <c r="AM7" s="188">
        <f t="shared" si="4"/>
        <v>1</v>
      </c>
      <c r="AN7" s="188">
        <f t="shared" si="1"/>
        <v>2</v>
      </c>
      <c r="AO7" s="189">
        <f t="shared" si="5"/>
        <v>2</v>
      </c>
      <c r="AP7" s="189">
        <f t="shared" si="6"/>
        <v>2</v>
      </c>
      <c r="AQ7" s="189">
        <f t="shared" si="7"/>
        <v>1.75</v>
      </c>
      <c r="AR7" s="189">
        <f t="shared" si="16"/>
        <v>1.75</v>
      </c>
      <c r="AS7" s="190">
        <f t="shared" si="17"/>
        <v>1.75</v>
      </c>
      <c r="AU7" s="376" t="str">
        <f t="shared" si="8"/>
        <v>Wooden craft sticks</v>
      </c>
      <c r="AV7" s="380" t="str">
        <f t="shared" si="9"/>
        <v xml:space="preserve"> Online has various options, 75-150 count; www.flowerfactory.com; various sizes including coffee stirrers, tongue depressors, spoons could all work. Michaels has a “Woodsies” value set that contains 10 different kinds of wood sticks and spoons, 750 pcs total.</v>
      </c>
    </row>
    <row r="8" spans="1:48" ht="50.25" customHeight="1" x14ac:dyDescent="0.25">
      <c r="A8" s="890" t="s">
        <v>3</v>
      </c>
      <c r="B8" s="888" t="s">
        <v>580</v>
      </c>
      <c r="C8" s="764" t="s">
        <v>772</v>
      </c>
      <c r="D8" s="571" t="s">
        <v>212</v>
      </c>
      <c r="E8" s="437" t="s">
        <v>715</v>
      </c>
      <c r="F8" s="442" t="s">
        <v>145</v>
      </c>
      <c r="G8" s="698">
        <v>1</v>
      </c>
      <c r="H8" s="698">
        <v>1</v>
      </c>
      <c r="I8" s="735">
        <v>1</v>
      </c>
      <c r="J8" s="735">
        <v>1</v>
      </c>
      <c r="K8" s="736">
        <v>1</v>
      </c>
      <c r="L8" s="736">
        <v>0</v>
      </c>
      <c r="M8" s="735">
        <f t="shared" si="10"/>
        <v>1</v>
      </c>
      <c r="N8" s="699">
        <f t="shared" si="11"/>
        <v>1</v>
      </c>
      <c r="O8" s="699">
        <f>I8*G8</f>
        <v>1</v>
      </c>
      <c r="P8" s="699">
        <f t="shared" ref="P8:P9" si="21">G8*J8</f>
        <v>1</v>
      </c>
      <c r="Q8" s="699">
        <f t="shared" si="12"/>
        <v>1</v>
      </c>
      <c r="R8" s="699">
        <f t="shared" si="13"/>
        <v>1</v>
      </c>
      <c r="S8" s="699">
        <f t="shared" si="14"/>
        <v>1</v>
      </c>
      <c r="T8" s="732">
        <f t="shared" si="18"/>
        <v>1</v>
      </c>
      <c r="U8" s="694">
        <f t="shared" si="19"/>
        <v>1</v>
      </c>
      <c r="V8" s="694">
        <f t="shared" si="20"/>
        <v>1</v>
      </c>
      <c r="W8" s="808">
        <v>1</v>
      </c>
      <c r="X8" s="808">
        <v>0</v>
      </c>
      <c r="Y8" s="808">
        <f>W8+ROUNDUP(AC$3/Y$3*X8,0)</f>
        <v>1</v>
      </c>
      <c r="Z8" s="701">
        <f>Y8*G8</f>
        <v>1</v>
      </c>
      <c r="AA8" s="701">
        <f>Y8*H8</f>
        <v>1</v>
      </c>
      <c r="AB8" s="744">
        <v>1</v>
      </c>
      <c r="AC8" s="744">
        <f>AB8*AF$3</f>
        <v>1</v>
      </c>
      <c r="AD8" s="744">
        <f t="shared" si="15"/>
        <v>0</v>
      </c>
      <c r="AE8" s="722">
        <f>AD8*G8</f>
        <v>0</v>
      </c>
      <c r="AF8" s="723">
        <f>AD8*H8</f>
        <v>0</v>
      </c>
      <c r="AI8" s="214" t="str">
        <f t="shared" si="2"/>
        <v>Straws</v>
      </c>
      <c r="AJ8" s="206" t="str">
        <f t="shared" si="3"/>
        <v>no</v>
      </c>
      <c r="AK8" s="206" t="str">
        <f t="shared" si="3"/>
        <v>Dollar;
Craft</v>
      </c>
      <c r="AL8" s="188">
        <f t="shared" si="0"/>
        <v>1</v>
      </c>
      <c r="AM8" s="188">
        <f t="shared" si="4"/>
        <v>1</v>
      </c>
      <c r="AN8" s="188">
        <f t="shared" si="1"/>
        <v>1</v>
      </c>
      <c r="AO8" s="189">
        <f t="shared" si="5"/>
        <v>1</v>
      </c>
      <c r="AP8" s="189">
        <f t="shared" si="6"/>
        <v>1</v>
      </c>
      <c r="AQ8" s="189">
        <f t="shared" si="7"/>
        <v>1</v>
      </c>
      <c r="AR8" s="189">
        <f t="shared" ref="AR8:AR13" si="22">R8</f>
        <v>1</v>
      </c>
      <c r="AS8" s="190">
        <f t="shared" ref="AS8:AS13" si="23">S8</f>
        <v>1</v>
      </c>
      <c r="AU8" s="376" t="str">
        <f t="shared" si="8"/>
        <v>Straws</v>
      </c>
      <c r="AV8" s="380" t="str">
        <f t="shared" si="9"/>
        <v>online www.flowerfactory.com</v>
      </c>
    </row>
    <row r="9" spans="1:48" s="29" customFormat="1" ht="38.25" x14ac:dyDescent="0.25">
      <c r="A9" s="890" t="s">
        <v>403</v>
      </c>
      <c r="B9" s="888"/>
      <c r="C9" s="764" t="s">
        <v>787</v>
      </c>
      <c r="D9" s="571" t="s">
        <v>212</v>
      </c>
      <c r="E9" s="437" t="s">
        <v>146</v>
      </c>
      <c r="F9" s="442" t="s">
        <v>581</v>
      </c>
      <c r="G9" s="698">
        <v>1.79</v>
      </c>
      <c r="H9" s="698">
        <v>1.79</v>
      </c>
      <c r="I9" s="735">
        <v>1</v>
      </c>
      <c r="J9" s="735">
        <v>1</v>
      </c>
      <c r="K9" s="736">
        <v>1</v>
      </c>
      <c r="L9" s="736">
        <v>0</v>
      </c>
      <c r="M9" s="735">
        <f t="shared" si="10"/>
        <v>1</v>
      </c>
      <c r="N9" s="699">
        <f t="shared" si="11"/>
        <v>1.79</v>
      </c>
      <c r="O9" s="699">
        <f>I9*G9</f>
        <v>1.79</v>
      </c>
      <c r="P9" s="699">
        <f t="shared" si="21"/>
        <v>1.79</v>
      </c>
      <c r="Q9" s="699">
        <f t="shared" si="12"/>
        <v>1.79</v>
      </c>
      <c r="R9" s="699">
        <f t="shared" si="13"/>
        <v>1.79</v>
      </c>
      <c r="S9" s="699">
        <f t="shared" si="14"/>
        <v>1.79</v>
      </c>
      <c r="T9" s="732">
        <f t="shared" si="18"/>
        <v>1</v>
      </c>
      <c r="U9" s="694">
        <f t="shared" si="19"/>
        <v>1.79</v>
      </c>
      <c r="V9" s="694">
        <f t="shared" si="20"/>
        <v>1.79</v>
      </c>
      <c r="W9" s="808"/>
      <c r="X9" s="808"/>
      <c r="Y9" s="808"/>
      <c r="Z9" s="701"/>
      <c r="AA9" s="701"/>
      <c r="AB9" s="744"/>
      <c r="AC9" s="744"/>
      <c r="AD9" s="744"/>
      <c r="AE9" s="722"/>
      <c r="AF9" s="723"/>
      <c r="AI9" s="323" t="str">
        <f t="shared" si="2"/>
        <v>Masking tape</v>
      </c>
      <c r="AJ9" s="289" t="str">
        <f t="shared" si="3"/>
        <v>no</v>
      </c>
      <c r="AK9" s="289" t="str">
        <f t="shared" si="3"/>
        <v>Craft</v>
      </c>
      <c r="AL9" s="290">
        <f t="shared" si="0"/>
        <v>1</v>
      </c>
      <c r="AM9" s="290">
        <f t="shared" si="4"/>
        <v>1</v>
      </c>
      <c r="AN9" s="290">
        <f t="shared" si="1"/>
        <v>1.79</v>
      </c>
      <c r="AO9" s="291">
        <f t="shared" si="5"/>
        <v>1.79</v>
      </c>
      <c r="AP9" s="291">
        <f t="shared" si="6"/>
        <v>1.79</v>
      </c>
      <c r="AQ9" s="291">
        <f t="shared" si="7"/>
        <v>1.79</v>
      </c>
      <c r="AR9" s="291">
        <f t="shared" si="22"/>
        <v>1.79</v>
      </c>
      <c r="AS9" s="292">
        <f t="shared" si="23"/>
        <v>1.79</v>
      </c>
      <c r="AU9" s="376" t="str">
        <f t="shared" si="8"/>
        <v>Masking tape</v>
      </c>
      <c r="AV9" s="380" t="str">
        <f t="shared" si="9"/>
        <v>online www.flowerfactory.com, office supply stores. Dollar store tape did not stick well enough</v>
      </c>
    </row>
    <row r="10" spans="1:48" ht="83.25" customHeight="1" x14ac:dyDescent="0.25">
      <c r="A10" s="890" t="s">
        <v>709</v>
      </c>
      <c r="B10" s="888" t="s">
        <v>707</v>
      </c>
      <c r="C10" s="442">
        <v>25</v>
      </c>
      <c r="D10" s="441" t="s">
        <v>66</v>
      </c>
      <c r="E10" s="437" t="s">
        <v>163</v>
      </c>
      <c r="F10" s="765" t="s">
        <v>168</v>
      </c>
      <c r="G10" s="698">
        <v>10</v>
      </c>
      <c r="H10" s="698">
        <v>10</v>
      </c>
      <c r="I10" s="735">
        <v>2</v>
      </c>
      <c r="J10" s="735">
        <v>3</v>
      </c>
      <c r="K10" s="736">
        <v>1</v>
      </c>
      <c r="L10" s="1227">
        <v>0.03</v>
      </c>
      <c r="M10" s="735">
        <f t="shared" si="10"/>
        <v>2</v>
      </c>
      <c r="N10" s="699">
        <f t="shared" si="11"/>
        <v>20</v>
      </c>
      <c r="O10" s="699">
        <f>I10*G10</f>
        <v>20</v>
      </c>
      <c r="P10" s="699">
        <f t="shared" ref="P10" si="24">G10*J10</f>
        <v>30</v>
      </c>
      <c r="Q10" s="699">
        <f t="shared" si="12"/>
        <v>20</v>
      </c>
      <c r="R10" s="699">
        <f t="shared" si="13"/>
        <v>20</v>
      </c>
      <c r="S10" s="699">
        <f t="shared" si="14"/>
        <v>30</v>
      </c>
      <c r="T10" s="732">
        <f t="shared" si="18"/>
        <v>0</v>
      </c>
      <c r="U10" s="694">
        <f t="shared" si="19"/>
        <v>0</v>
      </c>
      <c r="V10" s="694">
        <f t="shared" si="20"/>
        <v>0</v>
      </c>
      <c r="W10" s="808">
        <v>1</v>
      </c>
      <c r="X10" s="808">
        <v>0</v>
      </c>
      <c r="Y10" s="808">
        <f>W10+ROUNDUP(AC$3/Y$3*X10,0)</f>
        <v>1</v>
      </c>
      <c r="Z10" s="701">
        <f>Y10*G10</f>
        <v>10</v>
      </c>
      <c r="AA10" s="701">
        <f>Y10*H10</f>
        <v>10</v>
      </c>
      <c r="AB10" s="744">
        <v>1</v>
      </c>
      <c r="AC10" s="744">
        <f>AB10*AF$3</f>
        <v>1</v>
      </c>
      <c r="AD10" s="744">
        <f t="shared" si="15"/>
        <v>0</v>
      </c>
      <c r="AE10" s="722">
        <f>AD10*G10</f>
        <v>0</v>
      </c>
      <c r="AF10" s="723">
        <f>AD10*H10</f>
        <v>0</v>
      </c>
      <c r="AI10" s="213" t="str">
        <f t="shared" si="2"/>
        <v>LEGO 20-tooth black double conical wheels</v>
      </c>
      <c r="AJ10" s="206" t="str">
        <f t="shared" si="3"/>
        <v>yes</v>
      </c>
      <c r="AK10" s="206" t="str">
        <f t="shared" si="3"/>
        <v>LEGO Education Website</v>
      </c>
      <c r="AL10" s="188">
        <f t="shared" si="0"/>
        <v>2</v>
      </c>
      <c r="AM10" s="188">
        <f t="shared" si="4"/>
        <v>3</v>
      </c>
      <c r="AN10" s="188">
        <f t="shared" si="1"/>
        <v>10</v>
      </c>
      <c r="AO10" s="189">
        <f t="shared" si="5"/>
        <v>20</v>
      </c>
      <c r="AP10" s="189">
        <f t="shared" si="6"/>
        <v>30</v>
      </c>
      <c r="AQ10" s="189">
        <f t="shared" si="7"/>
        <v>10</v>
      </c>
      <c r="AR10" s="189">
        <f t="shared" si="22"/>
        <v>20</v>
      </c>
      <c r="AS10" s="190">
        <f t="shared" si="23"/>
        <v>30</v>
      </c>
      <c r="AU10" s="376" t="str">
        <f t="shared" si="8"/>
        <v>LEGO 20-tooth black double conical wheels</v>
      </c>
      <c r="AV10" s="380" t="str">
        <f t="shared" si="9"/>
        <v xml:space="preserve">http://www.legoeducation.us/eng/product/20_tooth_double_conical_wheels/865 </v>
      </c>
    </row>
    <row r="11" spans="1:48" ht="81.75" customHeight="1" x14ac:dyDescent="0.25">
      <c r="A11" s="890" t="s">
        <v>710</v>
      </c>
      <c r="B11" s="888" t="s">
        <v>708</v>
      </c>
      <c r="C11" s="1415" t="s">
        <v>789</v>
      </c>
      <c r="D11" s="441" t="s">
        <v>66</v>
      </c>
      <c r="E11" s="437" t="s">
        <v>163</v>
      </c>
      <c r="F11" s="442" t="s">
        <v>716</v>
      </c>
      <c r="G11" s="698">
        <v>10</v>
      </c>
      <c r="H11" s="698">
        <v>10</v>
      </c>
      <c r="I11" s="735">
        <v>2</v>
      </c>
      <c r="J11" s="735">
        <v>3</v>
      </c>
      <c r="K11" s="736">
        <v>1</v>
      </c>
      <c r="L11" s="1227">
        <v>0.03</v>
      </c>
      <c r="M11" s="735">
        <f t="shared" si="10"/>
        <v>2</v>
      </c>
      <c r="N11" s="699">
        <f t="shared" si="11"/>
        <v>20</v>
      </c>
      <c r="O11" s="699">
        <f t="shared" ref="O11:O12" si="25">I11*G11</f>
        <v>20</v>
      </c>
      <c r="P11" s="699">
        <f t="shared" ref="P11:P12" si="26">G11*J11</f>
        <v>30</v>
      </c>
      <c r="Q11" s="699">
        <f t="shared" si="12"/>
        <v>20</v>
      </c>
      <c r="R11" s="699">
        <f t="shared" si="13"/>
        <v>20</v>
      </c>
      <c r="S11" s="699">
        <f t="shared" si="14"/>
        <v>30</v>
      </c>
      <c r="T11" s="732">
        <f t="shared" si="18"/>
        <v>0</v>
      </c>
      <c r="U11" s="694">
        <f t="shared" si="19"/>
        <v>0</v>
      </c>
      <c r="V11" s="694">
        <f t="shared" si="20"/>
        <v>0</v>
      </c>
      <c r="W11" s="808">
        <v>1</v>
      </c>
      <c r="X11" s="808">
        <v>0</v>
      </c>
      <c r="Y11" s="808">
        <f>W11+ROUNDUP(AC$3/Y$3*X11,0)</f>
        <v>1</v>
      </c>
      <c r="Z11" s="701">
        <f>Y11*G11</f>
        <v>10</v>
      </c>
      <c r="AA11" s="701">
        <f>Y11*H11</f>
        <v>10</v>
      </c>
      <c r="AB11" s="744">
        <v>1</v>
      </c>
      <c r="AC11" s="744">
        <f>AB11*AF$3</f>
        <v>1</v>
      </c>
      <c r="AD11" s="744">
        <f t="shared" si="15"/>
        <v>0</v>
      </c>
      <c r="AE11" s="722">
        <f>AD11*G11</f>
        <v>0</v>
      </c>
      <c r="AF11" s="723">
        <f>AD11*H11</f>
        <v>0</v>
      </c>
      <c r="AI11" s="213" t="str">
        <f t="shared" si="2"/>
        <v>LEGO 12-tooth black double conical wheels</v>
      </c>
      <c r="AJ11" s="206" t="str">
        <f t="shared" si="3"/>
        <v>yes</v>
      </c>
      <c r="AK11" s="206" t="str">
        <f t="shared" si="3"/>
        <v>LEGO Education Website</v>
      </c>
      <c r="AL11" s="188">
        <f t="shared" si="0"/>
        <v>2</v>
      </c>
      <c r="AM11" s="188">
        <f t="shared" si="4"/>
        <v>3</v>
      </c>
      <c r="AN11" s="188">
        <f t="shared" si="1"/>
        <v>10</v>
      </c>
      <c r="AO11" s="189">
        <f t="shared" si="5"/>
        <v>20</v>
      </c>
      <c r="AP11" s="189">
        <f t="shared" si="6"/>
        <v>30</v>
      </c>
      <c r="AQ11" s="189">
        <f t="shared" si="7"/>
        <v>10</v>
      </c>
      <c r="AR11" s="189">
        <f t="shared" si="22"/>
        <v>20</v>
      </c>
      <c r="AS11" s="190">
        <f t="shared" si="23"/>
        <v>30</v>
      </c>
      <c r="AU11" s="376" t="str">
        <f t="shared" si="8"/>
        <v>LEGO 12-tooth black double conical wheels</v>
      </c>
      <c r="AV11" s="380" t="str">
        <f t="shared" si="9"/>
        <v>These are the small wheels:
http://www.legoeducation.us/eng/product/12_tooth_black_double_conical_wheels/1320</v>
      </c>
    </row>
    <row r="12" spans="1:48" ht="48" thickBot="1" x14ac:dyDescent="0.3">
      <c r="A12" s="891" t="s">
        <v>711</v>
      </c>
      <c r="B12" s="887" t="s">
        <v>712</v>
      </c>
      <c r="C12" s="1416" t="s">
        <v>790</v>
      </c>
      <c r="D12" s="439" t="s">
        <v>66</v>
      </c>
      <c r="E12" s="574" t="s">
        <v>163</v>
      </c>
      <c r="F12" s="784" t="s">
        <v>165</v>
      </c>
      <c r="G12" s="698">
        <v>10</v>
      </c>
      <c r="H12" s="703">
        <v>10</v>
      </c>
      <c r="I12" s="738">
        <v>1</v>
      </c>
      <c r="J12" s="738">
        <v>2</v>
      </c>
      <c r="K12" s="736">
        <v>1</v>
      </c>
      <c r="L12" s="1227">
        <v>0.03</v>
      </c>
      <c r="M12" s="738">
        <f t="shared" si="10"/>
        <v>2</v>
      </c>
      <c r="N12" s="704">
        <f t="shared" si="11"/>
        <v>20</v>
      </c>
      <c r="O12" s="699">
        <f t="shared" si="25"/>
        <v>10</v>
      </c>
      <c r="P12" s="699">
        <f t="shared" si="26"/>
        <v>20</v>
      </c>
      <c r="Q12" s="704">
        <f t="shared" si="12"/>
        <v>20</v>
      </c>
      <c r="R12" s="704">
        <f t="shared" si="13"/>
        <v>10</v>
      </c>
      <c r="S12" s="704">
        <f t="shared" si="14"/>
        <v>20</v>
      </c>
      <c r="T12" s="732">
        <f t="shared" si="18"/>
        <v>0</v>
      </c>
      <c r="U12" s="694">
        <f t="shared" si="19"/>
        <v>0</v>
      </c>
      <c r="V12" s="694">
        <f t="shared" si="20"/>
        <v>0</v>
      </c>
      <c r="W12" s="809">
        <v>1</v>
      </c>
      <c r="X12" s="809">
        <v>0</v>
      </c>
      <c r="Y12" s="809">
        <f>W12+ROUNDUP(AC$3/Y$3*X12,0)</f>
        <v>1</v>
      </c>
      <c r="Z12" s="706">
        <f>Y12*G12</f>
        <v>10</v>
      </c>
      <c r="AA12" s="706">
        <f>Y12*H12</f>
        <v>10</v>
      </c>
      <c r="AB12" s="745">
        <v>1</v>
      </c>
      <c r="AC12" s="745">
        <f>AB12*AF$3</f>
        <v>1</v>
      </c>
      <c r="AD12" s="745">
        <f t="shared" si="15"/>
        <v>0</v>
      </c>
      <c r="AE12" s="724">
        <f>AD12*G12</f>
        <v>0</v>
      </c>
      <c r="AF12" s="725">
        <f>AD12*H12</f>
        <v>0</v>
      </c>
      <c r="AI12" s="213" t="str">
        <f t="shared" si="2"/>
        <v>Lego axles size 6M</v>
      </c>
      <c r="AJ12" s="206" t="str">
        <f t="shared" si="3"/>
        <v>yes</v>
      </c>
      <c r="AK12" s="206" t="str">
        <f t="shared" si="3"/>
        <v>LEGO Education Website</v>
      </c>
      <c r="AL12" s="188">
        <f t="shared" si="0"/>
        <v>1</v>
      </c>
      <c r="AM12" s="188">
        <f t="shared" si="4"/>
        <v>2</v>
      </c>
      <c r="AN12" s="188">
        <f t="shared" si="1"/>
        <v>10</v>
      </c>
      <c r="AO12" s="216">
        <f t="shared" si="5"/>
        <v>10</v>
      </c>
      <c r="AP12" s="216">
        <f t="shared" si="6"/>
        <v>20</v>
      </c>
      <c r="AQ12" s="216">
        <f t="shared" si="7"/>
        <v>10</v>
      </c>
      <c r="AR12" s="216">
        <f t="shared" si="22"/>
        <v>10</v>
      </c>
      <c r="AS12" s="190">
        <f t="shared" si="23"/>
        <v>20</v>
      </c>
      <c r="AU12" s="377" t="str">
        <f t="shared" si="8"/>
        <v>Lego axles size 6M</v>
      </c>
      <c r="AV12" s="381" t="str">
        <f t="shared" si="9"/>
        <v>http://www.legoeducation.us/eng/product/detail/2233?sku=W970614</v>
      </c>
    </row>
    <row r="13" spans="1:48" ht="16.5" thickBot="1" x14ac:dyDescent="0.3">
      <c r="A13" s="789" t="s">
        <v>105</v>
      </c>
      <c r="B13" s="686"/>
      <c r="C13" s="686"/>
      <c r="D13" s="686"/>
      <c r="E13" s="686"/>
      <c r="F13" s="686"/>
      <c r="G13" s="1226"/>
      <c r="H13" s="1226"/>
      <c r="I13" s="804"/>
      <c r="J13" s="804"/>
      <c r="K13" s="804"/>
      <c r="L13" s="804"/>
      <c r="M13" s="804"/>
      <c r="N13" s="790">
        <f t="shared" ref="N13:V13" si="27">SUM(N6:N12)</f>
        <v>96.789999999999992</v>
      </c>
      <c r="O13" s="790">
        <f t="shared" si="27"/>
        <v>86.789999999999992</v>
      </c>
      <c r="P13" s="790">
        <f t="shared" si="27"/>
        <v>132.79</v>
      </c>
      <c r="Q13" s="790">
        <f t="shared" si="27"/>
        <v>104.53999999999999</v>
      </c>
      <c r="R13" s="790">
        <f t="shared" si="27"/>
        <v>94.539999999999992</v>
      </c>
      <c r="S13" s="790">
        <f t="shared" si="27"/>
        <v>144.54000000000002</v>
      </c>
      <c r="T13" s="790"/>
      <c r="U13" s="790">
        <f t="shared" si="27"/>
        <v>4.79</v>
      </c>
      <c r="V13" s="790">
        <f t="shared" si="27"/>
        <v>4.54</v>
      </c>
      <c r="W13" s="810"/>
      <c r="X13" s="810"/>
      <c r="Y13" s="810"/>
      <c r="Z13" s="791">
        <f>SUM(Z6:Z12)</f>
        <v>41</v>
      </c>
      <c r="AA13" s="791">
        <f>SUM(AA6:AA12)</f>
        <v>42.75</v>
      </c>
      <c r="AB13" s="810"/>
      <c r="AC13" s="810"/>
      <c r="AD13" s="810"/>
      <c r="AE13" s="791">
        <f>SUM(AE6:AE12)</f>
        <v>0</v>
      </c>
      <c r="AF13" s="792">
        <f>SUM(AF6:AF12)</f>
        <v>0</v>
      </c>
      <c r="AH13" s="20"/>
      <c r="AI13" s="1650" t="str">
        <f t="shared" si="2"/>
        <v>Subtotal</v>
      </c>
      <c r="AJ13" s="1651"/>
      <c r="AK13" s="1651"/>
      <c r="AL13" s="1651"/>
      <c r="AM13" s="1652"/>
      <c r="AN13" s="223"/>
      <c r="AO13" s="186">
        <f t="shared" si="5"/>
        <v>86.789999999999992</v>
      </c>
      <c r="AP13" s="186">
        <f t="shared" si="6"/>
        <v>132.79</v>
      </c>
      <c r="AQ13" s="195"/>
      <c r="AR13" s="186">
        <f t="shared" si="22"/>
        <v>94.539999999999992</v>
      </c>
      <c r="AS13" s="187">
        <f t="shared" si="23"/>
        <v>144.54000000000002</v>
      </c>
      <c r="AU13" s="317"/>
      <c r="AV13" s="384"/>
    </row>
    <row r="14" spans="1:48" ht="38.25" customHeight="1" x14ac:dyDescent="0.25">
      <c r="A14" s="1675" t="s">
        <v>166</v>
      </c>
      <c r="B14" s="785" t="s">
        <v>167</v>
      </c>
      <c r="C14" s="785"/>
      <c r="D14" s="785"/>
      <c r="E14" s="785"/>
      <c r="F14" s="785"/>
      <c r="G14" s="711"/>
      <c r="H14" s="711"/>
      <c r="I14" s="732"/>
      <c r="J14" s="732"/>
      <c r="K14" s="732"/>
      <c r="L14" s="732"/>
      <c r="M14" s="732"/>
      <c r="N14" s="694"/>
      <c r="O14" s="694"/>
      <c r="P14" s="694"/>
      <c r="Q14" s="786">
        <f>IF(Q13&gt;0,8,0)</f>
        <v>8</v>
      </c>
      <c r="R14" s="786">
        <f>IF(R13&gt;0,8,0)</f>
        <v>8</v>
      </c>
      <c r="S14" s="786">
        <f>IF(S13&gt;0,8,0)</f>
        <v>8</v>
      </c>
      <c r="T14" s="786"/>
      <c r="U14" s="786"/>
      <c r="V14" s="786"/>
      <c r="W14" s="807"/>
      <c r="X14" s="807"/>
      <c r="Y14" s="807"/>
      <c r="Z14" s="696"/>
      <c r="AA14" s="787">
        <f>IF(AA13&gt;0,8,0)</f>
        <v>8</v>
      </c>
      <c r="AB14" s="807"/>
      <c r="AC14" s="807"/>
      <c r="AD14" s="807"/>
      <c r="AE14" s="787"/>
      <c r="AF14" s="788">
        <f>IF(AF13&gt;0,8,0)</f>
        <v>0</v>
      </c>
      <c r="AH14" s="20"/>
      <c r="AI14" s="1650" t="str">
        <f t="shared" si="2"/>
        <v>Shipping costs</v>
      </c>
      <c r="AJ14" s="1651"/>
      <c r="AK14" s="1651"/>
      <c r="AL14" s="1651"/>
      <c r="AM14" s="1652"/>
      <c r="AN14" s="225"/>
      <c r="AO14" s="217"/>
      <c r="AP14" s="217"/>
      <c r="AQ14" s="226"/>
      <c r="AR14" s="217"/>
      <c r="AS14" s="220"/>
      <c r="AU14" s="317"/>
      <c r="AV14" s="384"/>
    </row>
    <row r="15" spans="1:48" ht="41.25" customHeight="1" thickBot="1" x14ac:dyDescent="0.3">
      <c r="A15" s="1676"/>
      <c r="B15" s="778" t="s">
        <v>324</v>
      </c>
      <c r="C15" s="778"/>
      <c r="D15" s="778"/>
      <c r="E15" s="778"/>
      <c r="F15" s="778"/>
      <c r="G15" s="703"/>
      <c r="H15" s="703"/>
      <c r="I15" s="738"/>
      <c r="J15" s="738"/>
      <c r="K15" s="738"/>
      <c r="L15" s="738"/>
      <c r="M15" s="738"/>
      <c r="N15" s="704"/>
      <c r="O15" s="704"/>
      <c r="P15" s="704"/>
      <c r="Q15" s="704">
        <v>6.6</v>
      </c>
      <c r="R15" s="704">
        <v>6.6</v>
      </c>
      <c r="S15" s="704">
        <v>6.6</v>
      </c>
      <c r="T15" s="704"/>
      <c r="U15" s="704"/>
      <c r="V15" s="704">
        <v>6.6</v>
      </c>
      <c r="W15" s="809"/>
      <c r="X15" s="809"/>
      <c r="Y15" s="809"/>
      <c r="Z15" s="706"/>
      <c r="AA15" s="779">
        <v>6.6</v>
      </c>
      <c r="AB15" s="809"/>
      <c r="AC15" s="809"/>
      <c r="AD15" s="809"/>
      <c r="AE15" s="779"/>
      <c r="AF15" s="815"/>
      <c r="AH15" s="20"/>
      <c r="AI15" s="1653" t="str">
        <f>B14</f>
        <v>LEGO ed; &lt;$99 -- $8; &lt;$500 -- 7%</v>
      </c>
      <c r="AJ15" s="1654"/>
      <c r="AK15" s="1654"/>
      <c r="AL15" s="1654"/>
      <c r="AM15" s="1655"/>
      <c r="AN15" s="224"/>
      <c r="AO15" s="189">
        <f>O14</f>
        <v>0</v>
      </c>
      <c r="AP15" s="189">
        <f>P14</f>
        <v>0</v>
      </c>
      <c r="AQ15" s="221"/>
      <c r="AR15" s="189">
        <f>R14</f>
        <v>8</v>
      </c>
      <c r="AS15" s="190">
        <f>S14</f>
        <v>8</v>
      </c>
      <c r="AU15" s="317"/>
      <c r="AV15" s="384"/>
    </row>
    <row r="16" spans="1:48" ht="30" customHeight="1" x14ac:dyDescent="0.25">
      <c r="A16" s="1673" t="s">
        <v>5</v>
      </c>
      <c r="B16" s="780" t="s">
        <v>170</v>
      </c>
      <c r="C16" s="780"/>
      <c r="D16" s="780"/>
      <c r="E16" s="780"/>
      <c r="F16" s="780"/>
      <c r="G16" s="995"/>
      <c r="H16" s="995"/>
      <c r="I16" s="805"/>
      <c r="J16" s="805"/>
      <c r="K16" s="805"/>
      <c r="L16" s="805"/>
      <c r="M16" s="805"/>
      <c r="N16" s="782">
        <f>N13</f>
        <v>96.789999999999992</v>
      </c>
      <c r="O16" s="782">
        <f t="shared" ref="O16:P16" si="28">O13</f>
        <v>86.789999999999992</v>
      </c>
      <c r="P16" s="782">
        <f t="shared" si="28"/>
        <v>132.79</v>
      </c>
      <c r="Q16" s="781"/>
      <c r="R16" s="781"/>
      <c r="S16" s="781"/>
      <c r="T16" s="781"/>
      <c r="U16" s="782">
        <f t="shared" ref="U16" si="29">U13</f>
        <v>4.79</v>
      </c>
      <c r="V16" s="781"/>
      <c r="W16" s="811"/>
      <c r="X16" s="811"/>
      <c r="Y16" s="811"/>
      <c r="Z16" s="783">
        <f>Z6+AA13+AA14</f>
        <v>58.75</v>
      </c>
      <c r="AA16" s="814"/>
      <c r="AB16" s="811"/>
      <c r="AC16" s="811"/>
      <c r="AD16" s="811"/>
      <c r="AE16" s="783">
        <f>AE6+AF13+AF14</f>
        <v>0</v>
      </c>
      <c r="AF16" s="816"/>
      <c r="AH16" s="20"/>
      <c r="AI16" s="1653" t="str">
        <f>B15</f>
        <v>www.flowerfactory.com -- &lt;$20 = $6.60; &lt;$35 = $8.80; &lt;$50 = $9.90; &lt;$75 = $12.65</v>
      </c>
      <c r="AJ16" s="1654"/>
      <c r="AK16" s="1654"/>
      <c r="AL16" s="1654"/>
      <c r="AM16" s="1655"/>
      <c r="AN16" s="224"/>
      <c r="AO16" s="189">
        <f>O15</f>
        <v>0</v>
      </c>
      <c r="AP16" s="189">
        <f>P15</f>
        <v>0</v>
      </c>
      <c r="AQ16" s="221"/>
      <c r="AR16" s="189">
        <f>R15</f>
        <v>6.6</v>
      </c>
      <c r="AS16" s="190">
        <f>S15</f>
        <v>6.6</v>
      </c>
      <c r="AU16" s="317"/>
      <c r="AV16" s="384"/>
    </row>
    <row r="17" spans="1:48" ht="24" customHeight="1" thickBot="1" x14ac:dyDescent="0.3">
      <c r="A17" s="1674"/>
      <c r="B17" s="774" t="s">
        <v>169</v>
      </c>
      <c r="C17" s="774"/>
      <c r="D17" s="774"/>
      <c r="E17" s="774"/>
      <c r="F17" s="774"/>
      <c r="G17" s="1048"/>
      <c r="H17" s="1225"/>
      <c r="I17" s="806"/>
      <c r="J17" s="806"/>
      <c r="K17" s="806"/>
      <c r="L17" s="806"/>
      <c r="M17" s="806"/>
      <c r="N17" s="775" t="s">
        <v>132</v>
      </c>
      <c r="O17" s="775" t="s">
        <v>132</v>
      </c>
      <c r="P17" s="775" t="s">
        <v>132</v>
      </c>
      <c r="Q17" s="775">
        <f t="shared" ref="Q17:R17" si="30">Q13+Q14+Q15</f>
        <v>119.13999999999999</v>
      </c>
      <c r="R17" s="775">
        <f t="shared" si="30"/>
        <v>109.13999999999999</v>
      </c>
      <c r="S17" s="775">
        <f>S13+S14+S15</f>
        <v>159.14000000000001</v>
      </c>
      <c r="T17" s="775"/>
      <c r="U17" s="775"/>
      <c r="V17" s="775">
        <f>V13+V14+V15</f>
        <v>11.14</v>
      </c>
      <c r="W17" s="812"/>
      <c r="X17" s="813"/>
      <c r="Y17" s="813"/>
      <c r="Z17" s="776" t="s">
        <v>132</v>
      </c>
      <c r="AA17" s="776">
        <f>Z13+AA10+AA11+AA12+AA14+AA15</f>
        <v>85.6</v>
      </c>
      <c r="AB17" s="813"/>
      <c r="AC17" s="813"/>
      <c r="AD17" s="813"/>
      <c r="AE17" s="776" t="s">
        <v>132</v>
      </c>
      <c r="AF17" s="777">
        <f>AE13+AF10+AF11+AF12+AF14</f>
        <v>0</v>
      </c>
      <c r="AH17" s="20"/>
      <c r="AI17" s="1650" t="str">
        <f>A16</f>
        <v>Total</v>
      </c>
      <c r="AJ17" s="1651"/>
      <c r="AK17" s="1651"/>
      <c r="AL17" s="1651"/>
      <c r="AM17" s="1652"/>
      <c r="AN17" s="224"/>
      <c r="AO17" s="189" t="e">
        <f>#REF!</f>
        <v>#REF!</v>
      </c>
      <c r="AP17" s="189" t="e">
        <f>#REF!</f>
        <v>#REF!</v>
      </c>
      <c r="AQ17" s="221"/>
      <c r="AR17" s="189" t="e">
        <f>#REF!</f>
        <v>#REF!</v>
      </c>
      <c r="AS17" s="190" t="e">
        <f>#REF!</f>
        <v>#REF!</v>
      </c>
      <c r="AU17" s="317"/>
      <c r="AV17" s="384"/>
    </row>
    <row r="18" spans="1:48" ht="18.75" customHeight="1" x14ac:dyDescent="0.25">
      <c r="A18" s="95"/>
      <c r="B18" s="95"/>
      <c r="AH18" s="20"/>
      <c r="AI18" s="1653">
        <f>F16</f>
        <v>0</v>
      </c>
      <c r="AJ18" s="1654"/>
      <c r="AK18" s="1654"/>
      <c r="AL18" s="1654"/>
      <c r="AM18" s="1655"/>
      <c r="AN18" s="224"/>
      <c r="AO18" s="186">
        <f>O16</f>
        <v>86.789999999999992</v>
      </c>
      <c r="AP18" s="186">
        <f>P16</f>
        <v>132.79</v>
      </c>
      <c r="AQ18" s="221"/>
      <c r="AR18" s="189">
        <f>R16</f>
        <v>0</v>
      </c>
      <c r="AS18" s="190">
        <f>S16</f>
        <v>0</v>
      </c>
      <c r="AU18" s="317"/>
      <c r="AV18" s="384"/>
    </row>
    <row r="19" spans="1:48" ht="21" customHeight="1" thickBot="1" x14ac:dyDescent="0.3">
      <c r="AH19" s="20"/>
      <c r="AI19" s="1658">
        <f>F17</f>
        <v>0</v>
      </c>
      <c r="AJ19" s="1659"/>
      <c r="AK19" s="1659"/>
      <c r="AL19" s="1659"/>
      <c r="AM19" s="1660"/>
      <c r="AN19" s="225"/>
      <c r="AO19" s="228" t="str">
        <f t="shared" ref="AO19" si="31">N17</f>
        <v xml:space="preserve"> </v>
      </c>
      <c r="AP19" s="228" t="str">
        <f t="shared" ref="AP19" si="32">O17</f>
        <v xml:space="preserve"> </v>
      </c>
      <c r="AQ19" s="222"/>
      <c r="AR19" s="202">
        <f>R17</f>
        <v>109.13999999999999</v>
      </c>
      <c r="AS19" s="219">
        <f>S17</f>
        <v>159.14000000000001</v>
      </c>
      <c r="AU19" s="317"/>
      <c r="AV19" s="384"/>
    </row>
    <row r="20" spans="1:48" x14ac:dyDescent="0.25">
      <c r="AN20" s="227"/>
      <c r="AO20" s="227"/>
      <c r="AP20" s="227"/>
      <c r="AU20" s="317"/>
      <c r="AV20" s="318"/>
    </row>
    <row r="21" spans="1:48" x14ac:dyDescent="0.25">
      <c r="AU21" s="317"/>
      <c r="AV21" s="318"/>
    </row>
    <row r="22" spans="1:48" x14ac:dyDescent="0.25">
      <c r="AU22" s="317"/>
      <c r="AV22" s="318"/>
    </row>
    <row r="23" spans="1:48" x14ac:dyDescent="0.25">
      <c r="AU23" s="317"/>
      <c r="AV23" s="318"/>
    </row>
    <row r="24" spans="1:48" x14ac:dyDescent="0.25">
      <c r="AU24" s="317"/>
      <c r="AV24" s="318"/>
    </row>
    <row r="25" spans="1:48" x14ac:dyDescent="0.25">
      <c r="AU25" s="317"/>
      <c r="AV25" s="318"/>
    </row>
    <row r="26" spans="1:48" x14ac:dyDescent="0.25">
      <c r="AU26" s="317"/>
      <c r="AV26" s="318"/>
    </row>
  </sheetData>
  <mergeCells count="29">
    <mergeCell ref="A16:A17"/>
    <mergeCell ref="A14:A15"/>
    <mergeCell ref="AE4:AF4"/>
    <mergeCell ref="W2:AF2"/>
    <mergeCell ref="Z4:AA4"/>
    <mergeCell ref="AB4:AD4"/>
    <mergeCell ref="W4:Y4"/>
    <mergeCell ref="N3:S3"/>
    <mergeCell ref="T3:V3"/>
    <mergeCell ref="A1:F1"/>
    <mergeCell ref="I4:J4"/>
    <mergeCell ref="K4:M4"/>
    <mergeCell ref="A2:F2"/>
    <mergeCell ref="G3:H3"/>
    <mergeCell ref="I2:S2"/>
    <mergeCell ref="N4:P4"/>
    <mergeCell ref="Q4:S4"/>
    <mergeCell ref="AI17:AM17"/>
    <mergeCell ref="AI18:AM18"/>
    <mergeCell ref="AI19:AM19"/>
    <mergeCell ref="AI4:AK4"/>
    <mergeCell ref="AL4:AM4"/>
    <mergeCell ref="AI3:AS3"/>
    <mergeCell ref="AI13:AM13"/>
    <mergeCell ref="AI14:AM14"/>
    <mergeCell ref="AI15:AM15"/>
    <mergeCell ref="AI16:AM16"/>
    <mergeCell ref="AN4:AP4"/>
    <mergeCell ref="AQ4:AS4"/>
  </mergeCells>
  <hyperlinks>
    <hyperlink ref="F12" r:id="rId1"/>
    <hyperlink ref="F10" r:id="rId2"/>
    <hyperlink ref="B15" r:id="rId3" display="www.flowerfactory.com"/>
  </hyperlinks>
  <pageMargins left="0.7" right="0.7" top="0.75" bottom="0.75" header="0.3" footer="0.3"/>
  <pageSetup scale="78" orientation="portrait"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22"/>
  <sheetViews>
    <sheetView zoomScale="85" zoomScaleNormal="85" workbookViewId="0">
      <pane xSplit="1" ySplit="5" topLeftCell="F12" activePane="bottomRight" state="frozen"/>
      <selection activeCell="A2" sqref="A2:F2"/>
      <selection pane="topRight" activeCell="A2" sqref="A2:F2"/>
      <selection pane="bottomLeft" activeCell="A2" sqref="A2:F2"/>
      <selection pane="bottomRight" activeCell="Y16" sqref="Y16"/>
    </sheetView>
  </sheetViews>
  <sheetFormatPr defaultRowHeight="15" x14ac:dyDescent="0.25"/>
  <cols>
    <col min="1" max="1" width="24.7109375" customWidth="1"/>
    <col min="2" max="2" width="18.28515625" customWidth="1"/>
    <col min="4" max="4" width="20.85546875" customWidth="1"/>
    <col min="5" max="5" width="30.85546875" customWidth="1"/>
    <col min="13" max="13" width="9.7109375" customWidth="1"/>
    <col min="16" max="16" width="9.7109375" customWidth="1"/>
    <col min="25" max="26" width="10.7109375" customWidth="1"/>
    <col min="35" max="35" width="18.140625" customWidth="1"/>
    <col min="37" max="37" width="13.42578125" customWidth="1"/>
    <col min="47" max="47" width="18.28515625" customWidth="1"/>
    <col min="48" max="48" width="43" customWidth="1"/>
  </cols>
  <sheetData>
    <row r="1" spans="1:48" ht="30" customHeight="1" x14ac:dyDescent="0.35">
      <c r="A1" s="817" t="s">
        <v>695</v>
      </c>
      <c r="B1" s="818"/>
      <c r="C1" s="818"/>
      <c r="D1" s="818"/>
      <c r="E1" s="818"/>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row>
    <row r="2" spans="1:48" s="424" customFormat="1" ht="30" customHeight="1" thickBot="1" x14ac:dyDescent="0.3">
      <c r="A2" s="1699" t="s">
        <v>560</v>
      </c>
      <c r="B2" s="1699"/>
      <c r="C2" s="1699"/>
      <c r="D2" s="1699"/>
      <c r="E2" s="1699"/>
      <c r="F2" s="1234"/>
      <c r="G2" s="1234"/>
      <c r="H2" s="1702" t="s">
        <v>747</v>
      </c>
      <c r="I2" s="1702"/>
      <c r="J2" s="1702"/>
      <c r="K2" s="1702"/>
      <c r="L2" s="1702"/>
      <c r="M2" s="1702"/>
      <c r="N2" s="1702"/>
      <c r="O2" s="1702"/>
      <c r="P2" s="1702"/>
      <c r="Q2" s="1702"/>
      <c r="R2" s="1702"/>
      <c r="S2" s="1374"/>
      <c r="T2" s="1374"/>
      <c r="U2" s="1374"/>
      <c r="V2" s="1701" t="s">
        <v>692</v>
      </c>
      <c r="W2" s="1701"/>
      <c r="X2" s="1701"/>
      <c r="Y2" s="1701"/>
      <c r="Z2" s="1701"/>
      <c r="AA2" s="1701"/>
      <c r="AB2" s="1701"/>
      <c r="AC2" s="1701"/>
      <c r="AD2" s="1701"/>
      <c r="AE2" s="1701"/>
      <c r="AI2" s="425" t="s">
        <v>559</v>
      </c>
      <c r="AU2" s="425" t="s">
        <v>607</v>
      </c>
    </row>
    <row r="3" spans="1:48" ht="41.25" customHeight="1" thickBot="1" x14ac:dyDescent="0.3">
      <c r="A3" s="1235" t="s">
        <v>729</v>
      </c>
      <c r="B3" s="1236"/>
      <c r="C3" s="1236"/>
      <c r="D3" s="1236"/>
      <c r="E3" s="1236"/>
      <c r="F3" s="1703" t="s">
        <v>748</v>
      </c>
      <c r="G3" s="1703"/>
      <c r="H3" s="1237"/>
      <c r="I3" s="1238"/>
      <c r="J3" s="1239"/>
      <c r="K3" s="1240"/>
      <c r="L3" s="1241" t="s">
        <v>749</v>
      </c>
      <c r="M3" s="1242">
        <f>Budget!$D$43</f>
        <v>30</v>
      </c>
      <c r="N3" s="1241"/>
      <c r="O3" s="1242"/>
      <c r="P3" s="1238"/>
      <c r="Q3" s="1243"/>
      <c r="R3" s="1243"/>
      <c r="S3" s="1704" t="s">
        <v>766</v>
      </c>
      <c r="T3" s="1705"/>
      <c r="U3" s="1706"/>
      <c r="V3" s="1251"/>
      <c r="W3" s="1252" t="s">
        <v>99</v>
      </c>
      <c r="X3" s="1253">
        <f>Budget!C28</f>
        <v>3</v>
      </c>
      <c r="Y3" s="1251"/>
      <c r="Z3" s="1251"/>
      <c r="AA3" s="1252" t="s">
        <v>100</v>
      </c>
      <c r="AB3" s="1253">
        <f>Budget!B28</f>
        <v>10</v>
      </c>
      <c r="AC3" s="1254"/>
      <c r="AD3" s="1255" t="s">
        <v>196</v>
      </c>
      <c r="AE3" s="1256">
        <f>Budget!I7</f>
        <v>1</v>
      </c>
      <c r="AI3" s="1688" t="s">
        <v>570</v>
      </c>
      <c r="AJ3" s="1689"/>
      <c r="AK3" s="1689"/>
      <c r="AL3" s="1689"/>
      <c r="AM3" s="1689"/>
      <c r="AN3" s="1689"/>
      <c r="AO3" s="1689"/>
      <c r="AP3" s="1689"/>
      <c r="AQ3" s="1689"/>
      <c r="AR3" s="1689"/>
      <c r="AS3" s="1690"/>
    </row>
    <row r="4" spans="1:48" ht="35.25" customHeight="1" thickBot="1" x14ac:dyDescent="0.3">
      <c r="A4" s="1244"/>
      <c r="B4" s="1244"/>
      <c r="C4" s="1244"/>
      <c r="D4" s="1244"/>
      <c r="E4" s="1244"/>
      <c r="F4" s="1245" t="s">
        <v>79</v>
      </c>
      <c r="G4" s="1246" t="s">
        <v>80</v>
      </c>
      <c r="H4" s="1695" t="s">
        <v>571</v>
      </c>
      <c r="I4" s="1695"/>
      <c r="J4" s="1696" t="s">
        <v>267</v>
      </c>
      <c r="K4" s="1695"/>
      <c r="L4" s="1695"/>
      <c r="M4" s="1645" t="s">
        <v>565</v>
      </c>
      <c r="N4" s="1645"/>
      <c r="O4" s="1645"/>
      <c r="P4" s="1698" t="s">
        <v>566</v>
      </c>
      <c r="Q4" s="1698"/>
      <c r="R4" s="1698"/>
      <c r="S4" s="766"/>
      <c r="T4" s="766"/>
      <c r="U4" s="833"/>
      <c r="V4" s="1697" t="s">
        <v>70</v>
      </c>
      <c r="W4" s="1697"/>
      <c r="X4" s="1697"/>
      <c r="Y4" s="1697" t="s">
        <v>204</v>
      </c>
      <c r="Z4" s="1697"/>
      <c r="AA4" s="1700" t="s">
        <v>70</v>
      </c>
      <c r="AB4" s="1700"/>
      <c r="AC4" s="1700"/>
      <c r="AD4" s="1700" t="s">
        <v>205</v>
      </c>
      <c r="AE4" s="1700"/>
      <c r="AI4" s="1637" t="str">
        <f>A2</f>
        <v>Item Information</v>
      </c>
      <c r="AJ4" s="1638"/>
      <c r="AK4" s="1657"/>
      <c r="AL4" s="1637" t="str">
        <f t="shared" ref="AL4:AL14" si="0">H4</f>
        <v>Quantity: Class size of…</v>
      </c>
      <c r="AM4" s="1657"/>
      <c r="AN4" s="1691" t="str">
        <f t="shared" ref="AN4:AN16" si="1">F4</f>
        <v>Retail</v>
      </c>
      <c r="AO4" s="1638"/>
      <c r="AP4" s="1638"/>
      <c r="AQ4" s="1692" t="str">
        <f t="shared" ref="AQ4:AQ16" si="2">G4</f>
        <v>Online</v>
      </c>
      <c r="AR4" s="1638"/>
      <c r="AS4" s="1657"/>
    </row>
    <row r="5" spans="1:48" ht="42.75" customHeight="1" thickBot="1" x14ac:dyDescent="0.3">
      <c r="A5" s="1247" t="s">
        <v>172</v>
      </c>
      <c r="B5" s="1247" t="s">
        <v>777</v>
      </c>
      <c r="C5" s="1247" t="s">
        <v>65</v>
      </c>
      <c r="D5" s="1247" t="s">
        <v>133</v>
      </c>
      <c r="E5" s="1247" t="s">
        <v>2</v>
      </c>
      <c r="F5" s="1248" t="s">
        <v>567</v>
      </c>
      <c r="G5" s="1248" t="s">
        <v>567</v>
      </c>
      <c r="H5" s="1249">
        <v>30</v>
      </c>
      <c r="I5" s="1249">
        <v>40</v>
      </c>
      <c r="J5" s="1250" t="s">
        <v>161</v>
      </c>
      <c r="K5" s="1250" t="s">
        <v>162</v>
      </c>
      <c r="L5" s="1250" t="s">
        <v>70</v>
      </c>
      <c r="M5" s="1250" t="s">
        <v>546</v>
      </c>
      <c r="N5" s="1250">
        <v>30</v>
      </c>
      <c r="O5" s="1250">
        <v>40</v>
      </c>
      <c r="P5" s="1250" t="s">
        <v>546</v>
      </c>
      <c r="Q5" s="1250">
        <v>30</v>
      </c>
      <c r="R5" s="1250">
        <v>40</v>
      </c>
      <c r="S5" s="766" t="s">
        <v>70</v>
      </c>
      <c r="T5" s="766" t="s">
        <v>757</v>
      </c>
      <c r="U5" s="833" t="s">
        <v>758</v>
      </c>
      <c r="V5" s="1257" t="s">
        <v>83</v>
      </c>
      <c r="W5" s="1257" t="s">
        <v>82</v>
      </c>
      <c r="X5" s="1258" t="s">
        <v>199</v>
      </c>
      <c r="Y5" s="1258" t="s">
        <v>79</v>
      </c>
      <c r="Z5" s="1258" t="s">
        <v>80</v>
      </c>
      <c r="AA5" s="1258" t="s">
        <v>197</v>
      </c>
      <c r="AB5" s="1258" t="s">
        <v>198</v>
      </c>
      <c r="AC5" s="1258" t="s">
        <v>200</v>
      </c>
      <c r="AD5" s="1258" t="s">
        <v>79</v>
      </c>
      <c r="AE5" s="1258" t="s">
        <v>80</v>
      </c>
      <c r="AI5" s="205" t="str">
        <f t="shared" ref="AI5:AI16" si="3">A5</f>
        <v xml:space="preserve">Item to purchase </v>
      </c>
      <c r="AJ5" s="197" t="str">
        <f t="shared" ref="AJ5:AJ14" si="4">C5</f>
        <v>Re usable</v>
      </c>
      <c r="AK5" s="233" t="str">
        <f t="shared" ref="AK5:AK14" si="5">D5</f>
        <v>Store Type</v>
      </c>
      <c r="AL5" s="230">
        <f t="shared" si="0"/>
        <v>30</v>
      </c>
      <c r="AM5" s="198">
        <f t="shared" ref="AM5:AM14" si="6">I5</f>
        <v>40</v>
      </c>
      <c r="AN5" s="235" t="str">
        <f t="shared" si="1"/>
        <v>Ea.</v>
      </c>
      <c r="AO5" s="234">
        <f t="shared" ref="AO5:AO16" si="7">N5</f>
        <v>30</v>
      </c>
      <c r="AP5" s="232">
        <f t="shared" ref="AP5:AP16" si="8">O5</f>
        <v>40</v>
      </c>
      <c r="AQ5" s="235" t="str">
        <f t="shared" si="2"/>
        <v>Ea.</v>
      </c>
      <c r="AR5" s="197">
        <f>Q5</f>
        <v>30</v>
      </c>
      <c r="AS5" s="233">
        <f>R5</f>
        <v>40</v>
      </c>
      <c r="AU5" s="319" t="str">
        <f t="shared" ref="AU5:AU15" si="9">A5</f>
        <v xml:space="preserve">Item to purchase </v>
      </c>
      <c r="AV5" s="320" t="str">
        <f t="shared" ref="AV5:AV15" si="10">E5</f>
        <v>Notes</v>
      </c>
    </row>
    <row r="6" spans="1:48" ht="95.25" thickBot="1" x14ac:dyDescent="0.3">
      <c r="A6" s="1232" t="s">
        <v>8</v>
      </c>
      <c r="B6" s="892" t="s">
        <v>791</v>
      </c>
      <c r="C6" s="1233" t="s">
        <v>212</v>
      </c>
      <c r="D6" s="759" t="s">
        <v>9</v>
      </c>
      <c r="E6" s="759" t="s">
        <v>69</v>
      </c>
      <c r="F6" s="760">
        <v>4.5</v>
      </c>
      <c r="G6" s="760">
        <v>25</v>
      </c>
      <c r="H6" s="861">
        <v>1</v>
      </c>
      <c r="I6" s="861">
        <v>1</v>
      </c>
      <c r="J6" s="862">
        <f>H6-K6*30</f>
        <v>1</v>
      </c>
      <c r="K6" s="862">
        <f>(I6-H6)/10</f>
        <v>0</v>
      </c>
      <c r="L6" s="861">
        <f>ROUNDUP(J6+(K6*M$3),0)</f>
        <v>1</v>
      </c>
      <c r="M6" s="839">
        <f t="shared" ref="M6:M14" si="11">L6*F6</f>
        <v>4.5</v>
      </c>
      <c r="N6" s="839">
        <f t="shared" ref="N6:N14" si="12">H6*F6</f>
        <v>4.5</v>
      </c>
      <c r="O6" s="839">
        <f t="shared" ref="O6:O14" si="13">I6*F6</f>
        <v>4.5</v>
      </c>
      <c r="P6" s="839">
        <f t="shared" ref="P6:P14" si="14">G6*L6</f>
        <v>25</v>
      </c>
      <c r="Q6" s="839">
        <f t="shared" ref="Q6:Q14" si="15">G6*H6</f>
        <v>25</v>
      </c>
      <c r="R6" s="839">
        <f t="shared" ref="R6:R14" si="16">G6*I6</f>
        <v>25</v>
      </c>
      <c r="S6" s="732">
        <f>IF(C6="yes",0,L6)</f>
        <v>1</v>
      </c>
      <c r="T6" s="694">
        <f>S6*F6</f>
        <v>4.5</v>
      </c>
      <c r="U6" s="694">
        <f>S6*G6</f>
        <v>25</v>
      </c>
      <c r="V6" s="853">
        <v>1</v>
      </c>
      <c r="W6" s="853">
        <v>0</v>
      </c>
      <c r="X6" s="853">
        <f t="shared" ref="X6:X12" si="17">V6+ROUNDUP(AB$3/X$3*W6,0)</f>
        <v>1</v>
      </c>
      <c r="Y6" s="843">
        <f t="shared" ref="Y6:Y11" si="18">X6*F6</f>
        <v>4.5</v>
      </c>
      <c r="Z6" s="843">
        <f t="shared" ref="Z6:Z12" si="19">X6*G6</f>
        <v>25</v>
      </c>
      <c r="AA6" s="853">
        <v>1</v>
      </c>
      <c r="AB6" s="853">
        <f t="shared" ref="AB6:AB12" si="20">AA6*AE$3</f>
        <v>1</v>
      </c>
      <c r="AC6" s="853">
        <f t="shared" ref="AC6:AC14" si="21">MAX(X6-AB6,0)</f>
        <v>0</v>
      </c>
      <c r="AD6" s="846">
        <f t="shared" ref="AD6:AD11" si="22">AC6*F6</f>
        <v>0</v>
      </c>
      <c r="AE6" s="847">
        <f>AC6*G6</f>
        <v>0</v>
      </c>
      <c r="AI6" s="244" t="str">
        <f t="shared" si="3"/>
        <v>Sand</v>
      </c>
      <c r="AJ6" s="238" t="str">
        <f t="shared" si="4"/>
        <v>no</v>
      </c>
      <c r="AK6" s="191" t="str">
        <f t="shared" si="5"/>
        <v>Fred Myer (summer only). Hardware store (year-round)</v>
      </c>
      <c r="AL6" s="239">
        <f t="shared" si="0"/>
        <v>1</v>
      </c>
      <c r="AM6" s="192">
        <f t="shared" si="6"/>
        <v>1</v>
      </c>
      <c r="AN6" s="209">
        <f t="shared" si="1"/>
        <v>4.5</v>
      </c>
      <c r="AO6" s="209">
        <f t="shared" si="7"/>
        <v>4.5</v>
      </c>
      <c r="AP6" s="193">
        <f t="shared" si="8"/>
        <v>4.5</v>
      </c>
      <c r="AQ6" s="209">
        <f t="shared" si="2"/>
        <v>25</v>
      </c>
      <c r="AR6" s="193">
        <f t="shared" ref="AR6:AR16" si="23">Q6</f>
        <v>25</v>
      </c>
      <c r="AS6" s="236">
        <f t="shared" ref="AS6:AS16" si="24">R6</f>
        <v>25</v>
      </c>
      <c r="AU6" s="321" t="str">
        <f t="shared" si="9"/>
        <v>Sand</v>
      </c>
      <c r="AV6" s="322" t="str">
        <f t="shared" si="10"/>
        <v>Although it is a little more expensive, colored sand is an option.  Color choices often make engineering projects more exciting for students</v>
      </c>
    </row>
    <row r="7" spans="1:48" ht="90.75" thickBot="1" x14ac:dyDescent="0.3">
      <c r="A7" s="899" t="s">
        <v>582</v>
      </c>
      <c r="B7" s="893" t="s">
        <v>792</v>
      </c>
      <c r="C7" s="459" t="s">
        <v>212</v>
      </c>
      <c r="D7" s="458" t="s">
        <v>25</v>
      </c>
      <c r="E7" s="458" t="s">
        <v>583</v>
      </c>
      <c r="F7" s="763">
        <v>3</v>
      </c>
      <c r="G7" s="763">
        <v>3.99</v>
      </c>
      <c r="H7" s="863">
        <v>2</v>
      </c>
      <c r="I7" s="863">
        <v>3</v>
      </c>
      <c r="J7" s="864">
        <f t="shared" ref="J7:J14" si="25">H7-K7*30</f>
        <v>-1</v>
      </c>
      <c r="K7" s="864">
        <f t="shared" ref="K7:K14" si="26">(I7-H7)/10</f>
        <v>0.1</v>
      </c>
      <c r="L7" s="861">
        <f>ROUNDUP(J7+(K7*M$3),0)</f>
        <v>2</v>
      </c>
      <c r="M7" s="761">
        <f t="shared" si="11"/>
        <v>6</v>
      </c>
      <c r="N7" s="761">
        <f t="shared" si="12"/>
        <v>6</v>
      </c>
      <c r="O7" s="761">
        <f t="shared" si="13"/>
        <v>9</v>
      </c>
      <c r="P7" s="761">
        <f t="shared" si="14"/>
        <v>7.98</v>
      </c>
      <c r="Q7" s="761">
        <f t="shared" si="15"/>
        <v>7.98</v>
      </c>
      <c r="R7" s="761">
        <f t="shared" si="16"/>
        <v>11.97</v>
      </c>
      <c r="S7" s="732">
        <f t="shared" ref="S7:S14" si="27">IF(C7="yes",0,L7)</f>
        <v>2</v>
      </c>
      <c r="T7" s="694">
        <f t="shared" ref="T7:T14" si="28">S7*F7</f>
        <v>6</v>
      </c>
      <c r="U7" s="694">
        <f t="shared" ref="U7:U14" si="29">S7*G7</f>
        <v>7.98</v>
      </c>
      <c r="V7" s="854">
        <v>1</v>
      </c>
      <c r="W7" s="854">
        <v>0</v>
      </c>
      <c r="X7" s="854">
        <f t="shared" si="17"/>
        <v>1</v>
      </c>
      <c r="Y7" s="762">
        <f t="shared" si="18"/>
        <v>3</v>
      </c>
      <c r="Z7" s="762">
        <f t="shared" si="19"/>
        <v>3.99</v>
      </c>
      <c r="AA7" s="854">
        <v>1</v>
      </c>
      <c r="AB7" s="854">
        <f t="shared" si="20"/>
        <v>1</v>
      </c>
      <c r="AC7" s="854">
        <f t="shared" si="21"/>
        <v>0</v>
      </c>
      <c r="AD7" s="848">
        <f t="shared" si="22"/>
        <v>0</v>
      </c>
      <c r="AE7" s="849">
        <f>AC7*G7</f>
        <v>0</v>
      </c>
      <c r="AI7" s="231" t="str">
        <f t="shared" si="3"/>
        <v>Garden or aquarium gravel</v>
      </c>
      <c r="AJ7" s="206" t="str">
        <f t="shared" si="4"/>
        <v>no</v>
      </c>
      <c r="AK7" s="206" t="str">
        <f t="shared" si="5"/>
        <v>Petco/ Fred Meyer</v>
      </c>
      <c r="AL7" s="188">
        <f t="shared" si="0"/>
        <v>2</v>
      </c>
      <c r="AM7" s="188">
        <f t="shared" si="6"/>
        <v>3</v>
      </c>
      <c r="AN7" s="189">
        <f t="shared" si="1"/>
        <v>3</v>
      </c>
      <c r="AO7" s="189">
        <f t="shared" si="7"/>
        <v>6</v>
      </c>
      <c r="AP7" s="189">
        <f t="shared" si="8"/>
        <v>9</v>
      </c>
      <c r="AQ7" s="189">
        <f t="shared" si="2"/>
        <v>3.99</v>
      </c>
      <c r="AR7" s="189">
        <f t="shared" si="23"/>
        <v>7.98</v>
      </c>
      <c r="AS7" s="190">
        <f t="shared" si="24"/>
        <v>11.97</v>
      </c>
      <c r="AU7" s="321" t="str">
        <f t="shared" si="9"/>
        <v>Garden or aquarium gravel</v>
      </c>
      <c r="AV7" s="322" t="str">
        <f t="shared" si="10"/>
        <v>Aquarium gravel comes in a variety of colors. Color choices often make engineering projects more exciting for students. Aquarium gravel is dust-free if allergies are a concern</v>
      </c>
    </row>
    <row r="8" spans="1:48" ht="45.75" thickBot="1" x14ac:dyDescent="0.3">
      <c r="A8" s="899" t="s">
        <v>78</v>
      </c>
      <c r="B8" s="894" t="s">
        <v>793</v>
      </c>
      <c r="C8" s="824" t="s">
        <v>212</v>
      </c>
      <c r="D8" s="458" t="s">
        <v>584</v>
      </c>
      <c r="E8" s="458" t="s">
        <v>585</v>
      </c>
      <c r="F8" s="763">
        <v>5.5</v>
      </c>
      <c r="G8" s="763">
        <v>3.99</v>
      </c>
      <c r="H8" s="863">
        <v>1</v>
      </c>
      <c r="I8" s="863">
        <v>1</v>
      </c>
      <c r="J8" s="864">
        <f t="shared" si="25"/>
        <v>1</v>
      </c>
      <c r="K8" s="864">
        <f t="shared" si="26"/>
        <v>0</v>
      </c>
      <c r="L8" s="861">
        <f t="shared" ref="L8:L14" si="30">ROUNDUP(J8+(K8*M$3),0)</f>
        <v>1</v>
      </c>
      <c r="M8" s="761">
        <f t="shared" si="11"/>
        <v>5.5</v>
      </c>
      <c r="N8" s="761">
        <f t="shared" si="12"/>
        <v>5.5</v>
      </c>
      <c r="O8" s="761">
        <f t="shared" si="13"/>
        <v>5.5</v>
      </c>
      <c r="P8" s="761">
        <f t="shared" si="14"/>
        <v>3.99</v>
      </c>
      <c r="Q8" s="761">
        <f t="shared" si="15"/>
        <v>3.99</v>
      </c>
      <c r="R8" s="761">
        <f t="shared" si="16"/>
        <v>3.99</v>
      </c>
      <c r="S8" s="732">
        <f t="shared" si="27"/>
        <v>1</v>
      </c>
      <c r="T8" s="694">
        <f t="shared" si="28"/>
        <v>5.5</v>
      </c>
      <c r="U8" s="694">
        <f t="shared" si="29"/>
        <v>3.99</v>
      </c>
      <c r="V8" s="854">
        <v>1</v>
      </c>
      <c r="W8" s="854">
        <v>0</v>
      </c>
      <c r="X8" s="854">
        <f t="shared" si="17"/>
        <v>1</v>
      </c>
      <c r="Y8" s="762">
        <f t="shared" si="18"/>
        <v>5.5</v>
      </c>
      <c r="Z8" s="762">
        <f t="shared" si="19"/>
        <v>3.99</v>
      </c>
      <c r="AA8" s="854">
        <v>1</v>
      </c>
      <c r="AB8" s="854">
        <f t="shared" si="20"/>
        <v>1</v>
      </c>
      <c r="AC8" s="854">
        <f t="shared" si="21"/>
        <v>0</v>
      </c>
      <c r="AD8" s="848">
        <f t="shared" si="22"/>
        <v>0</v>
      </c>
      <c r="AE8" s="849">
        <f>AC8*G8</f>
        <v>0</v>
      </c>
      <c r="AI8" s="243" t="str">
        <f t="shared" si="3"/>
        <v>River Pebble / Pea Gravel</v>
      </c>
      <c r="AJ8" s="206" t="str">
        <f t="shared" si="4"/>
        <v>no</v>
      </c>
      <c r="AK8" s="206" t="str">
        <f t="shared" si="5"/>
        <v>Fred Meyer, Petco</v>
      </c>
      <c r="AL8" s="188">
        <f t="shared" si="0"/>
        <v>1</v>
      </c>
      <c r="AM8" s="188">
        <f t="shared" si="6"/>
        <v>1</v>
      </c>
      <c r="AN8" s="189">
        <f t="shared" si="1"/>
        <v>5.5</v>
      </c>
      <c r="AO8" s="189">
        <f t="shared" si="7"/>
        <v>5.5</v>
      </c>
      <c r="AP8" s="189">
        <f t="shared" si="8"/>
        <v>5.5</v>
      </c>
      <c r="AQ8" s="189">
        <f t="shared" si="2"/>
        <v>3.99</v>
      </c>
      <c r="AR8" s="189">
        <f t="shared" si="23"/>
        <v>3.99</v>
      </c>
      <c r="AS8" s="190">
        <f t="shared" si="24"/>
        <v>3.99</v>
      </c>
      <c r="AU8" s="321" t="str">
        <f t="shared" si="9"/>
        <v>River Pebble / Pea Gravel</v>
      </c>
      <c r="AV8" s="322" t="str">
        <f t="shared" si="10"/>
        <v>Colors are good, not critical. Aquarium gravel/pebble is dust-free, garden product is cheaper</v>
      </c>
    </row>
    <row r="9" spans="1:48" ht="32.25" thickBot="1" x14ac:dyDescent="0.3">
      <c r="A9" s="899" t="s">
        <v>74</v>
      </c>
      <c r="B9" s="893" t="s">
        <v>779</v>
      </c>
      <c r="C9" s="459" t="s">
        <v>212</v>
      </c>
      <c r="D9" s="458" t="s">
        <v>586</v>
      </c>
      <c r="E9" s="458" t="s">
        <v>619</v>
      </c>
      <c r="F9" s="763">
        <v>4</v>
      </c>
      <c r="G9" s="763">
        <v>4.79</v>
      </c>
      <c r="H9" s="863">
        <v>1</v>
      </c>
      <c r="I9" s="863">
        <v>1</v>
      </c>
      <c r="J9" s="864">
        <f t="shared" si="25"/>
        <v>1</v>
      </c>
      <c r="K9" s="864">
        <f t="shared" si="26"/>
        <v>0</v>
      </c>
      <c r="L9" s="861">
        <f t="shared" si="30"/>
        <v>1</v>
      </c>
      <c r="M9" s="761">
        <f t="shared" si="11"/>
        <v>4</v>
      </c>
      <c r="N9" s="761">
        <f t="shared" si="12"/>
        <v>4</v>
      </c>
      <c r="O9" s="761">
        <f t="shared" si="13"/>
        <v>4</v>
      </c>
      <c r="P9" s="761">
        <f t="shared" si="14"/>
        <v>4.79</v>
      </c>
      <c r="Q9" s="761">
        <f t="shared" si="15"/>
        <v>4.79</v>
      </c>
      <c r="R9" s="761">
        <f t="shared" si="16"/>
        <v>4.79</v>
      </c>
      <c r="S9" s="732">
        <f t="shared" si="27"/>
        <v>1</v>
      </c>
      <c r="T9" s="694">
        <f t="shared" si="28"/>
        <v>4</v>
      </c>
      <c r="U9" s="694">
        <f t="shared" si="29"/>
        <v>4.79</v>
      </c>
      <c r="V9" s="854">
        <v>1</v>
      </c>
      <c r="W9" s="854">
        <v>0</v>
      </c>
      <c r="X9" s="854">
        <f t="shared" si="17"/>
        <v>1</v>
      </c>
      <c r="Y9" s="762">
        <f t="shared" si="18"/>
        <v>4</v>
      </c>
      <c r="Z9" s="762">
        <f t="shared" si="19"/>
        <v>4.79</v>
      </c>
      <c r="AA9" s="854">
        <v>1</v>
      </c>
      <c r="AB9" s="854">
        <f t="shared" si="20"/>
        <v>1</v>
      </c>
      <c r="AC9" s="854">
        <f t="shared" si="21"/>
        <v>0</v>
      </c>
      <c r="AD9" s="848">
        <f t="shared" si="22"/>
        <v>0</v>
      </c>
      <c r="AE9" s="849">
        <f>AC9*G9</f>
        <v>0</v>
      </c>
      <c r="AI9" s="231" t="str">
        <f t="shared" si="3"/>
        <v>Small paper cups,  3oz.</v>
      </c>
      <c r="AJ9" s="206" t="str">
        <f t="shared" si="4"/>
        <v>no</v>
      </c>
      <c r="AK9" s="206" t="str">
        <f t="shared" si="5"/>
        <v>Target</v>
      </c>
      <c r="AL9" s="188">
        <f t="shared" si="0"/>
        <v>1</v>
      </c>
      <c r="AM9" s="188">
        <f t="shared" si="6"/>
        <v>1</v>
      </c>
      <c r="AN9" s="189">
        <f t="shared" si="1"/>
        <v>4</v>
      </c>
      <c r="AO9" s="189">
        <f t="shared" si="7"/>
        <v>4</v>
      </c>
      <c r="AP9" s="189">
        <f t="shared" si="8"/>
        <v>4</v>
      </c>
      <c r="AQ9" s="189">
        <f t="shared" si="2"/>
        <v>4.79</v>
      </c>
      <c r="AR9" s="189">
        <f t="shared" si="23"/>
        <v>4.79</v>
      </c>
      <c r="AS9" s="190">
        <f t="shared" si="24"/>
        <v>4.79</v>
      </c>
      <c r="AU9" s="321" t="str">
        <f t="shared" si="9"/>
        <v>Small paper cups,  3oz.</v>
      </c>
      <c r="AV9" s="322" t="str">
        <f t="shared" si="10"/>
        <v>none</v>
      </c>
    </row>
    <row r="10" spans="1:48" ht="79.5" thickBot="1" x14ac:dyDescent="0.3">
      <c r="A10" s="899" t="s">
        <v>587</v>
      </c>
      <c r="B10" s="1417" t="s">
        <v>794</v>
      </c>
      <c r="C10" s="459" t="s">
        <v>66</v>
      </c>
      <c r="D10" s="458" t="s">
        <v>176</v>
      </c>
      <c r="E10" s="458" t="s">
        <v>619</v>
      </c>
      <c r="F10" s="763">
        <v>5</v>
      </c>
      <c r="G10" s="763">
        <v>2.4900000000000002</v>
      </c>
      <c r="H10" s="863">
        <v>1</v>
      </c>
      <c r="I10" s="863">
        <v>1</v>
      </c>
      <c r="J10" s="864">
        <f t="shared" si="25"/>
        <v>1</v>
      </c>
      <c r="K10" s="864">
        <f t="shared" si="26"/>
        <v>0</v>
      </c>
      <c r="L10" s="861">
        <f t="shared" si="30"/>
        <v>1</v>
      </c>
      <c r="M10" s="761">
        <f t="shared" si="11"/>
        <v>5</v>
      </c>
      <c r="N10" s="761">
        <f t="shared" si="12"/>
        <v>5</v>
      </c>
      <c r="O10" s="761">
        <f t="shared" si="13"/>
        <v>5</v>
      </c>
      <c r="P10" s="761">
        <f t="shared" si="14"/>
        <v>2.4900000000000002</v>
      </c>
      <c r="Q10" s="761">
        <f t="shared" si="15"/>
        <v>2.4900000000000002</v>
      </c>
      <c r="R10" s="761">
        <f t="shared" si="16"/>
        <v>2.4900000000000002</v>
      </c>
      <c r="S10" s="732">
        <f t="shared" si="27"/>
        <v>0</v>
      </c>
      <c r="T10" s="694">
        <f t="shared" si="28"/>
        <v>0</v>
      </c>
      <c r="U10" s="694">
        <f t="shared" si="29"/>
        <v>0</v>
      </c>
      <c r="V10" s="854">
        <v>1</v>
      </c>
      <c r="W10" s="854">
        <v>0</v>
      </c>
      <c r="X10" s="854">
        <f t="shared" si="17"/>
        <v>1</v>
      </c>
      <c r="Y10" s="762">
        <f t="shared" si="18"/>
        <v>5</v>
      </c>
      <c r="Z10" s="762">
        <f t="shared" si="19"/>
        <v>2.4900000000000002</v>
      </c>
      <c r="AA10" s="854">
        <v>1</v>
      </c>
      <c r="AB10" s="854">
        <f t="shared" si="20"/>
        <v>1</v>
      </c>
      <c r="AC10" s="854">
        <f t="shared" ref="AC10:AC11" si="31">AB10*AC$3</f>
        <v>0</v>
      </c>
      <c r="AD10" s="848">
        <f t="shared" si="22"/>
        <v>0</v>
      </c>
      <c r="AE10" s="849">
        <f>AC10*G10</f>
        <v>0</v>
      </c>
      <c r="AI10" s="242" t="str">
        <f t="shared" si="3"/>
        <v>Watering Can or bottle with sprinkle cap</v>
      </c>
      <c r="AJ10" s="206" t="str">
        <f t="shared" si="4"/>
        <v>yes</v>
      </c>
      <c r="AK10" s="206" t="str">
        <f t="shared" si="5"/>
        <v>variety, grocery, home improvement, hardware</v>
      </c>
      <c r="AL10" s="188">
        <f t="shared" si="0"/>
        <v>1</v>
      </c>
      <c r="AM10" s="188">
        <f t="shared" si="6"/>
        <v>1</v>
      </c>
      <c r="AN10" s="189">
        <f t="shared" si="1"/>
        <v>5</v>
      </c>
      <c r="AO10" s="189">
        <f t="shared" si="7"/>
        <v>5</v>
      </c>
      <c r="AP10" s="189">
        <f t="shared" si="8"/>
        <v>5</v>
      </c>
      <c r="AQ10" s="189">
        <f t="shared" si="2"/>
        <v>2.4900000000000002</v>
      </c>
      <c r="AR10" s="189">
        <f t="shared" si="23"/>
        <v>2.4900000000000002</v>
      </c>
      <c r="AS10" s="190">
        <f t="shared" si="24"/>
        <v>2.4900000000000002</v>
      </c>
      <c r="AU10" s="321" t="str">
        <f t="shared" si="9"/>
        <v>Watering Can or bottle with sprinkle cap</v>
      </c>
      <c r="AV10" s="322" t="str">
        <f t="shared" si="10"/>
        <v>none</v>
      </c>
    </row>
    <row r="11" spans="1:48" ht="48" thickBot="1" x14ac:dyDescent="0.3">
      <c r="A11" s="899" t="s">
        <v>525</v>
      </c>
      <c r="B11" s="1417" t="s">
        <v>794</v>
      </c>
      <c r="C11" s="459" t="s">
        <v>66</v>
      </c>
      <c r="D11" s="458" t="s">
        <v>144</v>
      </c>
      <c r="E11" s="458" t="s">
        <v>588</v>
      </c>
      <c r="F11" s="763">
        <v>0.7</v>
      </c>
      <c r="G11" s="763">
        <v>0.7</v>
      </c>
      <c r="H11" s="863">
        <v>10</v>
      </c>
      <c r="I11" s="863">
        <v>14</v>
      </c>
      <c r="J11" s="864">
        <v>0</v>
      </c>
      <c r="K11" s="1342">
        <v>0.33</v>
      </c>
      <c r="L11" s="861">
        <f t="shared" si="30"/>
        <v>10</v>
      </c>
      <c r="M11" s="761">
        <f t="shared" si="11"/>
        <v>7</v>
      </c>
      <c r="N11" s="761">
        <f t="shared" si="12"/>
        <v>7</v>
      </c>
      <c r="O11" s="761">
        <f t="shared" si="13"/>
        <v>9.7999999999999989</v>
      </c>
      <c r="P11" s="761">
        <f t="shared" si="14"/>
        <v>7</v>
      </c>
      <c r="Q11" s="761">
        <f t="shared" si="15"/>
        <v>7</v>
      </c>
      <c r="R11" s="761">
        <f t="shared" si="16"/>
        <v>9.7999999999999989</v>
      </c>
      <c r="S11" s="732">
        <f t="shared" si="27"/>
        <v>0</v>
      </c>
      <c r="T11" s="694">
        <f t="shared" si="28"/>
        <v>0</v>
      </c>
      <c r="U11" s="694">
        <f t="shared" si="29"/>
        <v>0</v>
      </c>
      <c r="V11" s="854"/>
      <c r="W11" s="854">
        <v>1</v>
      </c>
      <c r="X11" s="854">
        <f t="shared" si="17"/>
        <v>4</v>
      </c>
      <c r="Y11" s="762">
        <f t="shared" si="18"/>
        <v>2.8</v>
      </c>
      <c r="Z11" s="762">
        <f t="shared" si="19"/>
        <v>2.8</v>
      </c>
      <c r="AA11" s="854">
        <v>1</v>
      </c>
      <c r="AB11" s="854">
        <f t="shared" si="20"/>
        <v>1</v>
      </c>
      <c r="AC11" s="854">
        <f t="shared" si="31"/>
        <v>0</v>
      </c>
      <c r="AD11" s="848">
        <f t="shared" si="22"/>
        <v>0</v>
      </c>
      <c r="AE11" s="849" t="s">
        <v>132</v>
      </c>
      <c r="AI11" s="242" t="str">
        <f t="shared" si="3"/>
        <v>Mixing vessels</v>
      </c>
      <c r="AJ11" s="206" t="str">
        <f t="shared" si="4"/>
        <v>yes</v>
      </c>
      <c r="AK11" s="206" t="str">
        <f t="shared" si="5"/>
        <v>Dollar, grocery, variety</v>
      </c>
      <c r="AL11" s="188">
        <f t="shared" si="0"/>
        <v>10</v>
      </c>
      <c r="AM11" s="188">
        <f t="shared" si="6"/>
        <v>14</v>
      </c>
      <c r="AN11" s="189">
        <f t="shared" si="1"/>
        <v>0.7</v>
      </c>
      <c r="AO11" s="189">
        <f t="shared" si="7"/>
        <v>7</v>
      </c>
      <c r="AP11" s="189">
        <f t="shared" si="8"/>
        <v>9.7999999999999989</v>
      </c>
      <c r="AQ11" s="189">
        <f t="shared" si="2"/>
        <v>0.7</v>
      </c>
      <c r="AR11" s="189">
        <f t="shared" si="23"/>
        <v>7</v>
      </c>
      <c r="AS11" s="190">
        <f t="shared" si="24"/>
        <v>9.7999999999999989</v>
      </c>
      <c r="AU11" s="321" t="str">
        <f t="shared" si="9"/>
        <v>Mixing vessels</v>
      </c>
      <c r="AV11" s="322" t="str">
        <f t="shared" si="10"/>
        <v>24 oz gladware-type soup/salad containers, 6-8 oz plastic drinking cups work; 1 per 3 students</v>
      </c>
    </row>
    <row r="12" spans="1:48" s="140" customFormat="1" ht="32.25" thickBot="1" x14ac:dyDescent="0.3">
      <c r="A12" s="899" t="s">
        <v>405</v>
      </c>
      <c r="B12" s="1417" t="s">
        <v>794</v>
      </c>
      <c r="C12" s="459" t="s">
        <v>212</v>
      </c>
      <c r="D12" s="458"/>
      <c r="E12" s="458" t="s">
        <v>524</v>
      </c>
      <c r="F12" s="763">
        <v>0.03</v>
      </c>
      <c r="G12" s="763">
        <v>0.03</v>
      </c>
      <c r="H12" s="863">
        <v>10</v>
      </c>
      <c r="I12" s="863">
        <v>14</v>
      </c>
      <c r="J12" s="864">
        <v>0</v>
      </c>
      <c r="K12" s="1342">
        <v>0.33</v>
      </c>
      <c r="L12" s="861">
        <f t="shared" si="30"/>
        <v>10</v>
      </c>
      <c r="M12" s="761">
        <f t="shared" si="11"/>
        <v>0.3</v>
      </c>
      <c r="N12" s="761">
        <f t="shared" si="12"/>
        <v>0.3</v>
      </c>
      <c r="O12" s="761">
        <f t="shared" si="13"/>
        <v>0.42</v>
      </c>
      <c r="P12" s="761">
        <f t="shared" si="14"/>
        <v>0.3</v>
      </c>
      <c r="Q12" s="761">
        <f t="shared" si="15"/>
        <v>0.3</v>
      </c>
      <c r="R12" s="761">
        <f t="shared" si="16"/>
        <v>0.42</v>
      </c>
      <c r="S12" s="732">
        <f t="shared" si="27"/>
        <v>10</v>
      </c>
      <c r="T12" s="694">
        <f t="shared" si="28"/>
        <v>0.3</v>
      </c>
      <c r="U12" s="694">
        <f t="shared" si="29"/>
        <v>0.3</v>
      </c>
      <c r="V12" s="854"/>
      <c r="W12" s="854">
        <v>1</v>
      </c>
      <c r="X12" s="854">
        <f t="shared" si="17"/>
        <v>4</v>
      </c>
      <c r="Y12" s="762"/>
      <c r="Z12" s="762">
        <f t="shared" si="19"/>
        <v>0.12</v>
      </c>
      <c r="AA12" s="854">
        <v>3</v>
      </c>
      <c r="AB12" s="854">
        <f t="shared" si="20"/>
        <v>3</v>
      </c>
      <c r="AC12" s="854">
        <f t="shared" si="21"/>
        <v>1</v>
      </c>
      <c r="AD12" s="848"/>
      <c r="AE12" s="849">
        <f>AC12*G12</f>
        <v>0.03</v>
      </c>
      <c r="AF12" s="29"/>
      <c r="AG12" s="29"/>
      <c r="AH12" s="29"/>
      <c r="AI12" s="242" t="str">
        <f t="shared" si="3"/>
        <v>Craft sticks or spoons for stirring</v>
      </c>
      <c r="AJ12" s="206" t="str">
        <f t="shared" si="4"/>
        <v>no</v>
      </c>
      <c r="AK12" s="206">
        <f t="shared" si="5"/>
        <v>0</v>
      </c>
      <c r="AL12" s="188">
        <f t="shared" si="0"/>
        <v>10</v>
      </c>
      <c r="AM12" s="188">
        <f t="shared" si="6"/>
        <v>14</v>
      </c>
      <c r="AN12" s="189">
        <f t="shared" si="1"/>
        <v>0.03</v>
      </c>
      <c r="AO12" s="189">
        <f t="shared" si="7"/>
        <v>0.3</v>
      </c>
      <c r="AP12" s="189">
        <f t="shared" si="8"/>
        <v>0.42</v>
      </c>
      <c r="AQ12" s="189">
        <f t="shared" si="2"/>
        <v>0.03</v>
      </c>
      <c r="AR12" s="189">
        <f t="shared" si="23"/>
        <v>0.3</v>
      </c>
      <c r="AS12" s="190">
        <f t="shared" si="24"/>
        <v>0.42</v>
      </c>
      <c r="AT12" s="29"/>
      <c r="AU12" s="321" t="str">
        <f t="shared" si="9"/>
        <v>Craft sticks or spoons for stirring</v>
      </c>
      <c r="AV12" s="322" t="str">
        <f t="shared" si="10"/>
        <v>1 per 3 students</v>
      </c>
    </row>
    <row r="13" spans="1:48" s="140" customFormat="1" ht="78" customHeight="1" thickBot="1" x14ac:dyDescent="0.3">
      <c r="A13" s="899" t="s">
        <v>589</v>
      </c>
      <c r="B13" s="1417" t="s">
        <v>794</v>
      </c>
      <c r="C13" s="459" t="s">
        <v>66</v>
      </c>
      <c r="D13" s="458" t="s">
        <v>590</v>
      </c>
      <c r="E13" s="458" t="s">
        <v>591</v>
      </c>
      <c r="F13" s="763">
        <v>0.06</v>
      </c>
      <c r="G13" s="763">
        <v>0.06</v>
      </c>
      <c r="H13" s="863">
        <v>10</v>
      </c>
      <c r="I13" s="863">
        <v>15</v>
      </c>
      <c r="J13" s="864">
        <v>0</v>
      </c>
      <c r="K13" s="864">
        <v>0.33</v>
      </c>
      <c r="L13" s="861">
        <f t="shared" si="30"/>
        <v>10</v>
      </c>
      <c r="M13" s="761">
        <f t="shared" si="11"/>
        <v>0.6</v>
      </c>
      <c r="N13" s="761">
        <f t="shared" si="12"/>
        <v>0.6</v>
      </c>
      <c r="O13" s="761">
        <f t="shared" si="13"/>
        <v>0.89999999999999991</v>
      </c>
      <c r="P13" s="761">
        <f t="shared" si="14"/>
        <v>0.6</v>
      </c>
      <c r="Q13" s="761">
        <f t="shared" si="15"/>
        <v>0.6</v>
      </c>
      <c r="R13" s="761">
        <f t="shared" si="16"/>
        <v>0.89999999999999991</v>
      </c>
      <c r="S13" s="732">
        <f t="shared" si="27"/>
        <v>0</v>
      </c>
      <c r="T13" s="694">
        <f t="shared" si="28"/>
        <v>0</v>
      </c>
      <c r="U13" s="694">
        <f t="shared" si="29"/>
        <v>0</v>
      </c>
      <c r="V13" s="854"/>
      <c r="W13" s="854"/>
      <c r="X13" s="854"/>
      <c r="Y13" s="762"/>
      <c r="Z13" s="762"/>
      <c r="AA13" s="854"/>
      <c r="AB13" s="854"/>
      <c r="AC13" s="854"/>
      <c r="AD13" s="848"/>
      <c r="AE13" s="849"/>
      <c r="AF13" s="29"/>
      <c r="AG13" s="29"/>
      <c r="AH13" s="29"/>
      <c r="AI13" s="315" t="str">
        <f t="shared" si="3"/>
        <v>Heavyweight small paper plates or cardboard flats</v>
      </c>
      <c r="AJ13" s="316" t="str">
        <f t="shared" si="4"/>
        <v>yes</v>
      </c>
      <c r="AK13" s="316" t="str">
        <f t="shared" si="5"/>
        <v>Dollar, variety</v>
      </c>
      <c r="AL13" s="188">
        <f t="shared" si="0"/>
        <v>10</v>
      </c>
      <c r="AM13" s="188">
        <f t="shared" si="6"/>
        <v>15</v>
      </c>
      <c r="AN13" s="189">
        <f t="shared" si="1"/>
        <v>0.06</v>
      </c>
      <c r="AO13" s="189">
        <f t="shared" si="7"/>
        <v>0.6</v>
      </c>
      <c r="AP13" s="189">
        <f t="shared" si="8"/>
        <v>0.89999999999999991</v>
      </c>
      <c r="AQ13" s="189">
        <f t="shared" si="2"/>
        <v>0.06</v>
      </c>
      <c r="AR13" s="189">
        <f t="shared" ref="AR13" si="32">Q13</f>
        <v>0.6</v>
      </c>
      <c r="AS13" s="190">
        <f t="shared" ref="AS13" si="33">R13</f>
        <v>0.89999999999999991</v>
      </c>
      <c r="AT13" s="29"/>
      <c r="AU13" s="321" t="str">
        <f t="shared" si="9"/>
        <v>Heavyweight small paper plates or cardboard flats</v>
      </c>
      <c r="AV13" s="322" t="str">
        <f t="shared" si="10"/>
        <v>These are the roofs for the houses, support the weights for strength testing</v>
      </c>
    </row>
    <row r="14" spans="1:48" s="97" customFormat="1" ht="62.25" customHeight="1" thickBot="1" x14ac:dyDescent="0.3">
      <c r="A14" s="900" t="s">
        <v>173</v>
      </c>
      <c r="B14" s="896" t="s">
        <v>174</v>
      </c>
      <c r="C14" s="828" t="s">
        <v>66</v>
      </c>
      <c r="D14" s="462" t="s">
        <v>175</v>
      </c>
      <c r="E14" s="462" t="s">
        <v>342</v>
      </c>
      <c r="F14" s="763">
        <v>0.69</v>
      </c>
      <c r="G14" s="763">
        <v>2.4900000000000002</v>
      </c>
      <c r="H14" s="863">
        <v>15</v>
      </c>
      <c r="I14" s="865">
        <v>20</v>
      </c>
      <c r="J14" s="864">
        <f t="shared" si="25"/>
        <v>0</v>
      </c>
      <c r="K14" s="864">
        <f t="shared" si="26"/>
        <v>0.5</v>
      </c>
      <c r="L14" s="861">
        <f t="shared" si="30"/>
        <v>15</v>
      </c>
      <c r="M14" s="761">
        <f t="shared" si="11"/>
        <v>10.35</v>
      </c>
      <c r="N14" s="761">
        <f t="shared" si="12"/>
        <v>10.35</v>
      </c>
      <c r="O14" s="761">
        <f t="shared" si="13"/>
        <v>13.799999999999999</v>
      </c>
      <c r="P14" s="840">
        <f t="shared" si="14"/>
        <v>37.35</v>
      </c>
      <c r="Q14" s="840">
        <f t="shared" si="15"/>
        <v>37.35</v>
      </c>
      <c r="R14" s="840">
        <f t="shared" si="16"/>
        <v>49.800000000000004</v>
      </c>
      <c r="S14" s="732">
        <f t="shared" si="27"/>
        <v>0</v>
      </c>
      <c r="T14" s="694">
        <f t="shared" si="28"/>
        <v>0</v>
      </c>
      <c r="U14" s="694">
        <f t="shared" si="29"/>
        <v>0</v>
      </c>
      <c r="V14" s="858">
        <v>0</v>
      </c>
      <c r="W14" s="858">
        <v>2</v>
      </c>
      <c r="X14" s="854">
        <f>V14+ROUNDUP(AB$3/X$3*W14,0)</f>
        <v>7</v>
      </c>
      <c r="Y14" s="762">
        <f>X14*F14</f>
        <v>4.83</v>
      </c>
      <c r="Z14" s="762">
        <f>X14*G14</f>
        <v>17.43</v>
      </c>
      <c r="AA14" s="854">
        <v>1</v>
      </c>
      <c r="AB14" s="854">
        <f>AA14*AE$3</f>
        <v>1</v>
      </c>
      <c r="AC14" s="854">
        <f t="shared" si="21"/>
        <v>6</v>
      </c>
      <c r="AD14" s="848">
        <f>AC14*F14</f>
        <v>4.1399999999999997</v>
      </c>
      <c r="AE14" s="849">
        <f>AC14*G14</f>
        <v>14.940000000000001</v>
      </c>
      <c r="AF14" s="456"/>
      <c r="AG14" s="456"/>
      <c r="AH14" s="456"/>
      <c r="AI14" s="241" t="str">
        <f t="shared" si="3"/>
        <v>Cans of beans for weights</v>
      </c>
      <c r="AJ14" s="240" t="str">
        <f t="shared" si="4"/>
        <v>yes</v>
      </c>
      <c r="AK14" s="191" t="str">
        <f t="shared" si="5"/>
        <v>Variety, grocery</v>
      </c>
      <c r="AL14" s="229">
        <f t="shared" si="0"/>
        <v>15</v>
      </c>
      <c r="AM14" s="215">
        <f t="shared" si="6"/>
        <v>20</v>
      </c>
      <c r="AN14" s="245">
        <f t="shared" si="1"/>
        <v>0.69</v>
      </c>
      <c r="AO14" s="193">
        <f t="shared" si="7"/>
        <v>10.35</v>
      </c>
      <c r="AP14" s="218">
        <f t="shared" si="8"/>
        <v>13.799999999999999</v>
      </c>
      <c r="AQ14" s="218">
        <f t="shared" si="2"/>
        <v>2.4900000000000002</v>
      </c>
      <c r="AR14" s="218">
        <f t="shared" si="23"/>
        <v>37.35</v>
      </c>
      <c r="AS14" s="237">
        <f t="shared" si="24"/>
        <v>49.800000000000004</v>
      </c>
      <c r="AT14" s="456"/>
      <c r="AU14" s="321" t="str">
        <f t="shared" si="9"/>
        <v>Cans of beans for weights</v>
      </c>
      <c r="AV14" s="322" t="str">
        <f t="shared" si="10"/>
        <v>Prefer a brand that stacks easily</v>
      </c>
    </row>
    <row r="15" spans="1:48" s="96" customFormat="1" ht="51.75" customHeight="1" thickBot="1" x14ac:dyDescent="0.3">
      <c r="A15" s="901" t="s">
        <v>178</v>
      </c>
      <c r="B15" s="897"/>
      <c r="C15" s="825"/>
      <c r="D15" s="826"/>
      <c r="E15" s="826" t="s">
        <v>319</v>
      </c>
      <c r="F15" s="837"/>
      <c r="G15" s="837"/>
      <c r="H15" s="866"/>
      <c r="I15" s="866"/>
      <c r="J15" s="866"/>
      <c r="K15" s="866"/>
      <c r="L15" s="866"/>
      <c r="M15" s="841"/>
      <c r="N15" s="841"/>
      <c r="O15" s="841"/>
      <c r="P15" s="841">
        <v>18</v>
      </c>
      <c r="Q15" s="841">
        <v>18</v>
      </c>
      <c r="R15" s="841">
        <v>18</v>
      </c>
      <c r="S15" s="841"/>
      <c r="T15" s="841"/>
      <c r="U15" s="841">
        <v>18</v>
      </c>
      <c r="V15" s="859"/>
      <c r="W15" s="859"/>
      <c r="X15" s="859"/>
      <c r="Y15" s="844"/>
      <c r="Z15" s="844">
        <v>18</v>
      </c>
      <c r="AA15" s="855"/>
      <c r="AB15" s="856"/>
      <c r="AC15" s="856"/>
      <c r="AD15" s="850"/>
      <c r="AE15" s="851"/>
      <c r="AI15" s="1693" t="str">
        <f t="shared" si="3"/>
        <v>Shipping Costs</v>
      </c>
      <c r="AJ15" s="1694"/>
      <c r="AK15" s="1694"/>
      <c r="AL15" s="1694"/>
      <c r="AM15" s="1694"/>
      <c r="AN15" s="276">
        <f t="shared" si="1"/>
        <v>0</v>
      </c>
      <c r="AO15" s="277">
        <f t="shared" si="7"/>
        <v>0</v>
      </c>
      <c r="AP15" s="278">
        <f t="shared" si="8"/>
        <v>0</v>
      </c>
      <c r="AQ15" s="277">
        <f t="shared" si="2"/>
        <v>0</v>
      </c>
      <c r="AR15" s="278">
        <f t="shared" si="23"/>
        <v>18</v>
      </c>
      <c r="AS15" s="279">
        <f t="shared" si="24"/>
        <v>18</v>
      </c>
      <c r="AU15" s="321" t="str">
        <f t="shared" si="9"/>
        <v>Shipping Costs</v>
      </c>
      <c r="AV15" s="322" t="str">
        <f t="shared" si="10"/>
        <v>www.petco.com free shipping over $49</v>
      </c>
    </row>
    <row r="16" spans="1:48" ht="45.75" customHeight="1" thickBot="1" x14ac:dyDescent="0.3">
      <c r="A16" s="672" t="s">
        <v>5</v>
      </c>
      <c r="B16" s="827"/>
      <c r="C16" s="827"/>
      <c r="D16" s="827"/>
      <c r="E16" s="827"/>
      <c r="F16" s="838"/>
      <c r="G16" s="1259"/>
      <c r="H16" s="867"/>
      <c r="I16" s="867"/>
      <c r="J16" s="867"/>
      <c r="K16" s="867"/>
      <c r="L16" s="867"/>
      <c r="M16" s="842">
        <f>SUM(M6:M14)</f>
        <v>43.25</v>
      </c>
      <c r="N16" s="842">
        <f t="shared" ref="N16:O16" si="34">SUM(N6:N14)</f>
        <v>43.25</v>
      </c>
      <c r="O16" s="842">
        <f t="shared" si="34"/>
        <v>52.919999999999995</v>
      </c>
      <c r="P16" s="842">
        <f>SUM(P6:P14)</f>
        <v>89.5</v>
      </c>
      <c r="Q16" s="842">
        <f>SUM(Q6:Q14)</f>
        <v>89.5</v>
      </c>
      <c r="R16" s="842">
        <f>SUM(R6:R14)</f>
        <v>109.16</v>
      </c>
      <c r="S16" s="842"/>
      <c r="T16" s="842">
        <f t="shared" ref="T16:U16" si="35">SUM(T6:T14)</f>
        <v>20.3</v>
      </c>
      <c r="U16" s="842">
        <f t="shared" si="35"/>
        <v>42.06</v>
      </c>
      <c r="V16" s="860"/>
      <c r="W16" s="860"/>
      <c r="X16" s="860"/>
      <c r="Y16" s="845">
        <f>SUM(Y6:Y14)</f>
        <v>29.630000000000003</v>
      </c>
      <c r="Z16" s="845">
        <f>SUM(Z6:Z14)</f>
        <v>60.61</v>
      </c>
      <c r="AA16" s="857"/>
      <c r="AB16" s="857"/>
      <c r="AC16" s="857"/>
      <c r="AD16" s="845">
        <f>SUM(AD6:AD14)</f>
        <v>4.1399999999999997</v>
      </c>
      <c r="AE16" s="852">
        <f>SUM(AE6:AE14)</f>
        <v>14.97</v>
      </c>
      <c r="AI16" s="1693" t="str">
        <f t="shared" si="3"/>
        <v>Total</v>
      </c>
      <c r="AJ16" s="1694"/>
      <c r="AK16" s="1694"/>
      <c r="AL16" s="1694"/>
      <c r="AM16" s="1694"/>
      <c r="AN16" s="280">
        <f t="shared" si="1"/>
        <v>0</v>
      </c>
      <c r="AO16" s="202">
        <f t="shared" si="7"/>
        <v>43.25</v>
      </c>
      <c r="AP16" s="202">
        <f t="shared" si="8"/>
        <v>52.919999999999995</v>
      </c>
      <c r="AQ16" s="267">
        <f t="shared" si="2"/>
        <v>0</v>
      </c>
      <c r="AR16" s="202">
        <f t="shared" si="23"/>
        <v>89.5</v>
      </c>
      <c r="AS16" s="219">
        <f t="shared" si="24"/>
        <v>109.16</v>
      </c>
      <c r="AU16" s="317"/>
      <c r="AV16" s="318"/>
    </row>
    <row r="17" spans="34:48" ht="15.75" x14ac:dyDescent="0.25">
      <c r="AH17" s="20"/>
      <c r="AI17" s="191"/>
      <c r="AJ17" s="191"/>
      <c r="AK17" s="191"/>
      <c r="AL17" s="192"/>
      <c r="AM17" s="192"/>
      <c r="AN17" s="192"/>
      <c r="AO17" s="193"/>
      <c r="AP17" s="193"/>
      <c r="AQ17" s="193"/>
      <c r="AR17" s="193"/>
      <c r="AS17" s="193"/>
      <c r="AT17" s="20"/>
      <c r="AU17" s="317"/>
      <c r="AV17" s="318"/>
    </row>
    <row r="18" spans="34:48" ht="15.75" x14ac:dyDescent="0.25">
      <c r="AH18" s="20"/>
      <c r="AI18" s="191"/>
      <c r="AJ18" s="191"/>
      <c r="AK18" s="191"/>
      <c r="AL18" s="192"/>
      <c r="AM18" s="192"/>
      <c r="AN18" s="192"/>
      <c r="AO18" s="193"/>
      <c r="AP18" s="193"/>
      <c r="AQ18" s="193"/>
      <c r="AR18" s="193"/>
      <c r="AS18" s="193"/>
      <c r="AT18" s="20"/>
      <c r="AU18" s="317"/>
      <c r="AV18" s="318"/>
    </row>
    <row r="19" spans="34:48" ht="15.75" x14ac:dyDescent="0.25">
      <c r="AH19" s="20"/>
      <c r="AI19" s="191"/>
      <c r="AJ19" s="191"/>
      <c r="AK19" s="191"/>
      <c r="AL19" s="192"/>
      <c r="AM19" s="192"/>
      <c r="AN19" s="192"/>
      <c r="AO19" s="193"/>
      <c r="AP19" s="193"/>
      <c r="AQ19" s="193"/>
      <c r="AR19" s="193"/>
      <c r="AS19" s="193"/>
      <c r="AT19" s="20"/>
      <c r="AU19" s="20"/>
      <c r="AV19" s="20"/>
    </row>
    <row r="20" spans="34:48" x14ac:dyDescent="0.25">
      <c r="AH20" s="20"/>
      <c r="AI20" s="20"/>
      <c r="AJ20" s="20"/>
      <c r="AK20" s="20"/>
      <c r="AL20" s="20"/>
      <c r="AM20" s="20"/>
      <c r="AN20" s="20"/>
      <c r="AO20" s="20"/>
      <c r="AP20" s="20"/>
      <c r="AQ20" s="20"/>
      <c r="AR20" s="20"/>
      <c r="AS20" s="20"/>
      <c r="AT20" s="20"/>
    </row>
    <row r="21" spans="34:48" x14ac:dyDescent="0.25">
      <c r="AH21" s="20"/>
      <c r="AI21" s="20"/>
      <c r="AJ21" s="20"/>
      <c r="AK21" s="20"/>
      <c r="AL21" s="20"/>
      <c r="AM21" s="20"/>
      <c r="AN21" s="20"/>
      <c r="AO21" s="20"/>
      <c r="AP21" s="20"/>
      <c r="AQ21" s="20"/>
      <c r="AR21" s="20"/>
      <c r="AS21" s="20"/>
      <c r="AT21" s="20"/>
    </row>
    <row r="22" spans="34:48" x14ac:dyDescent="0.25">
      <c r="AH22" s="20"/>
      <c r="AI22" s="20"/>
      <c r="AJ22" s="20"/>
      <c r="AK22" s="20"/>
      <c r="AL22" s="20"/>
      <c r="AM22" s="20"/>
      <c r="AN22" s="20"/>
      <c r="AO22" s="20"/>
      <c r="AP22" s="20"/>
      <c r="AQ22" s="20"/>
      <c r="AR22" s="20"/>
      <c r="AS22" s="20"/>
      <c r="AT22" s="20"/>
    </row>
  </sheetData>
  <mergeCells count="20">
    <mergeCell ref="A2:E2"/>
    <mergeCell ref="AA4:AC4"/>
    <mergeCell ref="AD4:AE4"/>
    <mergeCell ref="Y4:Z4"/>
    <mergeCell ref="V2:AE2"/>
    <mergeCell ref="H2:R2"/>
    <mergeCell ref="F3:G3"/>
    <mergeCell ref="S3:U3"/>
    <mergeCell ref="AI15:AM15"/>
    <mergeCell ref="AI16:AM16"/>
    <mergeCell ref="H4:I4"/>
    <mergeCell ref="J4:L4"/>
    <mergeCell ref="V4:X4"/>
    <mergeCell ref="P4:R4"/>
    <mergeCell ref="M4:O4"/>
    <mergeCell ref="AI3:AS3"/>
    <mergeCell ref="AI4:AK4"/>
    <mergeCell ref="AL4:AM4"/>
    <mergeCell ref="AN4:AP4"/>
    <mergeCell ref="AQ4:AS4"/>
  </mergeCells>
  <pageMargins left="0.7" right="0.7" top="0.75" bottom="0.75" header="0.3" footer="0.3"/>
  <pageSetup scale="79" orientation="portrait" r:id="rId1"/>
  <headerFooter>
    <oddFooter>&amp;L&amp;F &amp;A&amp;C&amp;P&amp;R&amp;D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25"/>
  <sheetViews>
    <sheetView zoomScale="85" zoomScaleNormal="85" workbookViewId="0">
      <pane xSplit="1" ySplit="5" topLeftCell="G14" activePane="bottomRight" state="frozen"/>
      <selection pane="topRight" activeCell="B1" sqref="B1"/>
      <selection pane="bottomLeft" activeCell="A5" sqref="A5"/>
      <selection pane="bottomRight" activeCell="X18" sqref="X18"/>
    </sheetView>
  </sheetViews>
  <sheetFormatPr defaultRowHeight="15" x14ac:dyDescent="0.25"/>
  <cols>
    <col min="1" max="1" width="24.140625" customWidth="1"/>
    <col min="2" max="2" width="10" customWidth="1"/>
    <col min="3" max="3" width="6.140625" customWidth="1"/>
    <col min="5" max="5" width="34.5703125" customWidth="1"/>
    <col min="6" max="6" width="7.5703125" customWidth="1"/>
    <col min="7" max="7" width="7.7109375" customWidth="1"/>
    <col min="8" max="8" width="7.85546875" customWidth="1"/>
    <col min="13" max="13" width="9.5703125" customWidth="1"/>
    <col min="14" max="14" width="9.7109375" customWidth="1"/>
    <col min="16" max="16" width="9.7109375" customWidth="1"/>
    <col min="25" max="26" width="10.7109375" customWidth="1"/>
    <col min="29" max="29" width="10.85546875" customWidth="1"/>
    <col min="35" max="35" width="21.7109375" customWidth="1"/>
    <col min="37" max="37" width="14.28515625" customWidth="1"/>
    <col min="47" max="47" width="30" customWidth="1"/>
    <col min="48" max="48" width="33.28515625" customWidth="1"/>
  </cols>
  <sheetData>
    <row r="1" spans="1:48" s="415" customFormat="1" ht="30" customHeight="1" thickBot="1" x14ac:dyDescent="0.45">
      <c r="A1" s="910" t="s">
        <v>696</v>
      </c>
      <c r="B1" s="755"/>
      <c r="C1" s="755"/>
      <c r="D1" s="755"/>
      <c r="E1" s="755"/>
      <c r="F1" s="755"/>
      <c r="G1" s="755"/>
      <c r="H1" s="755"/>
      <c r="I1" s="755"/>
      <c r="J1" s="755"/>
      <c r="K1" s="755"/>
      <c r="L1" s="755"/>
      <c r="M1" s="755"/>
      <c r="N1" s="755"/>
      <c r="O1" s="755"/>
      <c r="P1" s="755"/>
      <c r="Q1" s="755"/>
      <c r="R1" s="755"/>
      <c r="S1" s="755"/>
      <c r="T1" s="755"/>
      <c r="U1" s="755"/>
      <c r="V1" s="755"/>
      <c r="W1" s="755"/>
      <c r="X1" s="755"/>
      <c r="Y1" s="755"/>
      <c r="Z1" s="755"/>
      <c r="AA1" s="755"/>
      <c r="AB1" s="755"/>
      <c r="AC1" s="755"/>
      <c r="AD1" s="755"/>
      <c r="AE1" s="755"/>
    </row>
    <row r="2" spans="1:48" s="424" customFormat="1" ht="30" customHeight="1" thickBot="1" x14ac:dyDescent="0.3">
      <c r="A2" s="1260" t="s">
        <v>560</v>
      </c>
      <c r="B2" s="1261"/>
      <c r="C2" s="1261"/>
      <c r="D2" s="1261"/>
      <c r="E2" s="1261"/>
      <c r="F2" s="1228"/>
      <c r="G2" s="1228"/>
      <c r="H2" s="1707" t="s">
        <v>747</v>
      </c>
      <c r="I2" s="1708"/>
      <c r="J2" s="1708"/>
      <c r="K2" s="1708"/>
      <c r="L2" s="1708"/>
      <c r="M2" s="1708"/>
      <c r="N2" s="1708"/>
      <c r="O2" s="1708"/>
      <c r="P2" s="1708"/>
      <c r="Q2" s="1708"/>
      <c r="R2" s="1709"/>
      <c r="S2" s="1375"/>
      <c r="T2" s="1375"/>
      <c r="U2" s="1375"/>
      <c r="V2" s="1614" t="s">
        <v>692</v>
      </c>
      <c r="W2" s="1615"/>
      <c r="X2" s="1615"/>
      <c r="Y2" s="1615"/>
      <c r="Z2" s="1615"/>
      <c r="AA2" s="1615"/>
      <c r="AB2" s="1615"/>
      <c r="AC2" s="1615"/>
      <c r="AD2" s="1615"/>
      <c r="AE2" s="1616"/>
      <c r="AI2" s="425" t="s">
        <v>559</v>
      </c>
      <c r="AU2" s="425" t="s">
        <v>607</v>
      </c>
      <c r="AV2" s="426"/>
    </row>
    <row r="3" spans="1:48" ht="78.75" customHeight="1" thickBot="1" x14ac:dyDescent="0.3">
      <c r="A3" s="819" t="s">
        <v>729</v>
      </c>
      <c r="B3" s="794"/>
      <c r="C3" s="794"/>
      <c r="D3" s="794"/>
      <c r="E3" s="794"/>
      <c r="F3" s="1262"/>
      <c r="G3" s="1263"/>
      <c r="H3" s="911"/>
      <c r="I3" s="870"/>
      <c r="J3" s="870"/>
      <c r="K3" s="871" t="s">
        <v>605</v>
      </c>
      <c r="L3" s="912">
        <f>Budget!$D$44</f>
        <v>30</v>
      </c>
      <c r="M3" s="870"/>
      <c r="N3" s="872"/>
      <c r="O3" s="872"/>
      <c r="P3" s="872"/>
      <c r="Q3" s="1725"/>
      <c r="R3" s="1726"/>
      <c r="S3" s="1645" t="s">
        <v>766</v>
      </c>
      <c r="T3" s="1645"/>
      <c r="U3" s="1687"/>
      <c r="V3" s="913"/>
      <c r="W3" s="869" t="s">
        <v>99</v>
      </c>
      <c r="X3" s="799">
        <f>Budget!C29</f>
        <v>3</v>
      </c>
      <c r="Y3" s="913"/>
      <c r="Z3" s="913"/>
      <c r="AA3" s="868" t="s">
        <v>100</v>
      </c>
      <c r="AB3" s="799">
        <f>Budget!B29</f>
        <v>10</v>
      </c>
      <c r="AC3" s="457"/>
      <c r="AD3" s="873" t="s">
        <v>196</v>
      </c>
      <c r="AE3" s="798">
        <f>Budget!I7</f>
        <v>1</v>
      </c>
      <c r="AI3" s="1688" t="s">
        <v>572</v>
      </c>
      <c r="AJ3" s="1689"/>
      <c r="AK3" s="1689"/>
      <c r="AL3" s="1689"/>
      <c r="AM3" s="1689"/>
      <c r="AN3" s="1689"/>
      <c r="AO3" s="1689"/>
      <c r="AP3" s="1689"/>
      <c r="AQ3" s="1689"/>
      <c r="AR3" s="1689"/>
      <c r="AS3" s="1690"/>
      <c r="AU3" s="3"/>
      <c r="AV3" s="3"/>
    </row>
    <row r="4" spans="1:48" ht="46.5" customHeight="1" thickBot="1" x14ac:dyDescent="0.3">
      <c r="A4" s="757"/>
      <c r="B4" s="758" t="s">
        <v>724</v>
      </c>
      <c r="C4" s="758"/>
      <c r="D4" s="758"/>
      <c r="E4" s="758"/>
      <c r="F4" s="1229" t="s">
        <v>79</v>
      </c>
      <c r="G4" s="1230" t="s">
        <v>80</v>
      </c>
      <c r="H4" s="1727" t="s">
        <v>571</v>
      </c>
      <c r="I4" s="1728"/>
      <c r="J4" s="1729" t="s">
        <v>267</v>
      </c>
      <c r="K4" s="1730"/>
      <c r="L4" s="1728"/>
      <c r="M4" s="1646" t="s">
        <v>565</v>
      </c>
      <c r="N4" s="1731"/>
      <c r="O4" s="1732"/>
      <c r="P4" s="1733" t="s">
        <v>566</v>
      </c>
      <c r="Q4" s="1734"/>
      <c r="R4" s="1735"/>
      <c r="S4" s="766"/>
      <c r="T4" s="766"/>
      <c r="U4" s="833"/>
      <c r="V4" s="1721" t="s">
        <v>70</v>
      </c>
      <c r="W4" s="1722"/>
      <c r="X4" s="1723"/>
      <c r="Y4" s="1724" t="s">
        <v>204</v>
      </c>
      <c r="Z4" s="1723"/>
      <c r="AA4" s="1711" t="s">
        <v>70</v>
      </c>
      <c r="AB4" s="1712"/>
      <c r="AC4" s="1713"/>
      <c r="AD4" s="1711" t="s">
        <v>205</v>
      </c>
      <c r="AE4" s="1714"/>
      <c r="AI4" s="1637" t="str">
        <f>A2</f>
        <v>Item Information</v>
      </c>
      <c r="AJ4" s="1638"/>
      <c r="AK4" s="1657"/>
      <c r="AL4" s="1637" t="str">
        <f t="shared" ref="AL4:AL16" si="0">H4</f>
        <v>Quantity: Class size of…</v>
      </c>
      <c r="AM4" s="1657"/>
      <c r="AN4" s="1691" t="str">
        <f t="shared" ref="AN4:AN19" si="1">F4</f>
        <v>Retail</v>
      </c>
      <c r="AO4" s="1638"/>
      <c r="AP4" s="1638"/>
      <c r="AQ4" s="1692" t="str">
        <f t="shared" ref="AQ4:AQ19" si="2">G4</f>
        <v>Online</v>
      </c>
      <c r="AR4" s="1638"/>
      <c r="AS4" s="1657"/>
      <c r="AU4" s="3"/>
      <c r="AV4" s="3"/>
    </row>
    <row r="5" spans="1:48" ht="69.75" customHeight="1" thickBot="1" x14ac:dyDescent="0.3">
      <c r="A5" s="463" t="s">
        <v>573</v>
      </c>
      <c r="B5" s="464" t="s">
        <v>786</v>
      </c>
      <c r="C5" s="452" t="s">
        <v>65</v>
      </c>
      <c r="D5" s="464" t="s">
        <v>133</v>
      </c>
      <c r="E5" s="464" t="s">
        <v>2</v>
      </c>
      <c r="F5" s="1231" t="s">
        <v>567</v>
      </c>
      <c r="G5" s="1231" t="s">
        <v>567</v>
      </c>
      <c r="H5" s="476">
        <v>30</v>
      </c>
      <c r="I5" s="477">
        <v>40</v>
      </c>
      <c r="J5" s="477" t="s">
        <v>161</v>
      </c>
      <c r="K5" s="477" t="s">
        <v>162</v>
      </c>
      <c r="L5" s="477" t="s">
        <v>264</v>
      </c>
      <c r="M5" s="477" t="s">
        <v>546</v>
      </c>
      <c r="N5" s="477">
        <v>30</v>
      </c>
      <c r="O5" s="477">
        <v>40</v>
      </c>
      <c r="P5" s="477" t="s">
        <v>546</v>
      </c>
      <c r="Q5" s="477">
        <v>30</v>
      </c>
      <c r="R5" s="478">
        <v>40</v>
      </c>
      <c r="S5" s="766" t="s">
        <v>70</v>
      </c>
      <c r="T5" s="766" t="s">
        <v>757</v>
      </c>
      <c r="U5" s="833" t="s">
        <v>758</v>
      </c>
      <c r="V5" s="492" t="s">
        <v>83</v>
      </c>
      <c r="W5" s="493" t="s">
        <v>82</v>
      </c>
      <c r="X5" s="493" t="s">
        <v>199</v>
      </c>
      <c r="Y5" s="493" t="s">
        <v>79</v>
      </c>
      <c r="Z5" s="654" t="s">
        <v>80</v>
      </c>
      <c r="AA5" s="493" t="s">
        <v>197</v>
      </c>
      <c r="AB5" s="493" t="s">
        <v>198</v>
      </c>
      <c r="AC5" s="493" t="s">
        <v>200</v>
      </c>
      <c r="AD5" s="493" t="s">
        <v>79</v>
      </c>
      <c r="AE5" s="491" t="s">
        <v>80</v>
      </c>
      <c r="AI5" s="205" t="str">
        <f>A5</f>
        <v>Item to Purchase</v>
      </c>
      <c r="AJ5" s="197" t="str">
        <f t="shared" ref="AJ5:AJ16" si="3">C5</f>
        <v>Re usable</v>
      </c>
      <c r="AK5" s="233" t="str">
        <f t="shared" ref="AK5:AK16" si="4">D5</f>
        <v>Store Type</v>
      </c>
      <c r="AL5" s="230">
        <f t="shared" si="0"/>
        <v>30</v>
      </c>
      <c r="AM5" s="198">
        <f t="shared" ref="AM5:AM16" si="5">I5</f>
        <v>40</v>
      </c>
      <c r="AN5" s="235" t="str">
        <f t="shared" si="1"/>
        <v>Ea.</v>
      </c>
      <c r="AO5" s="234">
        <f t="shared" ref="AO5:AO19" si="6">N5</f>
        <v>30</v>
      </c>
      <c r="AP5" s="232">
        <f t="shared" ref="AP5:AP19" si="7">O5</f>
        <v>40</v>
      </c>
      <c r="AQ5" s="235" t="str">
        <f t="shared" si="2"/>
        <v>Ea.</v>
      </c>
      <c r="AR5" s="197">
        <f t="shared" ref="AR5:AR12" si="8">Q5</f>
        <v>30</v>
      </c>
      <c r="AS5" s="233">
        <f t="shared" ref="AS5:AS12" si="9">R5</f>
        <v>40</v>
      </c>
      <c r="AU5" s="313" t="str">
        <f>A5</f>
        <v>Item to Purchase</v>
      </c>
      <c r="AV5" s="314" t="str">
        <f t="shared" ref="AV5:AV16" si="10">E5</f>
        <v>Notes</v>
      </c>
    </row>
    <row r="6" spans="1:48" ht="126" customHeight="1" x14ac:dyDescent="0.25">
      <c r="A6" s="898" t="s">
        <v>179</v>
      </c>
      <c r="B6" s="902">
        <v>1</v>
      </c>
      <c r="C6" s="759" t="s">
        <v>66</v>
      </c>
      <c r="D6" s="759" t="s">
        <v>19</v>
      </c>
      <c r="E6" s="759" t="s">
        <v>20</v>
      </c>
      <c r="F6" s="760">
        <v>0</v>
      </c>
      <c r="G6" s="760">
        <v>0</v>
      </c>
      <c r="H6" s="930">
        <v>20</v>
      </c>
      <c r="I6" s="930">
        <v>27</v>
      </c>
      <c r="J6" s="862">
        <f>H6-K6*30</f>
        <v>-1</v>
      </c>
      <c r="K6" s="862">
        <f>(I6-H6)/10</f>
        <v>0.7</v>
      </c>
      <c r="L6" s="930">
        <f t="shared" ref="L6:L16" si="11">ROUNDUP(J6+(K6*L$3),0)</f>
        <v>20</v>
      </c>
      <c r="M6" s="839">
        <f t="shared" ref="M6:M16" si="12">L6*F6</f>
        <v>0</v>
      </c>
      <c r="N6" s="839">
        <f>H6*F6</f>
        <v>0</v>
      </c>
      <c r="O6" s="839">
        <f>F6*I6</f>
        <v>0</v>
      </c>
      <c r="P6" s="839">
        <f t="shared" ref="P6:P16" si="13">G6*L6</f>
        <v>0</v>
      </c>
      <c r="Q6" s="839">
        <f>H6*G6</f>
        <v>0</v>
      </c>
      <c r="R6" s="839">
        <f>I6*G6</f>
        <v>0</v>
      </c>
      <c r="S6" s="732">
        <f>IF(C6="yes",0,L6)</f>
        <v>0</v>
      </c>
      <c r="T6" s="694">
        <f>S6*F6</f>
        <v>0</v>
      </c>
      <c r="U6" s="694">
        <f>S6*G6</f>
        <v>0</v>
      </c>
      <c r="V6" s="938">
        <v>0</v>
      </c>
      <c r="W6" s="938">
        <v>1</v>
      </c>
      <c r="X6" s="938">
        <f t="shared" ref="X6:X16" si="14">V6+ROUNDUP(AB$3/X$3*W6,0)</f>
        <v>4</v>
      </c>
      <c r="Y6" s="843">
        <f t="shared" ref="Y6:Y16" si="15">X6*F6</f>
        <v>0</v>
      </c>
      <c r="Z6" s="843">
        <f t="shared" ref="Z6:Z16" si="16">X6*G6</f>
        <v>0</v>
      </c>
      <c r="AA6" s="938">
        <v>1</v>
      </c>
      <c r="AB6" s="938">
        <f t="shared" ref="AB6:AB16" si="17">AA6*AE$3</f>
        <v>1</v>
      </c>
      <c r="AC6" s="938">
        <f t="shared" ref="AC6" si="18">MAX(X6-AB6,0)</f>
        <v>3</v>
      </c>
      <c r="AD6" s="843">
        <f t="shared" ref="AD6:AD16" si="19">AC6*F6</f>
        <v>0</v>
      </c>
      <c r="AE6" s="847">
        <f t="shared" ref="AE6:AE16" si="20">AC6*G6</f>
        <v>0</v>
      </c>
      <c r="AI6" s="244" t="str">
        <f>A6</f>
        <v>Plastic Drink Bottles with caps -- 2L preferred; 1L will work; smaller than that non-optimal.</v>
      </c>
      <c r="AJ6" s="238" t="str">
        <f t="shared" si="3"/>
        <v>yes</v>
      </c>
      <c r="AK6" s="191" t="str">
        <f t="shared" si="4"/>
        <v>Students/ Home</v>
      </c>
      <c r="AL6" s="239">
        <f t="shared" si="0"/>
        <v>20</v>
      </c>
      <c r="AM6" s="192">
        <f t="shared" si="5"/>
        <v>27</v>
      </c>
      <c r="AN6" s="209">
        <f t="shared" si="1"/>
        <v>0</v>
      </c>
      <c r="AO6" s="209">
        <f t="shared" si="6"/>
        <v>0</v>
      </c>
      <c r="AP6" s="193">
        <f t="shared" si="7"/>
        <v>0</v>
      </c>
      <c r="AQ6" s="209">
        <f t="shared" si="2"/>
        <v>0</v>
      </c>
      <c r="AR6" s="193">
        <f t="shared" si="8"/>
        <v>0</v>
      </c>
      <c r="AS6" s="236">
        <f t="shared" si="9"/>
        <v>0</v>
      </c>
      <c r="AU6" s="307" t="str">
        <f>A6</f>
        <v>Plastic Drink Bottles with caps -- 2L preferred; 1L will work; smaller than that non-optimal.</v>
      </c>
      <c r="AV6" s="308" t="str">
        <f t="shared" si="10"/>
        <v xml:space="preserve">A week or two before you do this lab, ask students to bring in empty 1L and 2L plastic bottles with caps.  </v>
      </c>
    </row>
    <row r="7" spans="1:48" ht="60" x14ac:dyDescent="0.25">
      <c r="A7" s="1418" t="s">
        <v>184</v>
      </c>
      <c r="B7" s="903" t="s">
        <v>795</v>
      </c>
      <c r="C7" s="459" t="s">
        <v>66</v>
      </c>
      <c r="D7" s="458" t="s">
        <v>183</v>
      </c>
      <c r="E7" s="458" t="s">
        <v>182</v>
      </c>
      <c r="F7" s="763">
        <v>4.5</v>
      </c>
      <c r="G7" s="763">
        <v>4.99</v>
      </c>
      <c r="H7" s="931">
        <v>2</v>
      </c>
      <c r="I7" s="931">
        <v>3</v>
      </c>
      <c r="J7" s="864">
        <v>0</v>
      </c>
      <c r="K7" s="1419">
        <f>1/15</f>
        <v>6.6666666666666666E-2</v>
      </c>
      <c r="L7" s="931">
        <f t="shared" si="11"/>
        <v>2</v>
      </c>
      <c r="M7" s="761">
        <f t="shared" si="12"/>
        <v>9</v>
      </c>
      <c r="N7" s="761">
        <f t="shared" ref="N7:N16" si="21">$F7*H7</f>
        <v>9</v>
      </c>
      <c r="O7" s="761">
        <f t="shared" ref="O7:O16" si="22">$F7*I7</f>
        <v>13.5</v>
      </c>
      <c r="P7" s="761">
        <f t="shared" si="13"/>
        <v>9.98</v>
      </c>
      <c r="Q7" s="761">
        <f>H7*G7</f>
        <v>9.98</v>
      </c>
      <c r="R7" s="761">
        <f>I7*G7</f>
        <v>14.97</v>
      </c>
      <c r="S7" s="732">
        <f t="shared" ref="S7:S16" si="23">IF(C7="yes",0,L7)</f>
        <v>0</v>
      </c>
      <c r="T7" s="694">
        <f t="shared" ref="T7:T16" si="24">S7*F7</f>
        <v>0</v>
      </c>
      <c r="U7" s="694">
        <f t="shared" ref="U7:U16" si="25">S7*G7</f>
        <v>0</v>
      </c>
      <c r="V7" s="939">
        <v>1</v>
      </c>
      <c r="W7" s="939">
        <v>0</v>
      </c>
      <c r="X7" s="939">
        <f t="shared" si="14"/>
        <v>1</v>
      </c>
      <c r="Y7" s="762">
        <f t="shared" si="15"/>
        <v>4.5</v>
      </c>
      <c r="Z7" s="762">
        <f t="shared" si="16"/>
        <v>4.99</v>
      </c>
      <c r="AA7" s="945">
        <v>1</v>
      </c>
      <c r="AB7" s="939">
        <f t="shared" si="17"/>
        <v>1</v>
      </c>
      <c r="AC7" s="939">
        <f t="shared" ref="AC7:AC16" si="26">MAX(X7-AB7,0)</f>
        <v>0</v>
      </c>
      <c r="AD7" s="762">
        <f t="shared" si="19"/>
        <v>0</v>
      </c>
      <c r="AE7" s="849">
        <f t="shared" si="20"/>
        <v>0</v>
      </c>
      <c r="AI7" s="1382" t="str">
        <f>A7</f>
        <v>Sand, clean and white or very light-colored</v>
      </c>
      <c r="AJ7" s="206" t="str">
        <f t="shared" si="3"/>
        <v>yes</v>
      </c>
      <c r="AK7" s="206" t="str">
        <f t="shared" si="4"/>
        <v>Toy, pet</v>
      </c>
      <c r="AL7" s="188">
        <f t="shared" si="0"/>
        <v>2</v>
      </c>
      <c r="AM7" s="188">
        <f t="shared" si="5"/>
        <v>3</v>
      </c>
      <c r="AN7" s="189">
        <f t="shared" si="1"/>
        <v>4.5</v>
      </c>
      <c r="AO7" s="189">
        <f t="shared" si="6"/>
        <v>9</v>
      </c>
      <c r="AP7" s="189">
        <f t="shared" si="7"/>
        <v>13.5</v>
      </c>
      <c r="AQ7" s="189">
        <f t="shared" si="2"/>
        <v>4.99</v>
      </c>
      <c r="AR7" s="189">
        <f t="shared" si="8"/>
        <v>9.98</v>
      </c>
      <c r="AS7" s="190">
        <f t="shared" si="9"/>
        <v>14.97</v>
      </c>
      <c r="AU7" s="1381" t="str">
        <f>A7</f>
        <v>Sand, clean and white or very light-colored</v>
      </c>
      <c r="AV7" s="309" t="str">
        <f t="shared" si="10"/>
        <v>Make sure it contains no dyes or artificial colors that will leach; sand from home improvement stores may not be adequately clean.</v>
      </c>
    </row>
    <row r="8" spans="1:48" ht="78.75" customHeight="1" x14ac:dyDescent="0.25">
      <c r="A8" s="899" t="s">
        <v>10</v>
      </c>
      <c r="B8" s="893" t="s">
        <v>792</v>
      </c>
      <c r="C8" s="459" t="s">
        <v>66</v>
      </c>
      <c r="D8" s="458" t="s">
        <v>180</v>
      </c>
      <c r="E8" s="458" t="s">
        <v>598</v>
      </c>
      <c r="F8" s="763">
        <v>3</v>
      </c>
      <c r="G8" s="763">
        <v>4.49</v>
      </c>
      <c r="H8" s="931">
        <v>2</v>
      </c>
      <c r="I8" s="931">
        <v>3</v>
      </c>
      <c r="J8" s="864">
        <v>0</v>
      </c>
      <c r="K8" s="1419">
        <f>1/15</f>
        <v>6.6666666666666666E-2</v>
      </c>
      <c r="L8" s="931">
        <f t="shared" si="11"/>
        <v>2</v>
      </c>
      <c r="M8" s="761">
        <f t="shared" si="12"/>
        <v>6</v>
      </c>
      <c r="N8" s="761">
        <f t="shared" si="21"/>
        <v>6</v>
      </c>
      <c r="O8" s="761">
        <f t="shared" si="22"/>
        <v>9</v>
      </c>
      <c r="P8" s="761">
        <f t="shared" si="13"/>
        <v>8.98</v>
      </c>
      <c r="Q8" s="761">
        <f t="shared" ref="Q8:Q16" si="27">H8*$G8</f>
        <v>8.98</v>
      </c>
      <c r="R8" s="761">
        <f t="shared" ref="R8:R16" si="28">I8*$G8</f>
        <v>13.47</v>
      </c>
      <c r="S8" s="732">
        <f t="shared" si="23"/>
        <v>0</v>
      </c>
      <c r="T8" s="694">
        <f t="shared" si="24"/>
        <v>0</v>
      </c>
      <c r="U8" s="694">
        <f t="shared" si="25"/>
        <v>0</v>
      </c>
      <c r="V8" s="939">
        <v>0</v>
      </c>
      <c r="W8" s="939">
        <v>0.2</v>
      </c>
      <c r="X8" s="939">
        <f t="shared" si="14"/>
        <v>1</v>
      </c>
      <c r="Y8" s="762">
        <f t="shared" si="15"/>
        <v>3</v>
      </c>
      <c r="Z8" s="762">
        <f t="shared" si="16"/>
        <v>4.49</v>
      </c>
      <c r="AA8" s="945">
        <v>1</v>
      </c>
      <c r="AB8" s="939">
        <f t="shared" si="17"/>
        <v>1</v>
      </c>
      <c r="AC8" s="939">
        <f t="shared" si="26"/>
        <v>0</v>
      </c>
      <c r="AD8" s="762">
        <f t="shared" si="19"/>
        <v>0</v>
      </c>
      <c r="AE8" s="849">
        <f t="shared" si="20"/>
        <v>0</v>
      </c>
      <c r="AI8" s="243" t="str">
        <f t="shared" ref="AI8:AI19" si="29">A8</f>
        <v>Aquarium gravel</v>
      </c>
      <c r="AJ8" s="206" t="str">
        <f t="shared" si="3"/>
        <v>yes</v>
      </c>
      <c r="AK8" s="206" t="str">
        <f t="shared" si="4"/>
        <v xml:space="preserve">Petco </v>
      </c>
      <c r="AL8" s="188">
        <f t="shared" si="0"/>
        <v>2</v>
      </c>
      <c r="AM8" s="188">
        <f t="shared" si="5"/>
        <v>3</v>
      </c>
      <c r="AN8" s="189">
        <f t="shared" si="1"/>
        <v>3</v>
      </c>
      <c r="AO8" s="189">
        <f t="shared" si="6"/>
        <v>6</v>
      </c>
      <c r="AP8" s="189">
        <f t="shared" si="7"/>
        <v>9</v>
      </c>
      <c r="AQ8" s="189">
        <f t="shared" si="2"/>
        <v>4.49</v>
      </c>
      <c r="AR8" s="189">
        <f t="shared" si="8"/>
        <v>8.98</v>
      </c>
      <c r="AS8" s="190">
        <f t="shared" si="9"/>
        <v>13.47</v>
      </c>
      <c r="AU8" s="310" t="str">
        <f t="shared" ref="AU8:AU16" si="30">A8</f>
        <v>Aquarium gravel</v>
      </c>
      <c r="AV8" s="309" t="str">
        <f t="shared" si="10"/>
        <v>Make sure it contains no dyes or artificial colors that will leach.</v>
      </c>
    </row>
    <row r="9" spans="1:48" ht="94.5" customHeight="1" x14ac:dyDescent="0.25">
      <c r="A9" s="1420" t="s">
        <v>693</v>
      </c>
      <c r="B9" s="893" t="s">
        <v>792</v>
      </c>
      <c r="C9" s="458" t="s">
        <v>66</v>
      </c>
      <c r="D9" s="458" t="s">
        <v>265</v>
      </c>
      <c r="E9" s="458" t="s">
        <v>266</v>
      </c>
      <c r="F9" s="763">
        <v>4.49</v>
      </c>
      <c r="G9" s="763">
        <v>4.49</v>
      </c>
      <c r="H9" s="931">
        <v>2</v>
      </c>
      <c r="I9" s="931">
        <v>3</v>
      </c>
      <c r="J9" s="864">
        <v>0</v>
      </c>
      <c r="K9" s="1419">
        <f>1/15</f>
        <v>6.6666666666666666E-2</v>
      </c>
      <c r="L9" s="931">
        <f t="shared" ref="L9" si="31">ROUNDUP(J9+(K9*L$3),0)</f>
        <v>2</v>
      </c>
      <c r="M9" s="761">
        <f t="shared" si="12"/>
        <v>8.98</v>
      </c>
      <c r="N9" s="761">
        <f t="shared" si="21"/>
        <v>8.98</v>
      </c>
      <c r="O9" s="761">
        <f t="shared" si="22"/>
        <v>13.47</v>
      </c>
      <c r="P9" s="761">
        <f t="shared" si="13"/>
        <v>8.98</v>
      </c>
      <c r="Q9" s="761">
        <f t="shared" si="27"/>
        <v>8.98</v>
      </c>
      <c r="R9" s="761">
        <f t="shared" si="28"/>
        <v>13.47</v>
      </c>
      <c r="S9" s="732">
        <f t="shared" si="23"/>
        <v>0</v>
      </c>
      <c r="T9" s="694">
        <f t="shared" si="24"/>
        <v>0</v>
      </c>
      <c r="U9" s="694">
        <f t="shared" si="25"/>
        <v>0</v>
      </c>
      <c r="V9" s="939">
        <v>0</v>
      </c>
      <c r="W9" s="939">
        <v>0.2</v>
      </c>
      <c r="X9" s="939">
        <f t="shared" si="14"/>
        <v>1</v>
      </c>
      <c r="Y9" s="762">
        <f t="shared" si="15"/>
        <v>4.49</v>
      </c>
      <c r="Z9" s="762">
        <f t="shared" si="16"/>
        <v>4.49</v>
      </c>
      <c r="AA9" s="945">
        <v>1</v>
      </c>
      <c r="AB9" s="939">
        <f t="shared" si="17"/>
        <v>1</v>
      </c>
      <c r="AC9" s="939">
        <f t="shared" si="26"/>
        <v>0</v>
      </c>
      <c r="AD9" s="762">
        <f t="shared" si="19"/>
        <v>0</v>
      </c>
      <c r="AE9" s="849">
        <f t="shared" si="20"/>
        <v>0</v>
      </c>
      <c r="AI9" s="391" t="str">
        <f t="shared" si="29"/>
        <v>Pea Gravel</v>
      </c>
      <c r="AJ9" s="206" t="str">
        <f t="shared" si="3"/>
        <v>yes</v>
      </c>
      <c r="AK9" s="206" t="str">
        <f t="shared" si="4"/>
        <v>Pet Store</v>
      </c>
      <c r="AL9" s="188">
        <f t="shared" si="0"/>
        <v>2</v>
      </c>
      <c r="AM9" s="188">
        <f t="shared" si="5"/>
        <v>3</v>
      </c>
      <c r="AN9" s="189">
        <f t="shared" si="1"/>
        <v>4.49</v>
      </c>
      <c r="AO9" s="189">
        <f t="shared" si="6"/>
        <v>8.98</v>
      </c>
      <c r="AP9" s="189">
        <f t="shared" si="7"/>
        <v>13.47</v>
      </c>
      <c r="AQ9" s="189">
        <f t="shared" si="2"/>
        <v>4.49</v>
      </c>
      <c r="AR9" s="189">
        <f t="shared" si="8"/>
        <v>8.98</v>
      </c>
      <c r="AS9" s="190">
        <f t="shared" si="9"/>
        <v>13.47</v>
      </c>
      <c r="AU9" s="392" t="str">
        <f t="shared" si="30"/>
        <v>Pea Gravel</v>
      </c>
      <c r="AV9" s="309" t="str">
        <f t="shared" si="10"/>
        <v>Buy from aquarium department</v>
      </c>
    </row>
    <row r="10" spans="1:48" s="29" customFormat="1" ht="63" x14ac:dyDescent="0.25">
      <c r="A10" s="899" t="s">
        <v>592</v>
      </c>
      <c r="B10" s="895" t="s">
        <v>77</v>
      </c>
      <c r="C10" s="459" t="s">
        <v>212</v>
      </c>
      <c r="D10" s="458" t="s">
        <v>21</v>
      </c>
      <c r="E10" s="458" t="s">
        <v>593</v>
      </c>
      <c r="F10" s="763">
        <v>5</v>
      </c>
      <c r="G10" s="763">
        <v>5</v>
      </c>
      <c r="H10" s="931">
        <v>1</v>
      </c>
      <c r="I10" s="931">
        <v>1</v>
      </c>
      <c r="J10" s="864">
        <f t="shared" ref="J10:J16" si="32">H10-K10*30</f>
        <v>1</v>
      </c>
      <c r="K10" s="864">
        <f t="shared" ref="K10:K16" si="33">(I10-H10)/10</f>
        <v>0</v>
      </c>
      <c r="L10" s="931">
        <f t="shared" si="11"/>
        <v>1</v>
      </c>
      <c r="M10" s="761">
        <f t="shared" si="12"/>
        <v>5</v>
      </c>
      <c r="N10" s="761">
        <f t="shared" si="21"/>
        <v>5</v>
      </c>
      <c r="O10" s="761">
        <f t="shared" si="22"/>
        <v>5</v>
      </c>
      <c r="P10" s="761">
        <f t="shared" si="13"/>
        <v>5</v>
      </c>
      <c r="Q10" s="761">
        <f t="shared" si="27"/>
        <v>5</v>
      </c>
      <c r="R10" s="761">
        <f t="shared" si="28"/>
        <v>5</v>
      </c>
      <c r="S10" s="732">
        <f t="shared" si="23"/>
        <v>1</v>
      </c>
      <c r="T10" s="694">
        <f t="shared" si="24"/>
        <v>5</v>
      </c>
      <c r="U10" s="694">
        <f t="shared" si="25"/>
        <v>5</v>
      </c>
      <c r="V10" s="940">
        <v>1</v>
      </c>
      <c r="W10" s="940">
        <v>0</v>
      </c>
      <c r="X10" s="939">
        <f t="shared" si="14"/>
        <v>1</v>
      </c>
      <c r="Y10" s="762">
        <f t="shared" si="15"/>
        <v>5</v>
      </c>
      <c r="Z10" s="762">
        <f t="shared" si="16"/>
        <v>5</v>
      </c>
      <c r="AA10" s="945">
        <v>1</v>
      </c>
      <c r="AB10" s="939">
        <f t="shared" si="17"/>
        <v>1</v>
      </c>
      <c r="AC10" s="939">
        <f t="shared" si="26"/>
        <v>0</v>
      </c>
      <c r="AD10" s="762">
        <f t="shared" si="19"/>
        <v>0</v>
      </c>
      <c r="AE10" s="849">
        <f t="shared" si="20"/>
        <v>0</v>
      </c>
      <c r="AI10" s="288" t="str">
        <f t="shared" si="29"/>
        <v>Limestone, white. Crushed or pelitized preferred over powdered</v>
      </c>
      <c r="AJ10" s="289" t="str">
        <f t="shared" si="3"/>
        <v>no</v>
      </c>
      <c r="AK10" s="289" t="str">
        <f t="shared" si="4"/>
        <v>Hardware or garden store</v>
      </c>
      <c r="AL10" s="290">
        <f t="shared" si="0"/>
        <v>1</v>
      </c>
      <c r="AM10" s="290">
        <f t="shared" si="5"/>
        <v>1</v>
      </c>
      <c r="AN10" s="291">
        <f t="shared" si="1"/>
        <v>5</v>
      </c>
      <c r="AO10" s="291">
        <f t="shared" si="6"/>
        <v>5</v>
      </c>
      <c r="AP10" s="291">
        <f t="shared" si="7"/>
        <v>5</v>
      </c>
      <c r="AQ10" s="291">
        <f t="shared" si="2"/>
        <v>5</v>
      </c>
      <c r="AR10" s="291">
        <f t="shared" si="8"/>
        <v>5</v>
      </c>
      <c r="AS10" s="292">
        <f t="shared" si="9"/>
        <v>5</v>
      </c>
      <c r="AU10" s="310" t="str">
        <f t="shared" si="30"/>
        <v>Limestone, white. Crushed or pelitized preferred over powdered</v>
      </c>
      <c r="AV10" s="309" t="str">
        <f t="shared" si="10"/>
        <v>Try to find limestone that is granular or pelitized instead of powder.  No reasonable online source found.</v>
      </c>
    </row>
    <row r="11" spans="1:48" ht="78.75" customHeight="1" x14ac:dyDescent="0.25">
      <c r="A11" s="907" t="s">
        <v>22</v>
      </c>
      <c r="B11" s="904" t="s">
        <v>796</v>
      </c>
      <c r="C11" s="461" t="s">
        <v>212</v>
      </c>
      <c r="D11" s="460" t="s">
        <v>188</v>
      </c>
      <c r="E11" s="460" t="s">
        <v>23</v>
      </c>
      <c r="F11" s="763">
        <v>2</v>
      </c>
      <c r="G11" s="763">
        <v>4.49</v>
      </c>
      <c r="H11" s="932">
        <v>1</v>
      </c>
      <c r="I11" s="932">
        <v>2</v>
      </c>
      <c r="J11" s="864">
        <f t="shared" si="32"/>
        <v>-2</v>
      </c>
      <c r="K11" s="864">
        <f t="shared" si="33"/>
        <v>0.1</v>
      </c>
      <c r="L11" s="931">
        <f t="shared" si="11"/>
        <v>1</v>
      </c>
      <c r="M11" s="761">
        <f t="shared" si="12"/>
        <v>2</v>
      </c>
      <c r="N11" s="761">
        <f t="shared" si="21"/>
        <v>2</v>
      </c>
      <c r="O11" s="761">
        <f t="shared" si="22"/>
        <v>4</v>
      </c>
      <c r="P11" s="761">
        <f t="shared" si="13"/>
        <v>4.49</v>
      </c>
      <c r="Q11" s="761">
        <f t="shared" si="27"/>
        <v>4.49</v>
      </c>
      <c r="R11" s="761">
        <f t="shared" si="28"/>
        <v>8.98</v>
      </c>
      <c r="S11" s="732">
        <f t="shared" si="23"/>
        <v>1</v>
      </c>
      <c r="T11" s="694">
        <f t="shared" si="24"/>
        <v>2</v>
      </c>
      <c r="U11" s="694">
        <f t="shared" si="25"/>
        <v>4.49</v>
      </c>
      <c r="V11" s="939">
        <v>0</v>
      </c>
      <c r="W11" s="939">
        <v>0.2</v>
      </c>
      <c r="X11" s="939">
        <f t="shared" si="14"/>
        <v>1</v>
      </c>
      <c r="Y11" s="762">
        <f t="shared" si="15"/>
        <v>2</v>
      </c>
      <c r="Z11" s="762">
        <f t="shared" si="16"/>
        <v>4.49</v>
      </c>
      <c r="AA11" s="945">
        <v>1</v>
      </c>
      <c r="AB11" s="939">
        <f t="shared" si="17"/>
        <v>1</v>
      </c>
      <c r="AC11" s="939">
        <f t="shared" si="26"/>
        <v>0</v>
      </c>
      <c r="AD11" s="762">
        <f t="shared" si="19"/>
        <v>0</v>
      </c>
      <c r="AE11" s="849">
        <f t="shared" si="20"/>
        <v>0</v>
      </c>
      <c r="AI11" s="242" t="str">
        <f t="shared" si="29"/>
        <v>Cheesecloth</v>
      </c>
      <c r="AJ11" s="206" t="str">
        <f t="shared" si="3"/>
        <v>no</v>
      </c>
      <c r="AK11" s="206" t="str">
        <f t="shared" si="4"/>
        <v>Grocery; some variety</v>
      </c>
      <c r="AL11" s="188">
        <f t="shared" si="0"/>
        <v>1</v>
      </c>
      <c r="AM11" s="188">
        <f t="shared" si="5"/>
        <v>2</v>
      </c>
      <c r="AN11" s="189">
        <f t="shared" si="1"/>
        <v>2</v>
      </c>
      <c r="AO11" s="189">
        <f t="shared" si="6"/>
        <v>2</v>
      </c>
      <c r="AP11" s="189">
        <f t="shared" si="7"/>
        <v>4</v>
      </c>
      <c r="AQ11" s="189">
        <f t="shared" si="2"/>
        <v>4.49</v>
      </c>
      <c r="AR11" s="189">
        <f t="shared" si="8"/>
        <v>4.49</v>
      </c>
      <c r="AS11" s="190">
        <f t="shared" si="9"/>
        <v>8.98</v>
      </c>
      <c r="AU11" s="310" t="str">
        <f t="shared" si="30"/>
        <v>Cheesecloth</v>
      </c>
      <c r="AV11" s="309" t="str">
        <f t="shared" si="10"/>
        <v xml:space="preserve">These items are substitutes for burlap and other landscape fabrics, which are used in bioswales to help keep fine sediments from clogging during filtration.  </v>
      </c>
    </row>
    <row r="12" spans="1:48" ht="48" customHeight="1" x14ac:dyDescent="0.25">
      <c r="A12" s="899" t="s">
        <v>595</v>
      </c>
      <c r="B12" s="1421">
        <v>100</v>
      </c>
      <c r="C12" s="458" t="s">
        <v>212</v>
      </c>
      <c r="D12" s="458" t="s">
        <v>24</v>
      </c>
      <c r="E12" s="458" t="s">
        <v>594</v>
      </c>
      <c r="F12" s="763">
        <v>23.2</v>
      </c>
      <c r="G12" s="763">
        <v>23.2</v>
      </c>
      <c r="H12" s="931">
        <v>1</v>
      </c>
      <c r="I12" s="931">
        <v>2</v>
      </c>
      <c r="J12" s="864">
        <f t="shared" si="32"/>
        <v>-2</v>
      </c>
      <c r="K12" s="864">
        <f t="shared" si="33"/>
        <v>0.1</v>
      </c>
      <c r="L12" s="931">
        <f t="shared" si="11"/>
        <v>1</v>
      </c>
      <c r="M12" s="761">
        <f t="shared" si="12"/>
        <v>23.2</v>
      </c>
      <c r="N12" s="761">
        <f t="shared" si="21"/>
        <v>23.2</v>
      </c>
      <c r="O12" s="761">
        <f t="shared" si="22"/>
        <v>46.4</v>
      </c>
      <c r="P12" s="761">
        <f t="shared" si="13"/>
        <v>23.2</v>
      </c>
      <c r="Q12" s="761">
        <f t="shared" si="27"/>
        <v>23.2</v>
      </c>
      <c r="R12" s="761">
        <f t="shared" si="28"/>
        <v>46.4</v>
      </c>
      <c r="S12" s="732">
        <f t="shared" si="23"/>
        <v>1</v>
      </c>
      <c r="T12" s="694">
        <f t="shared" si="24"/>
        <v>23.2</v>
      </c>
      <c r="U12" s="694">
        <f t="shared" si="25"/>
        <v>23.2</v>
      </c>
      <c r="V12" s="939">
        <v>1</v>
      </c>
      <c r="W12" s="939">
        <v>0</v>
      </c>
      <c r="X12" s="939">
        <f t="shared" si="14"/>
        <v>1</v>
      </c>
      <c r="Y12" s="762">
        <f t="shared" si="15"/>
        <v>23.2</v>
      </c>
      <c r="Z12" s="762">
        <f t="shared" si="16"/>
        <v>23.2</v>
      </c>
      <c r="AA12" s="945">
        <v>1</v>
      </c>
      <c r="AB12" s="939">
        <f t="shared" si="17"/>
        <v>1</v>
      </c>
      <c r="AC12" s="939">
        <f t="shared" si="26"/>
        <v>0</v>
      </c>
      <c r="AD12" s="762">
        <f t="shared" si="19"/>
        <v>0</v>
      </c>
      <c r="AE12" s="849">
        <f t="shared" si="20"/>
        <v>0</v>
      </c>
      <c r="AI12" s="246" t="str">
        <f t="shared" si="29"/>
        <v>pH Test strips: EM pH Strips 2.0-9.0</v>
      </c>
      <c r="AJ12" s="247" t="str">
        <f t="shared" si="3"/>
        <v>no</v>
      </c>
      <c r="AK12" s="191" t="str">
        <f t="shared" si="4"/>
        <v>Science supply co.</v>
      </c>
      <c r="AL12" s="223">
        <f t="shared" si="0"/>
        <v>1</v>
      </c>
      <c r="AM12" s="248">
        <f t="shared" si="5"/>
        <v>2</v>
      </c>
      <c r="AN12" s="249">
        <f t="shared" si="1"/>
        <v>23.2</v>
      </c>
      <c r="AO12" s="193">
        <f t="shared" si="6"/>
        <v>23.2</v>
      </c>
      <c r="AP12" s="216">
        <f t="shared" si="7"/>
        <v>46.4</v>
      </c>
      <c r="AQ12" s="216">
        <f t="shared" si="2"/>
        <v>23.2</v>
      </c>
      <c r="AR12" s="216">
        <f t="shared" si="8"/>
        <v>23.2</v>
      </c>
      <c r="AS12" s="250">
        <f t="shared" si="9"/>
        <v>46.4</v>
      </c>
      <c r="AU12" s="310" t="str">
        <f t="shared" si="30"/>
        <v>pH Test strips: EM pH Strips 2.0-9.0</v>
      </c>
      <c r="AV12" s="309" t="str">
        <f t="shared" si="10"/>
        <v>Alternative: Use electronic pH instruments if classroom has them.</v>
      </c>
    </row>
    <row r="13" spans="1:48" ht="63" x14ac:dyDescent="0.25">
      <c r="A13" s="899" t="s">
        <v>597</v>
      </c>
      <c r="B13" s="1421">
        <v>1</v>
      </c>
      <c r="C13" s="458" t="s">
        <v>66</v>
      </c>
      <c r="D13" s="458" t="s">
        <v>101</v>
      </c>
      <c r="E13" s="458" t="s">
        <v>187</v>
      </c>
      <c r="F13" s="763">
        <v>10</v>
      </c>
      <c r="G13" s="763">
        <v>4.95</v>
      </c>
      <c r="H13" s="931">
        <v>1</v>
      </c>
      <c r="I13" s="931">
        <v>1</v>
      </c>
      <c r="J13" s="864">
        <f t="shared" si="32"/>
        <v>1</v>
      </c>
      <c r="K13" s="864">
        <f t="shared" si="33"/>
        <v>0</v>
      </c>
      <c r="L13" s="931">
        <f t="shared" si="11"/>
        <v>1</v>
      </c>
      <c r="M13" s="761">
        <f t="shared" si="12"/>
        <v>10</v>
      </c>
      <c r="N13" s="761">
        <f t="shared" si="21"/>
        <v>10</v>
      </c>
      <c r="O13" s="761">
        <f t="shared" si="22"/>
        <v>10</v>
      </c>
      <c r="P13" s="761">
        <f t="shared" si="13"/>
        <v>4.95</v>
      </c>
      <c r="Q13" s="761">
        <f t="shared" si="27"/>
        <v>4.95</v>
      </c>
      <c r="R13" s="761">
        <f t="shared" si="28"/>
        <v>4.95</v>
      </c>
      <c r="S13" s="732">
        <f t="shared" si="23"/>
        <v>0</v>
      </c>
      <c r="T13" s="694">
        <f t="shared" si="24"/>
        <v>0</v>
      </c>
      <c r="U13" s="694">
        <f t="shared" si="25"/>
        <v>0</v>
      </c>
      <c r="V13" s="939">
        <v>1</v>
      </c>
      <c r="W13" s="939">
        <v>0</v>
      </c>
      <c r="X13" s="939">
        <f t="shared" si="14"/>
        <v>1</v>
      </c>
      <c r="Y13" s="762">
        <f t="shared" si="15"/>
        <v>10</v>
      </c>
      <c r="Z13" s="762">
        <f t="shared" si="16"/>
        <v>4.95</v>
      </c>
      <c r="AA13" s="945">
        <v>1</v>
      </c>
      <c r="AB13" s="939">
        <f t="shared" si="17"/>
        <v>1</v>
      </c>
      <c r="AC13" s="939">
        <f t="shared" si="26"/>
        <v>0</v>
      </c>
      <c r="AD13" s="762">
        <f t="shared" si="19"/>
        <v>0</v>
      </c>
      <c r="AE13" s="849">
        <f t="shared" si="20"/>
        <v>0</v>
      </c>
      <c r="AI13" s="243" t="str">
        <f t="shared" si="29"/>
        <v>Hammer and a few 10-penny nails; driver handle and bits in a variety of sizes</v>
      </c>
      <c r="AJ13" s="206" t="str">
        <f t="shared" si="3"/>
        <v>yes</v>
      </c>
      <c r="AK13" s="206" t="str">
        <f t="shared" si="4"/>
        <v>Hardware Store or borrow</v>
      </c>
      <c r="AL13" s="188">
        <f t="shared" si="0"/>
        <v>1</v>
      </c>
      <c r="AM13" s="188">
        <f t="shared" si="5"/>
        <v>1</v>
      </c>
      <c r="AN13" s="189">
        <f t="shared" si="1"/>
        <v>10</v>
      </c>
      <c r="AO13" s="189">
        <f t="shared" si="6"/>
        <v>10</v>
      </c>
      <c r="AP13" s="189">
        <f t="shared" si="7"/>
        <v>10</v>
      </c>
      <c r="AQ13" s="189">
        <f t="shared" si="2"/>
        <v>4.95</v>
      </c>
      <c r="AR13" s="189">
        <f t="shared" ref="AR13:AR19" si="34">Q13</f>
        <v>4.95</v>
      </c>
      <c r="AS13" s="190">
        <f t="shared" ref="AS13:AS19" si="35">R13</f>
        <v>4.95</v>
      </c>
      <c r="AU13" s="310" t="str">
        <f t="shared" si="30"/>
        <v>Hammer and a few 10-penny nails; driver handle and bits in a variety of sizes</v>
      </c>
      <c r="AV13" s="309" t="str">
        <f t="shared" si="10"/>
        <v>For making holes in bottle tops</v>
      </c>
    </row>
    <row r="14" spans="1:48" ht="45.75" customHeight="1" x14ac:dyDescent="0.25">
      <c r="A14" s="899" t="s">
        <v>102</v>
      </c>
      <c r="B14" s="893" t="s">
        <v>794</v>
      </c>
      <c r="C14" s="459" t="s">
        <v>66</v>
      </c>
      <c r="D14" s="458" t="s">
        <v>143</v>
      </c>
      <c r="E14" s="458" t="s">
        <v>76</v>
      </c>
      <c r="F14" s="763">
        <v>1</v>
      </c>
      <c r="G14" s="763">
        <v>6.49</v>
      </c>
      <c r="H14" s="931">
        <v>1</v>
      </c>
      <c r="I14" s="931">
        <v>2</v>
      </c>
      <c r="J14" s="864">
        <f t="shared" si="32"/>
        <v>-2</v>
      </c>
      <c r="K14" s="864">
        <f t="shared" si="33"/>
        <v>0.1</v>
      </c>
      <c r="L14" s="931">
        <f t="shared" si="11"/>
        <v>1</v>
      </c>
      <c r="M14" s="761">
        <f t="shared" si="12"/>
        <v>1</v>
      </c>
      <c r="N14" s="761">
        <f t="shared" si="21"/>
        <v>1</v>
      </c>
      <c r="O14" s="761">
        <f t="shared" si="22"/>
        <v>2</v>
      </c>
      <c r="P14" s="761">
        <f t="shared" si="13"/>
        <v>6.49</v>
      </c>
      <c r="Q14" s="761">
        <f t="shared" si="27"/>
        <v>6.49</v>
      </c>
      <c r="R14" s="761">
        <f t="shared" si="28"/>
        <v>12.98</v>
      </c>
      <c r="S14" s="732">
        <f t="shared" si="23"/>
        <v>0</v>
      </c>
      <c r="T14" s="694">
        <f t="shared" si="24"/>
        <v>0</v>
      </c>
      <c r="U14" s="694">
        <f t="shared" si="25"/>
        <v>0</v>
      </c>
      <c r="V14" s="939">
        <v>1</v>
      </c>
      <c r="W14" s="939">
        <v>0</v>
      </c>
      <c r="X14" s="939">
        <f t="shared" si="14"/>
        <v>1</v>
      </c>
      <c r="Y14" s="762">
        <f t="shared" si="15"/>
        <v>1</v>
      </c>
      <c r="Z14" s="762">
        <f t="shared" si="16"/>
        <v>6.49</v>
      </c>
      <c r="AA14" s="945">
        <v>1</v>
      </c>
      <c r="AB14" s="939">
        <f t="shared" si="17"/>
        <v>1</v>
      </c>
      <c r="AC14" s="939">
        <f t="shared" si="26"/>
        <v>0</v>
      </c>
      <c r="AD14" s="762">
        <f t="shared" si="19"/>
        <v>0</v>
      </c>
      <c r="AE14" s="849">
        <f t="shared" si="20"/>
        <v>0</v>
      </c>
      <c r="AI14" s="243" t="str">
        <f t="shared" si="29"/>
        <v>Measuring cups including 1/3 cup or metric equivalent</v>
      </c>
      <c r="AJ14" s="206" t="str">
        <f t="shared" si="3"/>
        <v>yes</v>
      </c>
      <c r="AK14" s="206" t="str">
        <f t="shared" si="4"/>
        <v>Dollar</v>
      </c>
      <c r="AL14" s="188">
        <f t="shared" si="0"/>
        <v>1</v>
      </c>
      <c r="AM14" s="188">
        <f t="shared" si="5"/>
        <v>2</v>
      </c>
      <c r="AN14" s="189">
        <f t="shared" si="1"/>
        <v>1</v>
      </c>
      <c r="AO14" s="189">
        <f t="shared" si="6"/>
        <v>1</v>
      </c>
      <c r="AP14" s="189">
        <f t="shared" si="7"/>
        <v>2</v>
      </c>
      <c r="AQ14" s="189">
        <f t="shared" si="2"/>
        <v>6.49</v>
      </c>
      <c r="AR14" s="189">
        <f t="shared" si="34"/>
        <v>6.49</v>
      </c>
      <c r="AS14" s="190">
        <f t="shared" si="35"/>
        <v>12.98</v>
      </c>
      <c r="AU14" s="310" t="str">
        <f t="shared" si="30"/>
        <v>Measuring cups including 1/3 cup or metric equivalent</v>
      </c>
      <c r="AV14" s="309" t="str">
        <f t="shared" si="10"/>
        <v>Graduated beakers work fine too</v>
      </c>
    </row>
    <row r="15" spans="1:48" ht="63" x14ac:dyDescent="0.25">
      <c r="A15" s="899" t="s">
        <v>596</v>
      </c>
      <c r="B15" s="895" t="s">
        <v>797</v>
      </c>
      <c r="C15" s="459" t="s">
        <v>212</v>
      </c>
      <c r="D15" s="458" t="s">
        <v>186</v>
      </c>
      <c r="E15" s="462" t="s">
        <v>619</v>
      </c>
      <c r="F15" s="763">
        <v>3</v>
      </c>
      <c r="G15" s="763">
        <v>7.5</v>
      </c>
      <c r="H15" s="931">
        <v>2</v>
      </c>
      <c r="I15" s="931">
        <v>3</v>
      </c>
      <c r="J15" s="864">
        <f t="shared" si="32"/>
        <v>-1</v>
      </c>
      <c r="K15" s="864">
        <f t="shared" si="33"/>
        <v>0.1</v>
      </c>
      <c r="L15" s="931">
        <f t="shared" si="11"/>
        <v>2</v>
      </c>
      <c r="M15" s="761">
        <f t="shared" si="12"/>
        <v>6</v>
      </c>
      <c r="N15" s="761">
        <f t="shared" si="21"/>
        <v>6</v>
      </c>
      <c r="O15" s="761">
        <f t="shared" si="22"/>
        <v>9</v>
      </c>
      <c r="P15" s="761">
        <f t="shared" si="13"/>
        <v>15</v>
      </c>
      <c r="Q15" s="761">
        <f t="shared" si="27"/>
        <v>15</v>
      </c>
      <c r="R15" s="761">
        <f t="shared" si="28"/>
        <v>22.5</v>
      </c>
      <c r="S15" s="732">
        <f t="shared" si="23"/>
        <v>2</v>
      </c>
      <c r="T15" s="694">
        <f t="shared" si="24"/>
        <v>6</v>
      </c>
      <c r="U15" s="694">
        <f t="shared" si="25"/>
        <v>15</v>
      </c>
      <c r="V15" s="939">
        <v>1</v>
      </c>
      <c r="W15" s="939">
        <v>0</v>
      </c>
      <c r="X15" s="939">
        <f t="shared" si="14"/>
        <v>1</v>
      </c>
      <c r="Y15" s="762">
        <f t="shared" si="15"/>
        <v>3</v>
      </c>
      <c r="Z15" s="762">
        <f t="shared" si="16"/>
        <v>7.5</v>
      </c>
      <c r="AA15" s="945">
        <v>1</v>
      </c>
      <c r="AB15" s="939">
        <f t="shared" si="17"/>
        <v>1</v>
      </c>
      <c r="AC15" s="939">
        <f t="shared" si="26"/>
        <v>0</v>
      </c>
      <c r="AD15" s="762">
        <f t="shared" si="19"/>
        <v>0</v>
      </c>
      <c r="AE15" s="849">
        <f t="shared" si="20"/>
        <v>0</v>
      </c>
      <c r="AI15" s="243" t="str">
        <f t="shared" si="29"/>
        <v>Black or Green Tea, box of 20 bags or more or 80 grams of loose tea</v>
      </c>
      <c r="AJ15" s="206" t="str">
        <f t="shared" si="3"/>
        <v>no</v>
      </c>
      <c r="AK15" s="206" t="str">
        <f t="shared" si="4"/>
        <v xml:space="preserve">Grocery </v>
      </c>
      <c r="AL15" s="188">
        <f t="shared" si="0"/>
        <v>2</v>
      </c>
      <c r="AM15" s="188">
        <f t="shared" si="5"/>
        <v>3</v>
      </c>
      <c r="AN15" s="189">
        <f t="shared" si="1"/>
        <v>3</v>
      </c>
      <c r="AO15" s="189">
        <f t="shared" si="6"/>
        <v>6</v>
      </c>
      <c r="AP15" s="189">
        <f t="shared" si="7"/>
        <v>9</v>
      </c>
      <c r="AQ15" s="189">
        <f t="shared" si="2"/>
        <v>7.5</v>
      </c>
      <c r="AR15" s="189">
        <f t="shared" si="34"/>
        <v>15</v>
      </c>
      <c r="AS15" s="190">
        <f t="shared" si="35"/>
        <v>22.5</v>
      </c>
      <c r="AU15" s="310" t="str">
        <f t="shared" si="30"/>
        <v>Black or Green Tea, box of 20 bags or more or 80 grams of loose tea</v>
      </c>
      <c r="AV15" s="309" t="str">
        <f t="shared" si="10"/>
        <v>none</v>
      </c>
    </row>
    <row r="16" spans="1:48" ht="32.25" thickBot="1" x14ac:dyDescent="0.3">
      <c r="A16" s="899" t="s">
        <v>799</v>
      </c>
      <c r="B16" s="905" t="s">
        <v>798</v>
      </c>
      <c r="C16" s="880" t="s">
        <v>212</v>
      </c>
      <c r="D16" s="879" t="s">
        <v>185</v>
      </c>
      <c r="E16" s="826" t="s">
        <v>619</v>
      </c>
      <c r="F16" s="928">
        <v>2</v>
      </c>
      <c r="G16" s="928">
        <v>3.28</v>
      </c>
      <c r="H16" s="933">
        <v>1</v>
      </c>
      <c r="I16" s="933">
        <v>2</v>
      </c>
      <c r="J16" s="934">
        <f t="shared" si="32"/>
        <v>-2</v>
      </c>
      <c r="K16" s="934">
        <f t="shared" si="33"/>
        <v>0.1</v>
      </c>
      <c r="L16" s="933">
        <f t="shared" si="11"/>
        <v>1</v>
      </c>
      <c r="M16" s="918">
        <f t="shared" si="12"/>
        <v>2</v>
      </c>
      <c r="N16" s="918">
        <f t="shared" si="21"/>
        <v>2</v>
      </c>
      <c r="O16" s="918">
        <f t="shared" si="22"/>
        <v>4</v>
      </c>
      <c r="P16" s="918">
        <f t="shared" si="13"/>
        <v>3.28</v>
      </c>
      <c r="Q16" s="918">
        <f t="shared" si="27"/>
        <v>3.28</v>
      </c>
      <c r="R16" s="918">
        <f t="shared" si="28"/>
        <v>6.56</v>
      </c>
      <c r="S16" s="732">
        <f t="shared" si="23"/>
        <v>1</v>
      </c>
      <c r="T16" s="694">
        <f t="shared" si="24"/>
        <v>2</v>
      </c>
      <c r="U16" s="694">
        <f t="shared" si="25"/>
        <v>3.28</v>
      </c>
      <c r="V16" s="941">
        <v>1</v>
      </c>
      <c r="W16" s="941">
        <v>0</v>
      </c>
      <c r="X16" s="941">
        <f t="shared" si="14"/>
        <v>1</v>
      </c>
      <c r="Y16" s="844">
        <f t="shared" si="15"/>
        <v>2</v>
      </c>
      <c r="Z16" s="844">
        <f t="shared" si="16"/>
        <v>3.28</v>
      </c>
      <c r="AA16" s="946">
        <v>1</v>
      </c>
      <c r="AB16" s="941">
        <f t="shared" si="17"/>
        <v>1</v>
      </c>
      <c r="AC16" s="941">
        <f t="shared" si="26"/>
        <v>0</v>
      </c>
      <c r="AD16" s="844">
        <f t="shared" si="19"/>
        <v>0</v>
      </c>
      <c r="AE16" s="919">
        <f t="shared" si="20"/>
        <v>0</v>
      </c>
      <c r="AI16" s="252" t="str">
        <f t="shared" si="29"/>
        <v>Lemon Juice or vinegar</v>
      </c>
      <c r="AJ16" s="251" t="str">
        <f t="shared" si="3"/>
        <v>no</v>
      </c>
      <c r="AK16" s="251" t="str">
        <f t="shared" si="4"/>
        <v>Grocery</v>
      </c>
      <c r="AL16" s="223">
        <f t="shared" si="0"/>
        <v>1</v>
      </c>
      <c r="AM16" s="223">
        <f t="shared" si="5"/>
        <v>2</v>
      </c>
      <c r="AN16" s="216">
        <f t="shared" si="1"/>
        <v>2</v>
      </c>
      <c r="AO16" s="216">
        <f t="shared" si="6"/>
        <v>2</v>
      </c>
      <c r="AP16" s="216">
        <f t="shared" si="7"/>
        <v>4</v>
      </c>
      <c r="AQ16" s="216">
        <f t="shared" si="2"/>
        <v>3.28</v>
      </c>
      <c r="AR16" s="216">
        <f t="shared" si="34"/>
        <v>3.28</v>
      </c>
      <c r="AS16" s="250">
        <f t="shared" si="35"/>
        <v>6.56</v>
      </c>
      <c r="AU16" s="311" t="str">
        <f t="shared" si="30"/>
        <v>Lemon Juice or vinegar</v>
      </c>
      <c r="AV16" s="312" t="str">
        <f t="shared" si="10"/>
        <v>none</v>
      </c>
    </row>
    <row r="17" spans="1:48" ht="20.100000000000001" customHeight="1" thickBot="1" x14ac:dyDescent="0.3">
      <c r="A17" s="914" t="s">
        <v>105</v>
      </c>
      <c r="B17" s="465"/>
      <c r="C17" s="465"/>
      <c r="D17" s="465"/>
      <c r="E17" s="465"/>
      <c r="F17" s="929"/>
      <c r="G17" s="1264"/>
      <c r="H17" s="935"/>
      <c r="I17" s="935"/>
      <c r="J17" s="935"/>
      <c r="K17" s="935"/>
      <c r="L17" s="935"/>
      <c r="M17" s="920">
        <f t="shared" ref="M17:R17" si="36">SUM(M6:M16)</f>
        <v>73.180000000000007</v>
      </c>
      <c r="N17" s="920">
        <f t="shared" si="36"/>
        <v>73.180000000000007</v>
      </c>
      <c r="O17" s="920">
        <f t="shared" si="36"/>
        <v>116.37</v>
      </c>
      <c r="P17" s="920">
        <f t="shared" si="36"/>
        <v>90.35</v>
      </c>
      <c r="Q17" s="920">
        <f t="shared" si="36"/>
        <v>90.35</v>
      </c>
      <c r="R17" s="920">
        <f t="shared" si="36"/>
        <v>149.28</v>
      </c>
      <c r="S17" s="920"/>
      <c r="T17" s="920">
        <f>SUM(T6:T16)</f>
        <v>38.200000000000003</v>
      </c>
      <c r="U17" s="920">
        <f>SUM(U6:U16)</f>
        <v>50.97</v>
      </c>
      <c r="V17" s="942"/>
      <c r="W17" s="942"/>
      <c r="X17" s="942"/>
      <c r="Y17" s="921">
        <f>SUM(Y6:Y16)</f>
        <v>58.19</v>
      </c>
      <c r="Z17" s="921">
        <f>SUM(Z6:Z16)</f>
        <v>68.88</v>
      </c>
      <c r="AA17" s="947"/>
      <c r="AB17" s="947"/>
      <c r="AC17" s="947"/>
      <c r="AD17" s="921">
        <f>SUM(AD6:AD16)</f>
        <v>0</v>
      </c>
      <c r="AE17" s="922">
        <f>SUM(AE6:AE16)</f>
        <v>0</v>
      </c>
      <c r="AI17" s="1715" t="str">
        <f t="shared" si="29"/>
        <v>Subtotal</v>
      </c>
      <c r="AJ17" s="1716"/>
      <c r="AK17" s="1716"/>
      <c r="AL17" s="1716"/>
      <c r="AM17" s="1716"/>
      <c r="AN17" s="209">
        <f t="shared" si="1"/>
        <v>0</v>
      </c>
      <c r="AO17" s="209">
        <f t="shared" si="6"/>
        <v>73.180000000000007</v>
      </c>
      <c r="AP17" s="209">
        <f t="shared" si="7"/>
        <v>116.37</v>
      </c>
      <c r="AQ17" s="209">
        <f t="shared" si="2"/>
        <v>0</v>
      </c>
      <c r="AR17" s="209">
        <f t="shared" si="34"/>
        <v>90.35</v>
      </c>
      <c r="AS17" s="208">
        <f t="shared" si="35"/>
        <v>149.28</v>
      </c>
      <c r="AU17" s="305"/>
      <c r="AV17" s="306"/>
    </row>
    <row r="18" spans="1:48" ht="20.100000000000001" customHeight="1" thickBot="1" x14ac:dyDescent="0.3">
      <c r="A18" s="908" t="s">
        <v>194</v>
      </c>
      <c r="B18" s="915"/>
      <c r="C18" s="916"/>
      <c r="D18" s="916"/>
      <c r="E18" s="916" t="s">
        <v>320</v>
      </c>
      <c r="F18" s="923"/>
      <c r="G18" s="923"/>
      <c r="H18" s="936"/>
      <c r="I18" s="936"/>
      <c r="J18" s="936"/>
      <c r="K18" s="936"/>
      <c r="L18" s="936"/>
      <c r="M18" s="923"/>
      <c r="N18" s="923"/>
      <c r="O18" s="923"/>
      <c r="P18" s="923">
        <v>12</v>
      </c>
      <c r="Q18" s="923">
        <v>12</v>
      </c>
      <c r="R18" s="923">
        <v>12</v>
      </c>
      <c r="S18" s="923"/>
      <c r="T18" s="923"/>
      <c r="U18" s="923">
        <v>12</v>
      </c>
      <c r="V18" s="943"/>
      <c r="W18" s="943"/>
      <c r="X18" s="943"/>
      <c r="Y18" s="924"/>
      <c r="Z18" s="924">
        <f>IF(Z17&gt;0,12,0)</f>
        <v>12</v>
      </c>
      <c r="AA18" s="948"/>
      <c r="AB18" s="948"/>
      <c r="AC18" s="943"/>
      <c r="AD18" s="924"/>
      <c r="AE18" s="925">
        <f>IF(AE17&gt;0,12,0)</f>
        <v>0</v>
      </c>
      <c r="AI18" s="1717" t="str">
        <f t="shared" si="29"/>
        <v>Shipping</v>
      </c>
      <c r="AJ18" s="1718"/>
      <c r="AK18" s="1718"/>
      <c r="AL18" s="1718"/>
      <c r="AM18" s="1718"/>
      <c r="AN18" s="189">
        <f t="shared" si="1"/>
        <v>0</v>
      </c>
      <c r="AO18" s="189">
        <f t="shared" si="6"/>
        <v>0</v>
      </c>
      <c r="AP18" s="189">
        <f t="shared" si="7"/>
        <v>0</v>
      </c>
      <c r="AQ18" s="189">
        <f t="shared" si="2"/>
        <v>0</v>
      </c>
      <c r="AR18" s="189">
        <f t="shared" si="34"/>
        <v>12</v>
      </c>
      <c r="AS18" s="190">
        <f t="shared" si="35"/>
        <v>12</v>
      </c>
      <c r="AU18" s="13"/>
      <c r="AV18" s="13"/>
    </row>
    <row r="19" spans="1:48" ht="20.100000000000001" customHeight="1" thickBot="1" x14ac:dyDescent="0.3">
      <c r="A19" s="906" t="s">
        <v>5</v>
      </c>
      <c r="B19" s="917"/>
      <c r="C19" s="917"/>
      <c r="D19" s="917"/>
      <c r="E19" s="917"/>
      <c r="F19" s="949"/>
      <c r="G19" s="949"/>
      <c r="H19" s="937"/>
      <c r="I19" s="937"/>
      <c r="J19" s="937"/>
      <c r="K19" s="937"/>
      <c r="L19" s="937"/>
      <c r="M19" s="1422">
        <f>SUM(M17:M18)</f>
        <v>73.180000000000007</v>
      </c>
      <c r="N19" s="1422">
        <f t="shared" ref="N19:AE19" si="37">SUM(N17:N18)</f>
        <v>73.180000000000007</v>
      </c>
      <c r="O19" s="1422">
        <f t="shared" si="37"/>
        <v>116.37</v>
      </c>
      <c r="P19" s="1422">
        <f t="shared" si="37"/>
        <v>102.35</v>
      </c>
      <c r="Q19" s="1422">
        <f t="shared" si="37"/>
        <v>102.35</v>
      </c>
      <c r="R19" s="1422">
        <f t="shared" si="37"/>
        <v>161.28</v>
      </c>
      <c r="S19" s="1422"/>
      <c r="T19" s="1422">
        <f t="shared" si="37"/>
        <v>38.200000000000003</v>
      </c>
      <c r="U19" s="1422">
        <f t="shared" si="37"/>
        <v>62.97</v>
      </c>
      <c r="V19" s="944"/>
      <c r="W19" s="944"/>
      <c r="X19" s="944"/>
      <c r="Y19" s="926">
        <f t="shared" si="37"/>
        <v>58.19</v>
      </c>
      <c r="Z19" s="926">
        <f t="shared" si="37"/>
        <v>80.88</v>
      </c>
      <c r="AA19" s="944"/>
      <c r="AB19" s="944"/>
      <c r="AC19" s="944"/>
      <c r="AD19" s="926">
        <f t="shared" si="37"/>
        <v>0</v>
      </c>
      <c r="AE19" s="927">
        <f t="shared" si="37"/>
        <v>0</v>
      </c>
      <c r="AI19" s="1719" t="str">
        <f t="shared" si="29"/>
        <v>Total</v>
      </c>
      <c r="AJ19" s="1720"/>
      <c r="AK19" s="1720"/>
      <c r="AL19" s="1720"/>
      <c r="AM19" s="1720"/>
      <c r="AN19" s="218">
        <f t="shared" si="1"/>
        <v>0</v>
      </c>
      <c r="AO19" s="218">
        <f t="shared" si="6"/>
        <v>73.180000000000007</v>
      </c>
      <c r="AP19" s="218">
        <f t="shared" si="7"/>
        <v>116.37</v>
      </c>
      <c r="AQ19" s="218">
        <f t="shared" si="2"/>
        <v>0</v>
      </c>
      <c r="AR19" s="218">
        <f t="shared" si="34"/>
        <v>102.35</v>
      </c>
      <c r="AS19" s="237">
        <f t="shared" si="35"/>
        <v>161.28</v>
      </c>
      <c r="AU19" s="13"/>
      <c r="AV19" s="13"/>
    </row>
    <row r="20" spans="1:48" x14ac:dyDescent="0.25">
      <c r="AU20" s="1710"/>
      <c r="AV20" s="1710"/>
    </row>
    <row r="21" spans="1:48" x14ac:dyDescent="0.25">
      <c r="AU21" s="305"/>
      <c r="AV21" s="306"/>
    </row>
    <row r="22" spans="1:48" ht="120" customHeight="1" x14ac:dyDescent="0.25">
      <c r="AU22" s="305"/>
      <c r="AV22" s="306"/>
    </row>
    <row r="23" spans="1:48" ht="180" customHeight="1" x14ac:dyDescent="0.25">
      <c r="AU23" s="305"/>
      <c r="AV23" s="306"/>
    </row>
    <row r="24" spans="1:48" ht="210" customHeight="1" x14ac:dyDescent="0.25">
      <c r="AU24" s="305"/>
      <c r="AV24" s="306"/>
    </row>
    <row r="25" spans="1:48" x14ac:dyDescent="0.25">
      <c r="AU25" s="305"/>
      <c r="AV25" s="306"/>
    </row>
  </sheetData>
  <mergeCells count="21">
    <mergeCell ref="AI3:AS3"/>
    <mergeCell ref="AI4:AK4"/>
    <mergeCell ref="AL4:AM4"/>
    <mergeCell ref="AN4:AP4"/>
    <mergeCell ref="AQ4:AS4"/>
    <mergeCell ref="H2:R2"/>
    <mergeCell ref="AU20:AV20"/>
    <mergeCell ref="AA4:AC4"/>
    <mergeCell ref="AD4:AE4"/>
    <mergeCell ref="AI17:AM17"/>
    <mergeCell ref="AI18:AM18"/>
    <mergeCell ref="AI19:AM19"/>
    <mergeCell ref="V2:AE2"/>
    <mergeCell ref="S3:U3"/>
    <mergeCell ref="V4:X4"/>
    <mergeCell ref="Y4:Z4"/>
    <mergeCell ref="Q3:R3"/>
    <mergeCell ref="H4:I4"/>
    <mergeCell ref="J4:L4"/>
    <mergeCell ref="M4:O4"/>
    <mergeCell ref="P4:R4"/>
  </mergeCells>
  <pageMargins left="0.7" right="0.7" top="0.75" bottom="0.75" header="0.3" footer="0.3"/>
  <pageSetup scale="76" fitToHeight="0" orientation="portrait" r:id="rId1"/>
  <headerFooter>
    <oddFooter>&amp;L&amp;F &amp;A&amp;C&amp;P&amp;R&amp;D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2"/>
  <sheetViews>
    <sheetView zoomScale="85" zoomScaleNormal="85" workbookViewId="0">
      <pane xSplit="1" ySplit="5" topLeftCell="F18" activePane="bottomRight" state="frozen"/>
      <selection pane="topRight" activeCell="B1" sqref="B1"/>
      <selection pane="bottomLeft" activeCell="A5" sqref="A5"/>
      <selection pane="bottomRight" activeCell="W19" sqref="W19"/>
    </sheetView>
  </sheetViews>
  <sheetFormatPr defaultColWidth="8.85546875" defaultRowHeight="15" x14ac:dyDescent="0.25"/>
  <cols>
    <col min="1" max="1" width="18.42578125" style="334" customWidth="1"/>
    <col min="2" max="2" width="9.5703125" style="334" customWidth="1"/>
    <col min="3" max="3" width="7.5703125" style="334" customWidth="1"/>
    <col min="4" max="4" width="8.85546875" style="334"/>
    <col min="5" max="5" width="34.5703125" style="334" customWidth="1"/>
    <col min="6" max="6" width="7.5703125" style="334" customWidth="1"/>
    <col min="7" max="7" width="7.7109375" style="334" customWidth="1"/>
    <col min="8" max="8" width="7.85546875" style="334" customWidth="1"/>
    <col min="9" max="12" width="8.85546875" style="334"/>
    <col min="13" max="13" width="9.5703125" style="334" customWidth="1"/>
    <col min="14" max="14" width="9.7109375" style="334" customWidth="1"/>
    <col min="15" max="15" width="8.85546875" style="334"/>
    <col min="16" max="16" width="9.7109375" style="334" customWidth="1"/>
    <col min="17" max="24" width="8.85546875" style="334"/>
    <col min="25" max="26" width="10.7109375" style="334" customWidth="1"/>
    <col min="27" max="28" width="8.85546875" style="334"/>
    <col min="29" max="29" width="11.42578125" style="334" customWidth="1"/>
    <col min="30" max="34" width="8.85546875" style="334"/>
    <col min="35" max="35" width="21.7109375" style="334" customWidth="1"/>
    <col min="36" max="36" width="8.85546875" style="334"/>
    <col min="37" max="37" width="14.28515625" style="334" customWidth="1"/>
    <col min="38" max="46" width="8.85546875" style="334"/>
    <col min="47" max="47" width="30.7109375" style="334" customWidth="1"/>
    <col min="48" max="48" width="38.7109375" style="334" customWidth="1"/>
    <col min="49" max="16384" width="8.85546875" style="334"/>
  </cols>
  <sheetData>
    <row r="1" spans="1:48" ht="30" customHeight="1" thickBot="1" x14ac:dyDescent="0.4">
      <c r="A1" s="910" t="s">
        <v>697</v>
      </c>
    </row>
    <row r="2" spans="1:48" s="428" customFormat="1" ht="30" customHeight="1" thickBot="1" x14ac:dyDescent="0.3">
      <c r="A2" s="1747" t="s">
        <v>560</v>
      </c>
      <c r="B2" s="1748"/>
      <c r="C2" s="1748"/>
      <c r="D2" s="1748"/>
      <c r="E2" s="1748"/>
      <c r="F2" s="1274"/>
      <c r="G2" s="1368"/>
      <c r="H2" s="1753" t="s">
        <v>747</v>
      </c>
      <c r="I2" s="1754"/>
      <c r="J2" s="1754"/>
      <c r="K2" s="1754"/>
      <c r="L2" s="1754"/>
      <c r="M2" s="1754"/>
      <c r="N2" s="1754"/>
      <c r="O2" s="1754"/>
      <c r="P2" s="1754"/>
      <c r="Q2" s="1754"/>
      <c r="R2" s="1754"/>
      <c r="S2" s="1345"/>
      <c r="T2" s="1345"/>
      <c r="U2" s="1370"/>
      <c r="V2" s="1755" t="s">
        <v>692</v>
      </c>
      <c r="W2" s="1756"/>
      <c r="X2" s="1756"/>
      <c r="Y2" s="1756"/>
      <c r="Z2" s="1756"/>
      <c r="AA2" s="1756"/>
      <c r="AB2" s="1756"/>
      <c r="AC2" s="1756"/>
      <c r="AD2" s="1756"/>
      <c r="AE2" s="1757"/>
      <c r="AI2" s="1746" t="s">
        <v>559</v>
      </c>
      <c r="AJ2" s="1746"/>
      <c r="AK2" s="1746"/>
      <c r="AL2" s="1746"/>
      <c r="AM2" s="1746"/>
      <c r="AN2" s="1746"/>
      <c r="AO2" s="1746"/>
      <c r="AP2" s="1746"/>
      <c r="AQ2" s="1746"/>
      <c r="AR2" s="1746"/>
      <c r="AS2" s="1746"/>
      <c r="AU2" s="1745" t="s">
        <v>607</v>
      </c>
      <c r="AV2" s="1745"/>
    </row>
    <row r="3" spans="1:48" ht="78.75" customHeight="1" thickBot="1" x14ac:dyDescent="0.3">
      <c r="A3" s="1275" t="s">
        <v>729</v>
      </c>
      <c r="B3" s="1236"/>
      <c r="C3" s="1236"/>
      <c r="D3" s="1236"/>
      <c r="E3" s="1236"/>
      <c r="F3" s="1751" t="s">
        <v>750</v>
      </c>
      <c r="G3" s="1752"/>
      <c r="H3" s="1371"/>
      <c r="I3" s="1344"/>
      <c r="J3" s="1344"/>
      <c r="K3" s="1241" t="s">
        <v>605</v>
      </c>
      <c r="L3" s="1271">
        <f>Budget!$D$44</f>
        <v>30</v>
      </c>
      <c r="M3" s="1645" t="s">
        <v>760</v>
      </c>
      <c r="N3" s="1645"/>
      <c r="O3" s="1645"/>
      <c r="P3" s="1645"/>
      <c r="Q3" s="1645"/>
      <c r="R3" s="1645"/>
      <c r="S3" s="1645" t="s">
        <v>759</v>
      </c>
      <c r="T3" s="1645"/>
      <c r="U3" s="1687"/>
      <c r="V3" s="1366"/>
      <c r="W3" s="1252" t="s">
        <v>99</v>
      </c>
      <c r="X3" s="1253">
        <f>Budget!C29</f>
        <v>3</v>
      </c>
      <c r="Y3" s="1272"/>
      <c r="Z3" s="1272"/>
      <c r="AA3" s="1252" t="s">
        <v>100</v>
      </c>
      <c r="AB3" s="1253">
        <f>Budget!B29</f>
        <v>10</v>
      </c>
      <c r="AC3" s="1273"/>
      <c r="AD3" s="1255" t="s">
        <v>196</v>
      </c>
      <c r="AE3" s="1276">
        <f>Budget!I7</f>
        <v>1</v>
      </c>
      <c r="AI3" s="1688" t="s">
        <v>678</v>
      </c>
      <c r="AJ3" s="1689"/>
      <c r="AK3" s="1689"/>
      <c r="AL3" s="1689"/>
      <c r="AM3" s="1689"/>
      <c r="AN3" s="1689"/>
      <c r="AO3" s="1689"/>
      <c r="AP3" s="1689"/>
      <c r="AQ3" s="1689"/>
      <c r="AR3" s="1689"/>
      <c r="AS3" s="1690"/>
      <c r="AU3" s="3"/>
      <c r="AV3" s="3"/>
    </row>
    <row r="4" spans="1:48" ht="33.75" customHeight="1" thickBot="1" x14ac:dyDescent="0.3">
      <c r="A4" s="1277"/>
      <c r="B4" s="1244" t="s">
        <v>724</v>
      </c>
      <c r="C4" s="1244"/>
      <c r="D4" s="1244"/>
      <c r="E4" s="1244"/>
      <c r="F4" s="1245" t="s">
        <v>79</v>
      </c>
      <c r="G4" s="1230" t="s">
        <v>80</v>
      </c>
      <c r="H4" s="1750" t="s">
        <v>571</v>
      </c>
      <c r="I4" s="1695"/>
      <c r="J4" s="1695" t="s">
        <v>267</v>
      </c>
      <c r="K4" s="1695"/>
      <c r="L4" s="1695"/>
      <c r="M4" s="1645" t="s">
        <v>565</v>
      </c>
      <c r="N4" s="1645"/>
      <c r="O4" s="1645"/>
      <c r="P4" s="1698" t="s">
        <v>566</v>
      </c>
      <c r="Q4" s="1698"/>
      <c r="R4" s="1698"/>
      <c r="S4" s="766"/>
      <c r="T4" s="766"/>
      <c r="U4" s="833"/>
      <c r="V4" s="1723" t="s">
        <v>70</v>
      </c>
      <c r="W4" s="1697"/>
      <c r="X4" s="1697"/>
      <c r="Y4" s="1697" t="s">
        <v>204</v>
      </c>
      <c r="Z4" s="1697"/>
      <c r="AA4" s="1700" t="s">
        <v>70</v>
      </c>
      <c r="AB4" s="1700"/>
      <c r="AC4" s="1700"/>
      <c r="AD4" s="1700" t="s">
        <v>205</v>
      </c>
      <c r="AE4" s="1749"/>
      <c r="AI4" s="1637" t="str">
        <f>A2</f>
        <v>Item Information</v>
      </c>
      <c r="AJ4" s="1638"/>
      <c r="AK4" s="1657"/>
      <c r="AL4" s="1637" t="str">
        <f t="shared" ref="AL4:AL19" si="0">H4</f>
        <v>Quantity: Class size of…</v>
      </c>
      <c r="AM4" s="1657"/>
      <c r="AN4" s="1691" t="str">
        <f t="shared" ref="AN4:AN22" si="1">F4</f>
        <v>Retail</v>
      </c>
      <c r="AO4" s="1638"/>
      <c r="AP4" s="1638"/>
      <c r="AQ4" s="1692" t="str">
        <f t="shared" ref="AQ4:AQ22" si="2">G4</f>
        <v>Online</v>
      </c>
      <c r="AR4" s="1638"/>
      <c r="AS4" s="1657"/>
      <c r="AU4" s="3"/>
      <c r="AV4" s="3"/>
    </row>
    <row r="5" spans="1:48" ht="61.5" customHeight="1" thickBot="1" x14ac:dyDescent="0.3">
      <c r="A5" s="463" t="s">
        <v>573</v>
      </c>
      <c r="B5" s="464" t="s">
        <v>777</v>
      </c>
      <c r="C5" s="452" t="s">
        <v>65</v>
      </c>
      <c r="D5" s="464" t="s">
        <v>133</v>
      </c>
      <c r="E5" s="464" t="s">
        <v>2</v>
      </c>
      <c r="F5" s="1231" t="s">
        <v>567</v>
      </c>
      <c r="G5" s="1369" t="s">
        <v>567</v>
      </c>
      <c r="H5" s="475">
        <v>30</v>
      </c>
      <c r="I5" s="821">
        <v>40</v>
      </c>
      <c r="J5" s="821" t="s">
        <v>161</v>
      </c>
      <c r="K5" s="821" t="s">
        <v>162</v>
      </c>
      <c r="L5" s="821" t="s">
        <v>70</v>
      </c>
      <c r="M5" s="477" t="s">
        <v>546</v>
      </c>
      <c r="N5" s="477">
        <v>30</v>
      </c>
      <c r="O5" s="477">
        <v>40</v>
      </c>
      <c r="P5" s="477" t="s">
        <v>546</v>
      </c>
      <c r="Q5" s="477">
        <v>30</v>
      </c>
      <c r="R5" s="477">
        <v>40</v>
      </c>
      <c r="S5" s="766" t="s">
        <v>70</v>
      </c>
      <c r="T5" s="766" t="s">
        <v>757</v>
      </c>
      <c r="U5" s="833" t="s">
        <v>758</v>
      </c>
      <c r="V5" s="1367" t="s">
        <v>83</v>
      </c>
      <c r="W5" s="490" t="s">
        <v>82</v>
      </c>
      <c r="X5" s="493" t="s">
        <v>199</v>
      </c>
      <c r="Y5" s="493" t="s">
        <v>79</v>
      </c>
      <c r="Z5" s="493" t="s">
        <v>80</v>
      </c>
      <c r="AA5" s="493" t="s">
        <v>197</v>
      </c>
      <c r="AB5" s="493" t="s">
        <v>198</v>
      </c>
      <c r="AC5" s="493" t="s">
        <v>200</v>
      </c>
      <c r="AD5" s="493" t="s">
        <v>79</v>
      </c>
      <c r="AE5" s="491" t="s">
        <v>80</v>
      </c>
      <c r="AI5" s="339" t="str">
        <f t="shared" ref="AI5:AI19" si="3">A5</f>
        <v>Item to Purchase</v>
      </c>
      <c r="AJ5" s="273" t="str">
        <f t="shared" ref="AJ5:AJ19" si="4">C5</f>
        <v>Re usable</v>
      </c>
      <c r="AK5" s="340" t="str">
        <f t="shared" ref="AK5:AK19" si="5">D5</f>
        <v>Store Type</v>
      </c>
      <c r="AL5" s="341">
        <f t="shared" si="0"/>
        <v>30</v>
      </c>
      <c r="AM5" s="342">
        <f>I5</f>
        <v>40</v>
      </c>
      <c r="AN5" s="272" t="str">
        <f t="shared" si="1"/>
        <v>Ea.</v>
      </c>
      <c r="AO5" s="343">
        <f t="shared" ref="AO5:AO22" si="6">N5</f>
        <v>30</v>
      </c>
      <c r="AP5" s="258">
        <f t="shared" ref="AP5:AP22" si="7">O5</f>
        <v>40</v>
      </c>
      <c r="AQ5" s="272" t="str">
        <f t="shared" si="2"/>
        <v>Ea.</v>
      </c>
      <c r="AR5" s="273">
        <f>Q5</f>
        <v>30</v>
      </c>
      <c r="AS5" s="340">
        <f>R5</f>
        <v>40</v>
      </c>
      <c r="AU5" s="319" t="str">
        <f t="shared" ref="AU5:AU19" si="8">A5</f>
        <v>Item to Purchase</v>
      </c>
      <c r="AV5" s="320" t="str">
        <f t="shared" ref="AV5:AV19" si="9">E5</f>
        <v>Notes</v>
      </c>
    </row>
    <row r="6" spans="1:48" ht="195" x14ac:dyDescent="0.25">
      <c r="A6" s="1270" t="s">
        <v>623</v>
      </c>
      <c r="B6" s="1470" t="s">
        <v>831</v>
      </c>
      <c r="C6" s="467" t="s">
        <v>212</v>
      </c>
      <c r="D6" s="468" t="s">
        <v>624</v>
      </c>
      <c r="E6" s="1426" t="s">
        <v>830</v>
      </c>
      <c r="F6" s="1278">
        <v>20</v>
      </c>
      <c r="G6" s="1278">
        <v>14</v>
      </c>
      <c r="H6" s="479">
        <v>2</v>
      </c>
      <c r="I6" s="480">
        <v>3</v>
      </c>
      <c r="J6" s="479">
        <v>0</v>
      </c>
      <c r="K6" s="1471">
        <f>1/15</f>
        <v>6.6666666666666666E-2</v>
      </c>
      <c r="L6" s="480">
        <f t="shared" ref="L6:L19" si="10">ROUNDUP(J6+(K6*L$3),0)</f>
        <v>2</v>
      </c>
      <c r="M6" s="481">
        <f t="shared" ref="M6:M19" si="11">L6*F6</f>
        <v>40</v>
      </c>
      <c r="N6" s="482">
        <f t="shared" ref="N6:N19" si="12">H6*$F6</f>
        <v>40</v>
      </c>
      <c r="O6" s="483">
        <f t="shared" ref="O6:O19" si="13">I6*$F6</f>
        <v>60</v>
      </c>
      <c r="P6" s="481">
        <f t="shared" ref="P6:P19" si="14">G6*L6</f>
        <v>28</v>
      </c>
      <c r="Q6" s="482">
        <f t="shared" ref="Q6:Q19" si="15">H6*$G6</f>
        <v>28</v>
      </c>
      <c r="R6" s="483">
        <f t="shared" ref="R6:R19" si="16">I6*$G6</f>
        <v>42</v>
      </c>
      <c r="S6" s="732">
        <f>IF(C6="yes",0,L6)</f>
        <v>2</v>
      </c>
      <c r="T6" s="694">
        <f>S6*F6</f>
        <v>40</v>
      </c>
      <c r="U6" s="694">
        <f>S6*G6</f>
        <v>28</v>
      </c>
      <c r="V6" s="494">
        <v>1</v>
      </c>
      <c r="W6" s="495">
        <v>0</v>
      </c>
      <c r="X6" s="496">
        <f t="shared" ref="X6:X19" si="17">ROUNDUP(V6+AB$3/X$3*W6,0)</f>
        <v>1</v>
      </c>
      <c r="Y6" s="497">
        <f t="shared" ref="Y6:Y19" si="18">X6*F6</f>
        <v>20</v>
      </c>
      <c r="Z6" s="498">
        <f t="shared" ref="Z6:Z19" si="19">X6*G6</f>
        <v>14</v>
      </c>
      <c r="AA6" s="975">
        <v>1</v>
      </c>
      <c r="AB6" s="499">
        <f t="shared" ref="AB6:AB19" si="20">AE$3*AA6</f>
        <v>1</v>
      </c>
      <c r="AC6" s="499">
        <f>MAX(X6-AB6,0)</f>
        <v>0</v>
      </c>
      <c r="AD6" s="500">
        <f t="shared" ref="AD6:AD19" si="21">AC6*F6</f>
        <v>0</v>
      </c>
      <c r="AE6" s="661">
        <f t="shared" ref="AE6:AE19" si="22">AC6*G6</f>
        <v>0</v>
      </c>
      <c r="AI6" s="344" t="str">
        <f t="shared" si="3"/>
        <v>Root stock seeds: Maxifort (preferred) or Beaufort</v>
      </c>
      <c r="AJ6" s="347" t="str">
        <f t="shared" si="4"/>
        <v>no</v>
      </c>
      <c r="AK6" s="348" t="str">
        <f t="shared" si="5"/>
        <v>online specialty</v>
      </c>
      <c r="AL6" s="349">
        <f t="shared" si="0"/>
        <v>2</v>
      </c>
      <c r="AM6" s="349">
        <f t="shared" ref="AM6:AM19" si="23">I7</f>
        <v>8</v>
      </c>
      <c r="AN6" s="350">
        <f t="shared" si="1"/>
        <v>20</v>
      </c>
      <c r="AO6" s="350">
        <f t="shared" si="6"/>
        <v>40</v>
      </c>
      <c r="AP6" s="350">
        <f t="shared" si="7"/>
        <v>60</v>
      </c>
      <c r="AQ6" s="350">
        <f t="shared" si="2"/>
        <v>14</v>
      </c>
      <c r="AR6" s="350">
        <f>Q6</f>
        <v>28</v>
      </c>
      <c r="AS6" s="351">
        <f>R6</f>
        <v>42</v>
      </c>
      <c r="AU6" s="369" t="str">
        <f t="shared" si="8"/>
        <v>Root stock seeds: Maxifort (preferred) or Beaufort</v>
      </c>
      <c r="AV6" s="370" t="str">
        <f t="shared" si="9"/>
        <v>For small quantities:
www.davids-garden-seeds.hostedbywebstore.com
www.amazon.com
For large quantities:
www.johnnyseeds.com/p-6895-maxifort-f1.aspx, 250 for $77.75 + $12.25 shipping (in Maine) or 
www.paramountseeds.com/SeedVarieties/tabid/93/product/13/Default.aspx; http://chem-gro.com/cart/product_info.php?products_id=810</v>
      </c>
    </row>
    <row r="7" spans="1:48" ht="135" x14ac:dyDescent="0.25">
      <c r="A7" s="890" t="s">
        <v>626</v>
      </c>
      <c r="B7" s="973" t="s">
        <v>802</v>
      </c>
      <c r="C7" s="470" t="s">
        <v>212</v>
      </c>
      <c r="D7" s="471" t="s">
        <v>624</v>
      </c>
      <c r="E7" s="1426" t="s">
        <v>625</v>
      </c>
      <c r="F7" s="1267">
        <v>2.4</v>
      </c>
      <c r="G7" s="1267">
        <v>1.79</v>
      </c>
      <c r="H7" s="484">
        <v>5</v>
      </c>
      <c r="I7" s="485">
        <v>8</v>
      </c>
      <c r="J7" s="484">
        <v>0</v>
      </c>
      <c r="K7" s="1424">
        <f>1/6</f>
        <v>0.16666666666666666</v>
      </c>
      <c r="L7" s="485">
        <f t="shared" si="10"/>
        <v>5</v>
      </c>
      <c r="M7" s="487">
        <f t="shared" si="11"/>
        <v>12</v>
      </c>
      <c r="N7" s="488">
        <f t="shared" si="12"/>
        <v>12</v>
      </c>
      <c r="O7" s="489">
        <f t="shared" si="13"/>
        <v>19.2</v>
      </c>
      <c r="P7" s="487">
        <f t="shared" si="14"/>
        <v>8.9499999999999993</v>
      </c>
      <c r="Q7" s="488">
        <f t="shared" si="15"/>
        <v>8.9499999999999993</v>
      </c>
      <c r="R7" s="489">
        <f t="shared" si="16"/>
        <v>14.32</v>
      </c>
      <c r="S7" s="732">
        <f>IF(C7="yes",0,L7)</f>
        <v>5</v>
      </c>
      <c r="T7" s="694">
        <f>S7*F7</f>
        <v>12</v>
      </c>
      <c r="U7" s="694">
        <f>S7*G7</f>
        <v>8.9499999999999993</v>
      </c>
      <c r="V7" s="501">
        <v>2</v>
      </c>
      <c r="W7" s="502">
        <v>0</v>
      </c>
      <c r="X7" s="503">
        <f t="shared" si="17"/>
        <v>2</v>
      </c>
      <c r="Y7" s="504">
        <f t="shared" si="18"/>
        <v>4.8</v>
      </c>
      <c r="Z7" s="505">
        <f t="shared" si="19"/>
        <v>3.58</v>
      </c>
      <c r="AA7" s="976">
        <v>1</v>
      </c>
      <c r="AB7" s="506">
        <f t="shared" si="20"/>
        <v>1</v>
      </c>
      <c r="AC7" s="506">
        <f t="shared" ref="AC7" si="24">MAX(X7-AB7,0)</f>
        <v>1</v>
      </c>
      <c r="AD7" s="507">
        <f t="shared" si="21"/>
        <v>2.4</v>
      </c>
      <c r="AE7" s="662">
        <f t="shared" si="22"/>
        <v>1.79</v>
      </c>
      <c r="AI7" s="345" t="str">
        <f t="shared" si="3"/>
        <v>Siberian Tomato Seeds (Heirloom, cold-hardy, short-season/early maturing; look for ~60 days from transplanting; indeterminate)</v>
      </c>
      <c r="AJ7" s="352" t="str">
        <f t="shared" si="4"/>
        <v>no</v>
      </c>
      <c r="AK7" s="335" t="str">
        <f t="shared" si="5"/>
        <v>online specialty</v>
      </c>
      <c r="AL7" s="353">
        <f t="shared" si="0"/>
        <v>5</v>
      </c>
      <c r="AM7" s="353">
        <f t="shared" si="23"/>
        <v>5</v>
      </c>
      <c r="AN7" s="354">
        <f t="shared" si="1"/>
        <v>2.4</v>
      </c>
      <c r="AO7" s="354">
        <f t="shared" si="6"/>
        <v>12</v>
      </c>
      <c r="AP7" s="354">
        <f t="shared" si="7"/>
        <v>19.2</v>
      </c>
      <c r="AQ7" s="354">
        <f t="shared" si="2"/>
        <v>1.79</v>
      </c>
      <c r="AR7" s="354">
        <f t="shared" ref="AR7:AR19" si="25">Q7</f>
        <v>8.9499999999999993</v>
      </c>
      <c r="AS7" s="355">
        <f t="shared" ref="AS7:AS19" si="26">R7</f>
        <v>14.32</v>
      </c>
      <c r="AU7" s="371" t="str">
        <f t="shared" si="8"/>
        <v>Siberian Tomato Seeds (Heirloom, cold-hardy, short-season/early maturing; look for ~60 days from transplanting; indeterminate)</v>
      </c>
      <c r="AV7" s="372" t="str">
        <f t="shared" si="9"/>
        <v>e.g. Ed Hume Seeds "Siberia" -- http://store.valueweb.com/servlet/humeseeds/Detail?no=107 and most garden outlets; Botanical Interests "Red Siberian" -- http://www.botanicalinterests.com/products/view/0053/Tomato-Pole-Red-Siberian-HEIRLOOM-Seeds; packages contain 25-50 seeds</v>
      </c>
    </row>
    <row r="8" spans="1:48" ht="150" x14ac:dyDescent="0.25">
      <c r="A8" s="890" t="s">
        <v>627</v>
      </c>
      <c r="B8" s="1425" t="s">
        <v>789</v>
      </c>
      <c r="C8" s="470" t="s">
        <v>212</v>
      </c>
      <c r="D8" s="471" t="s">
        <v>624</v>
      </c>
      <c r="E8" s="1426" t="s">
        <v>833</v>
      </c>
      <c r="F8" s="1267">
        <v>10</v>
      </c>
      <c r="G8" s="1267">
        <v>8</v>
      </c>
      <c r="H8" s="484">
        <v>3</v>
      </c>
      <c r="I8" s="485">
        <v>5</v>
      </c>
      <c r="J8" s="484">
        <v>0</v>
      </c>
      <c r="K8" s="1428">
        <f>3/30</f>
        <v>0.1</v>
      </c>
      <c r="L8" s="485">
        <f t="shared" si="10"/>
        <v>3</v>
      </c>
      <c r="M8" s="487">
        <f t="shared" si="11"/>
        <v>30</v>
      </c>
      <c r="N8" s="488">
        <f t="shared" si="12"/>
        <v>30</v>
      </c>
      <c r="O8" s="489">
        <f t="shared" si="13"/>
        <v>50</v>
      </c>
      <c r="P8" s="487">
        <f t="shared" si="14"/>
        <v>24</v>
      </c>
      <c r="Q8" s="488">
        <f t="shared" si="15"/>
        <v>24</v>
      </c>
      <c r="R8" s="489">
        <f t="shared" si="16"/>
        <v>40</v>
      </c>
      <c r="S8" s="732">
        <f t="shared" ref="S8:S19" si="27">IF(C8="yes",0,L8)</f>
        <v>3</v>
      </c>
      <c r="T8" s="694">
        <f t="shared" ref="T8:T19" si="28">S8*F8</f>
        <v>30</v>
      </c>
      <c r="U8" s="694">
        <f t="shared" ref="U8:U19" si="29">S8*G8</f>
        <v>24</v>
      </c>
      <c r="V8" s="501">
        <v>1</v>
      </c>
      <c r="W8" s="502">
        <v>0</v>
      </c>
      <c r="X8" s="503">
        <f t="shared" si="17"/>
        <v>1</v>
      </c>
      <c r="Y8" s="504">
        <f t="shared" si="18"/>
        <v>10</v>
      </c>
      <c r="Z8" s="505">
        <f t="shared" si="19"/>
        <v>8</v>
      </c>
      <c r="AA8" s="976">
        <v>1</v>
      </c>
      <c r="AB8" s="506">
        <f t="shared" si="20"/>
        <v>1</v>
      </c>
      <c r="AC8" s="506">
        <f t="shared" ref="AC8" si="30">MAX(X8-AB8,0)</f>
        <v>0</v>
      </c>
      <c r="AD8" s="507">
        <f t="shared" si="21"/>
        <v>0</v>
      </c>
      <c r="AE8" s="662">
        <f t="shared" si="22"/>
        <v>0</v>
      </c>
      <c r="AI8" s="345" t="str">
        <f t="shared" si="3"/>
        <v>"Tube" Grafting clips in a variety of sizes such as 1.7, 1.9, 2.3; use coffee stir straws to stake</v>
      </c>
      <c r="AJ8" s="352" t="str">
        <f t="shared" si="4"/>
        <v>no</v>
      </c>
      <c r="AK8" s="335" t="str">
        <f t="shared" si="5"/>
        <v>online specialty</v>
      </c>
      <c r="AL8" s="353">
        <f t="shared" si="0"/>
        <v>3</v>
      </c>
      <c r="AM8" s="353">
        <f t="shared" si="23"/>
        <v>1</v>
      </c>
      <c r="AN8" s="354">
        <f t="shared" si="1"/>
        <v>10</v>
      </c>
      <c r="AO8" s="354">
        <f t="shared" si="6"/>
        <v>30</v>
      </c>
      <c r="AP8" s="354">
        <f t="shared" si="7"/>
        <v>50</v>
      </c>
      <c r="AQ8" s="354">
        <f t="shared" si="2"/>
        <v>8</v>
      </c>
      <c r="AR8" s="354">
        <f t="shared" si="25"/>
        <v>24</v>
      </c>
      <c r="AS8" s="355">
        <f t="shared" si="26"/>
        <v>40</v>
      </c>
      <c r="AU8" s="371" t="str">
        <f t="shared" si="8"/>
        <v>"Tube" Grafting clips in a variety of sizes such as 1.7, 1.9, 2.3; use coffee stir straws to stake</v>
      </c>
      <c r="AV8" s="372" t="str">
        <f t="shared" si="9"/>
        <v xml:space="preserve">For small quantities, see suppliers of rootstock seeds above.
If you buy Tomato Grafting Kits (see bags below), you won't need to buy clips separately.
For large quantities:
http://www.neseed.com/Grafting-Supplies-TC1p7-Tomato-Eggplant-tube-clips-p/65215.htm
If you re-use them, wash them first.  </v>
      </c>
    </row>
    <row r="9" spans="1:48" ht="45" x14ac:dyDescent="0.25">
      <c r="A9" s="890" t="s">
        <v>353</v>
      </c>
      <c r="B9" s="1425" t="s">
        <v>773</v>
      </c>
      <c r="C9" s="470" t="s">
        <v>212</v>
      </c>
      <c r="D9" s="471" t="s">
        <v>628</v>
      </c>
      <c r="E9" s="950" t="s">
        <v>629</v>
      </c>
      <c r="F9" s="1267">
        <v>4</v>
      </c>
      <c r="G9" s="1267">
        <v>3.3</v>
      </c>
      <c r="H9" s="484">
        <v>1</v>
      </c>
      <c r="I9" s="485">
        <v>1</v>
      </c>
      <c r="J9" s="484">
        <v>1</v>
      </c>
      <c r="K9" s="486">
        <v>0</v>
      </c>
      <c r="L9" s="485">
        <f t="shared" si="10"/>
        <v>1</v>
      </c>
      <c r="M9" s="487">
        <f t="shared" si="11"/>
        <v>4</v>
      </c>
      <c r="N9" s="488">
        <f t="shared" si="12"/>
        <v>4</v>
      </c>
      <c r="O9" s="489">
        <f t="shared" si="13"/>
        <v>4</v>
      </c>
      <c r="P9" s="487">
        <f t="shared" si="14"/>
        <v>3.3</v>
      </c>
      <c r="Q9" s="488">
        <f t="shared" si="15"/>
        <v>3.3</v>
      </c>
      <c r="R9" s="489">
        <f t="shared" si="16"/>
        <v>3.3</v>
      </c>
      <c r="S9" s="732">
        <f t="shared" si="27"/>
        <v>1</v>
      </c>
      <c r="T9" s="694">
        <f t="shared" si="28"/>
        <v>4</v>
      </c>
      <c r="U9" s="694">
        <f t="shared" si="29"/>
        <v>3.3</v>
      </c>
      <c r="V9" s="501">
        <v>1</v>
      </c>
      <c r="W9" s="502">
        <v>0</v>
      </c>
      <c r="X9" s="503">
        <f t="shared" si="17"/>
        <v>1</v>
      </c>
      <c r="Y9" s="504">
        <f t="shared" si="18"/>
        <v>4</v>
      </c>
      <c r="Z9" s="505">
        <f t="shared" si="19"/>
        <v>3.3</v>
      </c>
      <c r="AA9" s="976">
        <v>1</v>
      </c>
      <c r="AB9" s="506">
        <f t="shared" si="20"/>
        <v>1</v>
      </c>
      <c r="AC9" s="506">
        <f t="shared" ref="AC9" si="31">MAX(X9-AB9,0)</f>
        <v>0</v>
      </c>
      <c r="AD9" s="507">
        <f t="shared" si="21"/>
        <v>0</v>
      </c>
      <c r="AE9" s="662">
        <f t="shared" si="22"/>
        <v>0</v>
      </c>
      <c r="AI9" s="345" t="str">
        <f t="shared" si="3"/>
        <v>Coffee Stirrer Straws</v>
      </c>
      <c r="AJ9" s="352" t="str">
        <f t="shared" si="4"/>
        <v>no</v>
      </c>
      <c r="AK9" s="335" t="str">
        <f t="shared" si="5"/>
        <v>Variety; grocery; specialty</v>
      </c>
      <c r="AL9" s="353">
        <f t="shared" si="0"/>
        <v>1</v>
      </c>
      <c r="AM9" s="353">
        <f t="shared" si="23"/>
        <v>3</v>
      </c>
      <c r="AN9" s="354">
        <f t="shared" si="1"/>
        <v>4</v>
      </c>
      <c r="AO9" s="354">
        <f t="shared" si="6"/>
        <v>4</v>
      </c>
      <c r="AP9" s="354">
        <f t="shared" si="7"/>
        <v>4</v>
      </c>
      <c r="AQ9" s="354">
        <f t="shared" si="2"/>
        <v>3.3</v>
      </c>
      <c r="AR9" s="354">
        <f t="shared" si="25"/>
        <v>3.3</v>
      </c>
      <c r="AS9" s="355">
        <f t="shared" si="26"/>
        <v>3.3</v>
      </c>
      <c r="AU9" s="371" t="str">
        <f t="shared" si="8"/>
        <v>Coffee Stirrer Straws</v>
      </c>
      <c r="AV9" s="372" t="str">
        <f t="shared" si="9"/>
        <v>http://www.flowerfactory.com/p-45323-stirrer-coffee-multi-500-count.aspx</v>
      </c>
    </row>
    <row r="10" spans="1:48" ht="120.75" customHeight="1" x14ac:dyDescent="0.25">
      <c r="A10" s="890" t="s">
        <v>805</v>
      </c>
      <c r="B10" s="1425" t="s">
        <v>794</v>
      </c>
      <c r="C10" s="470" t="s">
        <v>66</v>
      </c>
      <c r="D10" s="471" t="s">
        <v>624</v>
      </c>
      <c r="E10" s="1426" t="s">
        <v>832</v>
      </c>
      <c r="F10" s="1429">
        <v>15</v>
      </c>
      <c r="G10" s="1267">
        <v>13</v>
      </c>
      <c r="H10" s="484">
        <v>2</v>
      </c>
      <c r="I10" s="485">
        <v>3</v>
      </c>
      <c r="J10" s="484">
        <v>0</v>
      </c>
      <c r="K10" s="1424">
        <f>1/15</f>
        <v>6.6666666666666666E-2</v>
      </c>
      <c r="L10" s="485">
        <f t="shared" si="10"/>
        <v>2</v>
      </c>
      <c r="M10" s="487">
        <f t="shared" si="11"/>
        <v>30</v>
      </c>
      <c r="N10" s="488">
        <f t="shared" si="12"/>
        <v>30</v>
      </c>
      <c r="O10" s="489">
        <f t="shared" si="13"/>
        <v>45</v>
      </c>
      <c r="P10" s="487">
        <f t="shared" si="14"/>
        <v>26</v>
      </c>
      <c r="Q10" s="488">
        <f t="shared" si="15"/>
        <v>26</v>
      </c>
      <c r="R10" s="489">
        <f t="shared" si="16"/>
        <v>39</v>
      </c>
      <c r="S10" s="732">
        <f t="shared" si="27"/>
        <v>0</v>
      </c>
      <c r="T10" s="694">
        <f t="shared" si="28"/>
        <v>0</v>
      </c>
      <c r="U10" s="694">
        <f t="shared" si="29"/>
        <v>0</v>
      </c>
      <c r="V10" s="501">
        <v>0</v>
      </c>
      <c r="W10" s="502">
        <f>1/(AE3)</f>
        <v>1</v>
      </c>
      <c r="X10" s="503">
        <f t="shared" si="17"/>
        <v>4</v>
      </c>
      <c r="Y10" s="504">
        <f t="shared" si="18"/>
        <v>60</v>
      </c>
      <c r="Z10" s="505">
        <f t="shared" si="19"/>
        <v>52</v>
      </c>
      <c r="AA10" s="976">
        <v>1</v>
      </c>
      <c r="AB10" s="506">
        <f t="shared" si="20"/>
        <v>1</v>
      </c>
      <c r="AC10" s="506">
        <f t="shared" ref="AC10:AC11" si="32">MAX(X10-AB10,0)</f>
        <v>3</v>
      </c>
      <c r="AD10" s="507">
        <f t="shared" si="21"/>
        <v>45</v>
      </c>
      <c r="AE10" s="662">
        <f t="shared" si="22"/>
        <v>39</v>
      </c>
      <c r="AI10" s="345" t="str">
        <f t="shared" si="3"/>
        <v xml:space="preserve">3 ml Clear Gusset Poly Bags - 12X10X24 </v>
      </c>
      <c r="AJ10" s="352" t="str">
        <f t="shared" si="4"/>
        <v>yes</v>
      </c>
      <c r="AK10" s="335" t="str">
        <f t="shared" si="5"/>
        <v>online specialty</v>
      </c>
      <c r="AL10" s="353">
        <f t="shared" si="0"/>
        <v>2</v>
      </c>
      <c r="AM10" s="353">
        <f t="shared" si="23"/>
        <v>3</v>
      </c>
      <c r="AN10" s="354">
        <f t="shared" si="1"/>
        <v>15</v>
      </c>
      <c r="AO10" s="354">
        <f t="shared" si="6"/>
        <v>30</v>
      </c>
      <c r="AP10" s="354">
        <f t="shared" si="7"/>
        <v>45</v>
      </c>
      <c r="AQ10" s="354">
        <f t="shared" si="2"/>
        <v>13</v>
      </c>
      <c r="AR10" s="354">
        <f t="shared" si="25"/>
        <v>26</v>
      </c>
      <c r="AS10" s="355">
        <f t="shared" si="26"/>
        <v>39</v>
      </c>
      <c r="AU10" s="371" t="str">
        <f t="shared" si="8"/>
        <v xml:space="preserve">3 ml Clear Gusset Poly Bags - 12X10X24 </v>
      </c>
      <c r="AV10" s="372" t="str">
        <f t="shared" si="9"/>
        <v xml:space="preserve">For smaller quanities, buy Tomata Grafting Kits from http://betterheirlooms.com which include bag, clips, rootstock seeds, etc.
For large quanties buy 250 piece case at $84 with shipping from http://www.packandseal.com/c-1002-gusseted-poly-bags.aspx 
</v>
      </c>
    </row>
    <row r="11" spans="1:48" ht="81" customHeight="1" x14ac:dyDescent="0.25">
      <c r="A11" s="890" t="s">
        <v>630</v>
      </c>
      <c r="B11" s="1425" t="s">
        <v>794</v>
      </c>
      <c r="C11" s="472" t="s">
        <v>66</v>
      </c>
      <c r="D11" s="471" t="s">
        <v>631</v>
      </c>
      <c r="E11" s="950" t="s">
        <v>632</v>
      </c>
      <c r="F11" s="1267">
        <v>8</v>
      </c>
      <c r="G11" s="1267">
        <v>10</v>
      </c>
      <c r="H11" s="484">
        <f t="shared" ref="H11:I16" si="33">ROUNDUP($J11+($K11*H$5),0)</f>
        <v>2</v>
      </c>
      <c r="I11" s="485">
        <v>3</v>
      </c>
      <c r="J11" s="484">
        <v>0</v>
      </c>
      <c r="K11" s="1424">
        <f>1/15</f>
        <v>6.6666666666666666E-2</v>
      </c>
      <c r="L11" s="485">
        <f t="shared" si="10"/>
        <v>2</v>
      </c>
      <c r="M11" s="487">
        <f t="shared" si="11"/>
        <v>16</v>
      </c>
      <c r="N11" s="488">
        <f t="shared" si="12"/>
        <v>16</v>
      </c>
      <c r="O11" s="489">
        <f t="shared" si="13"/>
        <v>24</v>
      </c>
      <c r="P11" s="487">
        <f t="shared" si="14"/>
        <v>20</v>
      </c>
      <c r="Q11" s="488">
        <f t="shared" si="15"/>
        <v>20</v>
      </c>
      <c r="R11" s="489">
        <f t="shared" si="16"/>
        <v>30</v>
      </c>
      <c r="S11" s="732">
        <f t="shared" si="27"/>
        <v>0</v>
      </c>
      <c r="T11" s="694">
        <f t="shared" si="28"/>
        <v>0</v>
      </c>
      <c r="U11" s="694">
        <f t="shared" si="29"/>
        <v>0</v>
      </c>
      <c r="V11" s="501">
        <v>2</v>
      </c>
      <c r="W11" s="502">
        <v>0</v>
      </c>
      <c r="X11" s="503">
        <f t="shared" si="17"/>
        <v>2</v>
      </c>
      <c r="Y11" s="504">
        <f t="shared" si="18"/>
        <v>16</v>
      </c>
      <c r="Z11" s="505">
        <f t="shared" si="19"/>
        <v>20</v>
      </c>
      <c r="AA11" s="976">
        <v>1</v>
      </c>
      <c r="AB11" s="506">
        <f t="shared" si="20"/>
        <v>1</v>
      </c>
      <c r="AC11" s="506">
        <f t="shared" si="32"/>
        <v>1</v>
      </c>
      <c r="AD11" s="507">
        <f t="shared" si="21"/>
        <v>8</v>
      </c>
      <c r="AE11" s="662">
        <f t="shared" si="22"/>
        <v>10</v>
      </c>
      <c r="AI11" s="345" t="str">
        <f t="shared" si="3"/>
        <v>Fluorescent Light Bulbs</v>
      </c>
      <c r="AJ11" s="352" t="str">
        <f t="shared" si="4"/>
        <v>yes</v>
      </c>
      <c r="AK11" s="335" t="str">
        <f t="shared" si="5"/>
        <v>Variety; specialty; home/hardware</v>
      </c>
      <c r="AL11" s="353">
        <f t="shared" si="0"/>
        <v>2</v>
      </c>
      <c r="AM11" s="353">
        <f t="shared" si="23"/>
        <v>3</v>
      </c>
      <c r="AN11" s="354">
        <f t="shared" si="1"/>
        <v>8</v>
      </c>
      <c r="AO11" s="354">
        <f t="shared" si="6"/>
        <v>16</v>
      </c>
      <c r="AP11" s="354">
        <f t="shared" si="7"/>
        <v>24</v>
      </c>
      <c r="AQ11" s="354">
        <f t="shared" si="2"/>
        <v>10</v>
      </c>
      <c r="AR11" s="354">
        <f t="shared" si="25"/>
        <v>20</v>
      </c>
      <c r="AS11" s="355">
        <f t="shared" si="26"/>
        <v>30</v>
      </c>
      <c r="AU11" s="371" t="str">
        <f t="shared" si="8"/>
        <v>Fluorescent Light Bulbs</v>
      </c>
      <c r="AV11" s="372" t="str">
        <f t="shared" si="9"/>
        <v>http://www.amazon.com/Feit-Electric-ESL40TN-Fluorescent-High-Wattage/dp/B001AZOV9K/ -- any 40 watt cool white fluorescent bulb should work for this lesson</v>
      </c>
    </row>
    <row r="12" spans="1:48" ht="60" x14ac:dyDescent="0.25">
      <c r="A12" s="890" t="s">
        <v>633</v>
      </c>
      <c r="B12" s="1425" t="s">
        <v>794</v>
      </c>
      <c r="C12" s="472" t="s">
        <v>66</v>
      </c>
      <c r="D12" s="471" t="s">
        <v>631</v>
      </c>
      <c r="E12" s="950" t="s">
        <v>634</v>
      </c>
      <c r="F12" s="1267">
        <v>7</v>
      </c>
      <c r="G12" s="1267">
        <v>6</v>
      </c>
      <c r="H12" s="484">
        <f t="shared" si="33"/>
        <v>2</v>
      </c>
      <c r="I12" s="485">
        <v>3</v>
      </c>
      <c r="J12" s="484">
        <v>0</v>
      </c>
      <c r="K12" s="1424">
        <f>1/15</f>
        <v>6.6666666666666666E-2</v>
      </c>
      <c r="L12" s="485">
        <f t="shared" si="10"/>
        <v>2</v>
      </c>
      <c r="M12" s="487">
        <f t="shared" si="11"/>
        <v>14</v>
      </c>
      <c r="N12" s="488">
        <f t="shared" si="12"/>
        <v>14</v>
      </c>
      <c r="O12" s="489">
        <f t="shared" si="13"/>
        <v>21</v>
      </c>
      <c r="P12" s="487">
        <f t="shared" si="14"/>
        <v>12</v>
      </c>
      <c r="Q12" s="488">
        <f t="shared" si="15"/>
        <v>12</v>
      </c>
      <c r="R12" s="489">
        <f t="shared" si="16"/>
        <v>18</v>
      </c>
      <c r="S12" s="732">
        <f t="shared" si="27"/>
        <v>0</v>
      </c>
      <c r="T12" s="694">
        <f t="shared" si="28"/>
        <v>0</v>
      </c>
      <c r="U12" s="694">
        <f t="shared" si="29"/>
        <v>0</v>
      </c>
      <c r="V12" s="501">
        <v>2</v>
      </c>
      <c r="W12" s="502">
        <v>0</v>
      </c>
      <c r="X12" s="503">
        <f t="shared" si="17"/>
        <v>2</v>
      </c>
      <c r="Y12" s="504">
        <f t="shared" si="18"/>
        <v>14</v>
      </c>
      <c r="Z12" s="505">
        <f t="shared" si="19"/>
        <v>12</v>
      </c>
      <c r="AA12" s="975">
        <v>1</v>
      </c>
      <c r="AB12" s="506">
        <f t="shared" si="20"/>
        <v>1</v>
      </c>
      <c r="AC12" s="506">
        <f t="shared" ref="AC12" si="34">MAX(X12-AB12,0)</f>
        <v>1</v>
      </c>
      <c r="AD12" s="507">
        <f t="shared" si="21"/>
        <v>7</v>
      </c>
      <c r="AE12" s="662">
        <f t="shared" si="22"/>
        <v>6</v>
      </c>
      <c r="AI12" s="345" t="str">
        <f t="shared" si="3"/>
        <v>Light sockets with cords and plugs</v>
      </c>
      <c r="AJ12" s="352" t="str">
        <f t="shared" si="4"/>
        <v>yes</v>
      </c>
      <c r="AK12" s="335" t="str">
        <f t="shared" si="5"/>
        <v>Variety; specialty; home/hardware</v>
      </c>
      <c r="AL12" s="353">
        <f t="shared" si="0"/>
        <v>2</v>
      </c>
      <c r="AM12" s="353">
        <f t="shared" si="23"/>
        <v>2</v>
      </c>
      <c r="AN12" s="354">
        <f t="shared" si="1"/>
        <v>7</v>
      </c>
      <c r="AO12" s="354">
        <f t="shared" si="6"/>
        <v>14</v>
      </c>
      <c r="AP12" s="354">
        <f t="shared" si="7"/>
        <v>21</v>
      </c>
      <c r="AQ12" s="354">
        <f t="shared" si="2"/>
        <v>6</v>
      </c>
      <c r="AR12" s="354">
        <f t="shared" si="25"/>
        <v>12</v>
      </c>
      <c r="AS12" s="355">
        <f t="shared" si="26"/>
        <v>18</v>
      </c>
      <c r="AU12" s="371" t="str">
        <f t="shared" si="8"/>
        <v>Light sockets with cords and plugs</v>
      </c>
      <c r="AV12" s="372" t="str">
        <f t="shared" si="9"/>
        <v>http://www.amazon.com/Amico-Switch-Holder-Socket-Power/dp/B00880DOKM/</v>
      </c>
    </row>
    <row r="13" spans="1:48" ht="45" x14ac:dyDescent="0.25">
      <c r="A13" s="890" t="s">
        <v>804</v>
      </c>
      <c r="B13" s="1425" t="s">
        <v>794</v>
      </c>
      <c r="C13" s="472" t="s">
        <v>66</v>
      </c>
      <c r="D13" s="471" t="s">
        <v>635</v>
      </c>
      <c r="E13" s="950" t="s">
        <v>636</v>
      </c>
      <c r="F13" s="1267">
        <v>20</v>
      </c>
      <c r="G13" s="1267">
        <v>13</v>
      </c>
      <c r="H13" s="484">
        <v>1</v>
      </c>
      <c r="I13" s="485">
        <v>2</v>
      </c>
      <c r="J13" s="484">
        <v>0</v>
      </c>
      <c r="K13" s="1428">
        <f>1/30</f>
        <v>3.3333333333333333E-2</v>
      </c>
      <c r="L13" s="485">
        <f t="shared" si="10"/>
        <v>1</v>
      </c>
      <c r="M13" s="487">
        <f t="shared" si="11"/>
        <v>20</v>
      </c>
      <c r="N13" s="488">
        <f t="shared" si="12"/>
        <v>20</v>
      </c>
      <c r="O13" s="489">
        <f t="shared" si="13"/>
        <v>40</v>
      </c>
      <c r="P13" s="487">
        <f t="shared" si="14"/>
        <v>13</v>
      </c>
      <c r="Q13" s="488">
        <f t="shared" si="15"/>
        <v>13</v>
      </c>
      <c r="R13" s="489">
        <f t="shared" si="16"/>
        <v>26</v>
      </c>
      <c r="S13" s="732">
        <f t="shared" si="27"/>
        <v>0</v>
      </c>
      <c r="T13" s="694">
        <f t="shared" si="28"/>
        <v>0</v>
      </c>
      <c r="U13" s="694">
        <f t="shared" si="29"/>
        <v>0</v>
      </c>
      <c r="V13" s="501">
        <v>1</v>
      </c>
      <c r="W13" s="502">
        <v>0</v>
      </c>
      <c r="X13" s="503">
        <f t="shared" si="17"/>
        <v>1</v>
      </c>
      <c r="Y13" s="504">
        <f t="shared" si="18"/>
        <v>20</v>
      </c>
      <c r="Z13" s="505">
        <f t="shared" si="19"/>
        <v>13</v>
      </c>
      <c r="AA13" s="976">
        <v>0</v>
      </c>
      <c r="AB13" s="506">
        <f t="shared" si="20"/>
        <v>0</v>
      </c>
      <c r="AC13" s="506">
        <f t="shared" ref="AC13" si="35">MAX(X13-AB13,0)</f>
        <v>1</v>
      </c>
      <c r="AD13" s="507">
        <f t="shared" si="21"/>
        <v>20</v>
      </c>
      <c r="AE13" s="662">
        <f t="shared" si="22"/>
        <v>13</v>
      </c>
      <c r="AI13" s="345" t="str">
        <f t="shared" si="3"/>
        <v>Dissection scalpels</v>
      </c>
      <c r="AJ13" s="352" t="str">
        <f t="shared" si="4"/>
        <v>yes</v>
      </c>
      <c r="AK13" s="335" t="str">
        <f t="shared" si="5"/>
        <v>home/hardware; specialty</v>
      </c>
      <c r="AL13" s="353">
        <f t="shared" si="0"/>
        <v>1</v>
      </c>
      <c r="AM13" s="353">
        <f t="shared" si="23"/>
        <v>3</v>
      </c>
      <c r="AN13" s="354">
        <f t="shared" si="1"/>
        <v>20</v>
      </c>
      <c r="AO13" s="354">
        <f t="shared" si="6"/>
        <v>20</v>
      </c>
      <c r="AP13" s="354">
        <f t="shared" si="7"/>
        <v>40</v>
      </c>
      <c r="AQ13" s="354">
        <f t="shared" si="2"/>
        <v>13</v>
      </c>
      <c r="AR13" s="354">
        <f t="shared" si="25"/>
        <v>13</v>
      </c>
      <c r="AS13" s="355">
        <f t="shared" si="26"/>
        <v>26</v>
      </c>
      <c r="AU13" s="371" t="str">
        <f t="shared" si="8"/>
        <v>Dissection scalpels</v>
      </c>
      <c r="AV13" s="372" t="str">
        <f t="shared" si="9"/>
        <v>http://www.amazon.com/Miltex-15-Disposable-Sterile-Scalpels/dp/B001EMKFBW</v>
      </c>
    </row>
    <row r="14" spans="1:48" ht="114.75" customHeight="1" x14ac:dyDescent="0.25">
      <c r="A14" s="890" t="s">
        <v>637</v>
      </c>
      <c r="B14" s="1425" t="s">
        <v>794</v>
      </c>
      <c r="C14" s="472" t="s">
        <v>66</v>
      </c>
      <c r="D14" s="471" t="s">
        <v>635</v>
      </c>
      <c r="E14" s="951" t="s">
        <v>638</v>
      </c>
      <c r="F14" s="1267">
        <v>5</v>
      </c>
      <c r="G14" s="1267">
        <v>5</v>
      </c>
      <c r="H14" s="484">
        <f t="shared" si="33"/>
        <v>2</v>
      </c>
      <c r="I14" s="485">
        <v>3</v>
      </c>
      <c r="J14" s="484">
        <v>0</v>
      </c>
      <c r="K14" s="1424">
        <f>1/15</f>
        <v>6.6666666666666666E-2</v>
      </c>
      <c r="L14" s="485">
        <f t="shared" si="10"/>
        <v>2</v>
      </c>
      <c r="M14" s="487">
        <f t="shared" si="11"/>
        <v>10</v>
      </c>
      <c r="N14" s="488">
        <f t="shared" si="12"/>
        <v>10</v>
      </c>
      <c r="O14" s="489">
        <f t="shared" si="13"/>
        <v>15</v>
      </c>
      <c r="P14" s="487">
        <f t="shared" si="14"/>
        <v>10</v>
      </c>
      <c r="Q14" s="488">
        <f t="shared" si="15"/>
        <v>10</v>
      </c>
      <c r="R14" s="489">
        <f t="shared" si="16"/>
        <v>15</v>
      </c>
      <c r="S14" s="732">
        <f t="shared" si="27"/>
        <v>0</v>
      </c>
      <c r="T14" s="694">
        <f t="shared" si="28"/>
        <v>0</v>
      </c>
      <c r="U14" s="694">
        <f t="shared" si="29"/>
        <v>0</v>
      </c>
      <c r="V14" s="501">
        <v>2</v>
      </c>
      <c r="W14" s="502">
        <v>0</v>
      </c>
      <c r="X14" s="503">
        <f t="shared" si="17"/>
        <v>2</v>
      </c>
      <c r="Y14" s="504">
        <f t="shared" si="18"/>
        <v>10</v>
      </c>
      <c r="Z14" s="505">
        <f t="shared" si="19"/>
        <v>10</v>
      </c>
      <c r="AA14" s="976">
        <v>0</v>
      </c>
      <c r="AB14" s="506">
        <f t="shared" si="20"/>
        <v>0</v>
      </c>
      <c r="AC14" s="506">
        <f t="shared" ref="AC14:AC15" si="36">MAX(X14-AB14,0)</f>
        <v>2</v>
      </c>
      <c r="AD14" s="507">
        <f t="shared" si="21"/>
        <v>10</v>
      </c>
      <c r="AE14" s="662">
        <f t="shared" si="22"/>
        <v>10</v>
      </c>
      <c r="AI14" s="345" t="str">
        <f t="shared" si="3"/>
        <v>Cardboard boxes</v>
      </c>
      <c r="AJ14" s="352" t="str">
        <f t="shared" si="4"/>
        <v>yes</v>
      </c>
      <c r="AK14" s="335" t="str">
        <f t="shared" si="5"/>
        <v>home/hardware; specialty</v>
      </c>
      <c r="AL14" s="353">
        <f t="shared" si="0"/>
        <v>2</v>
      </c>
      <c r="AM14" s="353">
        <f>I16</f>
        <v>6</v>
      </c>
      <c r="AN14" s="354">
        <f t="shared" si="1"/>
        <v>5</v>
      </c>
      <c r="AO14" s="354">
        <f t="shared" si="6"/>
        <v>10</v>
      </c>
      <c r="AP14" s="354">
        <f t="shared" si="7"/>
        <v>15</v>
      </c>
      <c r="AQ14" s="354">
        <f t="shared" si="2"/>
        <v>5</v>
      </c>
      <c r="AR14" s="354">
        <f t="shared" si="25"/>
        <v>10</v>
      </c>
      <c r="AS14" s="355">
        <f t="shared" si="26"/>
        <v>15</v>
      </c>
      <c r="AU14" s="371" t="str">
        <f t="shared" si="8"/>
        <v>Cardboard boxes</v>
      </c>
      <c r="AV14" s="372" t="str">
        <f t="shared" si="9"/>
        <v>To fit a tray of 50 plants with clearance for the light bulb, use a 22 x 18 x 12 inch box on its side; Uline -- http://www.uline.com/cls_04/Boxes-Corrugated?</v>
      </c>
    </row>
    <row r="15" spans="1:48" ht="30" x14ac:dyDescent="0.25">
      <c r="A15" s="890" t="s">
        <v>761</v>
      </c>
      <c r="B15" s="1425" t="s">
        <v>803</v>
      </c>
      <c r="C15" s="472" t="s">
        <v>66</v>
      </c>
      <c r="D15" s="471" t="s">
        <v>185</v>
      </c>
      <c r="E15" s="951" t="s">
        <v>762</v>
      </c>
      <c r="F15" s="1267">
        <v>4</v>
      </c>
      <c r="G15" s="1267">
        <v>5</v>
      </c>
      <c r="H15" s="484">
        <v>1</v>
      </c>
      <c r="I15" s="485">
        <v>1</v>
      </c>
      <c r="J15" s="484">
        <v>1</v>
      </c>
      <c r="K15" s="486">
        <v>0</v>
      </c>
      <c r="L15" s="485">
        <f t="shared" si="10"/>
        <v>1</v>
      </c>
      <c r="M15" s="487">
        <f t="shared" si="11"/>
        <v>4</v>
      </c>
      <c r="N15" s="488">
        <f t="shared" ref="N15" si="37">H15*$F15</f>
        <v>4</v>
      </c>
      <c r="O15" s="489">
        <f t="shared" ref="O15" si="38">I15*$F15</f>
        <v>4</v>
      </c>
      <c r="P15" s="487">
        <f t="shared" si="14"/>
        <v>5</v>
      </c>
      <c r="Q15" s="488">
        <f t="shared" ref="Q15" si="39">H15*$G15</f>
        <v>5</v>
      </c>
      <c r="R15" s="489">
        <f t="shared" ref="R15" si="40">I15*$G15</f>
        <v>5</v>
      </c>
      <c r="S15" s="732">
        <f t="shared" si="27"/>
        <v>0</v>
      </c>
      <c r="T15" s="694">
        <f t="shared" si="28"/>
        <v>0</v>
      </c>
      <c r="U15" s="694">
        <f t="shared" si="29"/>
        <v>0</v>
      </c>
      <c r="V15" s="501">
        <v>1</v>
      </c>
      <c r="W15" s="502">
        <v>0</v>
      </c>
      <c r="X15" s="503">
        <f t="shared" si="17"/>
        <v>1</v>
      </c>
      <c r="Y15" s="504">
        <f t="shared" si="18"/>
        <v>4</v>
      </c>
      <c r="Z15" s="505">
        <f t="shared" si="19"/>
        <v>5</v>
      </c>
      <c r="AA15" s="976">
        <v>1</v>
      </c>
      <c r="AB15" s="506">
        <f t="shared" si="20"/>
        <v>1</v>
      </c>
      <c r="AC15" s="506">
        <f t="shared" si="36"/>
        <v>0</v>
      </c>
      <c r="AD15" s="507">
        <f t="shared" si="21"/>
        <v>0</v>
      </c>
      <c r="AE15" s="662">
        <f t="shared" si="22"/>
        <v>0</v>
      </c>
      <c r="AI15" s="345" t="str">
        <f t="shared" si="3"/>
        <v>Aluminum foil</v>
      </c>
      <c r="AJ15" s="352" t="str">
        <f t="shared" si="4"/>
        <v>yes</v>
      </c>
      <c r="AK15" s="335" t="str">
        <f t="shared" si="5"/>
        <v>Grocery</v>
      </c>
      <c r="AL15" s="353">
        <f t="shared" ref="AL15" si="41">H15</f>
        <v>1</v>
      </c>
      <c r="AM15" s="353">
        <f>I17</f>
        <v>3</v>
      </c>
      <c r="AN15" s="354">
        <f t="shared" ref="AN15" si="42">F15</f>
        <v>4</v>
      </c>
      <c r="AO15" s="354">
        <f t="shared" ref="AO15" si="43">N15</f>
        <v>4</v>
      </c>
      <c r="AP15" s="354">
        <f t="shared" ref="AP15" si="44">O15</f>
        <v>4</v>
      </c>
      <c r="AQ15" s="354">
        <f t="shared" ref="AQ15" si="45">G15</f>
        <v>5</v>
      </c>
      <c r="AR15" s="354">
        <f t="shared" ref="AR15" si="46">Q15</f>
        <v>5</v>
      </c>
      <c r="AS15" s="355">
        <f t="shared" ref="AS15" si="47">R15</f>
        <v>5</v>
      </c>
      <c r="AU15" s="371" t="str">
        <f t="shared" si="8"/>
        <v>Aluminum foil</v>
      </c>
      <c r="AV15" s="1346" t="str">
        <f t="shared" si="9"/>
        <v>Used to line light box to increase light received by plants</v>
      </c>
    </row>
    <row r="16" spans="1:48" ht="90" x14ac:dyDescent="0.25">
      <c r="A16" s="890" t="s">
        <v>639</v>
      </c>
      <c r="B16" s="1425" t="s">
        <v>794</v>
      </c>
      <c r="C16" s="473" t="s">
        <v>640</v>
      </c>
      <c r="D16" s="471" t="s">
        <v>641</v>
      </c>
      <c r="E16" s="950" t="s">
        <v>728</v>
      </c>
      <c r="F16" s="1267">
        <v>5.27</v>
      </c>
      <c r="G16" s="1267">
        <v>5.5</v>
      </c>
      <c r="H16" s="484">
        <f t="shared" si="33"/>
        <v>6</v>
      </c>
      <c r="I16" s="485">
        <f t="shared" si="33"/>
        <v>6</v>
      </c>
      <c r="J16" s="484">
        <v>6</v>
      </c>
      <c r="K16" s="486">
        <v>0</v>
      </c>
      <c r="L16" s="485">
        <f t="shared" si="10"/>
        <v>6</v>
      </c>
      <c r="M16" s="487">
        <f t="shared" si="11"/>
        <v>31.619999999999997</v>
      </c>
      <c r="N16" s="488">
        <f t="shared" si="12"/>
        <v>31.619999999999997</v>
      </c>
      <c r="O16" s="489">
        <f t="shared" si="13"/>
        <v>31.619999999999997</v>
      </c>
      <c r="P16" s="487">
        <f t="shared" si="14"/>
        <v>33</v>
      </c>
      <c r="Q16" s="488">
        <f t="shared" si="15"/>
        <v>33</v>
      </c>
      <c r="R16" s="489">
        <f t="shared" si="16"/>
        <v>33</v>
      </c>
      <c r="S16" s="732">
        <f t="shared" si="27"/>
        <v>6</v>
      </c>
      <c r="T16" s="694">
        <f t="shared" si="28"/>
        <v>31.619999999999997</v>
      </c>
      <c r="U16" s="694">
        <f t="shared" si="29"/>
        <v>33</v>
      </c>
      <c r="V16" s="501">
        <v>2</v>
      </c>
      <c r="W16" s="502">
        <v>0</v>
      </c>
      <c r="X16" s="503">
        <f t="shared" si="17"/>
        <v>2</v>
      </c>
      <c r="Y16" s="504">
        <f t="shared" si="18"/>
        <v>10.54</v>
      </c>
      <c r="Z16" s="505">
        <f t="shared" si="19"/>
        <v>11</v>
      </c>
      <c r="AA16" s="976">
        <v>1</v>
      </c>
      <c r="AB16" s="506">
        <f t="shared" si="20"/>
        <v>1</v>
      </c>
      <c r="AC16" s="506">
        <f t="shared" ref="AC16" si="48">MAX(X16-AB16,0)</f>
        <v>1</v>
      </c>
      <c r="AD16" s="507">
        <f t="shared" si="21"/>
        <v>5.27</v>
      </c>
      <c r="AE16" s="662">
        <f t="shared" si="22"/>
        <v>5.5</v>
      </c>
      <c r="AI16" s="345" t="str">
        <f t="shared" si="3"/>
        <v>Seed Starter Greenhouse -- tray, peat starter pots, transparent plastic heat containment dome</v>
      </c>
      <c r="AJ16" s="352" t="str">
        <f t="shared" si="4"/>
        <v>yes except pots</v>
      </c>
      <c r="AK16" s="335" t="str">
        <f t="shared" si="5"/>
        <v>home/hardware; garden, variety</v>
      </c>
      <c r="AL16" s="353">
        <f t="shared" si="0"/>
        <v>6</v>
      </c>
      <c r="AM16" s="353">
        <f t="shared" si="23"/>
        <v>3</v>
      </c>
      <c r="AN16" s="354">
        <f t="shared" si="1"/>
        <v>5.27</v>
      </c>
      <c r="AO16" s="354">
        <f t="shared" si="6"/>
        <v>31.619999999999997</v>
      </c>
      <c r="AP16" s="354">
        <f t="shared" si="7"/>
        <v>31.619999999999997</v>
      </c>
      <c r="AQ16" s="354">
        <f t="shared" si="2"/>
        <v>5.5</v>
      </c>
      <c r="AR16" s="354">
        <f t="shared" si="25"/>
        <v>33</v>
      </c>
      <c r="AS16" s="355">
        <f t="shared" si="26"/>
        <v>33</v>
      </c>
      <c r="AU16" s="371" t="str">
        <f t="shared" si="8"/>
        <v>Seed Starter Greenhouse -- tray, peat starter pots, transparent plastic heat containment dome</v>
      </c>
      <c r="AV16" s="372" t="str">
        <f t="shared" si="9"/>
        <v>http://parkseed.com/jiffy-strips-and-jiffy-greenhouses/p/v1591/ -- http://www.amazon.com/Jiffy-5029-Starter-Greenhouse-50-Plant/dp/B0000DI83Y/ -- Home Depot store only</v>
      </c>
    </row>
    <row r="17" spans="1:48" ht="150" x14ac:dyDescent="0.25">
      <c r="A17" s="890" t="s">
        <v>642</v>
      </c>
      <c r="B17" s="973" t="s">
        <v>800</v>
      </c>
      <c r="C17" s="473" t="s">
        <v>212</v>
      </c>
      <c r="D17" s="471" t="s">
        <v>641</v>
      </c>
      <c r="E17" s="950" t="s">
        <v>644</v>
      </c>
      <c r="F17" s="1267">
        <v>3.97</v>
      </c>
      <c r="G17" s="1267">
        <v>6</v>
      </c>
      <c r="H17" s="484">
        <v>2</v>
      </c>
      <c r="I17" s="485">
        <v>3</v>
      </c>
      <c r="J17" s="484">
        <v>0</v>
      </c>
      <c r="K17" s="1424">
        <f>1/15</f>
        <v>6.6666666666666666E-2</v>
      </c>
      <c r="L17" s="485">
        <f t="shared" si="10"/>
        <v>2</v>
      </c>
      <c r="M17" s="487">
        <f t="shared" si="11"/>
        <v>7.94</v>
      </c>
      <c r="N17" s="488">
        <f t="shared" si="12"/>
        <v>7.94</v>
      </c>
      <c r="O17" s="489">
        <f t="shared" si="13"/>
        <v>11.91</v>
      </c>
      <c r="P17" s="487">
        <f t="shared" si="14"/>
        <v>12</v>
      </c>
      <c r="Q17" s="488">
        <f t="shared" si="15"/>
        <v>12</v>
      </c>
      <c r="R17" s="489">
        <f t="shared" si="16"/>
        <v>18</v>
      </c>
      <c r="S17" s="732">
        <f t="shared" si="27"/>
        <v>2</v>
      </c>
      <c r="T17" s="694">
        <f t="shared" si="28"/>
        <v>7.94</v>
      </c>
      <c r="U17" s="694">
        <f t="shared" si="29"/>
        <v>12</v>
      </c>
      <c r="V17" s="501">
        <v>2</v>
      </c>
      <c r="W17" s="502">
        <v>1</v>
      </c>
      <c r="X17" s="503">
        <f t="shared" si="17"/>
        <v>6</v>
      </c>
      <c r="Y17" s="504">
        <f t="shared" si="18"/>
        <v>23.82</v>
      </c>
      <c r="Z17" s="505">
        <f t="shared" si="19"/>
        <v>36</v>
      </c>
      <c r="AA17" s="976">
        <v>1</v>
      </c>
      <c r="AB17" s="506">
        <f t="shared" si="20"/>
        <v>1</v>
      </c>
      <c r="AC17" s="506">
        <f t="shared" ref="AC17" si="49">MAX(X17-AB17,0)</f>
        <v>5</v>
      </c>
      <c r="AD17" s="507">
        <f t="shared" si="21"/>
        <v>19.850000000000001</v>
      </c>
      <c r="AE17" s="662">
        <f t="shared" si="22"/>
        <v>30</v>
      </c>
      <c r="AI17" s="345" t="str">
        <f t="shared" si="3"/>
        <v>Seed Starter Growth Medium -- specially formulated for seed germination. If you use regular soil you need to mix it with peat or sand to make it lighter. Without ample soil space, seeds have lower germination rates</v>
      </c>
      <c r="AJ17" s="352" t="str">
        <f t="shared" si="4"/>
        <v>no</v>
      </c>
      <c r="AK17" s="335" t="str">
        <f t="shared" si="5"/>
        <v>home/hardware; garden, variety</v>
      </c>
      <c r="AL17" s="353">
        <f t="shared" si="0"/>
        <v>2</v>
      </c>
      <c r="AM17" s="353">
        <f t="shared" si="23"/>
        <v>1</v>
      </c>
      <c r="AN17" s="354">
        <f t="shared" si="1"/>
        <v>3.97</v>
      </c>
      <c r="AO17" s="354">
        <f t="shared" si="6"/>
        <v>7.94</v>
      </c>
      <c r="AP17" s="354">
        <f t="shared" si="7"/>
        <v>11.91</v>
      </c>
      <c r="AQ17" s="354">
        <f t="shared" si="2"/>
        <v>6</v>
      </c>
      <c r="AR17" s="354">
        <f t="shared" si="25"/>
        <v>12</v>
      </c>
      <c r="AS17" s="355">
        <f t="shared" si="26"/>
        <v>18</v>
      </c>
      <c r="AU17" s="371" t="str">
        <f t="shared" si="8"/>
        <v>Seed Starter Growth Medium -- specially formulated for seed germination. If you use regular soil you need to mix it with peat or sand to make it lighter. Without ample soil space, seeds have lower germination rates</v>
      </c>
      <c r="AV17" s="372" t="str">
        <f t="shared" si="9"/>
        <v>http://www.homedepot.com/p/Jiffy-Mix-10-qt-Seed-Starting-Mix-5088/100349751#.UcuIm_msi-1 (Store only); assume each starter pot needs 1/2 C</v>
      </c>
    </row>
    <row r="18" spans="1:48" ht="75" x14ac:dyDescent="0.25">
      <c r="A18" s="890" t="s">
        <v>643</v>
      </c>
      <c r="B18" s="973" t="s">
        <v>801</v>
      </c>
      <c r="C18" s="473" t="s">
        <v>212</v>
      </c>
      <c r="D18" s="471" t="s">
        <v>641</v>
      </c>
      <c r="E18" s="951" t="s">
        <v>645</v>
      </c>
      <c r="F18" s="1267">
        <v>4.95</v>
      </c>
      <c r="G18" s="1267">
        <v>7</v>
      </c>
      <c r="H18" s="484">
        <v>1</v>
      </c>
      <c r="I18" s="485">
        <v>1</v>
      </c>
      <c r="J18" s="484">
        <v>1</v>
      </c>
      <c r="K18" s="486">
        <v>0</v>
      </c>
      <c r="L18" s="485">
        <f t="shared" si="10"/>
        <v>1</v>
      </c>
      <c r="M18" s="487">
        <f t="shared" si="11"/>
        <v>4.95</v>
      </c>
      <c r="N18" s="488">
        <f t="shared" si="12"/>
        <v>4.95</v>
      </c>
      <c r="O18" s="489">
        <f t="shared" si="13"/>
        <v>4.95</v>
      </c>
      <c r="P18" s="487">
        <f t="shared" si="14"/>
        <v>7</v>
      </c>
      <c r="Q18" s="488">
        <f t="shared" si="15"/>
        <v>7</v>
      </c>
      <c r="R18" s="489">
        <f t="shared" si="16"/>
        <v>7</v>
      </c>
      <c r="S18" s="732">
        <f t="shared" si="27"/>
        <v>1</v>
      </c>
      <c r="T18" s="694">
        <f t="shared" si="28"/>
        <v>4.95</v>
      </c>
      <c r="U18" s="694">
        <f t="shared" si="29"/>
        <v>7</v>
      </c>
      <c r="V18" s="501">
        <v>1</v>
      </c>
      <c r="W18" s="502">
        <v>1</v>
      </c>
      <c r="X18" s="503">
        <f t="shared" si="17"/>
        <v>5</v>
      </c>
      <c r="Y18" s="504">
        <f t="shared" si="18"/>
        <v>24.75</v>
      </c>
      <c r="Z18" s="505">
        <f t="shared" si="19"/>
        <v>35</v>
      </c>
      <c r="AA18" s="976">
        <v>1</v>
      </c>
      <c r="AB18" s="506">
        <f t="shared" si="20"/>
        <v>1</v>
      </c>
      <c r="AC18" s="506">
        <f t="shared" ref="AC18" si="50">MAX(X18-AB18,0)</f>
        <v>4</v>
      </c>
      <c r="AD18" s="507">
        <f t="shared" si="21"/>
        <v>19.8</v>
      </c>
      <c r="AE18" s="662">
        <f t="shared" si="22"/>
        <v>28</v>
      </c>
      <c r="AI18" s="345" t="str">
        <f t="shared" si="3"/>
        <v>Fertilizer, e.g. Osmocote slow release pellets</v>
      </c>
      <c r="AJ18" s="352" t="str">
        <f t="shared" si="4"/>
        <v>no</v>
      </c>
      <c r="AK18" s="335" t="str">
        <f t="shared" si="5"/>
        <v>home/hardware; garden, variety</v>
      </c>
      <c r="AL18" s="353">
        <f t="shared" si="0"/>
        <v>1</v>
      </c>
      <c r="AM18" s="353">
        <f t="shared" si="23"/>
        <v>3</v>
      </c>
      <c r="AN18" s="354">
        <f t="shared" si="1"/>
        <v>4.95</v>
      </c>
      <c r="AO18" s="354">
        <f t="shared" si="6"/>
        <v>4.95</v>
      </c>
      <c r="AP18" s="354">
        <f t="shared" si="7"/>
        <v>4.95</v>
      </c>
      <c r="AQ18" s="354">
        <f t="shared" si="2"/>
        <v>7</v>
      </c>
      <c r="AR18" s="354">
        <f t="shared" si="25"/>
        <v>7</v>
      </c>
      <c r="AS18" s="355">
        <f t="shared" si="26"/>
        <v>7</v>
      </c>
      <c r="AU18" s="371" t="str">
        <f t="shared" si="8"/>
        <v>Fertilizer, e.g. Osmocote slow release pellets</v>
      </c>
      <c r="AV18" s="372" t="str">
        <f t="shared" si="9"/>
        <v>The MiracleGro used in the high school algae lesson has a different NPK ratio; use something optimized for seed germination or tomatoes; assume a few pellets per starter pot</v>
      </c>
    </row>
    <row r="19" spans="1:48" ht="75.75" thickBot="1" x14ac:dyDescent="0.3">
      <c r="A19" s="891" t="s">
        <v>72</v>
      </c>
      <c r="B19" s="1427" t="s">
        <v>794</v>
      </c>
      <c r="C19" s="958" t="s">
        <v>66</v>
      </c>
      <c r="D19" s="959" t="s">
        <v>641</v>
      </c>
      <c r="E19" s="960" t="s">
        <v>646</v>
      </c>
      <c r="F19" s="1268">
        <v>2.98</v>
      </c>
      <c r="G19" s="1268">
        <v>2.98</v>
      </c>
      <c r="H19" s="961">
        <v>2</v>
      </c>
      <c r="I19" s="962">
        <v>3</v>
      </c>
      <c r="J19" s="961">
        <v>0</v>
      </c>
      <c r="K19" s="1423">
        <f>1/15</f>
        <v>6.6666666666666666E-2</v>
      </c>
      <c r="L19" s="962">
        <f t="shared" si="10"/>
        <v>2</v>
      </c>
      <c r="M19" s="663">
        <f t="shared" si="11"/>
        <v>5.96</v>
      </c>
      <c r="N19" s="963">
        <f t="shared" si="12"/>
        <v>5.96</v>
      </c>
      <c r="O19" s="964">
        <f t="shared" si="13"/>
        <v>8.94</v>
      </c>
      <c r="P19" s="663">
        <f t="shared" si="14"/>
        <v>5.96</v>
      </c>
      <c r="Q19" s="963">
        <f t="shared" si="15"/>
        <v>5.96</v>
      </c>
      <c r="R19" s="964">
        <f t="shared" si="16"/>
        <v>8.94</v>
      </c>
      <c r="S19" s="1356">
        <f t="shared" si="27"/>
        <v>0</v>
      </c>
      <c r="T19" s="1357">
        <f t="shared" si="28"/>
        <v>0</v>
      </c>
      <c r="U19" s="1357">
        <f t="shared" si="29"/>
        <v>0</v>
      </c>
      <c r="V19" s="965">
        <v>1</v>
      </c>
      <c r="W19" s="966">
        <v>1</v>
      </c>
      <c r="X19" s="967">
        <f t="shared" si="17"/>
        <v>5</v>
      </c>
      <c r="Y19" s="968">
        <f t="shared" si="18"/>
        <v>14.9</v>
      </c>
      <c r="Z19" s="969">
        <f t="shared" si="19"/>
        <v>14.9</v>
      </c>
      <c r="AA19" s="952">
        <v>1</v>
      </c>
      <c r="AB19" s="664">
        <f t="shared" si="20"/>
        <v>1</v>
      </c>
      <c r="AC19" s="664">
        <f t="shared" ref="AC19" si="51">MAX(X19-AB19,0)</f>
        <v>4</v>
      </c>
      <c r="AD19" s="665">
        <f t="shared" si="21"/>
        <v>11.92</v>
      </c>
      <c r="AE19" s="666">
        <f t="shared" si="22"/>
        <v>11.92</v>
      </c>
      <c r="AI19" s="346" t="str">
        <f t="shared" si="3"/>
        <v>Thermometer</v>
      </c>
      <c r="AJ19" s="356" t="str">
        <f t="shared" si="4"/>
        <v>yes</v>
      </c>
      <c r="AK19" s="338" t="str">
        <f t="shared" si="5"/>
        <v>home/hardware; garden, variety</v>
      </c>
      <c r="AL19" s="357">
        <f t="shared" si="0"/>
        <v>2</v>
      </c>
      <c r="AM19" s="357">
        <f t="shared" si="23"/>
        <v>0</v>
      </c>
      <c r="AN19" s="358">
        <f t="shared" si="1"/>
        <v>2.98</v>
      </c>
      <c r="AO19" s="358">
        <f t="shared" si="6"/>
        <v>5.96</v>
      </c>
      <c r="AP19" s="358">
        <f t="shared" si="7"/>
        <v>8.94</v>
      </c>
      <c r="AQ19" s="358">
        <f t="shared" si="2"/>
        <v>2.98</v>
      </c>
      <c r="AR19" s="358">
        <f t="shared" si="25"/>
        <v>5.96</v>
      </c>
      <c r="AS19" s="359">
        <f t="shared" si="26"/>
        <v>8.94</v>
      </c>
      <c r="AU19" s="373" t="str">
        <f t="shared" si="8"/>
        <v>Thermometer</v>
      </c>
      <c r="AV19" s="374" t="str">
        <f t="shared" si="9"/>
        <v>http://www.homedepot.com/p/AcuRite-Thermometer-with-Humidity-00339HDSB/100659742#.UcuLovmsi-1 -- tomatoes like a soil temperature around 80 F</v>
      </c>
    </row>
    <row r="20" spans="1:48" ht="30" customHeight="1" thickBot="1" x14ac:dyDescent="0.3">
      <c r="A20" s="970" t="s">
        <v>5</v>
      </c>
      <c r="B20" s="971"/>
      <c r="C20" s="971"/>
      <c r="D20" s="971"/>
      <c r="E20" s="971"/>
      <c r="F20" s="971"/>
      <c r="G20" s="1266"/>
      <c r="H20" s="1358"/>
      <c r="I20" s="1358"/>
      <c r="J20" s="1358"/>
      <c r="K20" s="1358"/>
      <c r="L20" s="1358"/>
      <c r="M20" s="1359">
        <f>SUM(M6:M19)</f>
        <v>230.47</v>
      </c>
      <c r="N20" s="1359">
        <f t="shared" ref="N20:O20" si="52">SUM(N6:N19)</f>
        <v>230.47</v>
      </c>
      <c r="O20" s="1359">
        <f t="shared" si="52"/>
        <v>339.62</v>
      </c>
      <c r="P20" s="1359">
        <f t="shared" ref="P20" si="53">SUM(P6:P19)</f>
        <v>208.21</v>
      </c>
      <c r="Q20" s="1359">
        <f t="shared" ref="Q20:U20" si="54">SUM(Q6:Q19)</f>
        <v>208.21</v>
      </c>
      <c r="R20" s="1359">
        <f t="shared" si="54"/>
        <v>299.56</v>
      </c>
      <c r="S20" s="1359"/>
      <c r="T20" s="1359">
        <f t="shared" si="54"/>
        <v>130.51</v>
      </c>
      <c r="U20" s="1359">
        <f t="shared" si="54"/>
        <v>116.25</v>
      </c>
      <c r="V20" s="1360"/>
      <c r="W20" s="1360"/>
      <c r="X20" s="1360"/>
      <c r="Y20" s="1360">
        <f t="shared" ref="Y20" si="55">SUM(Y6:Y19)</f>
        <v>236.81</v>
      </c>
      <c r="Z20" s="1360">
        <f t="shared" ref="Z20" si="56">SUM(Z6:Z19)</f>
        <v>237.78</v>
      </c>
      <c r="AA20" s="1360"/>
      <c r="AB20" s="1360"/>
      <c r="AC20" s="1360"/>
      <c r="AD20" s="1360">
        <f t="shared" ref="AD20" si="57">SUM(AD6:AD19)</f>
        <v>149.24</v>
      </c>
      <c r="AE20" s="972">
        <f t="shared" ref="AE20" si="58">SUM(AE6:AE19)</f>
        <v>155.20999999999998</v>
      </c>
      <c r="AI20" s="1736" t="s">
        <v>5</v>
      </c>
      <c r="AJ20" s="1737"/>
      <c r="AK20" s="1737"/>
      <c r="AL20" s="1737"/>
      <c r="AM20" s="1738"/>
      <c r="AN20" s="360">
        <f t="shared" si="1"/>
        <v>0</v>
      </c>
      <c r="AO20" s="361">
        <f t="shared" si="6"/>
        <v>230.47</v>
      </c>
      <c r="AP20" s="361">
        <f t="shared" si="7"/>
        <v>339.62</v>
      </c>
      <c r="AQ20" s="361">
        <f t="shared" si="2"/>
        <v>0</v>
      </c>
      <c r="AR20" s="361">
        <f t="shared" ref="AR20:AR22" si="59">Q20</f>
        <v>208.21</v>
      </c>
      <c r="AS20" s="362">
        <f t="shared" ref="AS20:AS22" si="60">R20</f>
        <v>299.56</v>
      </c>
    </row>
    <row r="21" spans="1:48" ht="30" customHeight="1" thickBot="1" x14ac:dyDescent="0.3">
      <c r="A21" s="974" t="s">
        <v>194</v>
      </c>
      <c r="B21" s="953"/>
      <c r="C21" s="953"/>
      <c r="D21" s="953"/>
      <c r="E21" s="953"/>
      <c r="F21" s="953"/>
      <c r="G21" s="1269"/>
      <c r="H21" s="486"/>
      <c r="I21" s="486"/>
      <c r="J21" s="486"/>
      <c r="K21" s="486"/>
      <c r="L21" s="486"/>
      <c r="M21" s="488">
        <v>0</v>
      </c>
      <c r="N21" s="488">
        <v>0</v>
      </c>
      <c r="O21" s="488">
        <v>0</v>
      </c>
      <c r="P21" s="488">
        <v>37.29</v>
      </c>
      <c r="Q21" s="488">
        <v>37.29</v>
      </c>
      <c r="R21" s="488">
        <v>37.29</v>
      </c>
      <c r="S21" s="488"/>
      <c r="T21" s="488">
        <v>0</v>
      </c>
      <c r="U21" s="488">
        <v>20</v>
      </c>
      <c r="V21" s="1361"/>
      <c r="W21" s="1361"/>
      <c r="X21" s="1361"/>
      <c r="Y21" s="1361"/>
      <c r="Z21" s="1361"/>
      <c r="AA21" s="1362"/>
      <c r="AB21" s="1362"/>
      <c r="AC21" s="1362"/>
      <c r="AD21" s="1362"/>
      <c r="AE21" s="954"/>
      <c r="AI21" s="1739" t="s">
        <v>194</v>
      </c>
      <c r="AJ21" s="1740"/>
      <c r="AK21" s="1740"/>
      <c r="AL21" s="1740"/>
      <c r="AM21" s="1741"/>
      <c r="AN21" s="363">
        <f t="shared" si="1"/>
        <v>0</v>
      </c>
      <c r="AO21" s="364">
        <f t="shared" si="6"/>
        <v>0</v>
      </c>
      <c r="AP21" s="364">
        <f t="shared" si="7"/>
        <v>0</v>
      </c>
      <c r="AQ21" s="364">
        <f t="shared" si="2"/>
        <v>0</v>
      </c>
      <c r="AR21" s="364">
        <f t="shared" si="59"/>
        <v>37.29</v>
      </c>
      <c r="AS21" s="365">
        <f t="shared" si="60"/>
        <v>37.29</v>
      </c>
    </row>
    <row r="22" spans="1:48" ht="30" customHeight="1" thickBot="1" x14ac:dyDescent="0.3">
      <c r="A22" s="955" t="s">
        <v>679</v>
      </c>
      <c r="B22" s="956"/>
      <c r="C22" s="956"/>
      <c r="D22" s="956"/>
      <c r="E22" s="956"/>
      <c r="F22" s="956"/>
      <c r="G22" s="1265"/>
      <c r="H22" s="1363"/>
      <c r="I22" s="1363"/>
      <c r="J22" s="1363"/>
      <c r="K22" s="1363"/>
      <c r="L22" s="1363"/>
      <c r="M22" s="1364">
        <f>SUM(M20:M21)</f>
        <v>230.47</v>
      </c>
      <c r="N22" s="1364">
        <f t="shared" ref="N22:U22" si="61">SUM(N20:N21)</f>
        <v>230.47</v>
      </c>
      <c r="O22" s="1364">
        <f t="shared" si="61"/>
        <v>339.62</v>
      </c>
      <c r="P22" s="1364">
        <f t="shared" si="61"/>
        <v>245.5</v>
      </c>
      <c r="Q22" s="1364">
        <f t="shared" si="61"/>
        <v>245.5</v>
      </c>
      <c r="R22" s="1364">
        <f t="shared" si="61"/>
        <v>336.85</v>
      </c>
      <c r="S22" s="1364"/>
      <c r="T22" s="1364">
        <f t="shared" si="61"/>
        <v>130.51</v>
      </c>
      <c r="U22" s="1364">
        <f t="shared" si="61"/>
        <v>136.25</v>
      </c>
      <c r="V22" s="1365"/>
      <c r="W22" s="1365"/>
      <c r="X22" s="1365"/>
      <c r="Y22" s="1365">
        <f t="shared" ref="Y22" si="62">SUM(Y20,Y21)</f>
        <v>236.81</v>
      </c>
      <c r="Z22" s="1365">
        <f t="shared" ref="Z22" si="63">SUM(Z20,Z21)</f>
        <v>237.78</v>
      </c>
      <c r="AA22" s="1365"/>
      <c r="AB22" s="1365"/>
      <c r="AC22" s="1365"/>
      <c r="AD22" s="1365">
        <f t="shared" ref="AD22" si="64">SUM(AD20,AD21)</f>
        <v>149.24</v>
      </c>
      <c r="AE22" s="957">
        <f t="shared" ref="AE22" si="65">SUM(AE20,AE21)</f>
        <v>155.20999999999998</v>
      </c>
      <c r="AI22" s="1742" t="s">
        <v>679</v>
      </c>
      <c r="AJ22" s="1743"/>
      <c r="AK22" s="1743"/>
      <c r="AL22" s="1743"/>
      <c r="AM22" s="1744"/>
      <c r="AN22" s="366">
        <f t="shared" si="1"/>
        <v>0</v>
      </c>
      <c r="AO22" s="367">
        <f t="shared" si="6"/>
        <v>230.47</v>
      </c>
      <c r="AP22" s="367">
        <f t="shared" si="7"/>
        <v>339.62</v>
      </c>
      <c r="AQ22" s="367">
        <f t="shared" si="2"/>
        <v>0</v>
      </c>
      <c r="AR22" s="367">
        <f t="shared" si="59"/>
        <v>245.5</v>
      </c>
      <c r="AS22" s="368">
        <f t="shared" si="60"/>
        <v>336.85</v>
      </c>
    </row>
  </sheetData>
  <mergeCells count="24">
    <mergeCell ref="A2:E2"/>
    <mergeCell ref="V4:X4"/>
    <mergeCell ref="Y4:Z4"/>
    <mergeCell ref="AA4:AC4"/>
    <mergeCell ref="AD4:AE4"/>
    <mergeCell ref="H4:I4"/>
    <mergeCell ref="J4:L4"/>
    <mergeCell ref="F3:G3"/>
    <mergeCell ref="M4:O4"/>
    <mergeCell ref="P4:R4"/>
    <mergeCell ref="H2:R2"/>
    <mergeCell ref="V2:AE2"/>
    <mergeCell ref="S3:U3"/>
    <mergeCell ref="M3:R3"/>
    <mergeCell ref="AI20:AM20"/>
    <mergeCell ref="AI21:AM21"/>
    <mergeCell ref="AI22:AM22"/>
    <mergeCell ref="AU2:AV2"/>
    <mergeCell ref="AI2:AS2"/>
    <mergeCell ref="AN4:AP4"/>
    <mergeCell ref="AQ4:AS4"/>
    <mergeCell ref="AL4:AM4"/>
    <mergeCell ref="AI3:AS3"/>
    <mergeCell ref="AI4:AK4"/>
  </mergeCells>
  <hyperlinks>
    <hyperlink ref="E9" r:id="rId1"/>
    <hyperlink ref="E11" r:id="rId2"/>
    <hyperlink ref="E12" r:id="rId3"/>
    <hyperlink ref="E13" r:id="rId4"/>
    <hyperlink ref="E16" r:id="rId5" display="http://parkseed.com/jiffy-strips-and-jiffy-greenhouses/p/v1591/"/>
    <hyperlink ref="E17" r:id="rId6" location=".UcuIm_msi-1 (Store only); assume each starter pot needs 1/2 C"/>
    <hyperlink ref="E18" r:id="rId7" location=".UcuIm_msi-1 (Store only)" display="http://www.homedepot.com/p/Jiffy-Mix-10-qt-Seed-Starting-Mix-5088/100349751#.UcuIm_msi-1 (Store only)"/>
    <hyperlink ref="E19" r:id="rId8" location=".UcuLovmsi-1 -- tomatoes like a soil temperature around 80 F"/>
  </hyperlinks>
  <pageMargins left="0.7" right="0.7" top="0.75" bottom="0.75" header="0.3" footer="0.3"/>
  <pageSetup orientation="portrait"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0350D5AC844D47A0A0F2E39FE9ECCB" ma:contentTypeVersion="7" ma:contentTypeDescription="Create a new document." ma:contentTypeScope="" ma:versionID="89d3fd0405119e806420bf307bfc5cf2">
  <xsd:schema xmlns:xsd="http://www.w3.org/2001/XMLSchema" xmlns:xs="http://www.w3.org/2001/XMLSchema" xmlns:p="http://schemas.microsoft.com/office/2006/metadata/properties" xmlns:ns1="http://schemas.microsoft.com/sharepoint/v3" xmlns:ns2="1eeb0c9f-340b-41a1-b7a9-183affe92cb1" xmlns:ns3="54031767-dd6d-417c-ab73-583408f47564" targetNamespace="http://schemas.microsoft.com/office/2006/metadata/properties" ma:root="true" ma:fieldsID="e7812fd2d8d3ba12637edd4e3d141a72" ns1:_="" ns2:_="" ns3:_="">
    <xsd:import namespace="http://schemas.microsoft.com/sharepoint/v3"/>
    <xsd:import namespace="1eeb0c9f-340b-41a1-b7a9-183affe92cb1"/>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eeb0c9f-340b-41a1-b7a9-183affe92cb1"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Estimated_x0020_Creation_x0020_Date xmlns="1eeb0c9f-340b-41a1-b7a9-183affe92cb1" xsi:nil="true"/>
    <Priority xmlns="1eeb0c9f-340b-41a1-b7a9-183affe92cb1">New</Priority>
    <Remediation_x0020_Date xmlns="1eeb0c9f-340b-41a1-b7a9-183affe92cb1">2018-12-11T08:00:00+00:00</Remediation_x0020_Date>
  </documentManagement>
</p:properties>
</file>

<file path=customXml/itemProps1.xml><?xml version="1.0" encoding="utf-8"?>
<ds:datastoreItem xmlns:ds="http://schemas.openxmlformats.org/officeDocument/2006/customXml" ds:itemID="{C35C50D1-93CC-46DD-9BFE-AE892E775E49}"/>
</file>

<file path=customXml/itemProps2.xml><?xml version="1.0" encoding="utf-8"?>
<ds:datastoreItem xmlns:ds="http://schemas.openxmlformats.org/officeDocument/2006/customXml" ds:itemID="{F8D413A2-6179-4DDA-9F47-5A0BCF774736}"/>
</file>

<file path=customXml/itemProps3.xml><?xml version="1.0" encoding="utf-8"?>
<ds:datastoreItem xmlns:ds="http://schemas.openxmlformats.org/officeDocument/2006/customXml" ds:itemID="{6E1B0D68-99DF-4E63-87E2-E6FC8D8F6F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8</vt:i4>
      </vt:variant>
    </vt:vector>
  </HeadingPairs>
  <TitlesOfParts>
    <vt:vector size="26" baseType="lpstr">
      <vt:lpstr>Workshop Assumptions</vt:lpstr>
      <vt:lpstr>Deployment Assumptions</vt:lpstr>
      <vt:lpstr>Budget</vt:lpstr>
      <vt:lpstr>Material Cost Summary</vt:lpstr>
      <vt:lpstr>ES-JoanieAppleseed</vt:lpstr>
      <vt:lpstr>ES-ToadsCar</vt:lpstr>
      <vt:lpstr>ES-BricksForPigs</vt:lpstr>
      <vt:lpstr>MS-Bioswale</vt:lpstr>
      <vt:lpstr>MS-FrankenPlants</vt:lpstr>
      <vt:lpstr>MS-UltimateSpeed</vt:lpstr>
      <vt:lpstr>HS-Calorimeter</vt:lpstr>
      <vt:lpstr>HS-LittlefootsRide</vt:lpstr>
      <vt:lpstr>HS-BiofuelFromAlgae</vt:lpstr>
      <vt:lpstr>All-Tallest Tower</vt:lpstr>
      <vt:lpstr>All-CO2 Cannon</vt:lpstr>
      <vt:lpstr>All-IndexCardChair</vt:lpstr>
      <vt:lpstr>CommonOfficeSupplies</vt:lpstr>
      <vt:lpstr>MasterShoppingList</vt:lpstr>
      <vt:lpstr>'ES-BricksForPigs'!Print_Area</vt:lpstr>
      <vt:lpstr>'ES-JoanieAppleseed'!Print_Area</vt:lpstr>
      <vt:lpstr>'ES-ToadsCar'!Print_Area</vt:lpstr>
      <vt:lpstr>'HS-BiofuelFromAlgae'!Print_Area</vt:lpstr>
      <vt:lpstr>'HS-LittlefootsRide'!Print_Area</vt:lpstr>
      <vt:lpstr>MasterShoppingList!Print_Area</vt:lpstr>
      <vt:lpstr>'MS-Bioswale'!Print_Area</vt:lpstr>
      <vt:lpstr>'MS-UltimateSpeed'!Print_Area</vt:lpstr>
    </vt:vector>
  </TitlesOfParts>
  <Company>Oregon State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Cone, Ken</dc:creator>
  <cp:lastModifiedBy>Bruce Schafer</cp:lastModifiedBy>
  <cp:lastPrinted>2013-05-01T19:15:24Z</cp:lastPrinted>
  <dcterms:created xsi:type="dcterms:W3CDTF">2012-09-27T23:30:07Z</dcterms:created>
  <dcterms:modified xsi:type="dcterms:W3CDTF">2014-09-25T00:44:21Z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0x010100B90350D5AC844D47A0A0F2E39FE9ECCB</vt:lpwstr>
  </property>
</Properties>
</file>