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alvaradk\Documents\Documents\"/>
    </mc:Choice>
  </mc:AlternateContent>
  <xr:revisionPtr revIDLastSave="0" documentId="8_{D0F0734C-89F0-4CC8-877A-82963734EA1B}" xr6:coauthVersionLast="47" xr6:coauthVersionMax="47" xr10:uidLastSave="{00000000-0000-0000-0000-000000000000}"/>
  <bookViews>
    <workbookView xWindow="-120" yWindow="-120" windowWidth="29040" windowHeight="15720" tabRatio="685" xr2:uid="{00000000-000D-0000-FFFF-FFFF00000000}"/>
  </bookViews>
  <sheets>
    <sheet name="K-12 Output Tables" sheetId="25" r:id="rId1"/>
    <sheet name="K-12_assumptions" sheetId="1" r:id="rId2"/>
    <sheet name="Scale-Up" sheetId="21" r:id="rId3"/>
    <sheet name="ES_Detail" sheetId="12" r:id="rId4"/>
    <sheet name="MS_Detail" sheetId="19" r:id="rId5"/>
    <sheet name="HS_Detail" sheetId="20" r:id="rId6"/>
    <sheet name="Staffing_ClassSize_Report" sheetId="24" r:id="rId7"/>
    <sheet name="StudentAssumptions" sheetId="4" r:id="rId8"/>
    <sheet name="Enrollment" sheetId="22" r:id="rId9"/>
    <sheet name="PerStudentExpenditures" sheetId="8" r:id="rId10"/>
    <sheet name="SalaryHistory" sheetId="5" r:id="rId11"/>
    <sheet name="SalaryAssumptions" sheetId="9" r:id="rId12"/>
    <sheet name="PayrollBenefits" sheetId="13" r:id="rId13"/>
    <sheet name="CostShares" sheetId="18" r:id="rId14"/>
    <sheet name="OtherStaffingAssumptions" sheetId="14" r:id="rId15"/>
    <sheet name="LocalAndFedRevenues" sheetId="6" r:id="rId16"/>
    <sheet name="RevenueForecasts" sheetId="23" r:id="rId17"/>
    <sheet name="GrowthFactors" sheetId="11" r:id="rId18"/>
    <sheet name="ComputerAssumptions" sheetId="16" r:id="rId19"/>
    <sheet name="computer cost growth" sheetId="30" r:id="rId20"/>
    <sheet name="textbook cost growth" sheetId="31" r:id="rId21"/>
    <sheet name="centralized sped expenditures" sheetId="32" r:id="rId22"/>
    <sheet name="Food service" sheetId="33" r:id="rId23"/>
    <sheet name="District total salaries" sheetId="34" r:id="rId24"/>
    <sheet name="RIPROS" sheetId="35" r:id="rId25"/>
    <sheet name="Raw Data" sheetId="29" r:id="rId26"/>
    <sheet name="Years" sheetId="2" r:id="rId27"/>
  </sheets>
  <externalReferences>
    <externalReference r:id="rId28"/>
  </externalReferences>
  <definedNames>
    <definedName name="_xlnm._FilterDatabase" localSheetId="3" hidden="1">ES_Detail!$A$3:$AD$5</definedName>
    <definedName name="_xlnm._FilterDatabase" localSheetId="5" hidden="1">HS_Detail!$A$3:$AD$5</definedName>
    <definedName name="_xlnm._FilterDatabase" localSheetId="4" hidden="1">MS_Detail!$A$3:$AD$5</definedName>
    <definedName name="_xlnm._FilterDatabase" localSheetId="14" hidden="1">OtherStaffingAssumptions!$A$1:$J$99</definedName>
    <definedName name="Biennium_1">'Scale-Up'!$A$47:$O$72</definedName>
    <definedName name="Biennium_2">'Scale-Up'!#REF!</definedName>
    <definedName name="Computers_per_school">[1]Parameters!$B$76:$F$80</definedName>
    <definedName name="_xlnm.Print_Area" localSheetId="0">'K-12 Output Tables'!$D$1:$H$21</definedName>
    <definedName name="_xlnm.Print_Area" localSheetId="10">SalaryHistory!$A$3:$G$13</definedName>
    <definedName name="SalaryCostShares">[1]SalaryParameters!$A$80:$C$95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5" l="1"/>
  <c r="B157" i="19"/>
  <c r="B157" i="20"/>
  <c r="C13" i="23"/>
  <c r="D5" i="22"/>
  <c r="C5" i="22"/>
  <c r="F21" i="9"/>
  <c r="M53" i="29" l="1"/>
  <c r="N53" i="29" s="1"/>
  <c r="O53" i="29" s="1"/>
  <c r="P53" i="29" s="1"/>
  <c r="D10" i="23"/>
  <c r="E10" i="23"/>
  <c r="F10" i="23"/>
  <c r="G10" i="23"/>
  <c r="H10" i="23"/>
  <c r="C10" i="23"/>
  <c r="C18" i="23" l="1"/>
  <c r="D24" i="22"/>
  <c r="D25" i="22"/>
  <c r="D23" i="22"/>
  <c r="E29" i="25" l="1"/>
  <c r="E30" i="25" s="1"/>
  <c r="E24" i="25" l="1"/>
  <c r="M56" i="29" l="1"/>
  <c r="M48" i="29"/>
  <c r="M43" i="29"/>
  <c r="M39" i="29"/>
  <c r="M34" i="29"/>
  <c r="M29" i="29"/>
  <c r="M22" i="29"/>
  <c r="M20" i="29"/>
  <c r="M12" i="29"/>
  <c r="N14" i="29"/>
  <c r="Q14" i="29" s="1"/>
  <c r="R14" i="29" s="1"/>
  <c r="O14" i="29"/>
  <c r="P14" i="29"/>
  <c r="M14" i="29"/>
  <c r="K56" i="29"/>
  <c r="L56" i="29"/>
  <c r="C52" i="29"/>
  <c r="D52" i="29"/>
  <c r="E52" i="29"/>
  <c r="F52" i="29"/>
  <c r="G52" i="29"/>
  <c r="H52" i="29"/>
  <c r="I52" i="29"/>
  <c r="J52" i="29"/>
  <c r="I47" i="29"/>
  <c r="J47" i="29"/>
  <c r="K47" i="29"/>
  <c r="L47" i="29"/>
  <c r="H47" i="29"/>
  <c r="I48" i="29" s="1"/>
  <c r="K43" i="29"/>
  <c r="L43" i="29"/>
  <c r="I38" i="29"/>
  <c r="J38" i="29"/>
  <c r="K38" i="29"/>
  <c r="L38" i="29"/>
  <c r="H38" i="29"/>
  <c r="K34" i="29"/>
  <c r="L34" i="29"/>
  <c r="G28" i="29"/>
  <c r="H28" i="29" s="1"/>
  <c r="I28" i="29" s="1"/>
  <c r="K29" i="29"/>
  <c r="L29" i="29"/>
  <c r="C26" i="29"/>
  <c r="D26" i="29"/>
  <c r="E26" i="29"/>
  <c r="F26" i="29"/>
  <c r="G26" i="29"/>
  <c r="H26" i="29"/>
  <c r="I26" i="29"/>
  <c r="J26" i="29"/>
  <c r="K26" i="29"/>
  <c r="L26" i="29"/>
  <c r="B26" i="29"/>
  <c r="K22" i="29"/>
  <c r="L22" i="29"/>
  <c r="K19" i="29"/>
  <c r="K25" i="29" s="1"/>
  <c r="L19" i="29"/>
  <c r="L25" i="29" s="1"/>
  <c r="L12" i="29"/>
  <c r="K12" i="29"/>
  <c r="K8" i="29"/>
  <c r="K6" i="29"/>
  <c r="K4" i="29"/>
  <c r="J8" i="29"/>
  <c r="J6" i="29"/>
  <c r="J4" i="29"/>
  <c r="N56" i="29" l="1"/>
  <c r="P56" i="29" s="1"/>
  <c r="O56" i="29"/>
  <c r="D18" i="23"/>
  <c r="E18" i="23"/>
  <c r="N48" i="29"/>
  <c r="O48" i="29"/>
  <c r="N43" i="29"/>
  <c r="O43" i="29"/>
  <c r="Q43" i="29" s="1"/>
  <c r="P43" i="29"/>
  <c r="N39" i="29"/>
  <c r="O39" i="29"/>
  <c r="N34" i="29"/>
  <c r="O34" i="29"/>
  <c r="R34" i="29" s="1"/>
  <c r="P34" i="29"/>
  <c r="Q34" i="29"/>
  <c r="N29" i="29"/>
  <c r="P29" i="29" s="1"/>
  <c r="O29" i="29"/>
  <c r="N22" i="29"/>
  <c r="O22" i="29" s="1"/>
  <c r="N20" i="29"/>
  <c r="O20" i="29"/>
  <c r="N12" i="29"/>
  <c r="L20" i="29"/>
  <c r="L48" i="29"/>
  <c r="K48" i="29"/>
  <c r="J48" i="29"/>
  <c r="K39" i="29"/>
  <c r="I39" i="29"/>
  <c r="L39" i="29"/>
  <c r="J39" i="29"/>
  <c r="A3" i="35"/>
  <c r="D10" i="13" s="1"/>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2" i="35"/>
  <c r="D13" i="13" s="1"/>
  <c r="D26" i="32"/>
  <c r="D27" i="32"/>
  <c r="E27" i="32" s="1"/>
  <c r="G26" i="33"/>
  <c r="I26" i="33" s="1"/>
  <c r="G27" i="33"/>
  <c r="I27" i="33"/>
  <c r="E26" i="33"/>
  <c r="E27" i="33"/>
  <c r="D28" i="34"/>
  <c r="D29" i="34"/>
  <c r="E28" i="35"/>
  <c r="E29" i="35"/>
  <c r="Q56" i="29" l="1"/>
  <c r="R56" i="29" s="1"/>
  <c r="F18" i="23"/>
  <c r="P48" i="29"/>
  <c r="R43" i="29"/>
  <c r="P39" i="29"/>
  <c r="Q29" i="29"/>
  <c r="R29" i="29" s="1"/>
  <c r="P22" i="29"/>
  <c r="Q22" i="29" s="1"/>
  <c r="P20" i="29"/>
  <c r="O12" i="29"/>
  <c r="J27" i="33"/>
  <c r="Q53" i="29" l="1"/>
  <c r="Q48" i="29"/>
  <c r="R48" i="29" s="1"/>
  <c r="Q39" i="29"/>
  <c r="R39" i="29" s="1"/>
  <c r="R22" i="29"/>
  <c r="R20" i="29"/>
  <c r="Q20" i="29"/>
  <c r="P12" i="29"/>
  <c r="Q12" i="29" s="1"/>
  <c r="R12" i="29" s="1"/>
  <c r="R53" i="29" l="1"/>
  <c r="H18" i="23" s="1"/>
  <c r="G18" i="23"/>
  <c r="N3" i="29"/>
  <c r="O3" i="29"/>
  <c r="P3" i="29"/>
  <c r="H14" i="13" l="1"/>
  <c r="I14" i="13" s="1"/>
  <c r="J14" i="13" s="1"/>
  <c r="B19" i="31"/>
  <c r="C19" i="31" s="1"/>
  <c r="K18" i="31"/>
  <c r="H17" i="31"/>
  <c r="I17" i="31"/>
  <c r="J17" i="31" s="1"/>
  <c r="G17" i="31"/>
  <c r="F19" i="30"/>
  <c r="G19" i="30" s="1"/>
  <c r="K18" i="30"/>
  <c r="Q17" i="30"/>
  <c r="A31" i="5"/>
  <c r="A32" i="5"/>
  <c r="A33" i="5"/>
  <c r="A34" i="5"/>
  <c r="A35" i="5"/>
  <c r="A36" i="5"/>
  <c r="A37" i="5"/>
  <c r="D1" i="11"/>
  <c r="Q18" i="31" l="1"/>
  <c r="E19" i="31"/>
  <c r="F19" i="31" s="1"/>
  <c r="G19" i="31" s="1"/>
  <c r="Q17" i="31"/>
  <c r="R18" i="31" s="1"/>
  <c r="D15" i="11" s="1"/>
  <c r="E15" i="11" s="1"/>
  <c r="F15" i="11" s="1"/>
  <c r="E1" i="11"/>
  <c r="F1" i="11" s="1"/>
  <c r="G1" i="11" s="1"/>
  <c r="H1" i="11" s="1"/>
  <c r="I1" i="11" s="1"/>
  <c r="Q18" i="30"/>
  <c r="R18" i="30" s="1"/>
  <c r="D13" i="11" s="1"/>
  <c r="E13" i="11" s="1"/>
  <c r="F13" i="11" s="1"/>
  <c r="N7" i="1" l="1"/>
  <c r="M7" i="1"/>
  <c r="N139" i="1"/>
  <c r="M80" i="1"/>
  <c r="M74" i="1"/>
  <c r="N141" i="1"/>
  <c r="M60" i="1"/>
  <c r="M73" i="1"/>
  <c r="M61" i="1"/>
  <c r="N73" i="1"/>
  <c r="M99" i="1"/>
  <c r="N38" i="1"/>
  <c r="M37" i="1"/>
  <c r="M14" i="1"/>
  <c r="N119" i="1"/>
  <c r="N128" i="1"/>
  <c r="M21" i="1"/>
  <c r="N27" i="1"/>
  <c r="M136" i="1"/>
  <c r="N130" i="1"/>
  <c r="M119" i="1"/>
  <c r="M38" i="1"/>
  <c r="M115" i="1"/>
  <c r="M97" i="1"/>
  <c r="N60" i="1"/>
  <c r="N26" i="1"/>
  <c r="M75" i="1"/>
  <c r="M108" i="1"/>
  <c r="N13" i="1"/>
  <c r="M64" i="1"/>
  <c r="M107" i="1"/>
  <c r="M88" i="1"/>
  <c r="M181" i="1"/>
  <c r="N120" i="1"/>
  <c r="M130" i="1"/>
  <c r="N140" i="1"/>
  <c r="N28" i="1"/>
  <c r="M53" i="1"/>
  <c r="N118" i="1"/>
  <c r="M89" i="1"/>
  <c r="N97" i="1"/>
  <c r="N69" i="1"/>
  <c r="M42" i="1"/>
  <c r="M125" i="1"/>
  <c r="M66" i="1"/>
  <c r="M28" i="1"/>
  <c r="M92" i="1"/>
  <c r="M20" i="1"/>
  <c r="N37" i="1"/>
  <c r="M43" i="1"/>
  <c r="M134" i="1"/>
  <c r="N84" i="1"/>
  <c r="M51" i="1"/>
  <c r="N108" i="1"/>
  <c r="N129" i="1"/>
  <c r="M129" i="1"/>
  <c r="M141" i="1"/>
  <c r="M31" i="1"/>
  <c r="M120" i="1"/>
  <c r="M33" i="1"/>
  <c r="N61" i="1"/>
  <c r="M27" i="1"/>
  <c r="N88" i="1"/>
  <c r="N98" i="1"/>
  <c r="M41" i="1"/>
  <c r="M109" i="1"/>
  <c r="M102" i="1"/>
  <c r="M84" i="1"/>
  <c r="M98" i="1"/>
  <c r="M70" i="1"/>
  <c r="M140" i="1"/>
  <c r="M112" i="1"/>
  <c r="M103" i="1"/>
  <c r="M124" i="1"/>
  <c r="M135" i="1"/>
  <c r="M128" i="1"/>
  <c r="N14" i="1"/>
  <c r="M32" i="1"/>
  <c r="M65" i="1"/>
  <c r="N94" i="1"/>
  <c r="M93" i="1"/>
  <c r="M17" i="1"/>
  <c r="M123" i="1"/>
  <c r="N70" i="1"/>
  <c r="M52" i="1"/>
  <c r="M13" i="1"/>
  <c r="N181" i="1"/>
  <c r="N107" i="1"/>
  <c r="N131" i="12" l="1"/>
  <c r="O131" i="12"/>
  <c r="N124" i="1"/>
  <c r="N80" i="1"/>
  <c r="N51" i="1"/>
  <c r="N52" i="1"/>
  <c r="M83" i="1"/>
  <c r="M59" i="1"/>
  <c r="N125" i="1"/>
  <c r="N92" i="1"/>
  <c r="N103" i="1"/>
  <c r="M169" i="1"/>
  <c r="N102" i="1"/>
  <c r="N31" i="1"/>
  <c r="N42" i="1"/>
  <c r="N32" i="1"/>
  <c r="N21" i="1"/>
  <c r="N41" i="1"/>
  <c r="N169" i="1"/>
  <c r="N99" i="1"/>
  <c r="N93" i="1"/>
  <c r="N136" i="1"/>
  <c r="N134" i="1"/>
  <c r="N36" i="1"/>
  <c r="N104" i="1"/>
  <c r="N43" i="1"/>
  <c r="N112" i="1"/>
  <c r="N66" i="1"/>
  <c r="N20" i="1"/>
  <c r="M104" i="1"/>
  <c r="N74" i="1"/>
  <c r="N109" i="1"/>
  <c r="N53" i="1"/>
  <c r="M36" i="1"/>
  <c r="M118" i="1"/>
  <c r="M139" i="1"/>
  <c r="N75" i="1"/>
  <c r="M26" i="1"/>
  <c r="N135" i="1"/>
  <c r="N123" i="1"/>
  <c r="N33" i="1"/>
  <c r="N115" i="1"/>
  <c r="M94" i="1"/>
  <c r="N59" i="1"/>
  <c r="N83" i="1"/>
  <c r="N64" i="1"/>
  <c r="N17" i="1"/>
  <c r="N65" i="1"/>
  <c r="M69" i="1"/>
  <c r="N89" i="1"/>
  <c r="B52" i="29" l="1"/>
  <c r="E20" i="18" l="1"/>
  <c r="F20" i="18"/>
  <c r="J53" i="29"/>
  <c r="G48" i="29"/>
  <c r="F48" i="29"/>
  <c r="E48" i="29"/>
  <c r="D48" i="29"/>
  <c r="C48" i="29"/>
  <c r="J43" i="29"/>
  <c r="I43" i="29"/>
  <c r="H43" i="29"/>
  <c r="G43" i="29"/>
  <c r="F43" i="29"/>
  <c r="E43" i="29"/>
  <c r="D43" i="29"/>
  <c r="C43" i="29"/>
  <c r="C39" i="29"/>
  <c r="D39" i="29"/>
  <c r="E39" i="29"/>
  <c r="F39" i="29"/>
  <c r="G39" i="29"/>
  <c r="H39" i="29"/>
  <c r="C34" i="29"/>
  <c r="D34" i="29"/>
  <c r="E34" i="29"/>
  <c r="F34" i="29"/>
  <c r="G34" i="29"/>
  <c r="H34" i="29"/>
  <c r="I34" i="29"/>
  <c r="J34" i="29"/>
  <c r="C56" i="29"/>
  <c r="D56" i="29"/>
  <c r="E56" i="29"/>
  <c r="F56" i="29"/>
  <c r="G56" i="29"/>
  <c r="H56" i="29"/>
  <c r="I56" i="29"/>
  <c r="J56" i="29"/>
  <c r="C29" i="29"/>
  <c r="D29" i="29"/>
  <c r="E29" i="29"/>
  <c r="F29" i="29"/>
  <c r="C22" i="29"/>
  <c r="D22" i="29"/>
  <c r="E22" i="29"/>
  <c r="F22" i="29"/>
  <c r="G22" i="29"/>
  <c r="H22" i="29"/>
  <c r="I22" i="29"/>
  <c r="J22" i="29"/>
  <c r="C19" i="29"/>
  <c r="D19" i="29"/>
  <c r="E19" i="29"/>
  <c r="F19" i="29"/>
  <c r="G19" i="29"/>
  <c r="H19" i="29"/>
  <c r="I19" i="29"/>
  <c r="I20" i="29" s="1"/>
  <c r="J19" i="29"/>
  <c r="C8" i="29"/>
  <c r="D8" i="29"/>
  <c r="E8" i="29"/>
  <c r="F8" i="29"/>
  <c r="G8" i="29"/>
  <c r="H8" i="29"/>
  <c r="I8" i="29"/>
  <c r="C6" i="29"/>
  <c r="D6" i="29"/>
  <c r="E6" i="29"/>
  <c r="F6" i="29"/>
  <c r="G6" i="29"/>
  <c r="H6" i="29"/>
  <c r="I6" i="29"/>
  <c r="C4" i="29"/>
  <c r="D4" i="29"/>
  <c r="E4" i="29"/>
  <c r="F4" i="29"/>
  <c r="G4" i="29"/>
  <c r="H4" i="29"/>
  <c r="I4" i="29"/>
  <c r="C14" i="29"/>
  <c r="D14" i="29"/>
  <c r="E14" i="29"/>
  <c r="F14" i="29"/>
  <c r="G14" i="29"/>
  <c r="H14" i="29"/>
  <c r="I14" i="29"/>
  <c r="J14" i="29"/>
  <c r="C12" i="29"/>
  <c r="D12" i="29"/>
  <c r="E12" i="29"/>
  <c r="F12" i="29"/>
  <c r="G12" i="29"/>
  <c r="H12" i="29"/>
  <c r="I12" i="29"/>
  <c r="J12" i="29"/>
  <c r="M7" i="29"/>
  <c r="N7" i="29"/>
  <c r="O7" i="29"/>
  <c r="P7" i="29"/>
  <c r="L7" i="29"/>
  <c r="L8" i="29" s="1"/>
  <c r="P4" i="29"/>
  <c r="D5" i="34"/>
  <c r="D6" i="34"/>
  <c r="D7" i="34"/>
  <c r="D8" i="34"/>
  <c r="D9" i="34"/>
  <c r="D10" i="34"/>
  <c r="D11" i="34"/>
  <c r="D12" i="34"/>
  <c r="D13" i="34"/>
  <c r="D14" i="34"/>
  <c r="E14" i="34" s="1"/>
  <c r="D15" i="34"/>
  <c r="D16" i="34"/>
  <c r="D17" i="34"/>
  <c r="D18" i="34"/>
  <c r="D19" i="34"/>
  <c r="D20" i="34"/>
  <c r="D21" i="34"/>
  <c r="D22" i="34"/>
  <c r="D23" i="34"/>
  <c r="E23" i="34" s="1"/>
  <c r="D24" i="34"/>
  <c r="D25" i="34"/>
  <c r="D26" i="34"/>
  <c r="D27" i="34"/>
  <c r="D15" i="13"/>
  <c r="D16" i="13" s="1"/>
  <c r="E27" i="35"/>
  <c r="G29" i="35" s="1"/>
  <c r="I23" i="33"/>
  <c r="J23" i="33" s="1"/>
  <c r="I24" i="33"/>
  <c r="J24" i="33"/>
  <c r="G23" i="33"/>
  <c r="G24" i="33"/>
  <c r="E23" i="33"/>
  <c r="E24" i="33"/>
  <c r="E25" i="33"/>
  <c r="G25" i="33" s="1"/>
  <c r="I25" i="33" s="1"/>
  <c r="D23" i="32"/>
  <c r="D24" i="32"/>
  <c r="D25" i="32"/>
  <c r="E26" i="32" s="1"/>
  <c r="E27" i="34" l="1"/>
  <c r="E29" i="34"/>
  <c r="E24" i="34"/>
  <c r="E11" i="34"/>
  <c r="E13" i="34"/>
  <c r="E7" i="34"/>
  <c r="E15" i="34"/>
  <c r="E26" i="34"/>
  <c r="E28" i="34"/>
  <c r="E25" i="34"/>
  <c r="E12" i="34"/>
  <c r="H29" i="35"/>
  <c r="E10" i="13"/>
  <c r="F10" i="13" s="1"/>
  <c r="G10" i="13" s="1"/>
  <c r="H10" i="13" s="1"/>
  <c r="I10" i="13" s="1"/>
  <c r="J10" i="13" s="1"/>
  <c r="F20" i="29"/>
  <c r="M8" i="29"/>
  <c r="G25" i="29"/>
  <c r="G23" i="29"/>
  <c r="E25" i="29"/>
  <c r="E23" i="29"/>
  <c r="D25" i="29"/>
  <c r="D23" i="29"/>
  <c r="H20" i="29"/>
  <c r="C25" i="29"/>
  <c r="G20" i="29"/>
  <c r="F25" i="29"/>
  <c r="F23" i="29"/>
  <c r="K20" i="29"/>
  <c r="J25" i="29"/>
  <c r="E20" i="29"/>
  <c r="I25" i="29"/>
  <c r="I23" i="29"/>
  <c r="D20" i="29"/>
  <c r="H25" i="29"/>
  <c r="H23" i="29"/>
  <c r="J20" i="29"/>
  <c r="J23" i="29"/>
  <c r="E25" i="32"/>
  <c r="J25" i="33"/>
  <c r="J26" i="33"/>
  <c r="G2" i="34"/>
  <c r="P8" i="29"/>
  <c r="O8" i="29"/>
  <c r="O4" i="29"/>
  <c r="D26" i="6"/>
  <c r="C20" i="18"/>
  <c r="N8" i="29"/>
  <c r="E21" i="34"/>
  <c r="E9" i="34"/>
  <c r="E20" i="34"/>
  <c r="E8" i="34"/>
  <c r="E22" i="34"/>
  <c r="E17" i="34"/>
  <c r="E10" i="34"/>
  <c r="E16" i="34"/>
  <c r="E19" i="34"/>
  <c r="E18" i="34"/>
  <c r="E24" i="32"/>
  <c r="L2" i="33" l="1"/>
  <c r="F6" i="23" l="1"/>
  <c r="F7" i="23"/>
  <c r="E6" i="23"/>
  <c r="E7" i="23"/>
  <c r="D6" i="23"/>
  <c r="D7" i="23"/>
  <c r="F3" i="22"/>
  <c r="G3" i="22"/>
  <c r="F8" i="22"/>
  <c r="G8" i="22"/>
  <c r="E14" i="22"/>
  <c r="F14" i="22"/>
  <c r="G14" i="22"/>
  <c r="H14" i="22" l="1"/>
  <c r="H13" i="22" s="1"/>
  <c r="Q7" i="29" s="1"/>
  <c r="Q8" i="29" s="1"/>
  <c r="I14" i="22"/>
  <c r="E5" i="35"/>
  <c r="E6" i="35"/>
  <c r="E7" i="35"/>
  <c r="E8" i="35"/>
  <c r="E9" i="35"/>
  <c r="E10" i="35"/>
  <c r="E11" i="35"/>
  <c r="E12" i="35"/>
  <c r="E13" i="35"/>
  <c r="E14" i="35"/>
  <c r="E15" i="35"/>
  <c r="E16" i="35"/>
  <c r="E17" i="35"/>
  <c r="E18" i="35"/>
  <c r="E19" i="35"/>
  <c r="E20" i="35"/>
  <c r="E21" i="35"/>
  <c r="E22" i="35"/>
  <c r="E23" i="35"/>
  <c r="E24" i="35"/>
  <c r="E25" i="35"/>
  <c r="E26" i="35"/>
  <c r="G28" i="35" s="1"/>
  <c r="H28" i="35" s="1"/>
  <c r="E4" i="35"/>
  <c r="F28" i="35" l="1"/>
  <c r="F29" i="35"/>
  <c r="F27" i="35"/>
  <c r="G27" i="35"/>
  <c r="H27" i="35" s="1"/>
  <c r="G8" i="35"/>
  <c r="H8" i="35" s="1"/>
  <c r="G20" i="35"/>
  <c r="H20" i="35" s="1"/>
  <c r="G19" i="35"/>
  <c r="H19" i="35" s="1"/>
  <c r="G7" i="35"/>
  <c r="H7" i="35" s="1"/>
  <c r="G18" i="35"/>
  <c r="H18" i="35" s="1"/>
  <c r="F7" i="35"/>
  <c r="G6" i="35"/>
  <c r="G17" i="35"/>
  <c r="H17" i="35" s="1"/>
  <c r="G16" i="35"/>
  <c r="H16" i="35" s="1"/>
  <c r="G15" i="35"/>
  <c r="H15" i="35" s="1"/>
  <c r="G26" i="35"/>
  <c r="H26" i="35" s="1"/>
  <c r="G14" i="35"/>
  <c r="H14" i="35" s="1"/>
  <c r="G25" i="35"/>
  <c r="H25" i="35" s="1"/>
  <c r="G13" i="35"/>
  <c r="H13" i="35" s="1"/>
  <c r="G24" i="35"/>
  <c r="H24" i="35" s="1"/>
  <c r="G12" i="35"/>
  <c r="H12" i="35" s="1"/>
  <c r="G23" i="35"/>
  <c r="H23" i="35" s="1"/>
  <c r="G11" i="35"/>
  <c r="H11" i="35" s="1"/>
  <c r="G22" i="35"/>
  <c r="H22" i="35" s="1"/>
  <c r="G10" i="35"/>
  <c r="H10" i="35" s="1"/>
  <c r="G21" i="35"/>
  <c r="H21" i="35" s="1"/>
  <c r="G9" i="35"/>
  <c r="H9" i="35" s="1"/>
  <c r="F6" i="35"/>
  <c r="F22" i="35"/>
  <c r="F17" i="35"/>
  <c r="F5" i="35"/>
  <c r="F16" i="35"/>
  <c r="F4" i="35"/>
  <c r="F15" i="35"/>
  <c r="F26" i="35"/>
  <c r="F14" i="35"/>
  <c r="F25" i="35"/>
  <c r="F13" i="35"/>
  <c r="F12" i="35"/>
  <c r="F18" i="35"/>
  <c r="F24" i="35"/>
  <c r="F11" i="35"/>
  <c r="F10" i="35"/>
  <c r="F21" i="35"/>
  <c r="F9" i="35"/>
  <c r="F20" i="35"/>
  <c r="F8" i="35"/>
  <c r="F23" i="35"/>
  <c r="F19" i="35"/>
  <c r="I2" i="11" l="1"/>
  <c r="I8" i="11"/>
  <c r="I9" i="11"/>
  <c r="I11" i="11" s="1"/>
  <c r="B19" i="29"/>
  <c r="B25" i="29" l="1"/>
  <c r="C23" i="29"/>
  <c r="C20" i="29"/>
  <c r="C53" i="29"/>
  <c r="G17" i="13"/>
  <c r="H17" i="13"/>
  <c r="Q15" i="31"/>
  <c r="Q16" i="31"/>
  <c r="R17" i="31" s="1"/>
  <c r="C15" i="11" s="1"/>
  <c r="G13" i="11"/>
  <c r="H13" i="11" s="1"/>
  <c r="I13" i="11" s="1"/>
  <c r="Q15" i="30"/>
  <c r="Q16" i="30"/>
  <c r="B1" i="11"/>
  <c r="E185" i="1"/>
  <c r="M185" i="1"/>
  <c r="N185" i="1"/>
  <c r="F185" i="1" l="1"/>
  <c r="R16" i="31"/>
  <c r="B15" i="11" s="1"/>
  <c r="R16" i="30"/>
  <c r="B13" i="11" s="1"/>
  <c r="R17" i="30"/>
  <c r="C13" i="11" s="1"/>
  <c r="D53" i="29"/>
  <c r="G53" i="29"/>
  <c r="F53" i="29"/>
  <c r="E53" i="29"/>
  <c r="N43" i="21"/>
  <c r="I43" i="21"/>
  <c r="E187" i="1" l="1"/>
  <c r="E173" i="1"/>
  <c r="E11" i="13"/>
  <c r="F11" i="13"/>
  <c r="G11" i="13"/>
  <c r="D11" i="13"/>
  <c r="F8" i="13"/>
  <c r="G8" i="13"/>
  <c r="E8" i="13"/>
  <c r="M173" i="1"/>
  <c r="M187" i="1"/>
  <c r="N173" i="1"/>
  <c r="N187" i="1"/>
  <c r="F187" i="1" l="1"/>
  <c r="F173" i="1"/>
  <c r="I17" i="13"/>
  <c r="H8" i="13"/>
  <c r="H11" i="13"/>
  <c r="I11" i="13"/>
  <c r="I8" i="13"/>
  <c r="F121" i="19"/>
  <c r="J17" i="13" l="1"/>
  <c r="J11" i="13"/>
  <c r="J8" i="13"/>
  <c r="E7" i="5" l="1"/>
  <c r="F7" i="5"/>
  <c r="G7" i="5"/>
  <c r="E8" i="5"/>
  <c r="F8" i="5"/>
  <c r="G8" i="5"/>
  <c r="E9" i="5"/>
  <c r="F9" i="5"/>
  <c r="G9" i="5"/>
  <c r="E10" i="5"/>
  <c r="F10" i="5"/>
  <c r="G10" i="5"/>
  <c r="E11" i="5"/>
  <c r="F11" i="5"/>
  <c r="G11" i="5"/>
  <c r="E12" i="5"/>
  <c r="F12" i="5"/>
  <c r="G12" i="5"/>
  <c r="F6" i="5"/>
  <c r="G6" i="5"/>
  <c r="E6" i="5"/>
  <c r="H158" i="20" l="1"/>
  <c r="H158" i="19"/>
  <c r="D17" i="13" l="1"/>
  <c r="D22" i="32"/>
  <c r="E23" i="32" s="1"/>
  <c r="D21" i="32"/>
  <c r="D20" i="32"/>
  <c r="D19" i="32"/>
  <c r="D18" i="32"/>
  <c r="D17" i="32"/>
  <c r="D16" i="32"/>
  <c r="D15" i="32"/>
  <c r="D14" i="32"/>
  <c r="D13" i="32"/>
  <c r="D12" i="32"/>
  <c r="D11" i="32"/>
  <c r="D10" i="32"/>
  <c r="D9" i="32"/>
  <c r="D8" i="32"/>
  <c r="D7" i="32"/>
  <c r="D6" i="32"/>
  <c r="D5" i="32"/>
  <c r="D4" i="32"/>
  <c r="D3" i="32"/>
  <c r="D2" i="32"/>
  <c r="I11" i="33"/>
  <c r="G6" i="33"/>
  <c r="I6" i="33" s="1"/>
  <c r="G7" i="33"/>
  <c r="I7" i="33" s="1"/>
  <c r="J7" i="33" s="1"/>
  <c r="G8" i="33"/>
  <c r="I8" i="33" s="1"/>
  <c r="G18" i="33"/>
  <c r="I18" i="33" s="1"/>
  <c r="G22" i="33"/>
  <c r="I22" i="33" s="1"/>
  <c r="G2" i="33"/>
  <c r="I2" i="33" s="1"/>
  <c r="E3" i="33"/>
  <c r="G3" i="33" s="1"/>
  <c r="I3" i="33" s="1"/>
  <c r="J3" i="33" s="1"/>
  <c r="E4" i="33"/>
  <c r="G4" i="33" s="1"/>
  <c r="I4" i="33" s="1"/>
  <c r="E5" i="33"/>
  <c r="G5" i="33" s="1"/>
  <c r="I5" i="33" s="1"/>
  <c r="J5" i="33" s="1"/>
  <c r="E6" i="33"/>
  <c r="E7" i="33"/>
  <c r="E8" i="33"/>
  <c r="E9" i="33"/>
  <c r="G9" i="33" s="1"/>
  <c r="I9" i="33" s="1"/>
  <c r="E10" i="33"/>
  <c r="G10" i="33" s="1"/>
  <c r="I10" i="33" s="1"/>
  <c r="E11" i="33"/>
  <c r="G11" i="33" s="1"/>
  <c r="E12" i="33"/>
  <c r="G12" i="33" s="1"/>
  <c r="I12" i="33" s="1"/>
  <c r="E13" i="33"/>
  <c r="G13" i="33" s="1"/>
  <c r="I13" i="33" s="1"/>
  <c r="J13" i="33" s="1"/>
  <c r="E14" i="33"/>
  <c r="G14" i="33" s="1"/>
  <c r="I14" i="33" s="1"/>
  <c r="E15" i="33"/>
  <c r="G15" i="33" s="1"/>
  <c r="I15" i="33" s="1"/>
  <c r="J15" i="33" s="1"/>
  <c r="E16" i="33"/>
  <c r="G16" i="33" s="1"/>
  <c r="I16" i="33" s="1"/>
  <c r="E17" i="33"/>
  <c r="G17" i="33" s="1"/>
  <c r="I17" i="33" s="1"/>
  <c r="J17" i="33" s="1"/>
  <c r="E18" i="33"/>
  <c r="E19" i="33"/>
  <c r="G19" i="33" s="1"/>
  <c r="I19" i="33" s="1"/>
  <c r="E20" i="33"/>
  <c r="G20" i="33" s="1"/>
  <c r="I20" i="33" s="1"/>
  <c r="J20" i="33" s="1"/>
  <c r="E21" i="33"/>
  <c r="G21" i="33" s="1"/>
  <c r="I21" i="33" s="1"/>
  <c r="E22" i="33"/>
  <c r="E2" i="33"/>
  <c r="C9" i="11"/>
  <c r="C8" i="11"/>
  <c r="F27" i="9" s="1"/>
  <c r="Q14" i="31"/>
  <c r="R15" i="31" s="1"/>
  <c r="Q13" i="31"/>
  <c r="Q12" i="31"/>
  <c r="Q11" i="31"/>
  <c r="Q10" i="31"/>
  <c r="Q9" i="31"/>
  <c r="Q8" i="31"/>
  <c r="Q7" i="31"/>
  <c r="Q6" i="31"/>
  <c r="C14" i="11"/>
  <c r="Q7" i="30"/>
  <c r="Q8" i="30"/>
  <c r="Q9" i="30"/>
  <c r="R9" i="30" s="1"/>
  <c r="Q10" i="30"/>
  <c r="R10" i="30" s="1"/>
  <c r="Q11" i="30"/>
  <c r="Q12" i="30"/>
  <c r="Q13" i="30"/>
  <c r="Q14" i="30"/>
  <c r="R14" i="30" s="1"/>
  <c r="Q6" i="30"/>
  <c r="B157" i="12"/>
  <c r="H158" i="12" s="1"/>
  <c r="R9" i="31" l="1"/>
  <c r="R13" i="31"/>
  <c r="C16" i="11" s="1"/>
  <c r="R8" i="31"/>
  <c r="R13" i="30"/>
  <c r="R12" i="30"/>
  <c r="R8" i="30"/>
  <c r="J8" i="33"/>
  <c r="J12" i="33"/>
  <c r="J21" i="33"/>
  <c r="J22" i="33"/>
  <c r="J14" i="33"/>
  <c r="J16" i="33"/>
  <c r="E20" i="32"/>
  <c r="E19" i="32"/>
  <c r="E18" i="32"/>
  <c r="E8" i="32"/>
  <c r="E13" i="32"/>
  <c r="E6" i="32"/>
  <c r="E7" i="32"/>
  <c r="E9" i="32"/>
  <c r="E21" i="32"/>
  <c r="E12" i="32"/>
  <c r="E10" i="32"/>
  <c r="E4" i="32"/>
  <c r="E17" i="32"/>
  <c r="E11" i="32"/>
  <c r="E3" i="32"/>
  <c r="E5" i="32"/>
  <c r="E14" i="32"/>
  <c r="E16" i="32"/>
  <c r="E22" i="32"/>
  <c r="E15" i="32"/>
  <c r="R14" i="31"/>
  <c r="G15" i="11" s="1"/>
  <c r="H15" i="11" s="1"/>
  <c r="I15" i="11" s="1"/>
  <c r="R12" i="31"/>
  <c r="R15" i="30"/>
  <c r="R11" i="30"/>
  <c r="D14" i="11"/>
  <c r="E14" i="11" s="1"/>
  <c r="F14" i="11" s="1"/>
  <c r="J4" i="33"/>
  <c r="J18" i="33"/>
  <c r="J10" i="33"/>
  <c r="J11" i="33"/>
  <c r="J9" i="33"/>
  <c r="J6" i="33"/>
  <c r="J19" i="33"/>
  <c r="E188" i="1"/>
  <c r="R10" i="31"/>
  <c r="R7" i="31"/>
  <c r="R11" i="31"/>
  <c r="R7" i="30"/>
  <c r="N188" i="1"/>
  <c r="M188" i="1"/>
  <c r="F188" i="1" l="1"/>
  <c r="C19" i="11"/>
  <c r="C20" i="11" s="1"/>
  <c r="G2" i="32"/>
  <c r="C17" i="11" s="1"/>
  <c r="D17" i="11" s="1"/>
  <c r="E17" i="11" s="1"/>
  <c r="F17" i="11" s="1"/>
  <c r="G17" i="11" s="1"/>
  <c r="H17" i="11" s="1"/>
  <c r="I17" i="11" s="1"/>
  <c r="D16" i="11"/>
  <c r="E16" i="11" s="1"/>
  <c r="F16" i="11" s="1"/>
  <c r="A19" i="5"/>
  <c r="A20" i="5"/>
  <c r="A21" i="5"/>
  <c r="A22" i="5"/>
  <c r="A23" i="5"/>
  <c r="A24" i="5"/>
  <c r="A25" i="5"/>
  <c r="A26" i="5"/>
  <c r="A27" i="5"/>
  <c r="A28" i="5"/>
  <c r="A29" i="5"/>
  <c r="A30" i="5"/>
  <c r="A18" i="5"/>
  <c r="D19" i="11" l="1"/>
  <c r="C18" i="11"/>
  <c r="D18" i="11"/>
  <c r="D14" i="22"/>
  <c r="D10" i="22" s="1"/>
  <c r="I13" i="22"/>
  <c r="R7" i="29" s="1"/>
  <c r="R8" i="29" s="1"/>
  <c r="C19" i="18"/>
  <c r="C18" i="18"/>
  <c r="C17" i="18"/>
  <c r="C16" i="18"/>
  <c r="C15" i="18"/>
  <c r="C14" i="18"/>
  <c r="C13" i="18"/>
  <c r="C12" i="18"/>
  <c r="C11" i="18"/>
  <c r="C10" i="18"/>
  <c r="C9" i="18"/>
  <c r="C8" i="18"/>
  <c r="C7" i="18"/>
  <c r="C6" i="18"/>
  <c r="C5" i="18"/>
  <c r="F17" i="13"/>
  <c r="E17" i="13"/>
  <c r="J4" i="13"/>
  <c r="I4" i="13"/>
  <c r="H4" i="13"/>
  <c r="G4" i="13"/>
  <c r="F4" i="13"/>
  <c r="E4" i="13"/>
  <c r="D4" i="13"/>
  <c r="E19" i="11" l="1"/>
  <c r="D20" i="11"/>
  <c r="F19" i="11" l="1"/>
  <c r="D13" i="23"/>
  <c r="B2" i="23"/>
  <c r="H1" i="23"/>
  <c r="G1" i="23"/>
  <c r="F1" i="23"/>
  <c r="E1" i="23"/>
  <c r="D1" i="23"/>
  <c r="C1" i="23"/>
  <c r="B1" i="23"/>
  <c r="G19" i="11" l="1"/>
  <c r="E13" i="23"/>
  <c r="M42" i="29"/>
  <c r="N42" i="29" s="1"/>
  <c r="O42" i="29" s="1"/>
  <c r="P42" i="29" s="1"/>
  <c r="Q42" i="29" s="1"/>
  <c r="R42" i="29" s="1"/>
  <c r="M38" i="29"/>
  <c r="N38" i="29" s="1"/>
  <c r="O38" i="29" s="1"/>
  <c r="P38" i="29" s="1"/>
  <c r="Q38" i="29" s="1"/>
  <c r="R38" i="29" s="1"/>
  <c r="H19" i="11" l="1"/>
  <c r="F13" i="23"/>
  <c r="I19" i="11" l="1"/>
  <c r="H13" i="23" s="1"/>
  <c r="G13" i="23"/>
  <c r="C11" i="22"/>
  <c r="D6" i="22" l="1"/>
  <c r="D11" i="22"/>
  <c r="D7" i="22"/>
  <c r="D4" i="22" s="1"/>
  <c r="M3" i="29" l="1"/>
  <c r="E8" i="22"/>
  <c r="E3" i="22"/>
  <c r="H3" i="22" s="1"/>
  <c r="I3" i="22" l="1"/>
  <c r="H4" i="22"/>
  <c r="N4" i="29"/>
  <c r="L7" i="1"/>
  <c r="K7" i="1"/>
  <c r="J7" i="1"/>
  <c r="I7" i="1"/>
  <c r="H7" i="1"/>
  <c r="L128" i="1"/>
  <c r="K128" i="1"/>
  <c r="L130" i="1"/>
  <c r="L129" i="1"/>
  <c r="K130" i="1"/>
  <c r="K129" i="1"/>
  <c r="Q3" i="29" l="1"/>
  <c r="Q4" i="29" s="1"/>
  <c r="C11" i="11"/>
  <c r="D25" i="6" l="1"/>
  <c r="D28" i="6"/>
  <c r="D29" i="6" s="1"/>
  <c r="M55" i="29" l="1"/>
  <c r="N55" i="29" s="1"/>
  <c r="O55" i="29" s="1"/>
  <c r="P55" i="29" s="1"/>
  <c r="Q55" i="29" s="1"/>
  <c r="R55" i="29" s="1"/>
  <c r="E2" i="11" l="1"/>
  <c r="F2" i="11"/>
  <c r="C7" i="22" l="1"/>
  <c r="C6" i="22"/>
  <c r="C2" i="22"/>
  <c r="D1" i="22"/>
  <c r="E1" i="22"/>
  <c r="F1" i="22"/>
  <c r="G1" i="22"/>
  <c r="H1" i="22"/>
  <c r="I1" i="22"/>
  <c r="C1" i="22"/>
  <c r="B2" i="8"/>
  <c r="E5" i="22" l="1"/>
  <c r="C4" i="22"/>
  <c r="E18" i="11"/>
  <c r="F18" i="11" s="1"/>
  <c r="G18" i="11" s="1"/>
  <c r="H18" i="11" s="1"/>
  <c r="I18" i="11" s="1"/>
  <c r="G16" i="11"/>
  <c r="H16" i="11" s="1"/>
  <c r="I16" i="11" s="1"/>
  <c r="E20" i="11"/>
  <c r="F20" i="11" s="1"/>
  <c r="G20" i="11" s="1"/>
  <c r="H20" i="11" s="1"/>
  <c r="I20" i="11" s="1"/>
  <c r="R145" i="19"/>
  <c r="R145" i="20"/>
  <c r="R146" i="19"/>
  <c r="R146" i="20"/>
  <c r="L3" i="29" l="1"/>
  <c r="L4" i="29" s="1"/>
  <c r="D3" i="22"/>
  <c r="D8" i="22"/>
  <c r="D25" i="8"/>
  <c r="D26" i="8"/>
  <c r="D27" i="8"/>
  <c r="D28" i="8"/>
  <c r="D29" i="8"/>
  <c r="D24" i="8"/>
  <c r="G14" i="11"/>
  <c r="M4" i="29" l="1"/>
  <c r="H14" i="11"/>
  <c r="I14" i="11" s="1"/>
  <c r="M33" i="29" l="1"/>
  <c r="N33" i="29" l="1"/>
  <c r="A3" i="24"/>
  <c r="M21" i="29" l="1"/>
  <c r="O33" i="29"/>
  <c r="G11" i="24"/>
  <c r="G19" i="24" s="1"/>
  <c r="N3" i="24" s="1"/>
  <c r="A11" i="24"/>
  <c r="N21" i="29" l="1"/>
  <c r="P33" i="29"/>
  <c r="Q33" i="29" s="1"/>
  <c r="A19" i="24"/>
  <c r="A27" i="24" s="1"/>
  <c r="G27" i="24" s="1"/>
  <c r="O27" i="24" s="1"/>
  <c r="G3" i="24"/>
  <c r="I3" i="21"/>
  <c r="C3" i="24" s="1"/>
  <c r="I19" i="24" s="1"/>
  <c r="R33" i="29" l="1"/>
  <c r="O21" i="29"/>
  <c r="B3" i="24"/>
  <c r="D3" i="24"/>
  <c r="J19" i="24" s="1"/>
  <c r="A178" i="12"/>
  <c r="A177" i="12"/>
  <c r="A169" i="12"/>
  <c r="A168" i="12"/>
  <c r="P21" i="29" l="1"/>
  <c r="Q21" i="29" s="1"/>
  <c r="R21" i="29" s="1"/>
  <c r="E3" i="24"/>
  <c r="G13" i="21"/>
  <c r="P149" i="20"/>
  <c r="F124" i="20"/>
  <c r="F123" i="20"/>
  <c r="F122" i="20"/>
  <c r="F121" i="20"/>
  <c r="F120" i="20"/>
  <c r="C5" i="20"/>
  <c r="I4" i="20"/>
  <c r="U4" i="20" s="1"/>
  <c r="C4" i="20"/>
  <c r="G3" i="20"/>
  <c r="C3" i="20"/>
  <c r="P149" i="19"/>
  <c r="F124" i="19"/>
  <c r="F123" i="19"/>
  <c r="F122" i="19"/>
  <c r="F120" i="19"/>
  <c r="C5" i="19"/>
  <c r="I4" i="19"/>
  <c r="C4" i="19"/>
  <c r="H2" i="19" s="1"/>
  <c r="G3" i="19"/>
  <c r="C3" i="19"/>
  <c r="R172" i="12"/>
  <c r="R149" i="19"/>
  <c r="R155" i="12"/>
  <c r="R174" i="12"/>
  <c r="P109" i="19"/>
  <c r="R173" i="12"/>
  <c r="R155" i="20"/>
  <c r="R149" i="20"/>
  <c r="R153" i="20"/>
  <c r="R154" i="20"/>
  <c r="R171" i="19"/>
  <c r="R144" i="20"/>
  <c r="R154" i="19"/>
  <c r="R171" i="20"/>
  <c r="R174" i="19"/>
  <c r="R144" i="19"/>
  <c r="R153" i="19"/>
  <c r="R152" i="19"/>
  <c r="R173" i="20"/>
  <c r="R172" i="19"/>
  <c r="R153" i="12"/>
  <c r="R172" i="20"/>
  <c r="R143" i="19"/>
  <c r="R155" i="19"/>
  <c r="R171" i="12"/>
  <c r="R175" i="20"/>
  <c r="R174" i="20"/>
  <c r="R173" i="19"/>
  <c r="R152" i="20"/>
  <c r="R142" i="20"/>
  <c r="P109" i="20"/>
  <c r="R175" i="19"/>
  <c r="R154" i="12"/>
  <c r="R175" i="12"/>
  <c r="R152" i="12"/>
  <c r="R142" i="19"/>
  <c r="R143" i="20"/>
  <c r="B108" i="20" l="1"/>
  <c r="B109" i="20"/>
  <c r="B109" i="19"/>
  <c r="B108" i="19"/>
  <c r="I64" i="14"/>
  <c r="H64" i="14"/>
  <c r="F64" i="14"/>
  <c r="E64" i="14"/>
  <c r="D64" i="14"/>
  <c r="C64" i="14"/>
  <c r="G64" i="14"/>
  <c r="F103" i="1"/>
  <c r="F26" i="20"/>
  <c r="C146" i="20"/>
  <c r="C145" i="20"/>
  <c r="C52" i="19"/>
  <c r="C146" i="19"/>
  <c r="C145" i="19"/>
  <c r="H2" i="20"/>
  <c r="F27" i="20"/>
  <c r="F28" i="20"/>
  <c r="D32" i="20"/>
  <c r="F35" i="20"/>
  <c r="C165" i="20"/>
  <c r="C164" i="20"/>
  <c r="C144" i="20"/>
  <c r="C143" i="20"/>
  <c r="C135" i="20"/>
  <c r="Q134" i="20"/>
  <c r="C131" i="20"/>
  <c r="Q130" i="20"/>
  <c r="C148" i="20"/>
  <c r="C134" i="20"/>
  <c r="Q133" i="20"/>
  <c r="C130" i="20"/>
  <c r="Q135" i="20"/>
  <c r="C133" i="20"/>
  <c r="Q132" i="20"/>
  <c r="C147" i="20"/>
  <c r="C132" i="20"/>
  <c r="Q131" i="20"/>
  <c r="C127" i="20"/>
  <c r="C124" i="20"/>
  <c r="C123" i="20"/>
  <c r="C122" i="20"/>
  <c r="C114" i="20"/>
  <c r="C92" i="20"/>
  <c r="C85" i="20"/>
  <c r="C128" i="20"/>
  <c r="C115" i="20"/>
  <c r="C112" i="20"/>
  <c r="C84" i="20"/>
  <c r="C116" i="20"/>
  <c r="C86" i="20"/>
  <c r="Q129" i="20"/>
  <c r="C121" i="20"/>
  <c r="C90" i="20"/>
  <c r="C87" i="20"/>
  <c r="C82" i="20"/>
  <c r="C81" i="20"/>
  <c r="C120" i="20"/>
  <c r="C97" i="20"/>
  <c r="C91" i="20"/>
  <c r="C83" i="20"/>
  <c r="C78" i="20"/>
  <c r="C74" i="20"/>
  <c r="C69" i="20"/>
  <c r="C54" i="20"/>
  <c r="C53" i="20"/>
  <c r="C52" i="20"/>
  <c r="D37" i="20"/>
  <c r="D30" i="20"/>
  <c r="D29" i="20"/>
  <c r="D28" i="20"/>
  <c r="D27" i="20"/>
  <c r="C80" i="20"/>
  <c r="C75" i="20"/>
  <c r="C68" i="20"/>
  <c r="C76" i="20"/>
  <c r="C71" i="20"/>
  <c r="C70" i="20"/>
  <c r="C57" i="20"/>
  <c r="D36" i="20"/>
  <c r="D35" i="20"/>
  <c r="C77" i="20"/>
  <c r="C72" i="20"/>
  <c r="F38" i="20"/>
  <c r="C79" i="20"/>
  <c r="C73" i="20"/>
  <c r="S70" i="20"/>
  <c r="C63" i="20"/>
  <c r="T41" i="20"/>
  <c r="D31" i="20"/>
  <c r="F25" i="20"/>
  <c r="F24" i="20"/>
  <c r="F23" i="20"/>
  <c r="F29" i="20"/>
  <c r="F54" i="19"/>
  <c r="E23" i="19"/>
  <c r="E24" i="19"/>
  <c r="E25" i="19"/>
  <c r="E26" i="19"/>
  <c r="D27" i="19"/>
  <c r="D28" i="19"/>
  <c r="D37" i="19"/>
  <c r="F23" i="19"/>
  <c r="F24" i="19"/>
  <c r="F25" i="19"/>
  <c r="F26" i="19"/>
  <c r="F27" i="19"/>
  <c r="F28" i="19"/>
  <c r="D32" i="19"/>
  <c r="F35" i="19"/>
  <c r="C148" i="19"/>
  <c r="C147" i="19"/>
  <c r="C165" i="19"/>
  <c r="C164" i="19"/>
  <c r="C144" i="19"/>
  <c r="C143" i="19"/>
  <c r="C134" i="19"/>
  <c r="Q133" i="19"/>
  <c r="C130" i="19"/>
  <c r="Q129" i="19"/>
  <c r="C116" i="19"/>
  <c r="C135" i="19"/>
  <c r="Q131" i="19"/>
  <c r="C128" i="19"/>
  <c r="C112" i="19"/>
  <c r="C133" i="19"/>
  <c r="C131" i="19"/>
  <c r="C124" i="19"/>
  <c r="C123" i="19"/>
  <c r="C122" i="19"/>
  <c r="Q135" i="19"/>
  <c r="Q134" i="19"/>
  <c r="C132" i="19"/>
  <c r="C121" i="19"/>
  <c r="C120" i="19"/>
  <c r="C114" i="19"/>
  <c r="Q132" i="19"/>
  <c r="Q130" i="19"/>
  <c r="C127" i="19"/>
  <c r="C115" i="19"/>
  <c r="C86" i="19"/>
  <c r="C82" i="19"/>
  <c r="C78" i="19"/>
  <c r="C74" i="19"/>
  <c r="C90" i="19"/>
  <c r="C87" i="19"/>
  <c r="C81" i="19"/>
  <c r="C76" i="19"/>
  <c r="C69" i="19"/>
  <c r="C54" i="19"/>
  <c r="C53" i="19"/>
  <c r="C97" i="19"/>
  <c r="C91" i="19"/>
  <c r="C83" i="19"/>
  <c r="C77" i="19"/>
  <c r="C72" i="19"/>
  <c r="C71" i="19"/>
  <c r="S70" i="19"/>
  <c r="C70" i="19"/>
  <c r="C92" i="19"/>
  <c r="C84" i="19"/>
  <c r="C79" i="19"/>
  <c r="C73" i="19"/>
  <c r="C63" i="19"/>
  <c r="C57" i="19"/>
  <c r="C85" i="19"/>
  <c r="C80" i="19"/>
  <c r="C75" i="19"/>
  <c r="C68" i="19"/>
  <c r="D36" i="19"/>
  <c r="D35" i="19"/>
  <c r="F29" i="19"/>
  <c r="U4" i="19"/>
  <c r="D31" i="19"/>
  <c r="T41" i="19"/>
  <c r="F57" i="19"/>
  <c r="D29" i="19"/>
  <c r="D30" i="19"/>
  <c r="F38" i="19"/>
  <c r="P149" i="12"/>
  <c r="F124" i="12"/>
  <c r="F123" i="12"/>
  <c r="F122" i="12"/>
  <c r="F121" i="12"/>
  <c r="F120" i="12"/>
  <c r="C4" i="12"/>
  <c r="C5" i="12"/>
  <c r="C3" i="12"/>
  <c r="E4" i="16"/>
  <c r="E5" i="16"/>
  <c r="E3" i="16"/>
  <c r="C63" i="14" l="1"/>
  <c r="I63" i="14"/>
  <c r="G63" i="14"/>
  <c r="F63" i="14"/>
  <c r="E63" i="14"/>
  <c r="D63" i="14"/>
  <c r="H63" i="14"/>
  <c r="F104" i="1"/>
  <c r="E6" i="22"/>
  <c r="E7" i="22"/>
  <c r="F54" i="20"/>
  <c r="F57" i="20" s="1"/>
  <c r="E26" i="20"/>
  <c r="E25" i="20"/>
  <c r="E24" i="20"/>
  <c r="E23" i="20"/>
  <c r="T127" i="20"/>
  <c r="T43" i="20"/>
  <c r="U126" i="20" s="1"/>
  <c r="T128" i="20"/>
  <c r="T43" i="19"/>
  <c r="U139" i="19" s="1"/>
  <c r="T127" i="19"/>
  <c r="T128" i="19"/>
  <c r="F6" i="22" l="1"/>
  <c r="U119" i="19"/>
  <c r="U126" i="19"/>
  <c r="F7" i="22"/>
  <c r="F5" i="22"/>
  <c r="U119" i="20"/>
  <c r="U139" i="20"/>
  <c r="U118" i="20"/>
  <c r="U118" i="19"/>
  <c r="O153" i="20"/>
  <c r="N142" i="20"/>
  <c r="O102" i="19"/>
  <c r="L154" i="19"/>
  <c r="P134" i="20"/>
  <c r="J142" i="19"/>
  <c r="I121" i="20"/>
  <c r="I52" i="19"/>
  <c r="J155" i="20"/>
  <c r="K140" i="20"/>
  <c r="K153" i="19"/>
  <c r="I146" i="20"/>
  <c r="M140" i="19"/>
  <c r="P130" i="19"/>
  <c r="J142" i="20"/>
  <c r="I155" i="20"/>
  <c r="I121" i="19"/>
  <c r="I142" i="19"/>
  <c r="P132" i="19"/>
  <c r="R144" i="12"/>
  <c r="M154" i="20"/>
  <c r="J155" i="19"/>
  <c r="P33" i="20"/>
  <c r="K153" i="20"/>
  <c r="N140" i="19"/>
  <c r="M142" i="20"/>
  <c r="I140" i="19"/>
  <c r="P131" i="20"/>
  <c r="P134" i="19"/>
  <c r="P34" i="20"/>
  <c r="I145" i="19"/>
  <c r="J152" i="20"/>
  <c r="N152" i="19"/>
  <c r="P54" i="19"/>
  <c r="K154" i="20"/>
  <c r="P34" i="19"/>
  <c r="K102" i="20"/>
  <c r="J153" i="20"/>
  <c r="M140" i="20"/>
  <c r="L142" i="20"/>
  <c r="K154" i="19"/>
  <c r="P135" i="19"/>
  <c r="R145" i="12"/>
  <c r="K155" i="19"/>
  <c r="O155" i="19"/>
  <c r="N154" i="19"/>
  <c r="M152" i="19"/>
  <c r="I145" i="20"/>
  <c r="N155" i="20"/>
  <c r="I154" i="20"/>
  <c r="K152" i="19"/>
  <c r="I155" i="19"/>
  <c r="I102" i="20"/>
  <c r="O153" i="19"/>
  <c r="J102" i="19"/>
  <c r="I153" i="20"/>
  <c r="O154" i="20"/>
  <c r="M154" i="19"/>
  <c r="O140" i="20"/>
  <c r="J140" i="19"/>
  <c r="R149" i="12"/>
  <c r="I102" i="19"/>
  <c r="M102" i="20"/>
  <c r="R142" i="12"/>
  <c r="L152" i="19"/>
  <c r="M142" i="19"/>
  <c r="O152" i="19"/>
  <c r="O142" i="20"/>
  <c r="R143" i="12"/>
  <c r="L153" i="19"/>
  <c r="L102" i="19"/>
  <c r="P133" i="20"/>
  <c r="I152" i="19"/>
  <c r="O142" i="19"/>
  <c r="P54" i="20"/>
  <c r="J154" i="20"/>
  <c r="N102" i="19"/>
  <c r="N102" i="20"/>
  <c r="N152" i="20"/>
  <c r="P131" i="19"/>
  <c r="K102" i="19"/>
  <c r="P129" i="20"/>
  <c r="K152" i="20"/>
  <c r="L140" i="20"/>
  <c r="P109" i="12"/>
  <c r="L155" i="19"/>
  <c r="J154" i="19"/>
  <c r="N140" i="20"/>
  <c r="P132" i="20"/>
  <c r="I153" i="19"/>
  <c r="L154" i="20"/>
  <c r="I152" i="20"/>
  <c r="O152" i="20"/>
  <c r="K142" i="20"/>
  <c r="I154" i="19"/>
  <c r="M153" i="20"/>
  <c r="K140" i="19"/>
  <c r="J153" i="19"/>
  <c r="O140" i="19"/>
  <c r="K155" i="20"/>
  <c r="N153" i="20"/>
  <c r="I142" i="20"/>
  <c r="M155" i="19"/>
  <c r="M102" i="19"/>
  <c r="L140" i="19"/>
  <c r="N155" i="19"/>
  <c r="L155" i="20"/>
  <c r="I140" i="20"/>
  <c r="R146" i="12"/>
  <c r="L152" i="20"/>
  <c r="O154" i="19"/>
  <c r="P129" i="19"/>
  <c r="P135" i="20"/>
  <c r="K142" i="19"/>
  <c r="L142" i="19"/>
  <c r="O155" i="20"/>
  <c r="N142" i="19"/>
  <c r="P130" i="20"/>
  <c r="N153" i="19"/>
  <c r="N154" i="20"/>
  <c r="P33" i="19"/>
  <c r="J140" i="20"/>
  <c r="M155" i="20"/>
  <c r="I146" i="19"/>
  <c r="O102" i="20"/>
  <c r="M152" i="20"/>
  <c r="M153" i="19"/>
  <c r="J152" i="19"/>
  <c r="L102" i="20"/>
  <c r="P133" i="19"/>
  <c r="L153" i="20"/>
  <c r="J102" i="20"/>
  <c r="U34" i="20" l="1"/>
  <c r="U33" i="19"/>
  <c r="U102" i="19"/>
  <c r="U33" i="20"/>
  <c r="U34" i="19"/>
  <c r="U102" i="20"/>
  <c r="G6" i="22"/>
  <c r="G7" i="22"/>
  <c r="G5" i="22"/>
  <c r="H2" i="12" l="1"/>
  <c r="G3" i="12"/>
  <c r="D2" i="13"/>
  <c r="J1" i="13"/>
  <c r="I1" i="13"/>
  <c r="H1" i="13"/>
  <c r="G1" i="13"/>
  <c r="F1" i="13"/>
  <c r="E1" i="13"/>
  <c r="D1" i="13"/>
  <c r="I4" i="12"/>
  <c r="D2" i="11"/>
  <c r="G2" i="11"/>
  <c r="H2" i="11"/>
  <c r="C3" i="11"/>
  <c r="C2" i="11"/>
  <c r="H9" i="11"/>
  <c r="H11" i="11" s="1"/>
  <c r="G9" i="11"/>
  <c r="G11" i="11" s="1"/>
  <c r="F9" i="11"/>
  <c r="F11" i="11" s="1"/>
  <c r="E9" i="11"/>
  <c r="E11" i="11" s="1"/>
  <c r="D9" i="11"/>
  <c r="L27" i="9"/>
  <c r="H8" i="11"/>
  <c r="K27" i="9" s="1"/>
  <c r="G8" i="11"/>
  <c r="J27" i="9" s="1"/>
  <c r="F8" i="11"/>
  <c r="I27" i="9" s="1"/>
  <c r="E8" i="11"/>
  <c r="H27" i="9" s="1"/>
  <c r="D8" i="11"/>
  <c r="G27" i="9" s="1"/>
  <c r="G3" i="9"/>
  <c r="H3" i="9"/>
  <c r="I3" i="9"/>
  <c r="J3" i="9"/>
  <c r="K3" i="9"/>
  <c r="L3" i="9"/>
  <c r="F4" i="9"/>
  <c r="F3" i="9"/>
  <c r="D1" i="6"/>
  <c r="D2" i="6"/>
  <c r="K4" i="5"/>
  <c r="C1" i="4"/>
  <c r="A7" i="4"/>
  <c r="A8" i="4" s="1"/>
  <c r="A9" i="4" s="1"/>
  <c r="A10" i="4" s="1"/>
  <c r="A11" i="4" s="1"/>
  <c r="A12" i="4" s="1"/>
  <c r="A13" i="4" s="1"/>
  <c r="A14" i="4" s="1"/>
  <c r="A15" i="4" s="1"/>
  <c r="A16" i="4" s="1"/>
  <c r="A17" i="4" s="1"/>
  <c r="H6" i="1"/>
  <c r="D6" i="1" s="1"/>
  <c r="A5" i="2"/>
  <c r="B5" i="2" s="1"/>
  <c r="I174" i="19"/>
  <c r="I175" i="20"/>
  <c r="N140" i="12"/>
  <c r="I17" i="19"/>
  <c r="C15" i="22"/>
  <c r="U111" i="20"/>
  <c r="I172" i="19"/>
  <c r="N153" i="12"/>
  <c r="I173" i="19"/>
  <c r="U137" i="20"/>
  <c r="I174" i="20"/>
  <c r="N154" i="12"/>
  <c r="N155" i="12"/>
  <c r="I173" i="20"/>
  <c r="I18" i="19"/>
  <c r="U141" i="20"/>
  <c r="U16" i="20"/>
  <c r="O155" i="12"/>
  <c r="H80" i="1"/>
  <c r="B2" i="6"/>
  <c r="U170" i="20"/>
  <c r="N152" i="12"/>
  <c r="I18" i="20"/>
  <c r="K6" i="5"/>
  <c r="O140" i="12"/>
  <c r="O102" i="12"/>
  <c r="U138" i="20"/>
  <c r="U107" i="20"/>
  <c r="I17" i="20"/>
  <c r="I19" i="20"/>
  <c r="I171" i="19"/>
  <c r="U48" i="20"/>
  <c r="I175" i="19"/>
  <c r="U22" i="20"/>
  <c r="O142" i="12"/>
  <c r="D17" i="6"/>
  <c r="O152" i="12"/>
  <c r="N102" i="12"/>
  <c r="N142" i="12"/>
  <c r="I172" i="20"/>
  <c r="O153" i="12"/>
  <c r="O154" i="12"/>
  <c r="U62" i="20"/>
  <c r="I19" i="19"/>
  <c r="I171" i="20"/>
  <c r="K10" i="5" l="1"/>
  <c r="K9" i="5"/>
  <c r="K8" i="5"/>
  <c r="E184" i="1"/>
  <c r="E145" i="1"/>
  <c r="E146" i="1"/>
  <c r="E155" i="1"/>
  <c r="E172" i="1"/>
  <c r="E144" i="1"/>
  <c r="E156" i="1"/>
  <c r="E154" i="1"/>
  <c r="D30" i="12"/>
  <c r="D62" i="14"/>
  <c r="C62" i="14"/>
  <c r="I62" i="14"/>
  <c r="H62" i="14"/>
  <c r="F62" i="14"/>
  <c r="E62" i="14"/>
  <c r="G62" i="14"/>
  <c r="D11" i="11"/>
  <c r="E179" i="1"/>
  <c r="E150" i="1"/>
  <c r="E151" i="1"/>
  <c r="E149" i="1"/>
  <c r="E46" i="1"/>
  <c r="E47" i="1"/>
  <c r="E178" i="1"/>
  <c r="E48" i="1"/>
  <c r="E165" i="1"/>
  <c r="E177" i="1"/>
  <c r="E166" i="1"/>
  <c r="E164" i="1"/>
  <c r="F102" i="1"/>
  <c r="C9" i="22"/>
  <c r="L5" i="29" s="1"/>
  <c r="L6" i="29" s="1"/>
  <c r="F5" i="9"/>
  <c r="A6" i="2"/>
  <c r="C145" i="12"/>
  <c r="C146" i="12"/>
  <c r="C144" i="12"/>
  <c r="U146" i="20"/>
  <c r="U145" i="20"/>
  <c r="U19" i="20"/>
  <c r="U18" i="20"/>
  <c r="U17" i="19"/>
  <c r="U142" i="20"/>
  <c r="U155" i="20"/>
  <c r="U153" i="20"/>
  <c r="U154" i="20"/>
  <c r="U152" i="20"/>
  <c r="U18" i="19"/>
  <c r="U19" i="19"/>
  <c r="U17" i="20"/>
  <c r="U171" i="20"/>
  <c r="U172" i="20"/>
  <c r="U175" i="20"/>
  <c r="U174" i="20"/>
  <c r="U173" i="20"/>
  <c r="U140" i="20"/>
  <c r="H19" i="24"/>
  <c r="C165" i="12"/>
  <c r="C164" i="12"/>
  <c r="C148" i="12"/>
  <c r="C143" i="12"/>
  <c r="C128" i="12"/>
  <c r="C147" i="12"/>
  <c r="C127" i="12"/>
  <c r="Q132" i="12"/>
  <c r="Q135" i="12"/>
  <c r="Q131" i="12"/>
  <c r="Q134" i="12"/>
  <c r="Q130" i="12"/>
  <c r="Q133" i="12"/>
  <c r="Q129" i="12"/>
  <c r="C135" i="12"/>
  <c r="E23" i="12"/>
  <c r="E26" i="12"/>
  <c r="E25" i="12"/>
  <c r="E24" i="12"/>
  <c r="C120" i="12"/>
  <c r="C132" i="12"/>
  <c r="C130" i="12"/>
  <c r="C133" i="12"/>
  <c r="C134" i="12"/>
  <c r="C131" i="12"/>
  <c r="C121" i="12"/>
  <c r="C124" i="12"/>
  <c r="C123" i="12"/>
  <c r="C122" i="12"/>
  <c r="C114" i="12"/>
  <c r="C115" i="12"/>
  <c r="C116" i="12"/>
  <c r="C112" i="12"/>
  <c r="B109" i="12"/>
  <c r="B108" i="12"/>
  <c r="C87" i="12"/>
  <c r="C90" i="12"/>
  <c r="C97" i="12"/>
  <c r="C91" i="12"/>
  <c r="C92" i="12"/>
  <c r="U4" i="12"/>
  <c r="C84" i="12"/>
  <c r="C68" i="12"/>
  <c r="S70" i="12"/>
  <c r="D36" i="12"/>
  <c r="C72" i="12"/>
  <c r="C76" i="12"/>
  <c r="C80" i="12"/>
  <c r="C85" i="12"/>
  <c r="C70" i="12"/>
  <c r="C73" i="12"/>
  <c r="C77" i="12"/>
  <c r="C81" i="12"/>
  <c r="C69" i="12"/>
  <c r="C86" i="12"/>
  <c r="C74" i="12"/>
  <c r="C78" i="12"/>
  <c r="C82" i="12"/>
  <c r="C71" i="12"/>
  <c r="C75" i="12"/>
  <c r="C79" i="12"/>
  <c r="C83" i="12"/>
  <c r="T41" i="12"/>
  <c r="C54" i="12"/>
  <c r="C57" i="12"/>
  <c r="C52" i="12"/>
  <c r="C53" i="12"/>
  <c r="F54" i="12"/>
  <c r="F57" i="12" s="1"/>
  <c r="F38" i="12"/>
  <c r="F35" i="12"/>
  <c r="D35" i="12"/>
  <c r="D37" i="12"/>
  <c r="F29" i="12"/>
  <c r="D28" i="12"/>
  <c r="D29" i="12"/>
  <c r="F28" i="12"/>
  <c r="F27" i="12"/>
  <c r="D27" i="12"/>
  <c r="F26" i="12"/>
  <c r="D31" i="12"/>
  <c r="F25" i="12"/>
  <c r="D32" i="12"/>
  <c r="C63" i="12"/>
  <c r="F23" i="12"/>
  <c r="F24" i="12"/>
  <c r="B6" i="2"/>
  <c r="B7" i="2" s="1"/>
  <c r="C2" i="23" s="1"/>
  <c r="C5" i="2"/>
  <c r="N151" i="1"/>
  <c r="N165" i="1"/>
  <c r="N154" i="1"/>
  <c r="K5" i="5"/>
  <c r="K7" i="5"/>
  <c r="D12" i="6"/>
  <c r="F13" i="9"/>
  <c r="N178" i="1"/>
  <c r="M150" i="1"/>
  <c r="N48" i="1"/>
  <c r="M46" i="1"/>
  <c r="M144" i="1"/>
  <c r="N150" i="1"/>
  <c r="I102" i="12"/>
  <c r="AA42" i="12"/>
  <c r="N144" i="1"/>
  <c r="M178" i="1"/>
  <c r="O165" i="12"/>
  <c r="D5" i="6"/>
  <c r="N172" i="1"/>
  <c r="N184" i="1"/>
  <c r="Z42" i="12"/>
  <c r="N165" i="12"/>
  <c r="M165" i="1"/>
  <c r="M166" i="1"/>
  <c r="N156" i="1"/>
  <c r="I146" i="12"/>
  <c r="M146" i="1"/>
  <c r="P54" i="12"/>
  <c r="N149" i="1"/>
  <c r="D16" i="6"/>
  <c r="N146" i="1"/>
  <c r="N145" i="1"/>
  <c r="N179" i="1"/>
  <c r="I145" i="12"/>
  <c r="M177" i="1"/>
  <c r="M145" i="1"/>
  <c r="M179" i="1"/>
  <c r="M164" i="1"/>
  <c r="M156" i="1"/>
  <c r="M184" i="1"/>
  <c r="N177" i="1"/>
  <c r="M48" i="1"/>
  <c r="M151" i="1"/>
  <c r="M47" i="1"/>
  <c r="N47" i="1"/>
  <c r="M154" i="1"/>
  <c r="M172" i="1"/>
  <c r="N46" i="1"/>
  <c r="M155" i="1"/>
  <c r="N164" i="1"/>
  <c r="D19" i="6"/>
  <c r="N155" i="1"/>
  <c r="P57" i="12"/>
  <c r="N166" i="1"/>
  <c r="M149" i="1"/>
  <c r="B12" i="23" l="1"/>
  <c r="C12" i="23" s="1"/>
  <c r="D12" i="23" s="1"/>
  <c r="E12" i="23" s="1"/>
  <c r="F12" i="23" s="1"/>
  <c r="G12" i="23" s="1"/>
  <c r="F154" i="1"/>
  <c r="F150" i="1"/>
  <c r="F179" i="1"/>
  <c r="F172" i="1"/>
  <c r="F177" i="1"/>
  <c r="F145" i="1"/>
  <c r="F178" i="1"/>
  <c r="F149" i="1"/>
  <c r="F155" i="1"/>
  <c r="F146" i="1"/>
  <c r="F151" i="1"/>
  <c r="F156" i="1"/>
  <c r="F144" i="1"/>
  <c r="F184" i="1"/>
  <c r="T128" i="12"/>
  <c r="T127" i="12"/>
  <c r="E174" i="1"/>
  <c r="E186" i="1"/>
  <c r="D2" i="22"/>
  <c r="P161" i="20"/>
  <c r="A4" i="24"/>
  <c r="I20" i="21"/>
  <c r="J4" i="19"/>
  <c r="J4" i="20"/>
  <c r="I6" i="1"/>
  <c r="E2" i="13"/>
  <c r="J4" i="12"/>
  <c r="G4" i="9"/>
  <c r="D3" i="11"/>
  <c r="T43" i="12"/>
  <c r="U118" i="12" s="1"/>
  <c r="D5" i="2"/>
  <c r="C6" i="2"/>
  <c r="C7" i="2" s="1"/>
  <c r="D2" i="23" s="1"/>
  <c r="M186" i="1"/>
  <c r="J52" i="19"/>
  <c r="J19" i="20"/>
  <c r="J19" i="19"/>
  <c r="J18" i="20"/>
  <c r="N186" i="1"/>
  <c r="N174" i="1"/>
  <c r="M174" i="1"/>
  <c r="J18" i="19"/>
  <c r="F186" i="1" l="1"/>
  <c r="F174" i="1"/>
  <c r="H12" i="23"/>
  <c r="G26" i="21"/>
  <c r="C4" i="24" s="1"/>
  <c r="I20" i="24" s="1"/>
  <c r="G27" i="21"/>
  <c r="D4" i="24" s="1"/>
  <c r="J20" i="24" s="1"/>
  <c r="G25" i="21"/>
  <c r="E2" i="22"/>
  <c r="E3" i="11"/>
  <c r="V18" i="19"/>
  <c r="V19" i="19"/>
  <c r="V19" i="20"/>
  <c r="V18" i="20"/>
  <c r="V4" i="19"/>
  <c r="A5" i="24"/>
  <c r="N20" i="21"/>
  <c r="K4" i="19"/>
  <c r="K4" i="20"/>
  <c r="V4" i="20"/>
  <c r="I34" i="21"/>
  <c r="G12" i="24"/>
  <c r="G20" i="24" s="1"/>
  <c r="N4" i="24" s="1"/>
  <c r="A12" i="24"/>
  <c r="U139" i="12"/>
  <c r="U126" i="12"/>
  <c r="U119" i="12"/>
  <c r="V4" i="12"/>
  <c r="J6" i="1"/>
  <c r="K4" i="12"/>
  <c r="H4" i="9"/>
  <c r="F2" i="13"/>
  <c r="G5" i="9"/>
  <c r="D6" i="2"/>
  <c r="D7" i="2" s="1"/>
  <c r="E5" i="2"/>
  <c r="K19" i="20"/>
  <c r="V141" i="19"/>
  <c r="J146" i="20"/>
  <c r="V107" i="19"/>
  <c r="J146" i="12"/>
  <c r="V170" i="19"/>
  <c r="V111" i="19"/>
  <c r="V137" i="19"/>
  <c r="K18" i="20"/>
  <c r="J145" i="20"/>
  <c r="V22" i="20"/>
  <c r="K18" i="19"/>
  <c r="V107" i="20"/>
  <c r="K19" i="19"/>
  <c r="V48" i="20"/>
  <c r="V48" i="19"/>
  <c r="V22" i="19"/>
  <c r="J145" i="12"/>
  <c r="J145" i="19"/>
  <c r="J146" i="19"/>
  <c r="V16" i="19"/>
  <c r="V138" i="19"/>
  <c r="V62" i="19"/>
  <c r="L25" i="21" l="1"/>
  <c r="L27" i="21"/>
  <c r="D5" i="24" s="1"/>
  <c r="J21" i="24" s="1"/>
  <c r="L26" i="21"/>
  <c r="C5" i="24" s="1"/>
  <c r="I21" i="24" s="1"/>
  <c r="F2" i="22"/>
  <c r="E2" i="23"/>
  <c r="V146" i="19"/>
  <c r="W18" i="19"/>
  <c r="W19" i="19"/>
  <c r="V49" i="20"/>
  <c r="V139" i="20" s="1"/>
  <c r="W18" i="20"/>
  <c r="W19" i="20"/>
  <c r="V17" i="19"/>
  <c r="V49" i="19"/>
  <c r="V118" i="19" s="1"/>
  <c r="G4" i="24"/>
  <c r="A20" i="24"/>
  <c r="A28" i="24" s="1"/>
  <c r="G28" i="24" s="1"/>
  <c r="O28" i="24" s="1"/>
  <c r="W4" i="19"/>
  <c r="B4" i="24"/>
  <c r="E4" i="24" s="1"/>
  <c r="G29" i="21"/>
  <c r="N34" i="21"/>
  <c r="O34" i="21" s="1"/>
  <c r="G13" i="24"/>
  <c r="G21" i="24" s="1"/>
  <c r="N5" i="24" s="1"/>
  <c r="A13" i="24"/>
  <c r="A6" i="24"/>
  <c r="I47" i="21"/>
  <c r="A6" i="25" s="1"/>
  <c r="L4" i="19"/>
  <c r="L4" i="20"/>
  <c r="W4" i="20"/>
  <c r="V140" i="19"/>
  <c r="K6" i="1"/>
  <c r="F3" i="11"/>
  <c r="G2" i="13"/>
  <c r="L4" i="12"/>
  <c r="I4" i="9"/>
  <c r="H5" i="9"/>
  <c r="W4" i="12"/>
  <c r="E6" i="2"/>
  <c r="E7" i="2" s="1"/>
  <c r="F5" i="2"/>
  <c r="W170" i="20"/>
  <c r="V111" i="20"/>
  <c r="K145" i="12"/>
  <c r="L19" i="20"/>
  <c r="W141" i="20"/>
  <c r="L19" i="19"/>
  <c r="K52" i="19"/>
  <c r="V170" i="20"/>
  <c r="V137" i="20"/>
  <c r="W22" i="20"/>
  <c r="V62" i="20"/>
  <c r="L52" i="19"/>
  <c r="V16" i="20"/>
  <c r="K146" i="20"/>
  <c r="K146" i="19"/>
  <c r="K146" i="12"/>
  <c r="K145" i="19"/>
  <c r="W137" i="20"/>
  <c r="L18" i="20"/>
  <c r="W107" i="20"/>
  <c r="W138" i="20"/>
  <c r="V138" i="20"/>
  <c r="K145" i="20"/>
  <c r="W62" i="20"/>
  <c r="L18" i="19"/>
  <c r="V141" i="20"/>
  <c r="V17" i="20" l="1"/>
  <c r="V146" i="20"/>
  <c r="V140" i="20"/>
  <c r="V145" i="20"/>
  <c r="D6" i="25"/>
  <c r="G2" i="22"/>
  <c r="F2" i="23"/>
  <c r="I61" i="21"/>
  <c r="W146" i="20"/>
  <c r="V139" i="19"/>
  <c r="V145" i="19" s="1"/>
  <c r="V118" i="20"/>
  <c r="V126" i="19"/>
  <c r="X19" i="20"/>
  <c r="X18" i="20"/>
  <c r="X18" i="19"/>
  <c r="X19" i="19"/>
  <c r="V142" i="20"/>
  <c r="V154" i="20"/>
  <c r="V152" i="20"/>
  <c r="V153" i="20"/>
  <c r="V155" i="20"/>
  <c r="A7" i="24"/>
  <c r="N47" i="21"/>
  <c r="M4" i="19"/>
  <c r="M4" i="20"/>
  <c r="X4" i="20"/>
  <c r="A21" i="24"/>
  <c r="A29" i="24" s="1"/>
  <c r="G29" i="24" s="1"/>
  <c r="O29" i="24" s="1"/>
  <c r="G5" i="24"/>
  <c r="U96" i="19"/>
  <c r="U101" i="19"/>
  <c r="U113" i="19"/>
  <c r="B5" i="24"/>
  <c r="E5" i="24" s="1"/>
  <c r="L29" i="21"/>
  <c r="U96" i="20"/>
  <c r="U101" i="20"/>
  <c r="U113" i="20"/>
  <c r="W140" i="20"/>
  <c r="G54" i="21"/>
  <c r="D6" i="24" s="1"/>
  <c r="J22" i="24" s="1"/>
  <c r="G53" i="21"/>
  <c r="C6" i="24" s="1"/>
  <c r="I22" i="24" s="1"/>
  <c r="G52" i="21"/>
  <c r="X4" i="19"/>
  <c r="A14" i="24"/>
  <c r="G14" i="24"/>
  <c r="G22" i="24" s="1"/>
  <c r="N6" i="24" s="1"/>
  <c r="V126" i="20"/>
  <c r="X4" i="12"/>
  <c r="L6" i="1"/>
  <c r="M4" i="12"/>
  <c r="J4" i="9"/>
  <c r="H2" i="13"/>
  <c r="G3" i="11"/>
  <c r="I5" i="9"/>
  <c r="G5" i="2"/>
  <c r="F6" i="2"/>
  <c r="F7" i="2" s="1"/>
  <c r="M19" i="20"/>
  <c r="L146" i="20"/>
  <c r="L146" i="19"/>
  <c r="L145" i="12"/>
  <c r="W48" i="20"/>
  <c r="L145" i="20"/>
  <c r="L146" i="12"/>
  <c r="W111" i="20"/>
  <c r="W16" i="20"/>
  <c r="L145" i="19"/>
  <c r="N4" i="12" l="1"/>
  <c r="M6" i="1"/>
  <c r="A7" i="25"/>
  <c r="D21" i="25" s="1"/>
  <c r="L52" i="21"/>
  <c r="L53" i="21"/>
  <c r="C7" i="24" s="1"/>
  <c r="I23" i="24" s="1"/>
  <c r="L54" i="21"/>
  <c r="D7" i="24" s="1"/>
  <c r="J23" i="24" s="1"/>
  <c r="W17" i="20"/>
  <c r="W49" i="20"/>
  <c r="W118" i="20" s="1"/>
  <c r="H2" i="22"/>
  <c r="G2" i="23"/>
  <c r="N61" i="21"/>
  <c r="O61" i="21" s="1"/>
  <c r="V152" i="19"/>
  <c r="V153" i="19"/>
  <c r="V155" i="19"/>
  <c r="V154" i="19"/>
  <c r="V142" i="19"/>
  <c r="Y19" i="20"/>
  <c r="B6" i="24"/>
  <c r="E6" i="24" s="1"/>
  <c r="G56" i="21"/>
  <c r="G6" i="24"/>
  <c r="A22" i="24"/>
  <c r="A30" i="24" s="1"/>
  <c r="G30" i="24" s="1"/>
  <c r="O30" i="24" s="1"/>
  <c r="A15" i="24"/>
  <c r="G15" i="24"/>
  <c r="G23" i="24" s="1"/>
  <c r="N7" i="24" s="1"/>
  <c r="Y4" i="20"/>
  <c r="N4" i="20"/>
  <c r="N4" i="19"/>
  <c r="Y4" i="19"/>
  <c r="L131" i="12"/>
  <c r="K131" i="12"/>
  <c r="J131" i="12"/>
  <c r="N69" i="12"/>
  <c r="N31" i="12"/>
  <c r="N36" i="12"/>
  <c r="N108" i="12"/>
  <c r="N76" i="12"/>
  <c r="N112" i="12"/>
  <c r="N146" i="12"/>
  <c r="N73" i="12"/>
  <c r="N115" i="12"/>
  <c r="N120" i="12"/>
  <c r="N32" i="12"/>
  <c r="N53" i="12"/>
  <c r="Y141" i="20"/>
  <c r="N52" i="12"/>
  <c r="N147" i="12"/>
  <c r="N143" i="12"/>
  <c r="N24" i="12"/>
  <c r="M18" i="20"/>
  <c r="N173" i="12"/>
  <c r="N72" i="12"/>
  <c r="N148" i="12"/>
  <c r="N130" i="12"/>
  <c r="N79" i="12"/>
  <c r="N28" i="12"/>
  <c r="N30" i="12"/>
  <c r="N114" i="12"/>
  <c r="N26" i="12"/>
  <c r="N124" i="12"/>
  <c r="N38" i="12"/>
  <c r="M146" i="19"/>
  <c r="N82" i="12"/>
  <c r="N78" i="12"/>
  <c r="N85" i="12"/>
  <c r="N25" i="12"/>
  <c r="N145" i="12"/>
  <c r="N77" i="12"/>
  <c r="N91" i="12"/>
  <c r="N144" i="12"/>
  <c r="M146" i="20"/>
  <c r="N35" i="12"/>
  <c r="N74" i="12"/>
  <c r="N132" i="12"/>
  <c r="M145" i="20"/>
  <c r="N37" i="12"/>
  <c r="N71" i="12"/>
  <c r="N122" i="12"/>
  <c r="N172" i="12"/>
  <c r="N75" i="12"/>
  <c r="N29" i="12"/>
  <c r="M52" i="19"/>
  <c r="M146" i="12"/>
  <c r="N175" i="12"/>
  <c r="M19" i="19"/>
  <c r="N23" i="12"/>
  <c r="N84" i="12"/>
  <c r="N86" i="12"/>
  <c r="N109" i="12"/>
  <c r="M145" i="12"/>
  <c r="N97" i="12"/>
  <c r="N80" i="12"/>
  <c r="N171" i="12"/>
  <c r="N83" i="12"/>
  <c r="N81" i="12"/>
  <c r="N57" i="12"/>
  <c r="N174" i="12"/>
  <c r="M145" i="19"/>
  <c r="N63" i="12"/>
  <c r="N164" i="12"/>
  <c r="M18" i="19"/>
  <c r="N123" i="12"/>
  <c r="N121" i="12"/>
  <c r="N70" i="12"/>
  <c r="N90" i="12"/>
  <c r="N52" i="19"/>
  <c r="N92" i="12"/>
  <c r="N27" i="12"/>
  <c r="F16" i="25"/>
  <c r="N129" i="12" l="1"/>
  <c r="N149" i="12"/>
  <c r="N133" i="12"/>
  <c r="N166" i="12"/>
  <c r="Z92" i="12"/>
  <c r="N134" i="12"/>
  <c r="D7" i="25"/>
  <c r="Z4" i="12"/>
  <c r="D8" i="25"/>
  <c r="D12" i="25"/>
  <c r="D1" i="25"/>
  <c r="V96" i="20"/>
  <c r="V101" i="20"/>
  <c r="V102" i="20" s="1"/>
  <c r="W139" i="20"/>
  <c r="W155" i="20" s="1"/>
  <c r="V113" i="20"/>
  <c r="W126" i="20"/>
  <c r="Y18" i="20"/>
  <c r="Y19" i="19"/>
  <c r="Y18" i="19"/>
  <c r="H16" i="25"/>
  <c r="G16" i="25"/>
  <c r="Z4" i="20"/>
  <c r="B7" i="24"/>
  <c r="E7" i="24" s="1"/>
  <c r="L56" i="21"/>
  <c r="G7" i="24"/>
  <c r="A23" i="24"/>
  <c r="A31" i="24" s="1"/>
  <c r="G31" i="24" s="1"/>
  <c r="O31" i="24" s="1"/>
  <c r="Z4" i="19"/>
  <c r="U68" i="19"/>
  <c r="N146" i="20"/>
  <c r="Y170" i="20"/>
  <c r="N146" i="19"/>
  <c r="Y62" i="20"/>
  <c r="Z128" i="12"/>
  <c r="N145" i="19"/>
  <c r="Y138" i="20"/>
  <c r="Z41" i="12"/>
  <c r="Y137" i="20"/>
  <c r="N145" i="20"/>
  <c r="Y48" i="20"/>
  <c r="Y111" i="20"/>
  <c r="Z127" i="12"/>
  <c r="Y107" i="20"/>
  <c r="Y22" i="20"/>
  <c r="N68" i="12"/>
  <c r="Y16" i="20"/>
  <c r="Z43" i="12" l="1"/>
  <c r="W153" i="20"/>
  <c r="W152" i="20"/>
  <c r="W145" i="20"/>
  <c r="W142" i="20"/>
  <c r="W154" i="20"/>
  <c r="Y146" i="20"/>
  <c r="Y140" i="20"/>
  <c r="V68" i="19"/>
  <c r="W68" i="19" l="1"/>
  <c r="I2" i="13"/>
  <c r="K4" i="9"/>
  <c r="H3" i="11"/>
  <c r="J5" i="9"/>
  <c r="Y4" i="12"/>
  <c r="G6" i="2"/>
  <c r="G7" i="2" s="1"/>
  <c r="M131" i="12"/>
  <c r="I131" i="12"/>
  <c r="Z16" i="12"/>
  <c r="Z141" i="12"/>
  <c r="Z170" i="12"/>
  <c r="Z107" i="12"/>
  <c r="N19" i="12"/>
  <c r="Z62" i="12"/>
  <c r="Z48" i="12"/>
  <c r="Z111" i="12"/>
  <c r="Z138" i="12"/>
  <c r="N18" i="12"/>
  <c r="Z137" i="12"/>
  <c r="Z22" i="12"/>
  <c r="Z112" i="12" l="1"/>
  <c r="Z19" i="12"/>
  <c r="Z18" i="12"/>
  <c r="I3" i="11"/>
  <c r="N6" i="1"/>
  <c r="O4" i="12"/>
  <c r="Z140" i="12"/>
  <c r="Z171" i="12"/>
  <c r="Z146" i="12"/>
  <c r="I2" i="22"/>
  <c r="H2" i="23"/>
  <c r="O4" i="20"/>
  <c r="O4" i="19"/>
  <c r="O72" i="12"/>
  <c r="O144" i="12"/>
  <c r="O77" i="12"/>
  <c r="O57" i="12"/>
  <c r="O73" i="12"/>
  <c r="O83" i="12"/>
  <c r="O37" i="12"/>
  <c r="O84" i="12"/>
  <c r="O52" i="12"/>
  <c r="O115" i="12"/>
  <c r="O172" i="12"/>
  <c r="O28" i="12"/>
  <c r="O32" i="12"/>
  <c r="O79" i="12"/>
  <c r="O114" i="12"/>
  <c r="O174" i="12"/>
  <c r="O132" i="12"/>
  <c r="O173" i="12"/>
  <c r="O145" i="12"/>
  <c r="O25" i="12"/>
  <c r="O29" i="12"/>
  <c r="O36" i="12"/>
  <c r="O130" i="12"/>
  <c r="O121" i="12"/>
  <c r="O146" i="12"/>
  <c r="O78" i="12"/>
  <c r="O24" i="12"/>
  <c r="O124" i="12"/>
  <c r="O63" i="12"/>
  <c r="O92" i="12"/>
  <c r="O85" i="12"/>
  <c r="O71" i="12"/>
  <c r="O69" i="12"/>
  <c r="O76" i="12"/>
  <c r="O91" i="12"/>
  <c r="O120" i="12"/>
  <c r="O82" i="12"/>
  <c r="O175" i="12"/>
  <c r="O53" i="12"/>
  <c r="O86" i="12"/>
  <c r="O164" i="12"/>
  <c r="O31" i="12"/>
  <c r="O171" i="12"/>
  <c r="O35" i="12"/>
  <c r="O30" i="12"/>
  <c r="O123" i="12"/>
  <c r="O122" i="12"/>
  <c r="O26" i="12"/>
  <c r="O112" i="12"/>
  <c r="O75" i="12"/>
  <c r="O108" i="12"/>
  <c r="O23" i="12"/>
  <c r="O27" i="12"/>
  <c r="O97" i="12"/>
  <c r="O90" i="12"/>
  <c r="O109" i="12"/>
  <c r="O148" i="12"/>
  <c r="O70" i="12"/>
  <c r="O147" i="12"/>
  <c r="O38" i="12"/>
  <c r="O143" i="12"/>
  <c r="O74" i="12"/>
  <c r="O80" i="12"/>
  <c r="O81" i="12"/>
  <c r="O149" i="12" l="1"/>
  <c r="O134" i="12"/>
  <c r="O133" i="12"/>
  <c r="O166" i="12"/>
  <c r="AA92" i="12"/>
  <c r="O129" i="12"/>
  <c r="AA4" i="12"/>
  <c r="AA4" i="19"/>
  <c r="AA4" i="20"/>
  <c r="X68" i="19"/>
  <c r="L4" i="9"/>
  <c r="J2" i="13"/>
  <c r="K5" i="9"/>
  <c r="AA170" i="12"/>
  <c r="AA137" i="12"/>
  <c r="O68" i="12"/>
  <c r="AA111" i="12"/>
  <c r="AA16" i="12"/>
  <c r="O18" i="12"/>
  <c r="AA22" i="12"/>
  <c r="AA48" i="12"/>
  <c r="AA141" i="12"/>
  <c r="AA107" i="12"/>
  <c r="AA41" i="12"/>
  <c r="AA127" i="12"/>
  <c r="O19" i="12"/>
  <c r="AA62" i="12"/>
  <c r="AA128" i="12"/>
  <c r="AA138" i="12"/>
  <c r="AA112" i="12" l="1"/>
  <c r="AA43" i="12"/>
  <c r="AA18" i="12"/>
  <c r="AA19" i="12"/>
  <c r="AA140" i="12"/>
  <c r="AA146" i="12"/>
  <c r="AA171" i="12"/>
  <c r="Y68" i="19"/>
  <c r="L5" i="9"/>
  <c r="AA68" i="19" l="1"/>
  <c r="Z68" i="19"/>
  <c r="E13" i="21" l="1"/>
  <c r="K19" i="24" l="1"/>
  <c r="Z68" i="20" l="1"/>
  <c r="AA68" i="20"/>
  <c r="U68" i="20" l="1"/>
  <c r="V68" i="20" l="1"/>
  <c r="W68" i="20" l="1"/>
  <c r="X68" i="20" l="1"/>
  <c r="Y68" i="20" l="1"/>
  <c r="U102" i="12" l="1"/>
  <c r="M11" i="29" l="1"/>
  <c r="K23" i="29" l="1"/>
  <c r="N11" i="29"/>
  <c r="I28" i="9"/>
  <c r="G28" i="9"/>
  <c r="K28" i="9"/>
  <c r="L28" i="9"/>
  <c r="F28" i="9"/>
  <c r="H28" i="9"/>
  <c r="J28" i="9"/>
  <c r="O11" i="12"/>
  <c r="N12" i="12"/>
  <c r="O12" i="12"/>
  <c r="N11" i="12"/>
  <c r="AA46" i="12" l="1"/>
  <c r="Z46" i="12"/>
  <c r="L23" i="29"/>
  <c r="O11" i="29"/>
  <c r="M19" i="29" l="1"/>
  <c r="M23" i="29" s="1"/>
  <c r="P11" i="29"/>
  <c r="Q11" i="29" s="1"/>
  <c r="R11" i="29" l="1"/>
  <c r="N19" i="29"/>
  <c r="N23" i="29" s="1"/>
  <c r="M25" i="29"/>
  <c r="O19" i="29" l="1"/>
  <c r="O23" i="29" s="1"/>
  <c r="N25" i="29"/>
  <c r="P19" i="29" l="1"/>
  <c r="O25" i="29"/>
  <c r="P25" i="29" l="1"/>
  <c r="P23" i="29"/>
  <c r="Q19" i="29"/>
  <c r="R19" i="29" l="1"/>
  <c r="Q23" i="29"/>
  <c r="Q25" i="29"/>
  <c r="R23" i="29" l="1"/>
  <c r="R25" i="29"/>
  <c r="C5" i="23" l="1"/>
  <c r="I39" i="21" s="1"/>
  <c r="D5" i="23" l="1"/>
  <c r="N39" i="21" s="1"/>
  <c r="O39" i="21" s="1"/>
  <c r="E5" i="23"/>
  <c r="I66" i="21" s="1"/>
  <c r="F5" i="23" l="1"/>
  <c r="N66" i="21" s="1"/>
  <c r="O66" i="21" s="1"/>
  <c r="G12" i="22" l="1"/>
  <c r="E12" i="22"/>
  <c r="E11" i="22" s="1"/>
  <c r="F12" i="22"/>
  <c r="F11" i="22" l="1"/>
  <c r="G11" i="22" l="1"/>
  <c r="I4" i="22" l="1"/>
  <c r="H6" i="22"/>
  <c r="H7" i="22"/>
  <c r="H8" i="22"/>
  <c r="H12" i="22" s="1"/>
  <c r="H11" i="22" s="1"/>
  <c r="H5" i="22"/>
  <c r="I7" i="22" l="1"/>
  <c r="R3" i="29"/>
  <c r="R4" i="29" s="1"/>
  <c r="I5" i="22"/>
  <c r="I8" i="22"/>
  <c r="I12" i="22" s="1"/>
  <c r="I11" i="22" s="1"/>
  <c r="I6" i="22"/>
  <c r="I70" i="21" l="1"/>
  <c r="N70" i="21"/>
  <c r="K14" i="29" l="1"/>
  <c r="L14" i="29"/>
  <c r="M13" i="29" l="1"/>
  <c r="L185" i="1"/>
  <c r="K80" i="1"/>
  <c r="K12" i="19"/>
  <c r="K42" i="1"/>
  <c r="J186" i="1"/>
  <c r="K53" i="20"/>
  <c r="J72" i="12"/>
  <c r="Y107" i="12"/>
  <c r="N73" i="19"/>
  <c r="P57" i="19"/>
  <c r="L79" i="12"/>
  <c r="I173" i="1"/>
  <c r="M72" i="20"/>
  <c r="N115" i="20"/>
  <c r="H97" i="1"/>
  <c r="J144" i="1"/>
  <c r="H12" i="19"/>
  <c r="J135" i="1"/>
  <c r="N27" i="19"/>
  <c r="K18" i="12"/>
  <c r="L69" i="1"/>
  <c r="L177" i="1"/>
  <c r="V42" i="12"/>
  <c r="N112" i="19"/>
  <c r="K85" i="20"/>
  <c r="J99" i="1"/>
  <c r="I186" i="1"/>
  <c r="L124" i="1"/>
  <c r="I112" i="1"/>
  <c r="X107" i="12"/>
  <c r="P121" i="20"/>
  <c r="J12" i="20"/>
  <c r="K124" i="19"/>
  <c r="J98" i="1"/>
  <c r="M153" i="12"/>
  <c r="M120" i="12"/>
  <c r="I70" i="12"/>
  <c r="L141" i="1"/>
  <c r="J154" i="1"/>
  <c r="I43" i="1"/>
  <c r="N76" i="19"/>
  <c r="K135" i="1"/>
  <c r="I80" i="1"/>
  <c r="J53" i="19"/>
  <c r="I26" i="1"/>
  <c r="M19" i="12"/>
  <c r="W107" i="12"/>
  <c r="V42" i="20"/>
  <c r="AA141" i="19"/>
  <c r="J91" i="19"/>
  <c r="I22" i="9"/>
  <c r="J19" i="12"/>
  <c r="N83" i="19"/>
  <c r="W48" i="19"/>
  <c r="I69" i="20"/>
  <c r="I123" i="1"/>
  <c r="N12" i="20"/>
  <c r="O83" i="20"/>
  <c r="O173" i="20"/>
  <c r="M77" i="20"/>
  <c r="L72" i="20"/>
  <c r="I114" i="12"/>
  <c r="W22" i="19"/>
  <c r="J91" i="12"/>
  <c r="I80" i="12"/>
  <c r="I74" i="19"/>
  <c r="J97" i="1"/>
  <c r="O145" i="20"/>
  <c r="P34" i="12"/>
  <c r="K146" i="1"/>
  <c r="H129" i="1"/>
  <c r="I102" i="1"/>
  <c r="O25" i="20"/>
  <c r="L115" i="1"/>
  <c r="N124" i="19"/>
  <c r="P33" i="12"/>
  <c r="M172" i="19"/>
  <c r="I74" i="1"/>
  <c r="V42" i="19"/>
  <c r="H99" i="1"/>
  <c r="K90" i="20"/>
  <c r="K165" i="19"/>
  <c r="J92" i="12"/>
  <c r="L166" i="1"/>
  <c r="I124" i="19"/>
  <c r="I84" i="12"/>
  <c r="I109" i="1"/>
  <c r="L155" i="12"/>
  <c r="L118" i="1"/>
  <c r="J179" i="1"/>
  <c r="N77" i="20"/>
  <c r="K91" i="20"/>
  <c r="L71" i="20"/>
  <c r="N164" i="19"/>
  <c r="I169" i="1"/>
  <c r="H166" i="1"/>
  <c r="J81" i="19"/>
  <c r="U127" i="20"/>
  <c r="M12" i="20"/>
  <c r="M74" i="12"/>
  <c r="J145" i="1"/>
  <c r="I76" i="12"/>
  <c r="K142" i="12"/>
  <c r="N29" i="20"/>
  <c r="W107" i="19"/>
  <c r="O12" i="19"/>
  <c r="J64" i="1"/>
  <c r="K150" i="1"/>
  <c r="X170" i="20"/>
  <c r="K104" i="1"/>
  <c r="K124" i="1"/>
  <c r="M53" i="12"/>
  <c r="U48" i="12"/>
  <c r="I185" i="1"/>
  <c r="N30" i="20"/>
  <c r="M80" i="19"/>
  <c r="J115" i="1"/>
  <c r="H161" i="1"/>
  <c r="Y62" i="12"/>
  <c r="I11" i="12"/>
  <c r="AA170" i="20"/>
  <c r="AA170" i="19"/>
  <c r="O29" i="19"/>
  <c r="K136" i="1"/>
  <c r="X16" i="20"/>
  <c r="X62" i="19"/>
  <c r="K187" i="1"/>
  <c r="I132" i="20"/>
  <c r="M102" i="12"/>
  <c r="H109" i="1"/>
  <c r="W22" i="12"/>
  <c r="O11" i="20"/>
  <c r="N63" i="20"/>
  <c r="L164" i="20"/>
  <c r="J102" i="1"/>
  <c r="W138" i="19"/>
  <c r="O122" i="19"/>
  <c r="I75" i="1"/>
  <c r="AA22" i="19"/>
  <c r="M90" i="19"/>
  <c r="L188" i="1"/>
  <c r="O175" i="20"/>
  <c r="L43" i="1"/>
  <c r="O91" i="20"/>
  <c r="I20" i="9"/>
  <c r="J121" i="12"/>
  <c r="N121" i="20"/>
  <c r="L84" i="19"/>
  <c r="I116" i="12"/>
  <c r="N175" i="19"/>
  <c r="I122" i="20"/>
  <c r="AA41" i="20"/>
  <c r="K152" i="12"/>
  <c r="L140" i="1"/>
  <c r="L73" i="19"/>
  <c r="K76" i="20"/>
  <c r="M122" i="12"/>
  <c r="J84" i="12"/>
  <c r="L144" i="1"/>
  <c r="D4" i="6"/>
  <c r="L186" i="1"/>
  <c r="J80" i="12"/>
  <c r="J120" i="19"/>
  <c r="L86" i="12"/>
  <c r="O80" i="20"/>
  <c r="K11" i="20"/>
  <c r="K77" i="20"/>
  <c r="L83" i="1"/>
  <c r="U42" i="19"/>
  <c r="I73" i="1"/>
  <c r="H186" i="1"/>
  <c r="I172" i="1"/>
  <c r="J69" i="12"/>
  <c r="L28" i="12"/>
  <c r="I108" i="19"/>
  <c r="H107" i="1"/>
  <c r="I78" i="12"/>
  <c r="I140" i="12"/>
  <c r="K173" i="20"/>
  <c r="D8" i="6"/>
  <c r="K123" i="20"/>
  <c r="L26" i="1"/>
  <c r="O112" i="20"/>
  <c r="L173" i="1"/>
  <c r="L149" i="1"/>
  <c r="I11" i="19"/>
  <c r="J33" i="1"/>
  <c r="M11" i="19"/>
  <c r="J125" i="1"/>
  <c r="I114" i="19"/>
  <c r="H88" i="1"/>
  <c r="I28" i="19" s="1"/>
  <c r="H124" i="1"/>
  <c r="J85" i="12"/>
  <c r="L78" i="19"/>
  <c r="J80" i="19"/>
  <c r="L154" i="1"/>
  <c r="M35" i="12"/>
  <c r="M79" i="20"/>
  <c r="W42" i="20"/>
  <c r="I144" i="12"/>
  <c r="N18" i="20"/>
  <c r="I188" i="1"/>
  <c r="J175" i="12" s="1"/>
  <c r="I74" i="20"/>
  <c r="I115" i="20"/>
  <c r="H108" i="1"/>
  <c r="J169" i="1"/>
  <c r="I81" i="12"/>
  <c r="I82" i="12"/>
  <c r="O26" i="20"/>
  <c r="O164" i="19"/>
  <c r="N114" i="19"/>
  <c r="AA42" i="19"/>
  <c r="K31" i="1"/>
  <c r="W141" i="19"/>
  <c r="J76" i="20"/>
  <c r="L35" i="12"/>
  <c r="I151" i="1"/>
  <c r="N148" i="20"/>
  <c r="I85" i="20"/>
  <c r="L64" i="1"/>
  <c r="L82" i="19"/>
  <c r="K154" i="12"/>
  <c r="O114" i="20"/>
  <c r="N19" i="20"/>
  <c r="L97" i="1"/>
  <c r="H172" i="1"/>
  <c r="H42" i="1"/>
  <c r="M75" i="20"/>
  <c r="O86" i="20"/>
  <c r="L108" i="19"/>
  <c r="H53" i="1"/>
  <c r="O30" i="19"/>
  <c r="V107" i="12"/>
  <c r="J122" i="19"/>
  <c r="I83" i="12"/>
  <c r="V22" i="12"/>
  <c r="M52" i="20"/>
  <c r="M78" i="19"/>
  <c r="H61" i="1"/>
  <c r="H83" i="1"/>
  <c r="H94" i="1"/>
  <c r="U141" i="12"/>
  <c r="I135" i="1"/>
  <c r="P121" i="19"/>
  <c r="L17" i="1"/>
  <c r="M57" i="12" s="1"/>
  <c r="M91" i="20"/>
  <c r="K97" i="1"/>
  <c r="H156" i="1"/>
  <c r="I120" i="12"/>
  <c r="I47" i="1"/>
  <c r="L32" i="1"/>
  <c r="Z128" i="19"/>
  <c r="Z62" i="20"/>
  <c r="N71" i="19"/>
  <c r="H139" i="1"/>
  <c r="I118" i="1"/>
  <c r="O164" i="20"/>
  <c r="N143" i="19"/>
  <c r="I112" i="19"/>
  <c r="M90" i="20"/>
  <c r="I77" i="20"/>
  <c r="K43" i="1"/>
  <c r="M120" i="19"/>
  <c r="O143" i="20"/>
  <c r="I72" i="12"/>
  <c r="K173" i="12"/>
  <c r="X16" i="12"/>
  <c r="I82" i="19"/>
  <c r="J83" i="20"/>
  <c r="Y170" i="12"/>
  <c r="K155" i="12"/>
  <c r="I70" i="19"/>
  <c r="H52" i="1"/>
  <c r="K179" i="1"/>
  <c r="L153" i="12"/>
  <c r="AA127" i="20"/>
  <c r="I91" i="20"/>
  <c r="K83" i="1"/>
  <c r="I57" i="12"/>
  <c r="O172" i="20"/>
  <c r="I115" i="12"/>
  <c r="L74" i="19"/>
  <c r="I122" i="12"/>
  <c r="X107" i="19"/>
  <c r="O11" i="19"/>
  <c r="O86" i="19"/>
  <c r="O38" i="19"/>
  <c r="L84" i="1"/>
  <c r="M26" i="20" s="1"/>
  <c r="N36" i="20"/>
  <c r="L120" i="20"/>
  <c r="K82" i="12"/>
  <c r="H20" i="9"/>
  <c r="L164" i="19"/>
  <c r="J78" i="12"/>
  <c r="K122" i="20"/>
  <c r="L60" i="1"/>
  <c r="L123" i="1"/>
  <c r="L59" i="1"/>
  <c r="H15" i="22"/>
  <c r="J47" i="1"/>
  <c r="Z48" i="19"/>
  <c r="O121" i="20"/>
  <c r="K73" i="12"/>
  <c r="L28" i="1"/>
  <c r="K124" i="12"/>
  <c r="I71" i="19"/>
  <c r="K69" i="20"/>
  <c r="J134" i="1"/>
  <c r="K122" i="12"/>
  <c r="H28" i="1"/>
  <c r="K86" i="12"/>
  <c r="J107" i="1"/>
  <c r="M83" i="12"/>
  <c r="J28" i="12"/>
  <c r="L12" i="20"/>
  <c r="L155" i="1"/>
  <c r="Z16" i="19"/>
  <c r="I12" i="19"/>
  <c r="U41" i="12"/>
  <c r="L98" i="1"/>
  <c r="M32" i="19" s="1"/>
  <c r="J61" i="1"/>
  <c r="I90" i="12"/>
  <c r="J109" i="1"/>
  <c r="D10" i="9"/>
  <c r="L66" i="1"/>
  <c r="K27" i="1"/>
  <c r="AA128" i="20"/>
  <c r="K145" i="1"/>
  <c r="I130" i="20"/>
  <c r="O81" i="19"/>
  <c r="H12" i="12"/>
  <c r="K140" i="12"/>
  <c r="H155" i="1"/>
  <c r="I84" i="1"/>
  <c r="K77" i="12"/>
  <c r="O146" i="19"/>
  <c r="K177" i="1"/>
  <c r="L72" i="19"/>
  <c r="N28" i="20"/>
  <c r="K125" i="1"/>
  <c r="J178" i="1"/>
  <c r="J129" i="1"/>
  <c r="K164" i="19" s="1"/>
  <c r="M124" i="19"/>
  <c r="J76" i="12"/>
  <c r="L37" i="1"/>
  <c r="H184" i="1"/>
  <c r="I97" i="12"/>
  <c r="N90" i="20"/>
  <c r="I21" i="9"/>
  <c r="L9" i="19" s="1"/>
  <c r="J70" i="12"/>
  <c r="L22" i="9"/>
  <c r="Z22" i="19"/>
  <c r="N108" i="20"/>
  <c r="L11" i="20"/>
  <c r="N171" i="19"/>
  <c r="L145" i="1"/>
  <c r="J69" i="19"/>
  <c r="L35" i="19"/>
  <c r="J185" i="1"/>
  <c r="I164" i="12"/>
  <c r="L72" i="12"/>
  <c r="I64" i="1"/>
  <c r="J63" i="12" s="1"/>
  <c r="H33" i="1"/>
  <c r="K75" i="12"/>
  <c r="J174" i="1"/>
  <c r="L181" i="1"/>
  <c r="I114" i="20"/>
  <c r="I165" i="12"/>
  <c r="O97" i="20"/>
  <c r="L76" i="12"/>
  <c r="J81" i="20"/>
  <c r="K21" i="1"/>
  <c r="L82" i="12"/>
  <c r="K20" i="9"/>
  <c r="K80" i="19"/>
  <c r="L69" i="12"/>
  <c r="AA111" i="19"/>
  <c r="I17" i="12"/>
  <c r="I12" i="20"/>
  <c r="K102" i="12"/>
  <c r="J69" i="1"/>
  <c r="K172" i="19"/>
  <c r="L53" i="20"/>
  <c r="V62" i="12"/>
  <c r="O109" i="19"/>
  <c r="I38" i="1"/>
  <c r="Y22" i="19"/>
  <c r="O146" i="20"/>
  <c r="N10" i="19"/>
  <c r="M71" i="12"/>
  <c r="J124" i="1"/>
  <c r="H38" i="1"/>
  <c r="J188" i="1"/>
  <c r="K84" i="12"/>
  <c r="K19" i="12"/>
  <c r="N97" i="20"/>
  <c r="N31" i="19"/>
  <c r="M161" i="1"/>
  <c r="I71" i="20"/>
  <c r="I146" i="1"/>
  <c r="M77" i="19"/>
  <c r="Z42" i="19"/>
  <c r="K175" i="12"/>
  <c r="I12" i="12"/>
  <c r="J52" i="20"/>
  <c r="H70" i="1"/>
  <c r="I28" i="1"/>
  <c r="K172" i="20"/>
  <c r="I35" i="12"/>
  <c r="J78" i="20"/>
  <c r="L92" i="19"/>
  <c r="L31" i="1"/>
  <c r="O90" i="20"/>
  <c r="AA62" i="20"/>
  <c r="X128" i="20"/>
  <c r="K75" i="1"/>
  <c r="N124" i="20"/>
  <c r="N147" i="20"/>
  <c r="M92" i="20"/>
  <c r="I73" i="19"/>
  <c r="M85" i="12"/>
  <c r="K28" i="12"/>
  <c r="L179" i="1"/>
  <c r="J156" i="1"/>
  <c r="K154" i="1"/>
  <c r="J143" i="20"/>
  <c r="J79" i="20"/>
  <c r="D14" i="9"/>
  <c r="O30" i="20"/>
  <c r="I72" i="20"/>
  <c r="K118" i="1"/>
  <c r="I30" i="19"/>
  <c r="J172" i="20"/>
  <c r="L10" i="20"/>
  <c r="F11" i="9"/>
  <c r="H149" i="1"/>
  <c r="L27" i="12"/>
  <c r="AA111" i="20"/>
  <c r="O23" i="20"/>
  <c r="N114" i="20"/>
  <c r="M72" i="19"/>
  <c r="I145" i="1"/>
  <c r="V138" i="12"/>
  <c r="M81" i="20"/>
  <c r="I130" i="1"/>
  <c r="N143" i="20"/>
  <c r="K70" i="1"/>
  <c r="J88" i="1"/>
  <c r="K28" i="19" s="1"/>
  <c r="J73" i="19"/>
  <c r="I143" i="19"/>
  <c r="J21" i="9"/>
  <c r="K32" i="1"/>
  <c r="L27" i="19" s="1"/>
  <c r="I175" i="12"/>
  <c r="O72" i="20"/>
  <c r="J51" i="1"/>
  <c r="K60" i="1"/>
  <c r="X127" i="19" s="1"/>
  <c r="J161" i="1"/>
  <c r="J154" i="12"/>
  <c r="U22" i="12"/>
  <c r="J77" i="12"/>
  <c r="J184" i="1"/>
  <c r="K171" i="19" s="1"/>
  <c r="U111" i="19"/>
  <c r="O24" i="20"/>
  <c r="I123" i="19"/>
  <c r="M69" i="19"/>
  <c r="N92" i="20"/>
  <c r="O73" i="19"/>
  <c r="O70" i="19"/>
  <c r="K35" i="12"/>
  <c r="N69" i="20"/>
  <c r="O79" i="20"/>
  <c r="I79" i="20"/>
  <c r="N75" i="19"/>
  <c r="I115" i="1"/>
  <c r="J38" i="12" s="1"/>
  <c r="N79" i="19"/>
  <c r="J172" i="1"/>
  <c r="J140" i="12"/>
  <c r="M12" i="12"/>
  <c r="P129" i="12"/>
  <c r="X138" i="12"/>
  <c r="L112" i="1"/>
  <c r="Z111" i="20"/>
  <c r="N132" i="19"/>
  <c r="H119" i="1"/>
  <c r="I37" i="19" s="1"/>
  <c r="L165" i="20"/>
  <c r="I92" i="20"/>
  <c r="K121" i="12"/>
  <c r="H21" i="9"/>
  <c r="I144" i="19"/>
  <c r="X48" i="12"/>
  <c r="J69" i="20"/>
  <c r="L84" i="12"/>
  <c r="AA138" i="20"/>
  <c r="O78" i="19"/>
  <c r="H177" i="1"/>
  <c r="G22" i="9"/>
  <c r="O8" i="20"/>
  <c r="N174" i="20"/>
  <c r="P121" i="12"/>
  <c r="X141" i="12"/>
  <c r="W42" i="12"/>
  <c r="K69" i="1"/>
  <c r="J12" i="19"/>
  <c r="L36" i="1"/>
  <c r="L92" i="12"/>
  <c r="I107" i="1"/>
  <c r="N122" i="20"/>
  <c r="I69" i="19"/>
  <c r="F15" i="22"/>
  <c r="U12" i="19"/>
  <c r="K70" i="12"/>
  <c r="X42" i="19"/>
  <c r="M78" i="20"/>
  <c r="K36" i="1"/>
  <c r="Z41" i="20"/>
  <c r="I120" i="20"/>
  <c r="K74" i="19"/>
  <c r="N112" i="20"/>
  <c r="N74" i="19"/>
  <c r="N75" i="20"/>
  <c r="Z111" i="19"/>
  <c r="X111" i="12"/>
  <c r="K69" i="19"/>
  <c r="M81" i="19"/>
  <c r="I99" i="1"/>
  <c r="J130" i="12"/>
  <c r="J172" i="12"/>
  <c r="L7" i="20"/>
  <c r="M25" i="20"/>
  <c r="N27" i="20"/>
  <c r="L79" i="20"/>
  <c r="L78" i="20"/>
  <c r="L184" i="1"/>
  <c r="I21" i="1"/>
  <c r="K29" i="20"/>
  <c r="I112" i="20"/>
  <c r="K78" i="20"/>
  <c r="L77" i="12"/>
  <c r="F87" i="12"/>
  <c r="X141" i="20"/>
  <c r="O28" i="19"/>
  <c r="K123" i="1"/>
  <c r="O57" i="19"/>
  <c r="L33" i="1"/>
  <c r="M27" i="20" s="1"/>
  <c r="N72" i="19"/>
  <c r="N79" i="20"/>
  <c r="N74" i="20"/>
  <c r="O75" i="19"/>
  <c r="Y111" i="19"/>
  <c r="K53" i="12"/>
  <c r="J91" i="20"/>
  <c r="H13" i="1"/>
  <c r="I23" i="12" s="1"/>
  <c r="L123" i="12"/>
  <c r="I143" i="12"/>
  <c r="L147" i="20"/>
  <c r="M79" i="19"/>
  <c r="X22" i="12"/>
  <c r="I147" i="12"/>
  <c r="H21" i="1"/>
  <c r="N69" i="19"/>
  <c r="N174" i="19"/>
  <c r="U127" i="19"/>
  <c r="F14" i="9"/>
  <c r="J52" i="1"/>
  <c r="K148" i="19" s="1"/>
  <c r="L102" i="1"/>
  <c r="AA62" i="19"/>
  <c r="N122" i="19"/>
  <c r="L99" i="1"/>
  <c r="N52" i="20"/>
  <c r="L71" i="12"/>
  <c r="Y48" i="19"/>
  <c r="J85" i="19"/>
  <c r="H32" i="1"/>
  <c r="J82" i="20"/>
  <c r="N11" i="20"/>
  <c r="I155" i="1"/>
  <c r="J53" i="12"/>
  <c r="O18" i="20"/>
  <c r="O35" i="19"/>
  <c r="O82" i="19"/>
  <c r="I177" i="1"/>
  <c r="K53" i="19"/>
  <c r="O120" i="20"/>
  <c r="O124" i="19"/>
  <c r="M121" i="19"/>
  <c r="M172" i="20"/>
  <c r="K74" i="1"/>
  <c r="J164" i="1"/>
  <c r="K115" i="12" s="1"/>
  <c r="I73" i="20"/>
  <c r="M53" i="20"/>
  <c r="J75" i="20"/>
  <c r="K53" i="1"/>
  <c r="L148" i="20" s="1"/>
  <c r="L73" i="1"/>
  <c r="M132" i="12" s="1"/>
  <c r="J108" i="1"/>
  <c r="I65" i="1"/>
  <c r="Y137" i="19"/>
  <c r="I31" i="1"/>
  <c r="I57" i="19"/>
  <c r="N80" i="20"/>
  <c r="M165" i="12"/>
  <c r="L75" i="1"/>
  <c r="M132" i="20" s="1"/>
  <c r="M90" i="12"/>
  <c r="Z138" i="19"/>
  <c r="N57" i="19"/>
  <c r="I61" i="1"/>
  <c r="J123" i="12"/>
  <c r="K75" i="20"/>
  <c r="L121" i="20"/>
  <c r="I83" i="1"/>
  <c r="O76" i="19"/>
  <c r="H146" i="1"/>
  <c r="L71" i="19"/>
  <c r="J66" i="1"/>
  <c r="J76" i="19"/>
  <c r="H37" i="1"/>
  <c r="K73" i="20"/>
  <c r="M164" i="20"/>
  <c r="L25" i="20"/>
  <c r="L74" i="12"/>
  <c r="J123" i="20"/>
  <c r="J122" i="20"/>
  <c r="P134" i="12"/>
  <c r="N12" i="19"/>
  <c r="W111" i="19"/>
  <c r="M130" i="12"/>
  <c r="X22" i="19"/>
  <c r="L120" i="1"/>
  <c r="I164" i="20"/>
  <c r="J136" i="1"/>
  <c r="H11" i="20"/>
  <c r="I94" i="1"/>
  <c r="I124" i="20"/>
  <c r="M165" i="20"/>
  <c r="L164" i="1"/>
  <c r="H14" i="1"/>
  <c r="I24" i="20" s="1"/>
  <c r="L156" i="1"/>
  <c r="Z141" i="20"/>
  <c r="H160" i="1"/>
  <c r="K82" i="20"/>
  <c r="O90" i="19"/>
  <c r="I52" i="1"/>
  <c r="U170" i="19"/>
  <c r="M84" i="20"/>
  <c r="J73" i="20"/>
  <c r="I174" i="12"/>
  <c r="W16" i="19"/>
  <c r="L70" i="20"/>
  <c r="K178" i="1"/>
  <c r="N26" i="19"/>
  <c r="I92" i="19"/>
  <c r="I92" i="12"/>
  <c r="L83" i="20"/>
  <c r="K41" i="1"/>
  <c r="K165" i="20"/>
  <c r="K123" i="19"/>
  <c r="L75" i="12"/>
  <c r="U128" i="12"/>
  <c r="L85" i="20"/>
  <c r="K70" i="19"/>
  <c r="K33" i="1"/>
  <c r="J72" i="20"/>
  <c r="I86" i="20"/>
  <c r="I85" i="19"/>
  <c r="L80" i="20"/>
  <c r="H11" i="12"/>
  <c r="K143" i="12"/>
  <c r="H123" i="1"/>
  <c r="L93" i="1"/>
  <c r="N10" i="12"/>
  <c r="M27" i="19"/>
  <c r="I179" i="1"/>
  <c r="Z137" i="20"/>
  <c r="N130" i="19"/>
  <c r="J8" i="19"/>
  <c r="I25" i="20"/>
  <c r="M173" i="20"/>
  <c r="K7" i="20"/>
  <c r="L152" i="12"/>
  <c r="K99" i="1"/>
  <c r="M82" i="19"/>
  <c r="I174" i="1"/>
  <c r="Z16" i="20"/>
  <c r="K26" i="1"/>
  <c r="L130" i="12" s="1"/>
  <c r="H140" i="1"/>
  <c r="U22" i="19"/>
  <c r="AA137" i="19"/>
  <c r="M80" i="12"/>
  <c r="O18" i="19"/>
  <c r="I140" i="1"/>
  <c r="I35" i="19"/>
  <c r="K21" i="9"/>
  <c r="U170" i="12"/>
  <c r="L69" i="20"/>
  <c r="I154" i="12"/>
  <c r="O38" i="20"/>
  <c r="N37" i="19"/>
  <c r="I80" i="20"/>
  <c r="M9" i="20"/>
  <c r="K102" i="1"/>
  <c r="J38" i="1"/>
  <c r="X141" i="19"/>
  <c r="Z141" i="19"/>
  <c r="H185" i="1"/>
  <c r="K112" i="1"/>
  <c r="I13" i="1"/>
  <c r="J23" i="20" s="1"/>
  <c r="N23" i="20"/>
  <c r="J18" i="12"/>
  <c r="I89" i="1"/>
  <c r="J74" i="19"/>
  <c r="U41" i="20"/>
  <c r="M124" i="12"/>
  <c r="W48" i="12"/>
  <c r="O92" i="19"/>
  <c r="O26" i="19"/>
  <c r="G20" i="9"/>
  <c r="L94" i="1"/>
  <c r="K173" i="19"/>
  <c r="I147" i="19"/>
  <c r="N165" i="19"/>
  <c r="M121" i="12"/>
  <c r="J149" i="1"/>
  <c r="I148" i="19"/>
  <c r="J89" i="1"/>
  <c r="K28" i="20" s="1"/>
  <c r="P135" i="12"/>
  <c r="U137" i="19"/>
  <c r="N97" i="19"/>
  <c r="K38" i="12"/>
  <c r="K80" i="20"/>
  <c r="L48" i="1"/>
  <c r="H173" i="1"/>
  <c r="J35" i="19"/>
  <c r="I91" i="12"/>
  <c r="N91" i="20"/>
  <c r="L73" i="20"/>
  <c r="J82" i="19"/>
  <c r="M52" i="12"/>
  <c r="AA48" i="19"/>
  <c r="M152" i="12"/>
  <c r="O84" i="19"/>
  <c r="K91" i="12"/>
  <c r="N171" i="20"/>
  <c r="N116" i="20"/>
  <c r="K169" i="1"/>
  <c r="J82" i="12"/>
  <c r="W137" i="19"/>
  <c r="I66" i="1"/>
  <c r="I75" i="20"/>
  <c r="K94" i="1"/>
  <c r="I123" i="12"/>
  <c r="L92" i="1"/>
  <c r="K171" i="12"/>
  <c r="I159" i="1"/>
  <c r="I184" i="1"/>
  <c r="I109" i="20"/>
  <c r="I143" i="20"/>
  <c r="M63" i="20"/>
  <c r="J177" i="1"/>
  <c r="M160" i="1"/>
  <c r="N109" i="20"/>
  <c r="K80" i="12"/>
  <c r="M37" i="12"/>
  <c r="L134" i="1"/>
  <c r="Z107" i="20"/>
  <c r="W170" i="19"/>
  <c r="Z48" i="20"/>
  <c r="F10" i="9"/>
  <c r="J53" i="20"/>
  <c r="O124" i="20"/>
  <c r="L121" i="19"/>
  <c r="I36" i="1"/>
  <c r="N148" i="19"/>
  <c r="J71" i="12"/>
  <c r="K124" i="20"/>
  <c r="J30" i="12"/>
  <c r="J8" i="12"/>
  <c r="J26" i="20"/>
  <c r="N31" i="20"/>
  <c r="J80" i="1"/>
  <c r="H150" i="1"/>
  <c r="O122" i="20"/>
  <c r="N82" i="19"/>
  <c r="O19" i="20"/>
  <c r="H134" i="1"/>
  <c r="I33" i="1"/>
  <c r="J29" i="20" s="1"/>
  <c r="H69" i="1"/>
  <c r="J42" i="1"/>
  <c r="O76" i="20"/>
  <c r="L103" i="1"/>
  <c r="M36" i="19" s="1"/>
  <c r="P124" i="12"/>
  <c r="K81" i="19"/>
  <c r="K38" i="1"/>
  <c r="J77" i="20"/>
  <c r="O114" i="19"/>
  <c r="J187" i="1"/>
  <c r="I59" i="1"/>
  <c r="I91" i="19"/>
  <c r="M85" i="20"/>
  <c r="K77" i="19"/>
  <c r="L91" i="12"/>
  <c r="O28" i="20"/>
  <c r="L36" i="12"/>
  <c r="F87" i="19"/>
  <c r="L46" i="1"/>
  <c r="N32" i="20"/>
  <c r="L123" i="20"/>
  <c r="Y107" i="19"/>
  <c r="I78" i="20"/>
  <c r="K165" i="1"/>
  <c r="L53" i="1"/>
  <c r="J166" i="1"/>
  <c r="O112" i="19"/>
  <c r="J123" i="1"/>
  <c r="I144" i="20"/>
  <c r="O36" i="19"/>
  <c r="L81" i="19"/>
  <c r="M74" i="19"/>
  <c r="O171" i="20"/>
  <c r="H31" i="1"/>
  <c r="I29" i="12" s="1"/>
  <c r="AA41" i="19"/>
  <c r="I73" i="12"/>
  <c r="N63" i="19"/>
  <c r="I90" i="20"/>
  <c r="H26" i="1"/>
  <c r="N164" i="20"/>
  <c r="H92" i="1"/>
  <c r="I31" i="12" s="1"/>
  <c r="I119" i="1"/>
  <c r="O121" i="19"/>
  <c r="I69" i="12"/>
  <c r="K10" i="19"/>
  <c r="L121" i="12"/>
  <c r="J147" i="12"/>
  <c r="J60" i="1"/>
  <c r="O71" i="20"/>
  <c r="W138" i="12"/>
  <c r="K75" i="19"/>
  <c r="H120" i="1"/>
  <c r="I37" i="20" s="1"/>
  <c r="L42" i="1"/>
  <c r="M76" i="12"/>
  <c r="J130" i="1"/>
  <c r="K164" i="20" s="1"/>
  <c r="I166" i="1"/>
  <c r="O83" i="19"/>
  <c r="V111" i="12"/>
  <c r="J120" i="1"/>
  <c r="D12" i="9"/>
  <c r="J173" i="1"/>
  <c r="J83" i="19"/>
  <c r="N161" i="1"/>
  <c r="O116" i="20" s="1"/>
  <c r="L102" i="12"/>
  <c r="L90" i="12"/>
  <c r="L124" i="12"/>
  <c r="O32" i="19"/>
  <c r="L86" i="19"/>
  <c r="K72" i="20"/>
  <c r="P124" i="19"/>
  <c r="H12" i="20"/>
  <c r="H188" i="1"/>
  <c r="J92" i="20"/>
  <c r="L52" i="12"/>
  <c r="M86" i="20"/>
  <c r="N160" i="1"/>
  <c r="O116" i="19" s="1"/>
  <c r="N123" i="20"/>
  <c r="O172" i="19"/>
  <c r="AA128" i="19"/>
  <c r="O52" i="19"/>
  <c r="X111" i="19"/>
  <c r="I86" i="12"/>
  <c r="J11" i="19"/>
  <c r="M84" i="19"/>
  <c r="L74" i="20"/>
  <c r="K64" i="1"/>
  <c r="L63" i="12" s="1"/>
  <c r="N24" i="20"/>
  <c r="J165" i="12"/>
  <c r="I103" i="1"/>
  <c r="J36" i="19" s="1"/>
  <c r="H130" i="1"/>
  <c r="M9" i="12"/>
  <c r="H20" i="1"/>
  <c r="J139" i="1"/>
  <c r="K109" i="12" s="1"/>
  <c r="K141" i="1"/>
  <c r="I149" i="1"/>
  <c r="J112" i="12" s="1"/>
  <c r="I165" i="19"/>
  <c r="W62" i="12"/>
  <c r="I78" i="19"/>
  <c r="Z170" i="20"/>
  <c r="Y138" i="12"/>
  <c r="N130" i="20"/>
  <c r="Y48" i="12"/>
  <c r="I69" i="1"/>
  <c r="H27" i="1"/>
  <c r="L38" i="1"/>
  <c r="L123" i="19"/>
  <c r="O144" i="19"/>
  <c r="O123" i="19"/>
  <c r="M83" i="20"/>
  <c r="N91" i="19"/>
  <c r="J160" i="1"/>
  <c r="X137" i="12"/>
  <c r="O123" i="20"/>
  <c r="O85" i="20"/>
  <c r="K17" i="1"/>
  <c r="L57" i="12" s="1"/>
  <c r="I134" i="1"/>
  <c r="M164" i="12"/>
  <c r="H128" i="1"/>
  <c r="O71" i="19"/>
  <c r="O77" i="20"/>
  <c r="V137" i="12"/>
  <c r="Z41" i="19"/>
  <c r="F87" i="20"/>
  <c r="I148" i="12"/>
  <c r="X128" i="19"/>
  <c r="K88" i="1"/>
  <c r="J72" i="19"/>
  <c r="J31" i="20"/>
  <c r="K27" i="20"/>
  <c r="W42" i="19"/>
  <c r="J83" i="1"/>
  <c r="O97" i="19"/>
  <c r="L53" i="19"/>
  <c r="K81" i="12"/>
  <c r="K121" i="19"/>
  <c r="K147" i="12"/>
  <c r="M76" i="19"/>
  <c r="M71" i="20"/>
  <c r="K148" i="12"/>
  <c r="N115" i="19"/>
  <c r="O132" i="20"/>
  <c r="M53" i="19"/>
  <c r="L82" i="20"/>
  <c r="K38" i="20"/>
  <c r="I81" i="19"/>
  <c r="L70" i="19"/>
  <c r="I120" i="19"/>
  <c r="L132" i="20"/>
  <c r="J164" i="20"/>
  <c r="J63" i="19"/>
  <c r="J7" i="19"/>
  <c r="I80" i="19"/>
  <c r="N80" i="19"/>
  <c r="O24" i="19"/>
  <c r="X170" i="19"/>
  <c r="J102" i="12"/>
  <c r="I70" i="1"/>
  <c r="H102" i="1"/>
  <c r="I36" i="12" s="1"/>
  <c r="O79" i="19"/>
  <c r="U42" i="20"/>
  <c r="M73" i="12"/>
  <c r="L21" i="1"/>
  <c r="M57" i="20" s="1"/>
  <c r="O63" i="20"/>
  <c r="G21" i="9"/>
  <c r="J9" i="12" s="1"/>
  <c r="I173" i="12"/>
  <c r="K79" i="19"/>
  <c r="F20" i="25"/>
  <c r="J155" i="12"/>
  <c r="N144" i="20"/>
  <c r="O132" i="19"/>
  <c r="L27" i="1"/>
  <c r="W111" i="12"/>
  <c r="I98" i="1"/>
  <c r="H59" i="1"/>
  <c r="Y42" i="19"/>
  <c r="I32" i="12"/>
  <c r="J90" i="12"/>
  <c r="I53" i="12"/>
  <c r="J151" i="1"/>
  <c r="K112" i="20" s="1"/>
  <c r="K123" i="12"/>
  <c r="N81" i="20"/>
  <c r="K20" i="1"/>
  <c r="L57" i="19" s="1"/>
  <c r="K73" i="19"/>
  <c r="M73" i="20"/>
  <c r="I9" i="20"/>
  <c r="K119" i="1"/>
  <c r="M165" i="19"/>
  <c r="N81" i="19"/>
  <c r="M11" i="12"/>
  <c r="H93" i="1"/>
  <c r="O144" i="20"/>
  <c r="K65" i="1"/>
  <c r="I108" i="1"/>
  <c r="K28" i="1"/>
  <c r="L73" i="12"/>
  <c r="M112" i="12"/>
  <c r="L107" i="1"/>
  <c r="M30" i="12" s="1"/>
  <c r="K120" i="1"/>
  <c r="W141" i="12"/>
  <c r="J70" i="20"/>
  <c r="I17" i="1"/>
  <c r="AA42" i="20"/>
  <c r="I19" i="12"/>
  <c r="I153" i="12"/>
  <c r="K109" i="1"/>
  <c r="M91" i="19"/>
  <c r="M142" i="12"/>
  <c r="Y141" i="19"/>
  <c r="H169" i="1"/>
  <c r="P130" i="12"/>
  <c r="L65" i="1"/>
  <c r="J75" i="19"/>
  <c r="P132" i="12"/>
  <c r="M70" i="20"/>
  <c r="M159" i="1"/>
  <c r="N116" i="12" s="1"/>
  <c r="J114" i="19"/>
  <c r="M86" i="12"/>
  <c r="J80" i="20"/>
  <c r="M84" i="12"/>
  <c r="J86" i="12"/>
  <c r="K90" i="19"/>
  <c r="V127" i="12"/>
  <c r="M12" i="19"/>
  <c r="L146" i="1"/>
  <c r="I15" i="22"/>
  <c r="M86" i="19"/>
  <c r="K172" i="1"/>
  <c r="L144" i="12" s="1"/>
  <c r="L8" i="19"/>
  <c r="I92" i="1"/>
  <c r="O37" i="19"/>
  <c r="N24" i="19"/>
  <c r="K63" i="12"/>
  <c r="K30" i="12"/>
  <c r="L61" i="1"/>
  <c r="O37" i="20"/>
  <c r="Z107" i="19"/>
  <c r="K72" i="12"/>
  <c r="K85" i="12"/>
  <c r="K140" i="1"/>
  <c r="V128" i="20"/>
  <c r="N85" i="19"/>
  <c r="O92" i="20"/>
  <c r="J85" i="20"/>
  <c r="K11" i="19"/>
  <c r="M109" i="19"/>
  <c r="L69" i="19"/>
  <c r="I155" i="12"/>
  <c r="Y128" i="20"/>
  <c r="L57" i="20"/>
  <c r="J10" i="20"/>
  <c r="I24" i="19"/>
  <c r="M38" i="20"/>
  <c r="M121" i="20"/>
  <c r="O29" i="20"/>
  <c r="M71" i="19"/>
  <c r="I115" i="19"/>
  <c r="O173" i="19"/>
  <c r="N19" i="19"/>
  <c r="U11" i="19"/>
  <c r="N37" i="20"/>
  <c r="K69" i="12"/>
  <c r="K90" i="12"/>
  <c r="K98" i="1"/>
  <c r="I141" i="1"/>
  <c r="X138" i="20"/>
  <c r="W137" i="12"/>
  <c r="AA141" i="20"/>
  <c r="P124" i="20"/>
  <c r="J92" i="19"/>
  <c r="J124" i="19"/>
  <c r="K37" i="1"/>
  <c r="X41" i="19" s="1"/>
  <c r="L75" i="20"/>
  <c r="I52" i="12"/>
  <c r="K86" i="20"/>
  <c r="H165" i="1"/>
  <c r="AA22" i="20"/>
  <c r="I51" i="1"/>
  <c r="J148" i="12" s="1"/>
  <c r="Z22" i="20"/>
  <c r="N9" i="19"/>
  <c r="I20" i="1"/>
  <c r="J57" i="19" s="1"/>
  <c r="J70" i="1"/>
  <c r="Y137" i="12"/>
  <c r="N82" i="20"/>
  <c r="J84" i="19"/>
  <c r="N70" i="19"/>
  <c r="K81" i="20"/>
  <c r="M82" i="20"/>
  <c r="N38" i="20"/>
  <c r="J153" i="12"/>
  <c r="I76" i="19"/>
  <c r="I181" i="1"/>
  <c r="L136" i="1"/>
  <c r="O115" i="19"/>
  <c r="J43" i="1"/>
  <c r="W128" i="20" s="1"/>
  <c r="O69" i="20"/>
  <c r="O72" i="19"/>
  <c r="I70" i="20"/>
  <c r="J128" i="1"/>
  <c r="K84" i="1"/>
  <c r="K22" i="9"/>
  <c r="L92" i="20"/>
  <c r="K184" i="1"/>
  <c r="I53" i="1"/>
  <c r="O57" i="20"/>
  <c r="M72" i="12"/>
  <c r="J86" i="19"/>
  <c r="H136" i="1"/>
  <c r="I161" i="1"/>
  <c r="J116" i="20" s="1"/>
  <c r="J121" i="20"/>
  <c r="X48" i="19"/>
  <c r="L84" i="20"/>
  <c r="U16" i="12"/>
  <c r="K52" i="12"/>
  <c r="J141" i="1"/>
  <c r="I32" i="1"/>
  <c r="J20" i="1"/>
  <c r="X62" i="20"/>
  <c r="K109" i="20"/>
  <c r="Y42" i="20"/>
  <c r="H103" i="1"/>
  <c r="J120" i="12"/>
  <c r="I42" i="1"/>
  <c r="I148" i="20"/>
  <c r="M79" i="12"/>
  <c r="K103" i="1"/>
  <c r="L12" i="12"/>
  <c r="J165" i="19"/>
  <c r="I130" i="12"/>
  <c r="J112" i="1"/>
  <c r="K115" i="1"/>
  <c r="L38" i="12" s="1"/>
  <c r="J152" i="12"/>
  <c r="L81" i="12"/>
  <c r="O108" i="20"/>
  <c r="K59" i="1"/>
  <c r="I90" i="19"/>
  <c r="L80" i="19"/>
  <c r="U41" i="19"/>
  <c r="J78" i="19"/>
  <c r="H174" i="1"/>
  <c r="H187" i="1"/>
  <c r="N9" i="12"/>
  <c r="N159" i="1"/>
  <c r="L47" i="1"/>
  <c r="O77" i="19"/>
  <c r="J48" i="1"/>
  <c r="K97" i="20" s="1"/>
  <c r="I172" i="12"/>
  <c r="I124" i="12"/>
  <c r="O130" i="20"/>
  <c r="M70" i="19"/>
  <c r="K61" i="1"/>
  <c r="L165" i="1"/>
  <c r="O143" i="19"/>
  <c r="I154" i="1"/>
  <c r="K74" i="12"/>
  <c r="L119" i="1"/>
  <c r="J31" i="1"/>
  <c r="K29" i="12" s="1"/>
  <c r="J175" i="19"/>
  <c r="I53" i="19"/>
  <c r="X48" i="20"/>
  <c r="N57" i="20"/>
  <c r="J17" i="1"/>
  <c r="U137" i="12"/>
  <c r="L122" i="20"/>
  <c r="H36" i="1"/>
  <c r="K173" i="1"/>
  <c r="N144" i="19"/>
  <c r="K73" i="1"/>
  <c r="K11" i="12"/>
  <c r="K51" i="1"/>
  <c r="O130" i="19"/>
  <c r="D7" i="6"/>
  <c r="J71" i="20"/>
  <c r="N36" i="19"/>
  <c r="J26" i="1"/>
  <c r="M120" i="20"/>
  <c r="X42" i="20"/>
  <c r="L76" i="19"/>
  <c r="N7" i="12"/>
  <c r="X137" i="19"/>
  <c r="I71" i="12"/>
  <c r="I178" i="1"/>
  <c r="J147" i="19" s="1"/>
  <c r="L85" i="19"/>
  <c r="J122" i="12"/>
  <c r="O148" i="19"/>
  <c r="X138" i="19"/>
  <c r="I63" i="12"/>
  <c r="L90" i="20"/>
  <c r="K37" i="20"/>
  <c r="Y62" i="19"/>
  <c r="L38" i="20"/>
  <c r="V16" i="12"/>
  <c r="I57" i="20"/>
  <c r="O53" i="20"/>
  <c r="O116" i="12"/>
  <c r="H98" i="1"/>
  <c r="L76" i="20"/>
  <c r="I37" i="1"/>
  <c r="I122" i="19"/>
  <c r="L11" i="19"/>
  <c r="L77" i="19"/>
  <c r="I116" i="20"/>
  <c r="L165" i="19"/>
  <c r="H144" i="1"/>
  <c r="Z127" i="20"/>
  <c r="O80" i="19"/>
  <c r="I109" i="12"/>
  <c r="K52" i="1"/>
  <c r="L148" i="19" s="1"/>
  <c r="L12" i="19"/>
  <c r="I97" i="20"/>
  <c r="N173" i="19"/>
  <c r="U42" i="12"/>
  <c r="X107" i="20"/>
  <c r="I84" i="20"/>
  <c r="J74" i="20"/>
  <c r="O108" i="19"/>
  <c r="K84" i="19"/>
  <c r="M83" i="19"/>
  <c r="K120" i="12"/>
  <c r="L78" i="12"/>
  <c r="O27" i="19"/>
  <c r="J73" i="12"/>
  <c r="K79" i="20"/>
  <c r="J84" i="20"/>
  <c r="L165" i="12"/>
  <c r="Z128" i="20"/>
  <c r="H60" i="1"/>
  <c r="J86" i="20"/>
  <c r="N172" i="19"/>
  <c r="Y170" i="19"/>
  <c r="L52" i="20"/>
  <c r="I142" i="12"/>
  <c r="K83" i="20"/>
  <c r="K32" i="20"/>
  <c r="J94" i="1"/>
  <c r="L75" i="19"/>
  <c r="K107" i="1"/>
  <c r="J46" i="1"/>
  <c r="I147" i="20"/>
  <c r="X170" i="12"/>
  <c r="N90" i="19"/>
  <c r="O36" i="20"/>
  <c r="I83" i="20"/>
  <c r="U62" i="12"/>
  <c r="K79" i="12"/>
  <c r="I52" i="20"/>
  <c r="I132" i="12"/>
  <c r="J79" i="12"/>
  <c r="K74" i="20"/>
  <c r="I104" i="1"/>
  <c r="J36" i="20" s="1"/>
  <c r="I88" i="1"/>
  <c r="L88" i="1"/>
  <c r="O147" i="20"/>
  <c r="L104" i="1"/>
  <c r="J146" i="1"/>
  <c r="K143" i="20" s="1"/>
  <c r="J57" i="12"/>
  <c r="K92" i="19"/>
  <c r="M122" i="19"/>
  <c r="L52" i="1"/>
  <c r="L11" i="12"/>
  <c r="N71" i="20"/>
  <c r="X137" i="20"/>
  <c r="O81" i="20"/>
  <c r="K78" i="19"/>
  <c r="J35" i="12"/>
  <c r="I74" i="12"/>
  <c r="K134" i="1"/>
  <c r="L151" i="1"/>
  <c r="L140" i="12"/>
  <c r="J119" i="1"/>
  <c r="K37" i="19" s="1"/>
  <c r="K108" i="1"/>
  <c r="L30" i="19" s="1"/>
  <c r="D11" i="9"/>
  <c r="K72" i="19"/>
  <c r="N53" i="19"/>
  <c r="Y138" i="19"/>
  <c r="K14" i="1"/>
  <c r="L80" i="1"/>
  <c r="L109" i="1"/>
  <c r="M30" i="20" s="1"/>
  <c r="K185" i="1"/>
  <c r="L187" i="1"/>
  <c r="I79" i="12"/>
  <c r="H84" i="1"/>
  <c r="I26" i="19" s="1"/>
  <c r="K66" i="1"/>
  <c r="M75" i="19"/>
  <c r="J84" i="1"/>
  <c r="N85" i="20"/>
  <c r="L91" i="20"/>
  <c r="N29" i="19"/>
  <c r="O120" i="19"/>
  <c r="I160" i="1"/>
  <c r="J116" i="19" s="1"/>
  <c r="N11" i="19"/>
  <c r="I77" i="12"/>
  <c r="X111" i="20"/>
  <c r="J124" i="20"/>
  <c r="N53" i="20"/>
  <c r="I27" i="1"/>
  <c r="J130" i="19" s="1"/>
  <c r="N38" i="19"/>
  <c r="I11" i="20"/>
  <c r="L25" i="19"/>
  <c r="U111" i="12"/>
  <c r="L77" i="20"/>
  <c r="L120" i="12"/>
  <c r="I82" i="20"/>
  <c r="I109" i="19"/>
  <c r="K71" i="20"/>
  <c r="AA16" i="19"/>
  <c r="J77" i="19"/>
  <c r="M18" i="12"/>
  <c r="I164" i="1"/>
  <c r="J120" i="20"/>
  <c r="M108" i="20"/>
  <c r="X42" i="12"/>
  <c r="J12" i="12"/>
  <c r="J118" i="1"/>
  <c r="I60" i="1"/>
  <c r="L14" i="1"/>
  <c r="M24" i="19" s="1"/>
  <c r="L142" i="12"/>
  <c r="O74" i="19"/>
  <c r="O19" i="19"/>
  <c r="H145" i="1"/>
  <c r="J124" i="12"/>
  <c r="H89" i="1"/>
  <c r="U48" i="19"/>
  <c r="U62" i="19"/>
  <c r="N132" i="20"/>
  <c r="O147" i="19"/>
  <c r="J103" i="1"/>
  <c r="M36" i="20"/>
  <c r="F12" i="9"/>
  <c r="O31" i="19"/>
  <c r="O53" i="19"/>
  <c r="M69" i="12"/>
  <c r="M164" i="19"/>
  <c r="L51" i="1"/>
  <c r="K156" i="1"/>
  <c r="I27" i="20"/>
  <c r="L91" i="19"/>
  <c r="M75" i="12"/>
  <c r="H41" i="1"/>
  <c r="H179" i="1"/>
  <c r="I85" i="12"/>
  <c r="L81" i="20"/>
  <c r="K47" i="1"/>
  <c r="I83" i="19"/>
  <c r="I75" i="19"/>
  <c r="K7" i="19"/>
  <c r="L86" i="20"/>
  <c r="O52" i="20"/>
  <c r="N32" i="19"/>
  <c r="N92" i="19"/>
  <c r="I25" i="19"/>
  <c r="J74" i="12"/>
  <c r="H159" i="1"/>
  <c r="M28" i="12"/>
  <c r="J142" i="12"/>
  <c r="K52" i="20"/>
  <c r="L7" i="19"/>
  <c r="O73" i="20"/>
  <c r="K86" i="19"/>
  <c r="AA107" i="20"/>
  <c r="N25" i="19"/>
  <c r="J172" i="19"/>
  <c r="L21" i="9"/>
  <c r="L25" i="12"/>
  <c r="L143" i="20"/>
  <c r="K85" i="19"/>
  <c r="O171" i="19"/>
  <c r="H151" i="1"/>
  <c r="J181" i="1"/>
  <c r="F22" i="9"/>
  <c r="M123" i="12"/>
  <c r="I128" i="1"/>
  <c r="J164" i="12" s="1"/>
  <c r="J21" i="1"/>
  <c r="K57" i="20" s="1"/>
  <c r="J59" i="1"/>
  <c r="K149" i="1"/>
  <c r="U107" i="19"/>
  <c r="M74" i="20"/>
  <c r="J150" i="1"/>
  <c r="K112" i="19" s="1"/>
  <c r="K155" i="1"/>
  <c r="I9" i="19"/>
  <c r="L150" i="1"/>
  <c r="K144" i="1"/>
  <c r="L143" i="12" s="1"/>
  <c r="O175" i="19"/>
  <c r="L139" i="1"/>
  <c r="N172" i="20"/>
  <c r="K166" i="1"/>
  <c r="L115" i="20" s="1"/>
  <c r="O63" i="19"/>
  <c r="O148" i="20"/>
  <c r="L74" i="1"/>
  <c r="I112" i="12"/>
  <c r="O82" i="20"/>
  <c r="L20" i="1"/>
  <c r="M57" i="19" s="1"/>
  <c r="O174" i="20"/>
  <c r="W16" i="12"/>
  <c r="AA107" i="19"/>
  <c r="M172" i="12"/>
  <c r="U128" i="20"/>
  <c r="M76" i="20"/>
  <c r="I150" i="1"/>
  <c r="H48" i="1"/>
  <c r="N77" i="19"/>
  <c r="P57" i="20"/>
  <c r="I23" i="19"/>
  <c r="O74" i="20"/>
  <c r="J22" i="9"/>
  <c r="M8" i="19" s="1"/>
  <c r="M123" i="19"/>
  <c r="N23" i="19"/>
  <c r="J148" i="20"/>
  <c r="F9" i="9"/>
  <c r="I132" i="19"/>
  <c r="M81" i="12"/>
  <c r="L19" i="12"/>
  <c r="O75" i="20"/>
  <c r="M80" i="20"/>
  <c r="M73" i="19"/>
  <c r="J92" i="1"/>
  <c r="N120" i="20"/>
  <c r="I187" i="1"/>
  <c r="K76" i="12"/>
  <c r="I116" i="19"/>
  <c r="L154" i="12"/>
  <c r="N18" i="19"/>
  <c r="L83" i="12"/>
  <c r="L85" i="12"/>
  <c r="H47" i="1"/>
  <c r="D13" i="9"/>
  <c r="K164" i="1"/>
  <c r="M24" i="12"/>
  <c r="K92" i="12"/>
  <c r="N70" i="20"/>
  <c r="J112" i="20"/>
  <c r="M154" i="12"/>
  <c r="N175" i="20"/>
  <c r="N86" i="19"/>
  <c r="I156" i="1"/>
  <c r="J114" i="20" s="1"/>
  <c r="M122" i="20"/>
  <c r="M97" i="19"/>
  <c r="M92" i="12"/>
  <c r="O91" i="19"/>
  <c r="M70" i="12"/>
  <c r="K120" i="19"/>
  <c r="N109" i="19"/>
  <c r="M78" i="12"/>
  <c r="AA127" i="19"/>
  <c r="O32" i="20"/>
  <c r="J11" i="20"/>
  <c r="J37" i="1"/>
  <c r="Y16" i="12"/>
  <c r="I18" i="12"/>
  <c r="K120" i="20"/>
  <c r="I77" i="19"/>
  <c r="O69" i="19"/>
  <c r="N123" i="19"/>
  <c r="N25" i="20"/>
  <c r="I164" i="19"/>
  <c r="J165" i="20"/>
  <c r="L135" i="1"/>
  <c r="O8" i="12"/>
  <c r="U141" i="19"/>
  <c r="X22" i="20"/>
  <c r="W62" i="19"/>
  <c r="Y22" i="12"/>
  <c r="K89" i="1"/>
  <c r="J73" i="1"/>
  <c r="K132" i="12" s="1"/>
  <c r="N72" i="20"/>
  <c r="L108" i="1"/>
  <c r="M30" i="19" s="1"/>
  <c r="F20" i="9"/>
  <c r="K171" i="20"/>
  <c r="J81" i="12"/>
  <c r="N147" i="19"/>
  <c r="U107" i="12"/>
  <c r="J71" i="19"/>
  <c r="J28" i="1"/>
  <c r="J11" i="12"/>
  <c r="J65" i="1"/>
  <c r="K63" i="19" s="1"/>
  <c r="O70" i="20"/>
  <c r="Y42" i="12"/>
  <c r="O25" i="19"/>
  <c r="W170" i="12"/>
  <c r="J25" i="19"/>
  <c r="Z127" i="19"/>
  <c r="X62" i="12"/>
  <c r="P133" i="12"/>
  <c r="L132" i="19"/>
  <c r="K121" i="20"/>
  <c r="H46" i="1"/>
  <c r="K46" i="1"/>
  <c r="L97" i="12" s="1"/>
  <c r="H164" i="1"/>
  <c r="K76" i="19"/>
  <c r="K151" i="1"/>
  <c r="K70" i="20"/>
  <c r="K165" i="12"/>
  <c r="H115" i="1"/>
  <c r="M115" i="12"/>
  <c r="N35" i="19"/>
  <c r="J79" i="19"/>
  <c r="M28" i="19"/>
  <c r="K82" i="19"/>
  <c r="V141" i="12"/>
  <c r="K84" i="20"/>
  <c r="I97" i="1"/>
  <c r="L18" i="12"/>
  <c r="Y141" i="12"/>
  <c r="N78" i="20"/>
  <c r="J121" i="19"/>
  <c r="I72" i="19"/>
  <c r="U12" i="20"/>
  <c r="L89" i="1"/>
  <c r="L80" i="12"/>
  <c r="K92" i="20"/>
  <c r="V170" i="12"/>
  <c r="N28" i="19"/>
  <c r="U16" i="19"/>
  <c r="J104" i="1"/>
  <c r="J90" i="19"/>
  <c r="M82" i="12"/>
  <c r="O27" i="20"/>
  <c r="I108" i="20"/>
  <c r="K175" i="20"/>
  <c r="I41" i="1"/>
  <c r="N26" i="20"/>
  <c r="K9" i="12"/>
  <c r="M37" i="19"/>
  <c r="J32" i="1"/>
  <c r="K29" i="19" s="1"/>
  <c r="I130" i="19"/>
  <c r="K83" i="19"/>
  <c r="U138" i="19"/>
  <c r="I165" i="1"/>
  <c r="I129" i="1"/>
  <c r="J164" i="19" s="1"/>
  <c r="L70" i="1"/>
  <c r="X16" i="19"/>
  <c r="I123" i="20"/>
  <c r="Y111" i="12"/>
  <c r="W127" i="20"/>
  <c r="L122" i="12"/>
  <c r="J140" i="1"/>
  <c r="N165" i="20"/>
  <c r="AA16" i="20"/>
  <c r="N9" i="20"/>
  <c r="L20" i="9"/>
  <c r="U127" i="12"/>
  <c r="J74" i="1"/>
  <c r="K132" i="19" s="1"/>
  <c r="V48" i="12"/>
  <c r="I9" i="12"/>
  <c r="I23" i="20"/>
  <c r="M8" i="20"/>
  <c r="L7" i="12"/>
  <c r="O9" i="20"/>
  <c r="O85" i="19"/>
  <c r="H65" i="1"/>
  <c r="I120" i="1"/>
  <c r="I63" i="19"/>
  <c r="O165" i="19"/>
  <c r="V127" i="20"/>
  <c r="K30" i="20"/>
  <c r="J26" i="12"/>
  <c r="O165" i="20"/>
  <c r="X127" i="20"/>
  <c r="L114" i="12"/>
  <c r="M174" i="19"/>
  <c r="H178" i="1"/>
  <c r="L169" i="1"/>
  <c r="O78" i="20"/>
  <c r="J132" i="20"/>
  <c r="K12" i="20"/>
  <c r="I7" i="12"/>
  <c r="K71" i="19"/>
  <c r="K115" i="20"/>
  <c r="L174" i="19"/>
  <c r="I25" i="12"/>
  <c r="K25" i="20"/>
  <c r="W41" i="20"/>
  <c r="U138" i="12"/>
  <c r="J52" i="12"/>
  <c r="N84" i="20"/>
  <c r="K37" i="12"/>
  <c r="M26" i="19"/>
  <c r="K188" i="1"/>
  <c r="L175" i="20" s="1"/>
  <c r="N121" i="19"/>
  <c r="L178" i="1"/>
  <c r="H64" i="1"/>
  <c r="M147" i="19"/>
  <c r="O12" i="20"/>
  <c r="J83" i="12"/>
  <c r="J20" i="9"/>
  <c r="K116" i="20"/>
  <c r="M114" i="19"/>
  <c r="L174" i="12"/>
  <c r="K25" i="19"/>
  <c r="M10" i="12"/>
  <c r="J90" i="20"/>
  <c r="I86" i="19"/>
  <c r="Y16" i="19"/>
  <c r="J112" i="19"/>
  <c r="M108" i="12"/>
  <c r="I79" i="19"/>
  <c r="L122" i="19"/>
  <c r="N30" i="19"/>
  <c r="L172" i="1"/>
  <c r="H7" i="12"/>
  <c r="M7" i="12"/>
  <c r="K35" i="19"/>
  <c r="I63" i="20"/>
  <c r="Y41" i="19"/>
  <c r="D15" i="22"/>
  <c r="M91" i="12"/>
  <c r="J14" i="1"/>
  <c r="U8" i="19"/>
  <c r="M123" i="20"/>
  <c r="I84" i="19"/>
  <c r="P131" i="12"/>
  <c r="I121" i="12"/>
  <c r="K92" i="1"/>
  <c r="H8" i="20"/>
  <c r="J23" i="19"/>
  <c r="H8" i="19"/>
  <c r="O10" i="19"/>
  <c r="K30" i="19"/>
  <c r="J115" i="12"/>
  <c r="J32" i="19"/>
  <c r="M175" i="19"/>
  <c r="J171" i="12"/>
  <c r="O10" i="20"/>
  <c r="M173" i="19"/>
  <c r="W127" i="12"/>
  <c r="U10" i="20"/>
  <c r="M29" i="20"/>
  <c r="L29" i="20"/>
  <c r="M155" i="12"/>
  <c r="K63" i="20"/>
  <c r="I7" i="19"/>
  <c r="U10" i="12"/>
  <c r="J114" i="12"/>
  <c r="K7" i="12"/>
  <c r="U9" i="12"/>
  <c r="U10" i="19"/>
  <c r="J123" i="19"/>
  <c r="L9" i="12"/>
  <c r="J93" i="1"/>
  <c r="H73" i="1"/>
  <c r="I125" i="1"/>
  <c r="H125" i="1"/>
  <c r="K12" i="12"/>
  <c r="K174" i="1"/>
  <c r="K181" i="1"/>
  <c r="L83" i="19"/>
  <c r="K130" i="20"/>
  <c r="K48" i="1"/>
  <c r="K108" i="20"/>
  <c r="J108" i="12"/>
  <c r="L174" i="20"/>
  <c r="K25" i="12"/>
  <c r="M7" i="19"/>
  <c r="H66" i="1"/>
  <c r="J53" i="1"/>
  <c r="N73" i="20"/>
  <c r="L79" i="19"/>
  <c r="Z138" i="20"/>
  <c r="M10" i="20"/>
  <c r="N7" i="20"/>
  <c r="M29" i="19"/>
  <c r="J115" i="19"/>
  <c r="J13" i="1"/>
  <c r="K23" i="12" s="1"/>
  <c r="J27" i="1"/>
  <c r="Z42" i="20"/>
  <c r="V128" i="19"/>
  <c r="Z170" i="19"/>
  <c r="M8" i="12"/>
  <c r="I93" i="1"/>
  <c r="M140" i="12"/>
  <c r="L130" i="20"/>
  <c r="M115" i="20"/>
  <c r="K9" i="19"/>
  <c r="N78" i="19"/>
  <c r="L36" i="20"/>
  <c r="M171" i="19"/>
  <c r="J41" i="1"/>
  <c r="W128" i="12" s="1"/>
  <c r="L147" i="12"/>
  <c r="J143" i="19"/>
  <c r="H8" i="12"/>
  <c r="M25" i="19"/>
  <c r="I46" i="1"/>
  <c r="N35" i="20"/>
  <c r="I76" i="20"/>
  <c r="U128" i="19"/>
  <c r="H154" i="1"/>
  <c r="Z62" i="19"/>
  <c r="H74" i="1"/>
  <c r="K10" i="12"/>
  <c r="O145" i="19"/>
  <c r="I53" i="20"/>
  <c r="M175" i="20"/>
  <c r="O7" i="19"/>
  <c r="H10" i="19"/>
  <c r="O115" i="20"/>
  <c r="L10" i="19"/>
  <c r="J159" i="1"/>
  <c r="K116" i="12" s="1"/>
  <c r="L53" i="12"/>
  <c r="M11" i="20"/>
  <c r="J36" i="1"/>
  <c r="K144" i="20"/>
  <c r="J36" i="12"/>
  <c r="J23" i="12"/>
  <c r="J10" i="12"/>
  <c r="I28" i="12"/>
  <c r="O31" i="20"/>
  <c r="W41" i="19"/>
  <c r="O10" i="12"/>
  <c r="H104" i="1"/>
  <c r="I36" i="20" s="1"/>
  <c r="J174" i="20"/>
  <c r="K144" i="12"/>
  <c r="J26" i="19"/>
  <c r="I8" i="12"/>
  <c r="I36" i="19"/>
  <c r="N10" i="20"/>
  <c r="N120" i="19"/>
  <c r="H51" i="1"/>
  <c r="AA137" i="20"/>
  <c r="J175" i="20"/>
  <c r="K91" i="19"/>
  <c r="K186" i="1"/>
  <c r="O23" i="19"/>
  <c r="O35" i="20"/>
  <c r="M63" i="19"/>
  <c r="M35" i="19"/>
  <c r="K93" i="1"/>
  <c r="J115" i="20"/>
  <c r="J38" i="20"/>
  <c r="U9" i="19"/>
  <c r="I75" i="12"/>
  <c r="J108" i="19"/>
  <c r="H9" i="19"/>
  <c r="M85" i="19"/>
  <c r="L175" i="12"/>
  <c r="H10" i="20"/>
  <c r="D9" i="9"/>
  <c r="L26" i="20"/>
  <c r="L171" i="20"/>
  <c r="J27" i="12"/>
  <c r="O84" i="20"/>
  <c r="N108" i="19"/>
  <c r="V127" i="19"/>
  <c r="H181" i="1"/>
  <c r="I124" i="1"/>
  <c r="I48" i="1"/>
  <c r="L29" i="12"/>
  <c r="I38" i="12"/>
  <c r="M97" i="20"/>
  <c r="L130" i="19"/>
  <c r="M175" i="12"/>
  <c r="U8" i="12"/>
  <c r="O7" i="20"/>
  <c r="I165" i="20"/>
  <c r="I108" i="12"/>
  <c r="L120" i="19"/>
  <c r="J173" i="19"/>
  <c r="N84" i="19"/>
  <c r="J37" i="12"/>
  <c r="J38" i="19"/>
  <c r="M38" i="12"/>
  <c r="M38" i="19"/>
  <c r="K83" i="12"/>
  <c r="J8" i="20"/>
  <c r="N173" i="20"/>
  <c r="M173" i="12"/>
  <c r="J75" i="1"/>
  <c r="H75" i="1"/>
  <c r="D22" i="6"/>
  <c r="L124" i="19"/>
  <c r="L41" i="1"/>
  <c r="J70" i="19"/>
  <c r="L174" i="1"/>
  <c r="J165" i="1"/>
  <c r="K115" i="19" s="1"/>
  <c r="M92" i="19"/>
  <c r="AA138" i="19"/>
  <c r="I144" i="1"/>
  <c r="K71" i="12"/>
  <c r="O109" i="20"/>
  <c r="J75" i="12"/>
  <c r="L125" i="1"/>
  <c r="K139" i="1"/>
  <c r="J173" i="12"/>
  <c r="L114" i="20"/>
  <c r="Z137" i="19"/>
  <c r="K13" i="1"/>
  <c r="H43" i="1"/>
  <c r="I171" i="12"/>
  <c r="H135" i="1"/>
  <c r="M69" i="20"/>
  <c r="L70" i="12"/>
  <c r="H112" i="1"/>
  <c r="I35" i="20" s="1"/>
  <c r="K122" i="19"/>
  <c r="H118" i="1"/>
  <c r="J9" i="19"/>
  <c r="J63" i="20"/>
  <c r="M108" i="19"/>
  <c r="H9" i="20"/>
  <c r="O174" i="19"/>
  <c r="L90" i="19"/>
  <c r="K78" i="12"/>
  <c r="L164" i="12"/>
  <c r="K35" i="20"/>
  <c r="I152" i="12"/>
  <c r="AA48" i="20"/>
  <c r="L8" i="12"/>
  <c r="H141" i="1"/>
  <c r="N76" i="20"/>
  <c r="K174" i="12"/>
  <c r="I14" i="1"/>
  <c r="I97" i="19"/>
  <c r="J155" i="1"/>
  <c r="I81" i="20"/>
  <c r="M77" i="12"/>
  <c r="J173" i="20"/>
  <c r="L10" i="12"/>
  <c r="I139" i="1"/>
  <c r="U12" i="12"/>
  <c r="N86" i="20"/>
  <c r="M130" i="19"/>
  <c r="L13" i="1"/>
  <c r="L175" i="19"/>
  <c r="I26" i="12"/>
  <c r="K26" i="12"/>
  <c r="M109" i="12"/>
  <c r="U11" i="12"/>
  <c r="N83" i="20"/>
  <c r="H17" i="1"/>
  <c r="H22" i="9"/>
  <c r="I136" i="1"/>
  <c r="K153" i="12"/>
  <c r="K132" i="20"/>
  <c r="K36" i="19"/>
  <c r="M32" i="12"/>
  <c r="L144" i="19"/>
  <c r="M147" i="12"/>
  <c r="I27" i="12"/>
  <c r="K24" i="12"/>
  <c r="M143" i="19"/>
  <c r="Y41" i="20"/>
  <c r="I24" i="12"/>
  <c r="L114" i="19"/>
  <c r="I29" i="20"/>
  <c r="L112" i="12"/>
  <c r="M132" i="19"/>
  <c r="L63" i="20"/>
  <c r="J37" i="19"/>
  <c r="K114" i="12"/>
  <c r="Y127" i="19"/>
  <c r="K108" i="19"/>
  <c r="L38" i="19"/>
  <c r="K172" i="12"/>
  <c r="M63" i="12"/>
  <c r="K9" i="20"/>
  <c r="L148" i="12"/>
  <c r="L9" i="20"/>
  <c r="K27" i="19"/>
  <c r="M148" i="20"/>
  <c r="L37" i="12"/>
  <c r="J132" i="12"/>
  <c r="L29" i="19"/>
  <c r="K109" i="19"/>
  <c r="L32" i="20"/>
  <c r="K36" i="12"/>
  <c r="I28" i="20"/>
  <c r="K31" i="19"/>
  <c r="K57" i="19"/>
  <c r="I31" i="19"/>
  <c r="K116" i="19"/>
  <c r="M24" i="20"/>
  <c r="M31" i="12"/>
  <c r="K31" i="20"/>
  <c r="K23" i="20"/>
  <c r="K57" i="12"/>
  <c r="K32" i="19"/>
  <c r="O8" i="19"/>
  <c r="Y127" i="20"/>
  <c r="X41" i="12"/>
  <c r="X41" i="20"/>
  <c r="J57" i="20"/>
  <c r="K112" i="12"/>
  <c r="L143" i="19"/>
  <c r="L97" i="20"/>
  <c r="J97" i="12"/>
  <c r="M112" i="19"/>
  <c r="M32" i="20"/>
  <c r="Y128" i="19"/>
  <c r="K130" i="19"/>
  <c r="J27" i="20"/>
  <c r="M9" i="19"/>
  <c r="X127" i="12"/>
  <c r="K32" i="12"/>
  <c r="W127" i="19"/>
  <c r="J132" i="19"/>
  <c r="M144" i="19"/>
  <c r="L112" i="20"/>
  <c r="I26" i="20"/>
  <c r="K97" i="12"/>
  <c r="J9" i="20"/>
  <c r="M114" i="12"/>
  <c r="J109" i="20"/>
  <c r="K143" i="19"/>
  <c r="L31" i="19"/>
  <c r="K147" i="20"/>
  <c r="J130" i="20"/>
  <c r="J148" i="19"/>
  <c r="J37" i="20"/>
  <c r="I30" i="12"/>
  <c r="J109" i="19"/>
  <c r="K27" i="12"/>
  <c r="M37" i="20"/>
  <c r="L31" i="20"/>
  <c r="M31" i="19"/>
  <c r="K10" i="20"/>
  <c r="N7" i="19"/>
  <c r="M27" i="12"/>
  <c r="U8" i="20"/>
  <c r="M171" i="20"/>
  <c r="H11" i="19"/>
  <c r="U11" i="20"/>
  <c r="I27" i="19"/>
  <c r="I29" i="19"/>
  <c r="J25" i="12"/>
  <c r="J25" i="20"/>
  <c r="J7" i="12"/>
  <c r="J7" i="20"/>
  <c r="J10" i="19"/>
  <c r="J171" i="20"/>
  <c r="J171" i="19"/>
  <c r="H10" i="12"/>
  <c r="K23" i="19"/>
  <c r="E15" i="22"/>
  <c r="K174" i="20"/>
  <c r="L26" i="19"/>
  <c r="N8" i="20"/>
  <c r="N8" i="19"/>
  <c r="L171" i="19"/>
  <c r="L171" i="12"/>
  <c r="J29" i="19"/>
  <c r="L24" i="12"/>
  <c r="L24" i="20"/>
  <c r="L24" i="19"/>
  <c r="M25" i="12"/>
  <c r="G15" i="22"/>
  <c r="M26" i="12"/>
  <c r="M23" i="12"/>
  <c r="L172" i="19"/>
  <c r="L172" i="12"/>
  <c r="M174" i="20"/>
  <c r="M174" i="12"/>
  <c r="K26" i="20"/>
  <c r="U9" i="20"/>
  <c r="H9" i="12"/>
  <c r="O9" i="12"/>
  <c r="O9" i="19"/>
  <c r="I8" i="19"/>
  <c r="I8" i="20"/>
  <c r="U7" i="12"/>
  <c r="U7" i="20"/>
  <c r="H7" i="20"/>
  <c r="U7" i="19"/>
  <c r="H7" i="19"/>
  <c r="J174" i="12"/>
  <c r="J174" i="19"/>
  <c r="I7" i="20"/>
  <c r="I10" i="19"/>
  <c r="I10" i="20"/>
  <c r="I10" i="12"/>
  <c r="I38" i="19"/>
  <c r="I38" i="20"/>
  <c r="O7" i="12"/>
  <c r="M10" i="19"/>
  <c r="M7" i="20"/>
  <c r="K24" i="19"/>
  <c r="K24" i="20"/>
  <c r="L173" i="12"/>
  <c r="L173" i="20"/>
  <c r="L23" i="12"/>
  <c r="L23" i="19"/>
  <c r="L23" i="20"/>
  <c r="J24" i="20"/>
  <c r="J24" i="12"/>
  <c r="J24" i="19"/>
  <c r="M23" i="20"/>
  <c r="M23" i="19"/>
  <c r="K8" i="20"/>
  <c r="K8" i="19"/>
  <c r="K8" i="12"/>
  <c r="Y44" i="20" l="1"/>
  <c r="AA44" i="12"/>
  <c r="U44" i="20"/>
  <c r="V174" i="19"/>
  <c r="U38" i="19"/>
  <c r="U24" i="19"/>
  <c r="U25" i="19"/>
  <c r="U35" i="19"/>
  <c r="U27" i="19"/>
  <c r="U26" i="19"/>
  <c r="V7" i="19"/>
  <c r="U63" i="19"/>
  <c r="U29" i="19"/>
  <c r="U23" i="19"/>
  <c r="U28" i="19"/>
  <c r="U30" i="19"/>
  <c r="U31" i="19"/>
  <c r="U27" i="20"/>
  <c r="U24" i="20"/>
  <c r="U23" i="20"/>
  <c r="U35" i="20"/>
  <c r="U38" i="20"/>
  <c r="U63" i="20"/>
  <c r="V7" i="20"/>
  <c r="U25" i="20"/>
  <c r="U28" i="20"/>
  <c r="U26" i="20"/>
  <c r="U29" i="20"/>
  <c r="V7" i="12"/>
  <c r="V9" i="20"/>
  <c r="H15" i="24"/>
  <c r="J56" i="21"/>
  <c r="G9" i="22"/>
  <c r="X171" i="12"/>
  <c r="X171" i="19"/>
  <c r="W174" i="20"/>
  <c r="E9" i="22"/>
  <c r="J29" i="21"/>
  <c r="V171" i="19"/>
  <c r="V171" i="20"/>
  <c r="V33" i="20"/>
  <c r="W33" i="20" s="1"/>
  <c r="X33" i="20" s="1"/>
  <c r="Y33" i="20" s="1"/>
  <c r="Z33" i="20" s="1"/>
  <c r="AA33" i="20" s="1"/>
  <c r="V34" i="20"/>
  <c r="W34" i="20" s="1"/>
  <c r="X34" i="20" s="1"/>
  <c r="Y34" i="20" s="1"/>
  <c r="Z34" i="20" s="1"/>
  <c r="AA34" i="20" s="1"/>
  <c r="V44" i="20"/>
  <c r="V45" i="20" s="1"/>
  <c r="V44" i="12"/>
  <c r="V45" i="12" s="1"/>
  <c r="U13" i="20"/>
  <c r="V11" i="20"/>
  <c r="Y171" i="20"/>
  <c r="V8" i="20"/>
  <c r="W8" i="20" s="1"/>
  <c r="Z44" i="19"/>
  <c r="X112" i="20"/>
  <c r="V132" i="19"/>
  <c r="Y112" i="19"/>
  <c r="W112" i="12"/>
  <c r="X43" i="20"/>
  <c r="X43" i="12"/>
  <c r="X112" i="12"/>
  <c r="Y43" i="20"/>
  <c r="W132" i="20"/>
  <c r="V11" i="12"/>
  <c r="U13" i="12"/>
  <c r="V12" i="12"/>
  <c r="V173" i="20"/>
  <c r="U97" i="19"/>
  <c r="U152" i="12"/>
  <c r="L166" i="12"/>
  <c r="C22" i="24"/>
  <c r="L134" i="19"/>
  <c r="M133" i="20"/>
  <c r="U171" i="12"/>
  <c r="Z140" i="19"/>
  <c r="Y92" i="19"/>
  <c r="V173" i="19"/>
  <c r="AA44" i="20"/>
  <c r="V8" i="12"/>
  <c r="W8" i="12" s="1"/>
  <c r="X8" i="12" s="1"/>
  <c r="Y8" i="12" s="1"/>
  <c r="X171" i="20"/>
  <c r="V9" i="19"/>
  <c r="W9" i="19" s="1"/>
  <c r="X9" i="19" s="1"/>
  <c r="Y9" i="19" s="1"/>
  <c r="Z9" i="19" s="1"/>
  <c r="AA9" i="19" s="1"/>
  <c r="V115" i="20"/>
  <c r="M129" i="19"/>
  <c r="V175" i="20"/>
  <c r="AA140" i="20"/>
  <c r="V174" i="20"/>
  <c r="W43" i="19"/>
  <c r="H12" i="24"/>
  <c r="W144" i="20"/>
  <c r="Y46" i="20"/>
  <c r="AA44" i="19"/>
  <c r="U76" i="20"/>
  <c r="V143" i="19"/>
  <c r="L149" i="12"/>
  <c r="Y171" i="19"/>
  <c r="Y140" i="12"/>
  <c r="H13" i="24"/>
  <c r="Z44" i="20"/>
  <c r="Y44" i="19"/>
  <c r="I67" i="21"/>
  <c r="O67" i="21" s="1"/>
  <c r="V123" i="19"/>
  <c r="U36" i="19"/>
  <c r="V10" i="19"/>
  <c r="V9" i="12"/>
  <c r="W9" i="12" s="1"/>
  <c r="X9" i="12" s="1"/>
  <c r="Y9" i="12" s="1"/>
  <c r="Z9" i="12" s="1"/>
  <c r="AA9" i="12" s="1"/>
  <c r="W44" i="12"/>
  <c r="V10" i="12"/>
  <c r="U44" i="19"/>
  <c r="K129" i="20"/>
  <c r="V10" i="20"/>
  <c r="U36" i="20"/>
  <c r="V171" i="12"/>
  <c r="I13" i="24"/>
  <c r="P5" i="24" s="1"/>
  <c r="I5" i="24"/>
  <c r="U121" i="12"/>
  <c r="U131" i="12"/>
  <c r="V8" i="19"/>
  <c r="W8" i="19" s="1"/>
  <c r="X8" i="19" s="1"/>
  <c r="Y8" i="19" s="1"/>
  <c r="Z8" i="19" s="1"/>
  <c r="AA8" i="19" s="1"/>
  <c r="D9" i="22"/>
  <c r="M5" i="29" s="1"/>
  <c r="M6" i="29" s="1"/>
  <c r="E29" i="21"/>
  <c r="Y43" i="19"/>
  <c r="Y44" i="12"/>
  <c r="V112" i="19"/>
  <c r="D20" i="24"/>
  <c r="V90" i="20"/>
  <c r="J134" i="20"/>
  <c r="V134" i="20" s="1"/>
  <c r="J29" i="9"/>
  <c r="W43" i="20"/>
  <c r="W54" i="20" s="1"/>
  <c r="U44" i="12"/>
  <c r="V132" i="20"/>
  <c r="J13" i="24"/>
  <c r="Q5" i="24" s="1"/>
  <c r="J5" i="24"/>
  <c r="X44" i="12"/>
  <c r="V49" i="12"/>
  <c r="L29" i="9"/>
  <c r="U123" i="20"/>
  <c r="J166" i="19"/>
  <c r="C15" i="24"/>
  <c r="W175" i="20"/>
  <c r="C20" i="24"/>
  <c r="J134" i="19"/>
  <c r="V134" i="19" s="1"/>
  <c r="V90" i="19"/>
  <c r="W92" i="20"/>
  <c r="V12" i="20"/>
  <c r="U37" i="20"/>
  <c r="Y146" i="12"/>
  <c r="X18" i="12"/>
  <c r="V146" i="12"/>
  <c r="V46" i="12"/>
  <c r="V47" i="12" s="1"/>
  <c r="W47" i="12" s="1"/>
  <c r="N149" i="19"/>
  <c r="W171" i="20"/>
  <c r="F29" i="9"/>
  <c r="I7" i="24"/>
  <c r="I15" i="24"/>
  <c r="P7" i="24" s="1"/>
  <c r="U146" i="19"/>
  <c r="U175" i="19"/>
  <c r="U142" i="19"/>
  <c r="U173" i="19"/>
  <c r="U153" i="19"/>
  <c r="U145" i="19"/>
  <c r="U155" i="19"/>
  <c r="U172" i="19"/>
  <c r="U171" i="19"/>
  <c r="U174" i="19"/>
  <c r="U152" i="19"/>
  <c r="U154" i="19"/>
  <c r="I166" i="19"/>
  <c r="O133" i="19"/>
  <c r="W120" i="20"/>
  <c r="U18" i="12"/>
  <c r="U23" i="12" s="1"/>
  <c r="V46" i="20"/>
  <c r="V47" i="20" s="1"/>
  <c r="Y92" i="12"/>
  <c r="V114" i="20"/>
  <c r="V112" i="20"/>
  <c r="W92" i="12"/>
  <c r="Z18" i="19"/>
  <c r="U116" i="19"/>
  <c r="X19" i="12"/>
  <c r="U132" i="19"/>
  <c r="F30" i="9"/>
  <c r="U57" i="20"/>
  <c r="V57" i="20"/>
  <c r="U112" i="12"/>
  <c r="O129" i="19"/>
  <c r="W112" i="19"/>
  <c r="J166" i="12"/>
  <c r="N40" i="21"/>
  <c r="O40" i="21" s="1"/>
  <c r="AA171" i="19"/>
  <c r="V172" i="19"/>
  <c r="X44" i="19"/>
  <c r="Z92" i="19"/>
  <c r="W44" i="19"/>
  <c r="M166" i="19"/>
  <c r="M133" i="12"/>
  <c r="O149" i="19"/>
  <c r="AA19" i="19"/>
  <c r="V120" i="20"/>
  <c r="Y18" i="12"/>
  <c r="U82" i="20"/>
  <c r="U46" i="20"/>
  <c r="Z46" i="19"/>
  <c r="H23" i="24"/>
  <c r="X140" i="12"/>
  <c r="X140" i="20"/>
  <c r="X46" i="12"/>
  <c r="W92" i="19"/>
  <c r="V57" i="12"/>
  <c r="W143" i="20"/>
  <c r="O149" i="20"/>
  <c r="U132" i="12"/>
  <c r="U83" i="20"/>
  <c r="N134" i="19"/>
  <c r="I149" i="20"/>
  <c r="U149" i="20" s="1"/>
  <c r="U142" i="12"/>
  <c r="U84" i="20"/>
  <c r="U97" i="20"/>
  <c r="U116" i="20"/>
  <c r="X46" i="19"/>
  <c r="U122" i="19"/>
  <c r="L134" i="20"/>
  <c r="D22" i="24"/>
  <c r="I129" i="12"/>
  <c r="U129" i="12" s="1"/>
  <c r="J149" i="19"/>
  <c r="V149" i="19" s="1"/>
  <c r="X140" i="19"/>
  <c r="Z44" i="12"/>
  <c r="B3" i="23"/>
  <c r="W46" i="12"/>
  <c r="X49" i="20"/>
  <c r="V175" i="19"/>
  <c r="U124" i="12"/>
  <c r="U172" i="12"/>
  <c r="U43" i="19"/>
  <c r="U54" i="19" s="1"/>
  <c r="C19" i="24"/>
  <c r="I134" i="19"/>
  <c r="U134" i="19" s="1"/>
  <c r="V116" i="20"/>
  <c r="X92" i="20"/>
  <c r="O133" i="20"/>
  <c r="I40" i="21"/>
  <c r="X43" i="19"/>
  <c r="V92" i="19"/>
  <c r="K134" i="12"/>
  <c r="B21" i="24"/>
  <c r="K133" i="12"/>
  <c r="U13" i="19"/>
  <c r="V11" i="19"/>
  <c r="Z19" i="19"/>
  <c r="U115" i="19"/>
  <c r="U155" i="12"/>
  <c r="L133" i="19"/>
  <c r="W46" i="19"/>
  <c r="AA92" i="20"/>
  <c r="I9" i="22"/>
  <c r="K134" i="19"/>
  <c r="C21" i="24"/>
  <c r="Y146" i="19"/>
  <c r="U153" i="12"/>
  <c r="U19" i="12"/>
  <c r="W146" i="12"/>
  <c r="Y112" i="12"/>
  <c r="Y46" i="12"/>
  <c r="W112" i="20"/>
  <c r="B20" i="24"/>
  <c r="J134" i="12"/>
  <c r="H20" i="25"/>
  <c r="G20" i="25"/>
  <c r="U173" i="12"/>
  <c r="O129" i="20"/>
  <c r="V34" i="19"/>
  <c r="W34" i="19" s="1"/>
  <c r="X34" i="19" s="1"/>
  <c r="Y34" i="19" s="1"/>
  <c r="Z34" i="19" s="1"/>
  <c r="AA34" i="19" s="1"/>
  <c r="V44" i="19"/>
  <c r="V45" i="19" s="1"/>
  <c r="V119" i="19" s="1"/>
  <c r="V121" i="19" s="1"/>
  <c r="V33" i="19"/>
  <c r="W33" i="19" s="1"/>
  <c r="X33" i="19" s="1"/>
  <c r="Y33" i="19" s="1"/>
  <c r="Z33" i="19" s="1"/>
  <c r="AA33" i="19" s="1"/>
  <c r="J166" i="20"/>
  <c r="U120" i="19"/>
  <c r="K149" i="12"/>
  <c r="Z43" i="19"/>
  <c r="M166" i="12"/>
  <c r="V112" i="12"/>
  <c r="V46" i="19"/>
  <c r="V47" i="19" s="1"/>
  <c r="W47" i="19" s="1"/>
  <c r="V92" i="20"/>
  <c r="B22" i="24"/>
  <c r="E22" i="24" s="1"/>
  <c r="L134" i="12"/>
  <c r="K166" i="20"/>
  <c r="J149" i="12"/>
  <c r="I133" i="12"/>
  <c r="U133" i="12" s="1"/>
  <c r="N166" i="20"/>
  <c r="D19" i="24"/>
  <c r="I134" i="20"/>
  <c r="U134" i="20" s="1"/>
  <c r="U90" i="20"/>
  <c r="P159" i="20" s="1"/>
  <c r="N129" i="19"/>
  <c r="AA43" i="19"/>
  <c r="AA171" i="20"/>
  <c r="U144" i="20"/>
  <c r="AA112" i="19"/>
  <c r="U78" i="20"/>
  <c r="AA19" i="20"/>
  <c r="H21" i="24"/>
  <c r="U143" i="20"/>
  <c r="W171" i="12"/>
  <c r="U123" i="12"/>
  <c r="W140" i="19"/>
  <c r="Z171" i="20"/>
  <c r="U140" i="19"/>
  <c r="I149" i="19"/>
  <c r="U149" i="19" s="1"/>
  <c r="G29" i="9"/>
  <c r="E13" i="13" s="1"/>
  <c r="AA92" i="19"/>
  <c r="U43" i="20"/>
  <c r="U54" i="20" s="1"/>
  <c r="V18" i="12"/>
  <c r="Z146" i="19"/>
  <c r="X146" i="19"/>
  <c r="U154" i="12"/>
  <c r="L133" i="20"/>
  <c r="AA18" i="19"/>
  <c r="AA140" i="19"/>
  <c r="U82" i="19"/>
  <c r="U78" i="19"/>
  <c r="U86" i="19"/>
  <c r="U74" i="19"/>
  <c r="U90" i="19"/>
  <c r="P159" i="19" s="1"/>
  <c r="U83" i="19"/>
  <c r="U79" i="19"/>
  <c r="U71" i="19"/>
  <c r="U76" i="19"/>
  <c r="U85" i="19"/>
  <c r="U75" i="19"/>
  <c r="U72" i="19"/>
  <c r="U80" i="19"/>
  <c r="U81" i="19"/>
  <c r="U73" i="19"/>
  <c r="W44" i="20"/>
  <c r="Z140" i="20"/>
  <c r="U86" i="20"/>
  <c r="U92" i="12"/>
  <c r="U92" i="19"/>
  <c r="W17" i="19"/>
  <c r="X17" i="19" s="1"/>
  <c r="U174" i="12"/>
  <c r="O134" i="19"/>
  <c r="Z146" i="20"/>
  <c r="U124" i="20"/>
  <c r="I166" i="20"/>
  <c r="V122" i="20"/>
  <c r="V123" i="20"/>
  <c r="M166" i="20"/>
  <c r="M134" i="12"/>
  <c r="B23" i="24"/>
  <c r="Y140" i="19"/>
  <c r="U73" i="20"/>
  <c r="AA18" i="20"/>
  <c r="Z46" i="20"/>
  <c r="F31" i="9"/>
  <c r="F15" i="9"/>
  <c r="N133" i="19"/>
  <c r="I149" i="12"/>
  <c r="U149" i="12" s="1"/>
  <c r="L149" i="20"/>
  <c r="U143" i="12"/>
  <c r="H11" i="24"/>
  <c r="X146" i="20"/>
  <c r="U112" i="20"/>
  <c r="X44" i="20"/>
  <c r="K133" i="19"/>
  <c r="Z112" i="20"/>
  <c r="U120" i="20"/>
  <c r="Z43" i="20"/>
  <c r="V12" i="19"/>
  <c r="U37" i="19"/>
  <c r="E56" i="21"/>
  <c r="F9" i="22"/>
  <c r="I133" i="19"/>
  <c r="U133" i="19" s="1"/>
  <c r="X92" i="12"/>
  <c r="X146" i="12"/>
  <c r="J133" i="20"/>
  <c r="V133" i="20" s="1"/>
  <c r="U144" i="19"/>
  <c r="U92" i="20"/>
  <c r="V140" i="12"/>
  <c r="U79" i="20"/>
  <c r="N133" i="20"/>
  <c r="Z92" i="20"/>
  <c r="M133" i="19"/>
  <c r="U123" i="19"/>
  <c r="W171" i="19"/>
  <c r="U175" i="12"/>
  <c r="U143" i="19"/>
  <c r="V172" i="20"/>
  <c r="U72" i="20"/>
  <c r="V143" i="20"/>
  <c r="Y92" i="20"/>
  <c r="N149" i="20"/>
  <c r="O134" i="20"/>
  <c r="X92" i="19"/>
  <c r="W172" i="20"/>
  <c r="U71" i="20"/>
  <c r="W19" i="12"/>
  <c r="AA146" i="20"/>
  <c r="U17" i="12"/>
  <c r="V17" i="12" s="1"/>
  <c r="W17" i="12" s="1"/>
  <c r="X17" i="12" s="1"/>
  <c r="Y17" i="12" s="1"/>
  <c r="Z17" i="12" s="1"/>
  <c r="L133" i="12"/>
  <c r="K29" i="9"/>
  <c r="U114" i="20"/>
  <c r="N67" i="21"/>
  <c r="I166" i="12"/>
  <c r="J133" i="19"/>
  <c r="V133" i="19" s="1"/>
  <c r="Z171" i="19"/>
  <c r="X46" i="20"/>
  <c r="N134" i="20"/>
  <c r="U97" i="12"/>
  <c r="K166" i="19"/>
  <c r="AA146" i="19"/>
  <c r="W140" i="12"/>
  <c r="B19" i="24"/>
  <c r="E19" i="24" s="1"/>
  <c r="I134" i="12"/>
  <c r="U134" i="12" s="1"/>
  <c r="U43" i="12"/>
  <c r="U54" i="12" s="1"/>
  <c r="K133" i="20"/>
  <c r="W133" i="20" s="1"/>
  <c r="H9" i="22"/>
  <c r="W122" i="20"/>
  <c r="L166" i="19"/>
  <c r="H29" i="9"/>
  <c r="AA46" i="19"/>
  <c r="U122" i="12"/>
  <c r="U57" i="12"/>
  <c r="U77" i="20"/>
  <c r="D23" i="24"/>
  <c r="M134" i="20"/>
  <c r="U112" i="19"/>
  <c r="O166" i="20"/>
  <c r="U120" i="12"/>
  <c r="U121" i="19"/>
  <c r="U146" i="12"/>
  <c r="U145" i="12"/>
  <c r="V122" i="19"/>
  <c r="Z19" i="20"/>
  <c r="U85" i="20"/>
  <c r="W146" i="19"/>
  <c r="O166" i="19"/>
  <c r="U115" i="20"/>
  <c r="Z18" i="20"/>
  <c r="U144" i="12"/>
  <c r="U114" i="19"/>
  <c r="Y46" i="19"/>
  <c r="U46" i="19"/>
  <c r="AA112" i="20"/>
  <c r="W123" i="20"/>
  <c r="B4" i="23"/>
  <c r="C7" i="23" s="1"/>
  <c r="G7" i="23" s="1"/>
  <c r="D11" i="6"/>
  <c r="W173" i="20"/>
  <c r="U140" i="12"/>
  <c r="J133" i="12"/>
  <c r="W46" i="20"/>
  <c r="V120" i="19"/>
  <c r="D10" i="6"/>
  <c r="B9" i="23"/>
  <c r="C9" i="23" s="1"/>
  <c r="AA43" i="20"/>
  <c r="U122" i="20"/>
  <c r="I29" i="9"/>
  <c r="M134" i="19"/>
  <c r="C23" i="24"/>
  <c r="L166" i="20"/>
  <c r="N129" i="20"/>
  <c r="AA46" i="20"/>
  <c r="U132" i="20"/>
  <c r="X17" i="20"/>
  <c r="Y17" i="20" s="1"/>
  <c r="U46" i="12"/>
  <c r="N166" i="19"/>
  <c r="U124" i="19"/>
  <c r="V92" i="12"/>
  <c r="D21" i="24"/>
  <c r="K134" i="20"/>
  <c r="W134" i="20" s="1"/>
  <c r="U33" i="12"/>
  <c r="V33" i="12" s="1"/>
  <c r="W33" i="12" s="1"/>
  <c r="X33" i="12" s="1"/>
  <c r="Y33" i="12" s="1"/>
  <c r="Z33" i="12" s="1"/>
  <c r="AA33" i="12" s="1"/>
  <c r="U34" i="12"/>
  <c r="V34" i="12" s="1"/>
  <c r="W34" i="12" s="1"/>
  <c r="X34" i="12" s="1"/>
  <c r="Y34" i="12" s="1"/>
  <c r="Z34" i="12" s="1"/>
  <c r="AA34" i="12" s="1"/>
  <c r="I133" i="20"/>
  <c r="U133" i="20" s="1"/>
  <c r="U69" i="20"/>
  <c r="W49" i="19"/>
  <c r="V19" i="12"/>
  <c r="Y19" i="12"/>
  <c r="H20" i="24"/>
  <c r="U121" i="20"/>
  <c r="Z112" i="19"/>
  <c r="W18" i="12"/>
  <c r="U57" i="19"/>
  <c r="H22" i="24"/>
  <c r="W135" i="20"/>
  <c r="W129" i="20"/>
  <c r="W9" i="20"/>
  <c r="U91" i="20"/>
  <c r="Z17" i="20"/>
  <c r="O3" i="24"/>
  <c r="F159" i="1" s="1"/>
  <c r="Y17" i="19"/>
  <c r="X91" i="19"/>
  <c r="X90" i="19"/>
  <c r="K13" i="24"/>
  <c r="M26" i="29"/>
  <c r="N13" i="29"/>
  <c r="J143" i="12"/>
  <c r="L172" i="20"/>
  <c r="N8" i="12"/>
  <c r="K144" i="19"/>
  <c r="L87" i="19"/>
  <c r="J116" i="12"/>
  <c r="P53" i="20"/>
  <c r="P53" i="12"/>
  <c r="P53" i="19"/>
  <c r="L68" i="12"/>
  <c r="K108" i="12"/>
  <c r="J97" i="19"/>
  <c r="L115" i="12"/>
  <c r="L26" i="12"/>
  <c r="J30" i="19"/>
  <c r="L28" i="19"/>
  <c r="J87" i="19"/>
  <c r="I32" i="20"/>
  <c r="J144" i="19"/>
  <c r="J109" i="12"/>
  <c r="M144" i="20"/>
  <c r="G13" i="9"/>
  <c r="K130" i="12"/>
  <c r="K164" i="12"/>
  <c r="L68" i="19"/>
  <c r="L63" i="19"/>
  <c r="J87" i="20"/>
  <c r="K87" i="19"/>
  <c r="Y128" i="12"/>
  <c r="W41" i="12"/>
  <c r="M87" i="20"/>
  <c r="N87" i="19"/>
  <c r="L68" i="20"/>
  <c r="M114" i="20"/>
  <c r="N68" i="19"/>
  <c r="K68" i="19"/>
  <c r="M35" i="20"/>
  <c r="K114" i="20"/>
  <c r="J32" i="12"/>
  <c r="L97" i="19"/>
  <c r="L30" i="12"/>
  <c r="O68" i="20"/>
  <c r="L37" i="19"/>
  <c r="O87" i="20"/>
  <c r="O87" i="19"/>
  <c r="M147" i="20"/>
  <c r="M130" i="20"/>
  <c r="L109" i="19"/>
  <c r="N87" i="20"/>
  <c r="I68" i="12"/>
  <c r="I87" i="19"/>
  <c r="L124" i="20"/>
  <c r="K97" i="19"/>
  <c r="I30" i="20"/>
  <c r="K159" i="1"/>
  <c r="L159" i="1"/>
  <c r="M87" i="12"/>
  <c r="M68" i="19"/>
  <c r="J144" i="12"/>
  <c r="L147" i="19"/>
  <c r="K114" i="19"/>
  <c r="M144" i="12"/>
  <c r="K31" i="12"/>
  <c r="M148" i="12"/>
  <c r="L132" i="12"/>
  <c r="I87" i="20"/>
  <c r="M87" i="19"/>
  <c r="N68" i="20"/>
  <c r="L32" i="12"/>
  <c r="J31" i="12"/>
  <c r="L87" i="20"/>
  <c r="K174" i="19"/>
  <c r="J144" i="20"/>
  <c r="J68" i="19"/>
  <c r="Y127" i="12"/>
  <c r="I31" i="20"/>
  <c r="I68" i="20"/>
  <c r="P52" i="20"/>
  <c r="P52" i="12"/>
  <c r="P52" i="19"/>
  <c r="M68" i="12"/>
  <c r="M112" i="20"/>
  <c r="M115" i="19"/>
  <c r="K87" i="20"/>
  <c r="W128" i="19"/>
  <c r="M29" i="12"/>
  <c r="J68" i="12"/>
  <c r="L108" i="20"/>
  <c r="K68" i="20"/>
  <c r="J97" i="20"/>
  <c r="V128" i="12"/>
  <c r="G9" i="9"/>
  <c r="G12" i="9"/>
  <c r="L108" i="12"/>
  <c r="L32" i="19"/>
  <c r="M143" i="20"/>
  <c r="M31" i="20"/>
  <c r="O68" i="19"/>
  <c r="N131" i="19"/>
  <c r="J147" i="20"/>
  <c r="O87" i="12"/>
  <c r="K38" i="19"/>
  <c r="J31" i="19"/>
  <c r="V41" i="19"/>
  <c r="O131" i="20"/>
  <c r="V41" i="12"/>
  <c r="J29" i="12"/>
  <c r="K87" i="12"/>
  <c r="L112" i="19"/>
  <c r="L8" i="20"/>
  <c r="N131" i="20"/>
  <c r="I37" i="12"/>
  <c r="M148" i="19"/>
  <c r="I32" i="19"/>
  <c r="L109" i="20"/>
  <c r="G10" i="9"/>
  <c r="L27" i="20"/>
  <c r="N87" i="12"/>
  <c r="I68" i="19"/>
  <c r="L28" i="20"/>
  <c r="O131" i="19"/>
  <c r="K68" i="12"/>
  <c r="L30" i="20"/>
  <c r="J28" i="20"/>
  <c r="X128" i="12"/>
  <c r="L87" i="12"/>
  <c r="K175" i="19"/>
  <c r="K147" i="19"/>
  <c r="J30" i="20"/>
  <c r="J68" i="20"/>
  <c r="M68" i="20"/>
  <c r="L173" i="19"/>
  <c r="K148" i="20"/>
  <c r="L31" i="12"/>
  <c r="K36" i="20"/>
  <c r="L36" i="19"/>
  <c r="I87" i="12"/>
  <c r="Y41" i="12"/>
  <c r="M143" i="12"/>
  <c r="M36" i="12"/>
  <c r="J108" i="20"/>
  <c r="J27" i="19"/>
  <c r="L115" i="19"/>
  <c r="N116" i="19"/>
  <c r="L35" i="20"/>
  <c r="J87" i="12"/>
  <c r="G11" i="9"/>
  <c r="V41" i="20"/>
  <c r="M109" i="20"/>
  <c r="K131" i="20"/>
  <c r="M28" i="20"/>
  <c r="F11" i="25"/>
  <c r="L109" i="12"/>
  <c r="L144" i="20"/>
  <c r="M124" i="20"/>
  <c r="K26" i="19"/>
  <c r="J28" i="19"/>
  <c r="L37" i="20"/>
  <c r="M97" i="12"/>
  <c r="G14" i="9"/>
  <c r="M171" i="12"/>
  <c r="J35" i="20"/>
  <c r="M131" i="19"/>
  <c r="H13" i="12"/>
  <c r="H13" i="20"/>
  <c r="H13" i="19"/>
  <c r="J32" i="20"/>
  <c r="Y171" i="12" l="1"/>
  <c r="G31" i="9"/>
  <c r="G15" i="9"/>
  <c r="D14" i="24"/>
  <c r="K129" i="19"/>
  <c r="C13" i="24"/>
  <c r="H11" i="25"/>
  <c r="G11" i="25"/>
  <c r="J7" i="24"/>
  <c r="J15" i="24"/>
  <c r="M129" i="20"/>
  <c r="D15" i="24"/>
  <c r="V43" i="20"/>
  <c r="V54" i="20" s="1"/>
  <c r="C12" i="24"/>
  <c r="I28" i="24" s="1"/>
  <c r="Q28" i="24" s="1"/>
  <c r="J129" i="19"/>
  <c r="Y43" i="12"/>
  <c r="D13" i="24"/>
  <c r="K149" i="20"/>
  <c r="W149" i="20" s="1"/>
  <c r="D31" i="24"/>
  <c r="D28" i="24"/>
  <c r="J12" i="24"/>
  <c r="Q4" i="24" s="1"/>
  <c r="J4" i="24"/>
  <c r="K149" i="19"/>
  <c r="W175" i="19"/>
  <c r="J129" i="20"/>
  <c r="D12" i="24"/>
  <c r="J28" i="24" s="1"/>
  <c r="R28" i="24" s="1"/>
  <c r="J6" i="24"/>
  <c r="J14" i="24"/>
  <c r="Q6" i="24" s="1"/>
  <c r="B29" i="24"/>
  <c r="E29" i="24" s="1"/>
  <c r="C27" i="24"/>
  <c r="L129" i="20"/>
  <c r="I3" i="24"/>
  <c r="I129" i="19"/>
  <c r="C11" i="24"/>
  <c r="U32" i="19"/>
  <c r="I11" i="24"/>
  <c r="M149" i="19"/>
  <c r="H3" i="24"/>
  <c r="B11" i="24"/>
  <c r="X112" i="19"/>
  <c r="H4" i="24"/>
  <c r="K4" i="24" s="1"/>
  <c r="J129" i="12"/>
  <c r="V130" i="12" s="1"/>
  <c r="B12" i="24"/>
  <c r="V43" i="12"/>
  <c r="V54" i="12" s="1"/>
  <c r="V43" i="19"/>
  <c r="V54" i="19" s="1"/>
  <c r="J149" i="20"/>
  <c r="V149" i="20" s="1"/>
  <c r="G30" i="9"/>
  <c r="V97" i="20"/>
  <c r="D29" i="24"/>
  <c r="B28" i="24"/>
  <c r="M129" i="12"/>
  <c r="B15" i="24"/>
  <c r="H7" i="24"/>
  <c r="Y112" i="20"/>
  <c r="B31" i="24"/>
  <c r="V52" i="19"/>
  <c r="U52" i="19"/>
  <c r="V52" i="12"/>
  <c r="U52" i="12"/>
  <c r="U52" i="20"/>
  <c r="V52" i="20"/>
  <c r="D27" i="24"/>
  <c r="U31" i="20"/>
  <c r="C28" i="24"/>
  <c r="V144" i="20"/>
  <c r="U87" i="20"/>
  <c r="M149" i="12"/>
  <c r="K129" i="12"/>
  <c r="B13" i="24"/>
  <c r="H5" i="24"/>
  <c r="K5" i="24" s="1"/>
  <c r="L149" i="19"/>
  <c r="V144" i="12"/>
  <c r="C31" i="24"/>
  <c r="I31" i="24" s="1"/>
  <c r="Q31" i="24" s="1"/>
  <c r="J3" i="24"/>
  <c r="J11" i="24"/>
  <c r="Q3" i="24" s="1"/>
  <c r="F161" i="1" s="1"/>
  <c r="D11" i="24"/>
  <c r="I129" i="20"/>
  <c r="U30" i="20"/>
  <c r="U87" i="19"/>
  <c r="B27" i="24"/>
  <c r="M149" i="20"/>
  <c r="C14" i="24"/>
  <c r="C29" i="24"/>
  <c r="D30" i="24"/>
  <c r="W43" i="12"/>
  <c r="W52" i="12" s="1"/>
  <c r="L129" i="19"/>
  <c r="C30" i="24"/>
  <c r="K166" i="12"/>
  <c r="V144" i="19"/>
  <c r="U32" i="20"/>
  <c r="V87" i="19"/>
  <c r="I6" i="24"/>
  <c r="I14" i="24"/>
  <c r="P6" i="24" s="1"/>
  <c r="I12" i="24"/>
  <c r="P4" i="24" s="1"/>
  <c r="I4" i="24"/>
  <c r="H14" i="24"/>
  <c r="H6" i="24"/>
  <c r="B14" i="24"/>
  <c r="L129" i="12"/>
  <c r="B30" i="24"/>
  <c r="Y53" i="19"/>
  <c r="W53" i="19"/>
  <c r="U53" i="19"/>
  <c r="V53" i="19"/>
  <c r="U53" i="12"/>
  <c r="V53" i="20"/>
  <c r="U53" i="20"/>
  <c r="X53" i="20"/>
  <c r="W144" i="19"/>
  <c r="X172" i="20"/>
  <c r="V143" i="12"/>
  <c r="P160" i="20"/>
  <c r="W12" i="20"/>
  <c r="V37" i="20"/>
  <c r="U31" i="12"/>
  <c r="W11" i="12"/>
  <c r="U68" i="12"/>
  <c r="V13" i="12"/>
  <c r="J13" i="12" s="1"/>
  <c r="U69" i="19"/>
  <c r="V13" i="19"/>
  <c r="W11" i="19"/>
  <c r="P5" i="29"/>
  <c r="G10" i="22"/>
  <c r="V32" i="12"/>
  <c r="V26" i="12"/>
  <c r="V23" i="12"/>
  <c r="V35" i="12"/>
  <c r="V31" i="12"/>
  <c r="V30" i="12"/>
  <c r="V38" i="12"/>
  <c r="V27" i="12"/>
  <c r="W7" i="12"/>
  <c r="V29" i="12"/>
  <c r="V63" i="12"/>
  <c r="V24" i="12"/>
  <c r="V28" i="12"/>
  <c r="V25" i="12"/>
  <c r="K20" i="24"/>
  <c r="O4" i="24"/>
  <c r="V90" i="12"/>
  <c r="V91" i="12"/>
  <c r="V86" i="12"/>
  <c r="V81" i="12"/>
  <c r="V84" i="12"/>
  <c r="V71" i="12"/>
  <c r="X47" i="19"/>
  <c r="Y47" i="19" s="1"/>
  <c r="Z47" i="19" s="1"/>
  <c r="AA47" i="19" s="1"/>
  <c r="AA53" i="19" s="1"/>
  <c r="W47" i="20"/>
  <c r="X47" i="20" s="1"/>
  <c r="Y47" i="20" s="1"/>
  <c r="Z47" i="20" s="1"/>
  <c r="AA47" i="20" s="1"/>
  <c r="AA53" i="20" s="1"/>
  <c r="H7" i="23"/>
  <c r="G4" i="23"/>
  <c r="H4" i="23" s="1"/>
  <c r="I32" i="21"/>
  <c r="D9" i="23"/>
  <c r="Y91" i="12"/>
  <c r="U73" i="12"/>
  <c r="U87" i="12"/>
  <c r="U80" i="12"/>
  <c r="U69" i="12"/>
  <c r="U78" i="12"/>
  <c r="U84" i="12"/>
  <c r="U75" i="12"/>
  <c r="U79" i="12"/>
  <c r="U71" i="12"/>
  <c r="U74" i="12"/>
  <c r="U91" i="12"/>
  <c r="U81" i="12"/>
  <c r="U85" i="12"/>
  <c r="U70" i="12"/>
  <c r="U76" i="12"/>
  <c r="U77" i="12"/>
  <c r="U72" i="12"/>
  <c r="U83" i="12"/>
  <c r="U82" i="12"/>
  <c r="U90" i="12"/>
  <c r="P159" i="12" s="1"/>
  <c r="U86" i="12"/>
  <c r="P157" i="20"/>
  <c r="P157" i="19"/>
  <c r="V91" i="19"/>
  <c r="Y54" i="20"/>
  <c r="X8" i="20"/>
  <c r="V32" i="19"/>
  <c r="V23" i="19"/>
  <c r="V130" i="19"/>
  <c r="V31" i="19"/>
  <c r="V35" i="19"/>
  <c r="V28" i="19"/>
  <c r="V24" i="19"/>
  <c r="V27" i="19"/>
  <c r="V63" i="19"/>
  <c r="V29" i="19"/>
  <c r="W7" i="19"/>
  <c r="V30" i="19"/>
  <c r="V38" i="19"/>
  <c r="V25" i="19"/>
  <c r="V26" i="19"/>
  <c r="E21" i="24"/>
  <c r="U27" i="12"/>
  <c r="V85" i="12"/>
  <c r="F10" i="22"/>
  <c r="O5" i="29"/>
  <c r="E23" i="24"/>
  <c r="E15" i="13"/>
  <c r="E16" i="13" s="1"/>
  <c r="I35" i="21" s="1"/>
  <c r="F13" i="13"/>
  <c r="K21" i="24"/>
  <c r="O5" i="24"/>
  <c r="U74" i="20"/>
  <c r="W11" i="20"/>
  <c r="V87" i="20" s="1"/>
  <c r="V13" i="20"/>
  <c r="U25" i="12"/>
  <c r="V27" i="20"/>
  <c r="W7" i="20"/>
  <c r="V25" i="20"/>
  <c r="V38" i="20"/>
  <c r="V30" i="20"/>
  <c r="V29" i="20"/>
  <c r="V23" i="20"/>
  <c r="V32" i="20"/>
  <c r="V26" i="20"/>
  <c r="V31" i="20"/>
  <c r="V35" i="20"/>
  <c r="V28" i="20"/>
  <c r="V63" i="20"/>
  <c r="V24" i="20"/>
  <c r="W10" i="20"/>
  <c r="V36" i="20"/>
  <c r="U26" i="12"/>
  <c r="V69" i="12"/>
  <c r="I10" i="22"/>
  <c r="R5" i="29"/>
  <c r="R6" i="29" s="1"/>
  <c r="Z8" i="12"/>
  <c r="AA8" i="12" s="1"/>
  <c r="Z90" i="12" s="1"/>
  <c r="V119" i="12"/>
  <c r="W45" i="12"/>
  <c r="U35" i="12"/>
  <c r="U135" i="12"/>
  <c r="V113" i="19"/>
  <c r="W126" i="19"/>
  <c r="W132" i="19" s="1"/>
  <c r="W118" i="19"/>
  <c r="W139" i="19"/>
  <c r="W174" i="19" s="1"/>
  <c r="V96" i="19"/>
  <c r="V97" i="19" s="1"/>
  <c r="X49" i="19"/>
  <c r="V101" i="19"/>
  <c r="V102" i="19" s="1"/>
  <c r="V37" i="19"/>
  <c r="W12" i="19"/>
  <c r="P160" i="19"/>
  <c r="V124" i="19"/>
  <c r="P161" i="19"/>
  <c r="X47" i="12"/>
  <c r="Y47" i="12" s="1"/>
  <c r="Z47" i="12" s="1"/>
  <c r="AA47" i="12" s="1"/>
  <c r="AA53" i="12" s="1"/>
  <c r="P161" i="12"/>
  <c r="V119" i="20"/>
  <c r="W45" i="20"/>
  <c r="W52" i="20" s="1"/>
  <c r="U24" i="12"/>
  <c r="H10" i="22"/>
  <c r="Q5" i="29"/>
  <c r="Q6" i="29" s="1"/>
  <c r="E20" i="24"/>
  <c r="W101" i="20"/>
  <c r="W102" i="20" s="1"/>
  <c r="X126" i="20"/>
  <c r="X133" i="20" s="1"/>
  <c r="W96" i="20"/>
  <c r="W97" i="20" s="1"/>
  <c r="Y49" i="20"/>
  <c r="X118" i="20"/>
  <c r="W113" i="20"/>
  <c r="W114" i="20" s="1"/>
  <c r="X139" i="20"/>
  <c r="X144" i="20" s="1"/>
  <c r="U36" i="12"/>
  <c r="U63" i="12"/>
  <c r="V36" i="12"/>
  <c r="W10" i="12"/>
  <c r="U30" i="12"/>
  <c r="Z91" i="12"/>
  <c r="AA17" i="12"/>
  <c r="V77" i="12"/>
  <c r="V73" i="12"/>
  <c r="V80" i="12"/>
  <c r="K22" i="24"/>
  <c r="O6" i="24"/>
  <c r="P160" i="12"/>
  <c r="W91" i="19"/>
  <c r="V74" i="12"/>
  <c r="V57" i="19"/>
  <c r="W90" i="19"/>
  <c r="U84" i="19"/>
  <c r="W49" i="12"/>
  <c r="U96" i="12"/>
  <c r="V126" i="12"/>
  <c r="V134" i="12" s="1"/>
  <c r="U113" i="12"/>
  <c r="V118" i="12"/>
  <c r="V139" i="12"/>
  <c r="U101" i="12"/>
  <c r="U81" i="20"/>
  <c r="U38" i="12"/>
  <c r="U91" i="19"/>
  <c r="U75" i="20"/>
  <c r="C6" i="23"/>
  <c r="G6" i="23" s="1"/>
  <c r="B5" i="23"/>
  <c r="K23" i="24"/>
  <c r="O7" i="24"/>
  <c r="W45" i="19"/>
  <c r="W52" i="19" s="1"/>
  <c r="X91" i="12"/>
  <c r="X90" i="12"/>
  <c r="X54" i="20"/>
  <c r="U32" i="12"/>
  <c r="W133" i="19"/>
  <c r="W10" i="19"/>
  <c r="V36" i="19"/>
  <c r="U28" i="12"/>
  <c r="K12" i="24"/>
  <c r="U37" i="12"/>
  <c r="N5" i="29"/>
  <c r="N6" i="29" s="1"/>
  <c r="E10" i="22"/>
  <c r="U130" i="12"/>
  <c r="W90" i="12"/>
  <c r="W91" i="12"/>
  <c r="U77" i="19"/>
  <c r="U80" i="20"/>
  <c r="W54" i="19"/>
  <c r="W12" i="12"/>
  <c r="V37" i="12"/>
  <c r="U29" i="12"/>
  <c r="W131" i="20"/>
  <c r="Z17" i="19"/>
  <c r="Y91" i="19"/>
  <c r="Y90" i="19"/>
  <c r="AA17" i="20"/>
  <c r="X9" i="20"/>
  <c r="V91" i="20"/>
  <c r="N26" i="29"/>
  <c r="O13" i="29"/>
  <c r="H14" i="9"/>
  <c r="L131" i="19"/>
  <c r="M116" i="12"/>
  <c r="L116" i="12"/>
  <c r="H13" i="9"/>
  <c r="H12" i="9"/>
  <c r="H11" i="9"/>
  <c r="H9" i="9"/>
  <c r="K161" i="1"/>
  <c r="L116" i="20" s="1"/>
  <c r="L161" i="1"/>
  <c r="M116" i="20" s="1"/>
  <c r="H10" i="9"/>
  <c r="H30" i="9" l="1"/>
  <c r="H15" i="9"/>
  <c r="H31" i="9"/>
  <c r="W129" i="12"/>
  <c r="Y53" i="12"/>
  <c r="U129" i="20"/>
  <c r="U135" i="20"/>
  <c r="U130" i="20"/>
  <c r="V135" i="19"/>
  <c r="V129" i="19"/>
  <c r="V72" i="12"/>
  <c r="V68" i="12"/>
  <c r="X11" i="12"/>
  <c r="W13" i="12"/>
  <c r="V79" i="12"/>
  <c r="V76" i="12"/>
  <c r="V83" i="12"/>
  <c r="Z53" i="12"/>
  <c r="J27" i="24"/>
  <c r="R27" i="24" s="1"/>
  <c r="W122" i="19"/>
  <c r="W120" i="19"/>
  <c r="W123" i="19"/>
  <c r="V114" i="19"/>
  <c r="V115" i="19"/>
  <c r="V116" i="19"/>
  <c r="O6" i="29"/>
  <c r="X129" i="20"/>
  <c r="X135" i="20"/>
  <c r="AA91" i="12"/>
  <c r="AA90" i="12"/>
  <c r="W23" i="12"/>
  <c r="W25" i="12"/>
  <c r="W26" i="12"/>
  <c r="W29" i="12"/>
  <c r="X7" i="12"/>
  <c r="W31" i="12"/>
  <c r="W32" i="12"/>
  <c r="W63" i="12"/>
  <c r="W130" i="12"/>
  <c r="W27" i="12"/>
  <c r="W30" i="12"/>
  <c r="W35" i="12"/>
  <c r="W38" i="12"/>
  <c r="W28" i="12"/>
  <c r="W24" i="12"/>
  <c r="V53" i="12"/>
  <c r="V155" i="12"/>
  <c r="V145" i="12"/>
  <c r="V154" i="12"/>
  <c r="V149" i="12"/>
  <c r="V142" i="12"/>
  <c r="V175" i="12"/>
  <c r="V153" i="12"/>
  <c r="V172" i="12"/>
  <c r="V174" i="12"/>
  <c r="V173" i="12"/>
  <c r="V152" i="12"/>
  <c r="X45" i="20"/>
  <c r="W119" i="20"/>
  <c r="W57" i="20"/>
  <c r="Y8" i="20"/>
  <c r="W90" i="20"/>
  <c r="W37" i="20"/>
  <c r="X12" i="20"/>
  <c r="X53" i="19"/>
  <c r="W36" i="19"/>
  <c r="X10" i="19"/>
  <c r="V122" i="12"/>
  <c r="V120" i="12"/>
  <c r="V123" i="12"/>
  <c r="V124" i="20"/>
  <c r="V121" i="20"/>
  <c r="W57" i="12"/>
  <c r="W119" i="12"/>
  <c r="X45" i="12"/>
  <c r="V82" i="12"/>
  <c r="Z53" i="19"/>
  <c r="Y135" i="20"/>
  <c r="U115" i="12"/>
  <c r="U114" i="12"/>
  <c r="U116" i="12"/>
  <c r="V121" i="12"/>
  <c r="V124" i="12"/>
  <c r="I30" i="24"/>
  <c r="Q30" i="24" s="1"/>
  <c r="Q7" i="24"/>
  <c r="K15" i="24"/>
  <c r="E12" i="24"/>
  <c r="H28" i="24"/>
  <c r="W63" i="20"/>
  <c r="W130" i="20"/>
  <c r="W23" i="20"/>
  <c r="W38" i="20"/>
  <c r="W31" i="20"/>
  <c r="W26" i="20"/>
  <c r="W28" i="20"/>
  <c r="W32" i="20"/>
  <c r="W25" i="20"/>
  <c r="V86" i="20"/>
  <c r="W30" i="20"/>
  <c r="W35" i="20"/>
  <c r="X7" i="20"/>
  <c r="W27" i="20"/>
  <c r="W29" i="20"/>
  <c r="W24" i="20"/>
  <c r="P162" i="20"/>
  <c r="V129" i="12"/>
  <c r="V135" i="12"/>
  <c r="V130" i="20"/>
  <c r="V135" i="20"/>
  <c r="V129" i="20"/>
  <c r="X10" i="12"/>
  <c r="W36" i="12"/>
  <c r="W37" i="12"/>
  <c r="X12" i="12"/>
  <c r="V87" i="12"/>
  <c r="E30" i="24"/>
  <c r="H29" i="24"/>
  <c r="E13" i="24"/>
  <c r="V132" i="12"/>
  <c r="V133" i="12"/>
  <c r="V131" i="12"/>
  <c r="V96" i="12"/>
  <c r="V97" i="12" s="1"/>
  <c r="V113" i="12"/>
  <c r="X49" i="12"/>
  <c r="W126" i="12"/>
  <c r="W118" i="12"/>
  <c r="W139" i="12"/>
  <c r="V101" i="12"/>
  <c r="V102" i="12" s="1"/>
  <c r="W54" i="12"/>
  <c r="X149" i="20"/>
  <c r="X173" i="20"/>
  <c r="X152" i="20"/>
  <c r="X155" i="20"/>
  <c r="X153" i="20"/>
  <c r="X142" i="20"/>
  <c r="X154" i="20"/>
  <c r="X143" i="20"/>
  <c r="X174" i="20"/>
  <c r="X145" i="20"/>
  <c r="X175" i="20"/>
  <c r="U70" i="20"/>
  <c r="P158" i="20" s="1"/>
  <c r="J13" i="20"/>
  <c r="W38" i="19"/>
  <c r="W30" i="19"/>
  <c r="W26" i="19"/>
  <c r="W29" i="19"/>
  <c r="W25" i="19"/>
  <c r="X7" i="19"/>
  <c r="W23" i="19"/>
  <c r="W35" i="19"/>
  <c r="W63" i="19"/>
  <c r="V86" i="19"/>
  <c r="W31" i="19"/>
  <c r="W32" i="19"/>
  <c r="W24" i="19"/>
  <c r="W28" i="19"/>
  <c r="W130" i="19"/>
  <c r="W27" i="19"/>
  <c r="Y53" i="20"/>
  <c r="E31" i="24"/>
  <c r="H27" i="24"/>
  <c r="E11" i="24"/>
  <c r="I29" i="24"/>
  <c r="Q29" i="24" s="1"/>
  <c r="Y90" i="12"/>
  <c r="Z53" i="20"/>
  <c r="H30" i="24"/>
  <c r="E14" i="24"/>
  <c r="K3" i="24"/>
  <c r="W135" i="19"/>
  <c r="W129" i="19"/>
  <c r="V80" i="20"/>
  <c r="V74" i="20"/>
  <c r="V75" i="20"/>
  <c r="V77" i="20"/>
  <c r="V73" i="20"/>
  <c r="V81" i="20"/>
  <c r="W13" i="20"/>
  <c r="V71" i="20"/>
  <c r="X11" i="20"/>
  <c r="V76" i="20"/>
  <c r="V84" i="20"/>
  <c r="V79" i="20"/>
  <c r="V83" i="20"/>
  <c r="V82" i="20"/>
  <c r="V78" i="20"/>
  <c r="V72" i="20"/>
  <c r="V69" i="20"/>
  <c r="V85" i="20"/>
  <c r="P6" i="29"/>
  <c r="W53" i="20"/>
  <c r="K6" i="24"/>
  <c r="X12" i="19"/>
  <c r="W37" i="19"/>
  <c r="X120" i="20"/>
  <c r="X122" i="20"/>
  <c r="X123" i="20"/>
  <c r="K7" i="24"/>
  <c r="J30" i="24"/>
  <c r="R30" i="24" s="1"/>
  <c r="X96" i="20"/>
  <c r="X97" i="20" s="1"/>
  <c r="Z49" i="20"/>
  <c r="X113" i="20"/>
  <c r="X116" i="20" s="1"/>
  <c r="X101" i="20"/>
  <c r="X102" i="20" s="1"/>
  <c r="Y126" i="20"/>
  <c r="Y139" i="20"/>
  <c r="Y118" i="20"/>
  <c r="W134" i="19"/>
  <c r="E9" i="23"/>
  <c r="N32" i="21"/>
  <c r="O32" i="21" s="1"/>
  <c r="V83" i="19"/>
  <c r="V80" i="19"/>
  <c r="V77" i="19"/>
  <c r="V78" i="19"/>
  <c r="V81" i="19"/>
  <c r="V71" i="19"/>
  <c r="V74" i="19"/>
  <c r="V84" i="19"/>
  <c r="V69" i="19"/>
  <c r="V72" i="19"/>
  <c r="V82" i="19"/>
  <c r="V73" i="19"/>
  <c r="V76" i="19"/>
  <c r="W13" i="19"/>
  <c r="X11" i="19"/>
  <c r="V79" i="19"/>
  <c r="V85" i="19"/>
  <c r="V75" i="19"/>
  <c r="K14" i="24"/>
  <c r="H31" i="24"/>
  <c r="E15" i="24"/>
  <c r="P3" i="24"/>
  <c r="F160" i="1" s="1"/>
  <c r="K11" i="24"/>
  <c r="J31" i="24"/>
  <c r="R31" i="24" s="1"/>
  <c r="P157" i="12"/>
  <c r="P158" i="12"/>
  <c r="W119" i="19"/>
  <c r="X45" i="19"/>
  <c r="W57" i="19"/>
  <c r="W115" i="20"/>
  <c r="W116" i="20"/>
  <c r="X10" i="20"/>
  <c r="W36" i="20"/>
  <c r="W113" i="19"/>
  <c r="X126" i="19"/>
  <c r="Y49" i="19"/>
  <c r="W101" i="19"/>
  <c r="W102" i="19" s="1"/>
  <c r="X54" i="19"/>
  <c r="W96" i="19"/>
  <c r="W97" i="19" s="1"/>
  <c r="X118" i="19"/>
  <c r="X139" i="19"/>
  <c r="U70" i="19"/>
  <c r="P158" i="19" s="1"/>
  <c r="P162" i="19" s="1"/>
  <c r="J13" i="19"/>
  <c r="E27" i="24"/>
  <c r="H6" i="23"/>
  <c r="G3" i="23"/>
  <c r="X132" i="20"/>
  <c r="X134" i="20"/>
  <c r="V75" i="12"/>
  <c r="X53" i="12"/>
  <c r="E28" i="24"/>
  <c r="I27" i="24"/>
  <c r="Q27" i="24" s="1"/>
  <c r="Q34" i="24" s="1"/>
  <c r="Q35" i="24" s="1"/>
  <c r="J29" i="24"/>
  <c r="R29" i="24" s="1"/>
  <c r="W149" i="19"/>
  <c r="W154" i="19"/>
  <c r="W142" i="19"/>
  <c r="W173" i="19"/>
  <c r="W152" i="19"/>
  <c r="W172" i="19"/>
  <c r="W153" i="19"/>
  <c r="W143" i="19"/>
  <c r="W155" i="19"/>
  <c r="W145" i="19"/>
  <c r="F15" i="13"/>
  <c r="F16" i="13" s="1"/>
  <c r="N35" i="21" s="1"/>
  <c r="O35" i="21" s="1"/>
  <c r="G13" i="13"/>
  <c r="V78" i="12"/>
  <c r="W53" i="12"/>
  <c r="U135" i="19"/>
  <c r="U130" i="19"/>
  <c r="U129" i="19"/>
  <c r="Y9" i="20"/>
  <c r="W91" i="20"/>
  <c r="AA17" i="19"/>
  <c r="Z91" i="19"/>
  <c r="Z90" i="19"/>
  <c r="O26" i="29"/>
  <c r="P13" i="29"/>
  <c r="I10" i="9"/>
  <c r="M131" i="20"/>
  <c r="K131" i="19"/>
  <c r="J131" i="19"/>
  <c r="I131" i="19"/>
  <c r="I9" i="9"/>
  <c r="L131" i="20"/>
  <c r="I11" i="9"/>
  <c r="I12" i="9"/>
  <c r="I13" i="9"/>
  <c r="I14" i="9"/>
  <c r="K160" i="1"/>
  <c r="L116" i="19" s="1"/>
  <c r="L160" i="1"/>
  <c r="M116" i="19" s="1"/>
  <c r="J131" i="20"/>
  <c r="I131" i="20"/>
  <c r="U131" i="20" l="1"/>
  <c r="V131" i="20"/>
  <c r="X116" i="19"/>
  <c r="I31" i="9"/>
  <c r="I15" i="9"/>
  <c r="X131" i="20"/>
  <c r="I30" i="9"/>
  <c r="U131" i="19"/>
  <c r="V131" i="19"/>
  <c r="W131" i="19"/>
  <c r="Y131" i="20"/>
  <c r="X135" i="19"/>
  <c r="X132" i="19"/>
  <c r="X133" i="19"/>
  <c r="X134" i="19"/>
  <c r="Y45" i="19"/>
  <c r="X119" i="19"/>
  <c r="X57" i="19"/>
  <c r="X52" i="19"/>
  <c r="Y101" i="20"/>
  <c r="Y102" i="20" s="1"/>
  <c r="Z118" i="20"/>
  <c r="AA49" i="20"/>
  <c r="Y113" i="20"/>
  <c r="Z126" i="20"/>
  <c r="Z139" i="20"/>
  <c r="Y96" i="20"/>
  <c r="Y97" i="20" s="1"/>
  <c r="Z54" i="20"/>
  <c r="P30" i="24"/>
  <c r="K30" i="24"/>
  <c r="L30" i="24" s="1"/>
  <c r="M30" i="24" s="1"/>
  <c r="X23" i="19"/>
  <c r="X24" i="19"/>
  <c r="X31" i="19"/>
  <c r="W86" i="19"/>
  <c r="X35" i="19"/>
  <c r="X63" i="19"/>
  <c r="X30" i="19"/>
  <c r="X32" i="19"/>
  <c r="X130" i="19"/>
  <c r="X27" i="19"/>
  <c r="X26" i="19"/>
  <c r="Y7" i="19"/>
  <c r="X25" i="19"/>
  <c r="X28" i="19"/>
  <c r="X29" i="19"/>
  <c r="X38" i="19"/>
  <c r="D4" i="16"/>
  <c r="F4" i="16" s="1"/>
  <c r="W124" i="19"/>
  <c r="W121" i="19"/>
  <c r="Y10" i="12"/>
  <c r="X36" i="12"/>
  <c r="W124" i="20"/>
  <c r="W121" i="20"/>
  <c r="Y45" i="20"/>
  <c r="X119" i="20"/>
  <c r="X57" i="20"/>
  <c r="X52" i="20"/>
  <c r="Z166" i="19"/>
  <c r="Y166" i="19"/>
  <c r="V166" i="19"/>
  <c r="X166" i="19"/>
  <c r="AA166" i="19"/>
  <c r="W166" i="19"/>
  <c r="U166" i="19"/>
  <c r="P162" i="12"/>
  <c r="W174" i="12"/>
  <c r="W152" i="12"/>
  <c r="W145" i="12"/>
  <c r="W172" i="12"/>
  <c r="W142" i="12"/>
  <c r="W153" i="12"/>
  <c r="W149" i="12"/>
  <c r="W155" i="12"/>
  <c r="W144" i="12"/>
  <c r="W173" i="12"/>
  <c r="W175" i="12"/>
  <c r="W143" i="12"/>
  <c r="W154" i="12"/>
  <c r="X57" i="12"/>
  <c r="Y45" i="12"/>
  <c r="X119" i="12"/>
  <c r="X52" i="12"/>
  <c r="W83" i="20"/>
  <c r="W69" i="20"/>
  <c r="W76" i="20"/>
  <c r="W82" i="20"/>
  <c r="W80" i="20"/>
  <c r="W79" i="20"/>
  <c r="Y11" i="20"/>
  <c r="X13" i="20"/>
  <c r="W77" i="20"/>
  <c r="W75" i="20"/>
  <c r="W87" i="20"/>
  <c r="W71" i="20"/>
  <c r="W72" i="20"/>
  <c r="W85" i="20"/>
  <c r="W73" i="20"/>
  <c r="W81" i="20"/>
  <c r="W84" i="20"/>
  <c r="W74" i="20"/>
  <c r="W78" i="20"/>
  <c r="W123" i="12"/>
  <c r="W120" i="12"/>
  <c r="W122" i="12"/>
  <c r="W124" i="12"/>
  <c r="W121" i="12"/>
  <c r="X174" i="19"/>
  <c r="X145" i="19"/>
  <c r="X142" i="19"/>
  <c r="X149" i="19"/>
  <c r="X152" i="19"/>
  <c r="X173" i="19"/>
  <c r="X153" i="19"/>
  <c r="X154" i="19"/>
  <c r="X155" i="19"/>
  <c r="X175" i="19"/>
  <c r="X144" i="19"/>
  <c r="X172" i="19"/>
  <c r="X143" i="19"/>
  <c r="P27" i="24"/>
  <c r="K27" i="24"/>
  <c r="L27" i="24" s="1"/>
  <c r="M27" i="24" s="1"/>
  <c r="W131" i="12"/>
  <c r="W132" i="12"/>
  <c r="W135" i="12"/>
  <c r="W133" i="12"/>
  <c r="W134" i="12"/>
  <c r="X123" i="19"/>
  <c r="X120" i="19"/>
  <c r="X122" i="19"/>
  <c r="V70" i="20"/>
  <c r="K13" i="20"/>
  <c r="X139" i="12"/>
  <c r="X54" i="12"/>
  <c r="X126" i="12"/>
  <c r="W113" i="12"/>
  <c r="Y49" i="12"/>
  <c r="W96" i="12"/>
  <c r="W97" i="12" s="1"/>
  <c r="X118" i="12"/>
  <c r="W101" i="12"/>
  <c r="W102" i="12" s="1"/>
  <c r="R34" i="24"/>
  <c r="V116" i="12"/>
  <c r="V115" i="12"/>
  <c r="V114" i="12"/>
  <c r="P28" i="24"/>
  <c r="K28" i="24"/>
  <c r="L28" i="24" s="1"/>
  <c r="M28" i="24" s="1"/>
  <c r="X29" i="12"/>
  <c r="X28" i="12"/>
  <c r="X31" i="12"/>
  <c r="Y7" i="12"/>
  <c r="X27" i="12"/>
  <c r="X23" i="12"/>
  <c r="X63" i="12"/>
  <c r="X38" i="12"/>
  <c r="X25" i="12"/>
  <c r="X24" i="12"/>
  <c r="X35" i="12"/>
  <c r="X130" i="12"/>
  <c r="X30" i="12"/>
  <c r="W86" i="12"/>
  <c r="X26" i="12"/>
  <c r="X32" i="12"/>
  <c r="W166" i="20"/>
  <c r="AA166" i="20"/>
  <c r="U166" i="20"/>
  <c r="X166" i="20"/>
  <c r="Y166" i="20"/>
  <c r="Z166" i="20"/>
  <c r="V166" i="20"/>
  <c r="P31" i="24"/>
  <c r="K31" i="24"/>
  <c r="L31" i="24" s="1"/>
  <c r="M31" i="24" s="1"/>
  <c r="Y12" i="19"/>
  <c r="X37" i="19"/>
  <c r="X129" i="19"/>
  <c r="X131" i="19"/>
  <c r="Y10" i="19"/>
  <c r="X36" i="19"/>
  <c r="K13" i="12"/>
  <c r="V70" i="12"/>
  <c r="W114" i="19"/>
  <c r="W116" i="19"/>
  <c r="W115" i="19"/>
  <c r="X25" i="20"/>
  <c r="X38" i="20"/>
  <c r="W86" i="20"/>
  <c r="X32" i="20"/>
  <c r="X29" i="20"/>
  <c r="X30" i="20"/>
  <c r="X35" i="20"/>
  <c r="X26" i="20"/>
  <c r="X24" i="20"/>
  <c r="X63" i="20"/>
  <c r="Y7" i="20"/>
  <c r="X130" i="20"/>
  <c r="X28" i="20"/>
  <c r="X31" i="20"/>
  <c r="X23" i="20"/>
  <c r="X27" i="20"/>
  <c r="W87" i="12"/>
  <c r="Y11" i="12"/>
  <c r="W78" i="12"/>
  <c r="W73" i="12"/>
  <c r="W74" i="12"/>
  <c r="X13" i="12"/>
  <c r="W69" i="12"/>
  <c r="W76" i="12"/>
  <c r="W84" i="12"/>
  <c r="W81" i="12"/>
  <c r="W82" i="12"/>
  <c r="W68" i="12"/>
  <c r="W75" i="12"/>
  <c r="W71" i="12"/>
  <c r="W77" i="12"/>
  <c r="W79" i="12"/>
  <c r="W85" i="12"/>
  <c r="W80" i="12"/>
  <c r="W83" i="12"/>
  <c r="W72" i="12"/>
  <c r="K13" i="19"/>
  <c r="V70" i="19"/>
  <c r="Y152" i="20"/>
  <c r="Y145" i="20"/>
  <c r="Y149" i="20"/>
  <c r="Y175" i="20"/>
  <c r="Y155" i="20"/>
  <c r="Y142" i="20"/>
  <c r="Y153" i="20"/>
  <c r="Y154" i="20"/>
  <c r="Y144" i="20"/>
  <c r="Y143" i="20"/>
  <c r="Y174" i="20"/>
  <c r="Y172" i="20"/>
  <c r="Y173" i="20"/>
  <c r="Y12" i="20"/>
  <c r="X37" i="20"/>
  <c r="Z49" i="19"/>
  <c r="X101" i="19"/>
  <c r="X102" i="19" s="1"/>
  <c r="X113" i="19"/>
  <c r="Y126" i="19"/>
  <c r="Y54" i="19"/>
  <c r="Y118" i="19"/>
  <c r="X96" i="19"/>
  <c r="X97" i="19" s="1"/>
  <c r="Y139" i="19"/>
  <c r="I59" i="21"/>
  <c r="F9" i="23"/>
  <c r="W75" i="19"/>
  <c r="W72" i="19"/>
  <c r="W82" i="19"/>
  <c r="W77" i="19"/>
  <c r="X13" i="19"/>
  <c r="W85" i="19"/>
  <c r="W84" i="19"/>
  <c r="Y11" i="19"/>
  <c r="W79" i="19"/>
  <c r="W80" i="19"/>
  <c r="W73" i="19"/>
  <c r="W74" i="19"/>
  <c r="W76" i="19"/>
  <c r="W78" i="19"/>
  <c r="W81" i="19"/>
  <c r="W87" i="19"/>
  <c r="W69" i="19"/>
  <c r="W71" i="19"/>
  <c r="W83" i="19"/>
  <c r="X36" i="20"/>
  <c r="Y10" i="20"/>
  <c r="Y129" i="20"/>
  <c r="Y133" i="20"/>
  <c r="Y132" i="20"/>
  <c r="Y134" i="20"/>
  <c r="X37" i="12"/>
  <c r="Y12" i="12"/>
  <c r="Y120" i="20"/>
  <c r="Y123" i="20"/>
  <c r="Y122" i="20"/>
  <c r="P29" i="24"/>
  <c r="K29" i="24"/>
  <c r="L29" i="24" s="1"/>
  <c r="M29" i="24" s="1"/>
  <c r="G15" i="13"/>
  <c r="G16" i="13" s="1"/>
  <c r="I62" i="21" s="1"/>
  <c r="H13" i="13"/>
  <c r="H3" i="23"/>
  <c r="H5" i="23" s="1"/>
  <c r="G5" i="23"/>
  <c r="X114" i="20"/>
  <c r="X115" i="20"/>
  <c r="Z8" i="20"/>
  <c r="X90" i="20"/>
  <c r="AA91" i="19"/>
  <c r="AA90" i="19"/>
  <c r="Z9" i="20"/>
  <c r="X91" i="20"/>
  <c r="P26" i="29"/>
  <c r="Q13" i="29"/>
  <c r="J14" i="9"/>
  <c r="J13" i="9"/>
  <c r="J12" i="9"/>
  <c r="J11" i="9"/>
  <c r="J9" i="9"/>
  <c r="F108" i="19"/>
  <c r="F109" i="19"/>
  <c r="J10" i="9"/>
  <c r="W109" i="19" l="1"/>
  <c r="X109" i="19"/>
  <c r="U109" i="19"/>
  <c r="AA109" i="19"/>
  <c r="Z109" i="19"/>
  <c r="Y109" i="19"/>
  <c r="V109" i="19"/>
  <c r="J30" i="9"/>
  <c r="J15" i="9"/>
  <c r="J31" i="9"/>
  <c r="Y37" i="12"/>
  <c r="Z12" i="12"/>
  <c r="Y13" i="12"/>
  <c r="X74" i="12"/>
  <c r="X83" i="12"/>
  <c r="X77" i="12"/>
  <c r="X85" i="12"/>
  <c r="X82" i="12"/>
  <c r="X72" i="12"/>
  <c r="X80" i="12"/>
  <c r="X75" i="12"/>
  <c r="X78" i="12"/>
  <c r="X76" i="12"/>
  <c r="X71" i="12"/>
  <c r="Z11" i="12"/>
  <c r="X87" i="12"/>
  <c r="X84" i="12"/>
  <c r="X69" i="12"/>
  <c r="X81" i="12"/>
  <c r="X68" i="12"/>
  <c r="X73" i="12"/>
  <c r="X79" i="12"/>
  <c r="X124" i="20"/>
  <c r="X121" i="20"/>
  <c r="AA8" i="20"/>
  <c r="Y90" i="20"/>
  <c r="Z10" i="20"/>
  <c r="Y36" i="20"/>
  <c r="Z10" i="19"/>
  <c r="Y36" i="19"/>
  <c r="Y63" i="20"/>
  <c r="Y130" i="20"/>
  <c r="Y38" i="20"/>
  <c r="Y30" i="20"/>
  <c r="Y23" i="20"/>
  <c r="X86" i="20"/>
  <c r="Y29" i="20"/>
  <c r="Y31" i="20"/>
  <c r="Y28" i="20"/>
  <c r="Y26" i="20"/>
  <c r="Y32" i="20"/>
  <c r="Y24" i="20"/>
  <c r="Y35" i="20"/>
  <c r="Z7" i="20"/>
  <c r="Y27" i="20"/>
  <c r="Y25" i="20"/>
  <c r="X122" i="12"/>
  <c r="X123" i="12"/>
  <c r="X120" i="12"/>
  <c r="P34" i="24"/>
  <c r="Z166" i="12"/>
  <c r="Y166" i="12"/>
  <c r="V166" i="12"/>
  <c r="AA166" i="12"/>
  <c r="X166" i="12"/>
  <c r="U166" i="12"/>
  <c r="W166" i="12"/>
  <c r="X142" i="12"/>
  <c r="X172" i="12"/>
  <c r="X152" i="12"/>
  <c r="X175" i="12"/>
  <c r="X173" i="12"/>
  <c r="X145" i="12"/>
  <c r="X143" i="12"/>
  <c r="X153" i="12"/>
  <c r="X149" i="12"/>
  <c r="X155" i="12"/>
  <c r="X174" i="12"/>
  <c r="X154" i="12"/>
  <c r="X144" i="12"/>
  <c r="Z139" i="19"/>
  <c r="Z126" i="19"/>
  <c r="Y101" i="19"/>
  <c r="Y102" i="19" s="1"/>
  <c r="Z54" i="19"/>
  <c r="Y113" i="19"/>
  <c r="AA49" i="19"/>
  <c r="Y96" i="19"/>
  <c r="Y97" i="19" s="1"/>
  <c r="Z118" i="19"/>
  <c r="G9" i="23"/>
  <c r="H9" i="23" s="1"/>
  <c r="N59" i="21"/>
  <c r="O59" i="21" s="1"/>
  <c r="X113" i="12"/>
  <c r="X96" i="12"/>
  <c r="X97" i="12" s="1"/>
  <c r="Y54" i="12"/>
  <c r="X101" i="12"/>
  <c r="X102" i="12" s="1"/>
  <c r="Z49" i="12"/>
  <c r="Y118" i="12"/>
  <c r="Y126" i="12"/>
  <c r="Y139" i="12"/>
  <c r="Y32" i="19"/>
  <c r="Y38" i="19"/>
  <c r="X86" i="19"/>
  <c r="Y24" i="19"/>
  <c r="Y28" i="19"/>
  <c r="Y25" i="19"/>
  <c r="Y23" i="19"/>
  <c r="Z7" i="19"/>
  <c r="Y31" i="19"/>
  <c r="Y35" i="19"/>
  <c r="Y63" i="19"/>
  <c r="Y27" i="19"/>
  <c r="Y130" i="19"/>
  <c r="Y29" i="19"/>
  <c r="Y26" i="19"/>
  <c r="Y30" i="19"/>
  <c r="Z12" i="19"/>
  <c r="Y37" i="19"/>
  <c r="W116" i="12"/>
  <c r="W114" i="12"/>
  <c r="W115" i="12"/>
  <c r="X121" i="12"/>
  <c r="X124" i="12"/>
  <c r="H15" i="13"/>
  <c r="H16" i="13" s="1"/>
  <c r="N62" i="21" s="1"/>
  <c r="O62" i="21" s="1"/>
  <c r="I13" i="13"/>
  <c r="Y153" i="19"/>
  <c r="Y174" i="19"/>
  <c r="Y155" i="19"/>
  <c r="Y145" i="19"/>
  <c r="Y172" i="19"/>
  <c r="Y154" i="19"/>
  <c r="Y143" i="19"/>
  <c r="Y173" i="19"/>
  <c r="Y144" i="19"/>
  <c r="Y152" i="19"/>
  <c r="Y149" i="19"/>
  <c r="Y142" i="19"/>
  <c r="Y175" i="19"/>
  <c r="X131" i="12"/>
  <c r="X132" i="12"/>
  <c r="X133" i="12"/>
  <c r="X134" i="12"/>
  <c r="X129" i="12"/>
  <c r="X135" i="12"/>
  <c r="Z45" i="12"/>
  <c r="Y57" i="12"/>
  <c r="Y119" i="12"/>
  <c r="Y52" i="12"/>
  <c r="Z143" i="20"/>
  <c r="Z152" i="20"/>
  <c r="Z144" i="20"/>
  <c r="Z153" i="20"/>
  <c r="Z172" i="20"/>
  <c r="Z142" i="20"/>
  <c r="Z175" i="20"/>
  <c r="Z145" i="20"/>
  <c r="Z154" i="20"/>
  <c r="Z149" i="20"/>
  <c r="Z155" i="20"/>
  <c r="Z174" i="20"/>
  <c r="Z173" i="20"/>
  <c r="Z135" i="20"/>
  <c r="Z134" i="20"/>
  <c r="Z132" i="20"/>
  <c r="Z129" i="20"/>
  <c r="Z133" i="20"/>
  <c r="Z131" i="20"/>
  <c r="Y116" i="20"/>
  <c r="Y114" i="20"/>
  <c r="Y115" i="20"/>
  <c r="W70" i="12"/>
  <c r="L13" i="12"/>
  <c r="Y35" i="12"/>
  <c r="Y23" i="12"/>
  <c r="Y28" i="12"/>
  <c r="Y29" i="12"/>
  <c r="Y24" i="12"/>
  <c r="Y38" i="12"/>
  <c r="Y27" i="12"/>
  <c r="Y130" i="12"/>
  <c r="X86" i="12"/>
  <c r="Y32" i="12"/>
  <c r="Y31" i="12"/>
  <c r="Y25" i="12"/>
  <c r="Z7" i="12"/>
  <c r="Y30" i="12"/>
  <c r="Y26" i="12"/>
  <c r="Y63" i="12"/>
  <c r="AA139" i="20"/>
  <c r="AA118" i="20"/>
  <c r="Z101" i="20"/>
  <c r="Z102" i="20" s="1"/>
  <c r="AA126" i="20"/>
  <c r="AA113" i="20"/>
  <c r="AA96" i="20"/>
  <c r="AA97" i="20" s="1"/>
  <c r="Z96" i="20"/>
  <c r="Z97" i="20" s="1"/>
  <c r="AA54" i="20"/>
  <c r="Z113" i="20"/>
  <c r="AA101" i="20"/>
  <c r="AA102" i="20" s="1"/>
  <c r="Y134" i="19"/>
  <c r="Y132" i="19"/>
  <c r="Y133" i="19"/>
  <c r="Y129" i="19"/>
  <c r="Y135" i="19"/>
  <c r="Y131" i="19"/>
  <c r="Z123" i="20"/>
  <c r="Z122" i="20"/>
  <c r="Z120" i="20"/>
  <c r="X115" i="19"/>
  <c r="X114" i="19"/>
  <c r="Y37" i="20"/>
  <c r="Z12" i="20"/>
  <c r="X87" i="20"/>
  <c r="X75" i="20"/>
  <c r="X85" i="20"/>
  <c r="X80" i="20"/>
  <c r="X83" i="20"/>
  <c r="X78" i="20"/>
  <c r="X82" i="20"/>
  <c r="X81" i="20"/>
  <c r="Z11" i="20"/>
  <c r="X71" i="20"/>
  <c r="X79" i="20"/>
  <c r="X84" i="20"/>
  <c r="X69" i="20"/>
  <c r="X73" i="20"/>
  <c r="X74" i="20"/>
  <c r="X72" i="20"/>
  <c r="X77" i="20"/>
  <c r="X76" i="20"/>
  <c r="Y13" i="20"/>
  <c r="X75" i="19"/>
  <c r="X85" i="19"/>
  <c r="X82" i="19"/>
  <c r="X80" i="19"/>
  <c r="X78" i="19"/>
  <c r="X81" i="19"/>
  <c r="X87" i="19"/>
  <c r="X84" i="19"/>
  <c r="X77" i="19"/>
  <c r="X73" i="19"/>
  <c r="X79" i="19"/>
  <c r="X83" i="19"/>
  <c r="X71" i="19"/>
  <c r="X72" i="19"/>
  <c r="Z11" i="19"/>
  <c r="X74" i="19"/>
  <c r="X76" i="19"/>
  <c r="Y13" i="19"/>
  <c r="X69" i="19"/>
  <c r="W70" i="20"/>
  <c r="L13" i="20"/>
  <c r="Y57" i="20"/>
  <c r="Z45" i="20"/>
  <c r="Y52" i="20"/>
  <c r="Y119" i="20"/>
  <c r="X124" i="19"/>
  <c r="X121" i="19"/>
  <c r="L13" i="19"/>
  <c r="W70" i="19"/>
  <c r="Y123" i="19"/>
  <c r="Y120" i="19"/>
  <c r="Y122" i="19"/>
  <c r="Y119" i="19"/>
  <c r="Z45" i="19"/>
  <c r="Y52" i="19"/>
  <c r="Y57" i="19"/>
  <c r="D5" i="16"/>
  <c r="F5" i="16" s="1"/>
  <c r="R35" i="24"/>
  <c r="Z10" i="12"/>
  <c r="Y36" i="12"/>
  <c r="AA9" i="20"/>
  <c r="Y91" i="20"/>
  <c r="R13" i="29"/>
  <c r="R26" i="29" s="1"/>
  <c r="Q26" i="29"/>
  <c r="H29" i="29"/>
  <c r="G29" i="29"/>
  <c r="K10" i="9"/>
  <c r="F109" i="20"/>
  <c r="F108" i="20"/>
  <c r="F17" i="25"/>
  <c r="F14" i="25"/>
  <c r="K9" i="9"/>
  <c r="K11" i="9"/>
  <c r="K12" i="9"/>
  <c r="K13" i="9"/>
  <c r="K14" i="9"/>
  <c r="K31" i="9" l="1"/>
  <c r="K15" i="9"/>
  <c r="K30" i="9"/>
  <c r="H14" i="25"/>
  <c r="G14" i="25"/>
  <c r="G17" i="25"/>
  <c r="H17" i="25"/>
  <c r="Z109" i="20"/>
  <c r="U109" i="20"/>
  <c r="Y109" i="20"/>
  <c r="X109" i="20"/>
  <c r="V109" i="20"/>
  <c r="W109" i="20"/>
  <c r="AA109" i="20"/>
  <c r="AA10" i="12"/>
  <c r="AA36" i="12" s="1"/>
  <c r="Z36" i="12"/>
  <c r="X70" i="19"/>
  <c r="M13" i="19"/>
  <c r="M13" i="20"/>
  <c r="X70" i="20"/>
  <c r="AA12" i="12"/>
  <c r="AA37" i="12" s="1"/>
  <c r="Z37" i="12"/>
  <c r="Z37" i="20"/>
  <c r="AA12" i="20"/>
  <c r="AA37" i="20" s="1"/>
  <c r="AA115" i="20"/>
  <c r="AA114" i="20"/>
  <c r="AA116" i="20"/>
  <c r="AA45" i="19"/>
  <c r="Z119" i="19"/>
  <c r="Z57" i="19"/>
  <c r="Z52" i="19"/>
  <c r="AA133" i="20"/>
  <c r="AA129" i="20"/>
  <c r="AA134" i="20"/>
  <c r="AA135" i="20"/>
  <c r="AA131" i="20"/>
  <c r="AA132" i="20"/>
  <c r="Z129" i="19"/>
  <c r="Z133" i="19"/>
  <c r="Z131" i="19"/>
  <c r="Z134" i="19"/>
  <c r="Z135" i="19"/>
  <c r="Z132" i="19"/>
  <c r="Z126" i="12"/>
  <c r="Y96" i="12"/>
  <c r="Y97" i="12" s="1"/>
  <c r="Z54" i="12"/>
  <c r="Y101" i="12"/>
  <c r="Y102" i="12" s="1"/>
  <c r="Z118" i="12"/>
  <c r="AA49" i="12"/>
  <c r="Z139" i="12"/>
  <c r="Y113" i="12"/>
  <c r="Y121" i="19"/>
  <c r="Y124" i="19"/>
  <c r="Y72" i="19"/>
  <c r="Y87" i="19"/>
  <c r="AA11" i="19"/>
  <c r="Y80" i="19"/>
  <c r="Y85" i="19"/>
  <c r="Y69" i="19"/>
  <c r="Z13" i="19"/>
  <c r="Y78" i="19"/>
  <c r="Y76" i="19"/>
  <c r="Y77" i="19"/>
  <c r="Y81" i="19"/>
  <c r="Y73" i="19"/>
  <c r="Y83" i="19"/>
  <c r="Y75" i="19"/>
  <c r="Y71" i="19"/>
  <c r="Y82" i="19"/>
  <c r="Y74" i="19"/>
  <c r="Y79" i="19"/>
  <c r="Y84" i="19"/>
  <c r="Z172" i="19"/>
  <c r="Z142" i="19"/>
  <c r="Z143" i="19"/>
  <c r="Z153" i="19"/>
  <c r="Z155" i="19"/>
  <c r="Z173" i="19"/>
  <c r="Z149" i="19"/>
  <c r="Z152" i="19"/>
  <c r="Z174" i="19"/>
  <c r="Z144" i="19"/>
  <c r="Z175" i="19"/>
  <c r="Z145" i="19"/>
  <c r="Z154" i="19"/>
  <c r="AA123" i="20"/>
  <c r="AA122" i="20"/>
  <c r="AA120" i="20"/>
  <c r="Y173" i="12"/>
  <c r="Y153" i="12"/>
  <c r="Y154" i="12"/>
  <c r="Y142" i="12"/>
  <c r="Y145" i="12"/>
  <c r="Y172" i="12"/>
  <c r="Y149" i="12"/>
  <c r="Y155" i="12"/>
  <c r="Y143" i="12"/>
  <c r="Y174" i="12"/>
  <c r="Y175" i="12"/>
  <c r="Y144" i="12"/>
  <c r="Y152" i="12"/>
  <c r="AA175" i="20"/>
  <c r="AA155" i="20"/>
  <c r="AA145" i="20"/>
  <c r="AA142" i="20"/>
  <c r="AA174" i="20"/>
  <c r="AA152" i="20"/>
  <c r="AA143" i="20"/>
  <c r="AA144" i="20"/>
  <c r="AA172" i="20"/>
  <c r="AA153" i="20"/>
  <c r="AA154" i="20"/>
  <c r="AA149" i="20"/>
  <c r="AA173" i="20"/>
  <c r="AA12" i="19"/>
  <c r="AA37" i="19" s="1"/>
  <c r="Z37" i="19"/>
  <c r="Y132" i="12"/>
  <c r="Y129" i="12"/>
  <c r="Y131" i="12"/>
  <c r="Y134" i="12"/>
  <c r="Y133" i="12"/>
  <c r="Y135" i="12"/>
  <c r="Y78" i="12"/>
  <c r="Y84" i="12"/>
  <c r="Y72" i="12"/>
  <c r="Y77" i="12"/>
  <c r="Y68" i="12"/>
  <c r="Y85" i="12"/>
  <c r="Y74" i="12"/>
  <c r="Y76" i="12"/>
  <c r="Y71" i="12"/>
  <c r="Y82" i="12"/>
  <c r="Y80" i="12"/>
  <c r="Y79" i="12"/>
  <c r="Z13" i="12"/>
  <c r="Y87" i="12"/>
  <c r="AA11" i="12"/>
  <c r="Y81" i="12"/>
  <c r="Y69" i="12"/>
  <c r="Y75" i="12"/>
  <c r="Y73" i="12"/>
  <c r="Y83" i="12"/>
  <c r="Z63" i="12"/>
  <c r="Z24" i="12"/>
  <c r="Z23" i="12"/>
  <c r="Z26" i="12"/>
  <c r="Z30" i="12"/>
  <c r="Z130" i="12"/>
  <c r="Z25" i="12"/>
  <c r="Z29" i="12"/>
  <c r="Z27" i="12"/>
  <c r="Z32" i="12"/>
  <c r="Z31" i="12"/>
  <c r="Z35" i="12"/>
  <c r="AA7" i="12"/>
  <c r="Z28" i="12"/>
  <c r="Z38" i="12"/>
  <c r="Y86" i="12"/>
  <c r="AA10" i="19"/>
  <c r="AA36" i="19" s="1"/>
  <c r="Z36" i="19"/>
  <c r="Y79" i="20"/>
  <c r="Y76" i="20"/>
  <c r="Y72" i="20"/>
  <c r="Y87" i="20"/>
  <c r="Y71" i="20"/>
  <c r="Y82" i="20"/>
  <c r="Y85" i="20"/>
  <c r="Y84" i="20"/>
  <c r="Y73" i="20"/>
  <c r="Y78" i="20"/>
  <c r="Y83" i="20"/>
  <c r="Y74" i="20"/>
  <c r="Y75" i="20"/>
  <c r="Z13" i="20"/>
  <c r="AA11" i="20"/>
  <c r="Y69" i="20"/>
  <c r="Y77" i="20"/>
  <c r="Y80" i="20"/>
  <c r="Y81" i="20"/>
  <c r="P35" i="24"/>
  <c r="F7" i="16" s="1"/>
  <c r="D3" i="16"/>
  <c r="F3" i="16" s="1"/>
  <c r="Y121" i="20"/>
  <c r="Y124" i="20"/>
  <c r="Y124" i="12"/>
  <c r="Y121" i="12"/>
  <c r="X116" i="12"/>
  <c r="X114" i="12"/>
  <c r="X115" i="12"/>
  <c r="Z36" i="20"/>
  <c r="AA10" i="20"/>
  <c r="AA36" i="20" s="1"/>
  <c r="Z35" i="20"/>
  <c r="Z130" i="20"/>
  <c r="Y86" i="20"/>
  <c r="Z27" i="20"/>
  <c r="Z23" i="20"/>
  <c r="Z25" i="20"/>
  <c r="Z30" i="20"/>
  <c r="Z24" i="20"/>
  <c r="Z63" i="20"/>
  <c r="Z26" i="20"/>
  <c r="AA7" i="20"/>
  <c r="Z31" i="20"/>
  <c r="Z28" i="20"/>
  <c r="Z38" i="20"/>
  <c r="Z32" i="20"/>
  <c r="Z29" i="20"/>
  <c r="Z90" i="20"/>
  <c r="AA90" i="20"/>
  <c r="Y120" i="12"/>
  <c r="Y122" i="12"/>
  <c r="Y123" i="12"/>
  <c r="Z52" i="20"/>
  <c r="Z119" i="20"/>
  <c r="Z57" i="20"/>
  <c r="AA45" i="20"/>
  <c r="Z57" i="12"/>
  <c r="AA45" i="12"/>
  <c r="Z52" i="12"/>
  <c r="Z119" i="12"/>
  <c r="Z130" i="19"/>
  <c r="Y86" i="19"/>
  <c r="Z28" i="19"/>
  <c r="Z29" i="19"/>
  <c r="Z23" i="19"/>
  <c r="Z24" i="19"/>
  <c r="Z31" i="19"/>
  <c r="Z38" i="19"/>
  <c r="Z63" i="19"/>
  <c r="Z26" i="19"/>
  <c r="Z35" i="19"/>
  <c r="Z30" i="19"/>
  <c r="Z25" i="19"/>
  <c r="Z32" i="19"/>
  <c r="AA7" i="19"/>
  <c r="Z27" i="19"/>
  <c r="Z123" i="19"/>
  <c r="Z120" i="19"/>
  <c r="Z122" i="19"/>
  <c r="Z115" i="20"/>
  <c r="Z116" i="20"/>
  <c r="Z114" i="20"/>
  <c r="J13" i="13"/>
  <c r="J15" i="13" s="1"/>
  <c r="J16" i="13" s="1"/>
  <c r="I15" i="13"/>
  <c r="I16" i="13" s="1"/>
  <c r="AA113" i="19"/>
  <c r="Z96" i="19"/>
  <c r="Z97" i="19" s="1"/>
  <c r="AA96" i="19"/>
  <c r="AA97" i="19" s="1"/>
  <c r="AA118" i="19"/>
  <c r="AA126" i="19"/>
  <c r="Z113" i="19"/>
  <c r="AA54" i="19"/>
  <c r="Z101" i="19"/>
  <c r="Z102" i="19" s="1"/>
  <c r="AA101" i="19"/>
  <c r="AA102" i="19" s="1"/>
  <c r="AA139" i="19"/>
  <c r="Y115" i="19"/>
  <c r="Y116" i="19"/>
  <c r="Y114" i="19"/>
  <c r="M13" i="12"/>
  <c r="X70" i="12"/>
  <c r="Z91" i="20"/>
  <c r="AA91" i="20"/>
  <c r="I29" i="29"/>
  <c r="J29" i="29"/>
  <c r="L14" i="9"/>
  <c r="L13" i="9"/>
  <c r="L12" i="9"/>
  <c r="L11" i="9"/>
  <c r="L9" i="9"/>
  <c r="L10" i="9"/>
  <c r="P108" i="19"/>
  <c r="P108" i="20"/>
  <c r="P108" i="12"/>
  <c r="F109" i="12"/>
  <c r="F108" i="12"/>
  <c r="U108" i="12" l="1"/>
  <c r="X108" i="12"/>
  <c r="Z108" i="12"/>
  <c r="V108" i="12"/>
  <c r="V168" i="12" s="1"/>
  <c r="AA108" i="12"/>
  <c r="W108" i="12"/>
  <c r="W168" i="12" s="1"/>
  <c r="Y108" i="12"/>
  <c r="Y109" i="12"/>
  <c r="W109" i="12"/>
  <c r="X109" i="12"/>
  <c r="U109" i="12"/>
  <c r="Z109" i="12"/>
  <c r="AA109" i="12"/>
  <c r="V109" i="12"/>
  <c r="Y108" i="20"/>
  <c r="X108" i="20"/>
  <c r="X168" i="20" s="1"/>
  <c r="AA108" i="20"/>
  <c r="V108" i="20"/>
  <c r="V168" i="20" s="1"/>
  <c r="W108" i="20"/>
  <c r="W168" i="20" s="1"/>
  <c r="U108" i="20"/>
  <c r="U168" i="20" s="1"/>
  <c r="Z108" i="20"/>
  <c r="AA108" i="19"/>
  <c r="X108" i="19"/>
  <c r="X168" i="19" s="1"/>
  <c r="W108" i="19"/>
  <c r="W168" i="19" s="1"/>
  <c r="V108" i="19"/>
  <c r="V168" i="19" s="1"/>
  <c r="Z108" i="19"/>
  <c r="U108" i="19"/>
  <c r="U168" i="19" s="1"/>
  <c r="Y108" i="19"/>
  <c r="Y168" i="19" s="1"/>
  <c r="L30" i="9"/>
  <c r="L15" i="9"/>
  <c r="L31" i="9"/>
  <c r="Z124" i="12"/>
  <c r="Z121" i="12"/>
  <c r="AA25" i="20"/>
  <c r="AA63" i="20"/>
  <c r="AA86" i="20"/>
  <c r="AA30" i="20"/>
  <c r="AA31" i="20"/>
  <c r="AA38" i="20"/>
  <c r="Z86" i="20"/>
  <c r="AA130" i="20"/>
  <c r="AA29" i="20"/>
  <c r="AA23" i="20"/>
  <c r="AA24" i="20"/>
  <c r="AA35" i="20"/>
  <c r="AA26" i="20"/>
  <c r="AA28" i="20"/>
  <c r="AA27" i="20"/>
  <c r="AA32" i="20"/>
  <c r="AA82" i="19"/>
  <c r="AA85" i="19"/>
  <c r="AA77" i="19"/>
  <c r="AA84" i="19"/>
  <c r="AA75" i="19"/>
  <c r="AA87" i="19"/>
  <c r="AA72" i="19"/>
  <c r="AA78" i="19"/>
  <c r="AA83" i="19"/>
  <c r="AA76" i="19"/>
  <c r="AA79" i="19"/>
  <c r="Z80" i="19"/>
  <c r="Z79" i="19"/>
  <c r="AA81" i="19"/>
  <c r="Z82" i="19"/>
  <c r="Z83" i="19"/>
  <c r="AA73" i="19"/>
  <c r="Z71" i="19"/>
  <c r="Z75" i="19"/>
  <c r="Z87" i="19"/>
  <c r="Z73" i="19"/>
  <c r="Z77" i="19"/>
  <c r="AA13" i="19"/>
  <c r="AA69" i="19"/>
  <c r="Z81" i="19"/>
  <c r="Z69" i="19"/>
  <c r="Z76" i="19"/>
  <c r="AA74" i="19"/>
  <c r="Z78" i="19"/>
  <c r="AA71" i="19"/>
  <c r="Z85" i="19"/>
  <c r="Z74" i="19"/>
  <c r="AA80" i="19"/>
  <c r="Z84" i="19"/>
  <c r="Z72" i="19"/>
  <c r="AA173" i="19"/>
  <c r="AA143" i="19"/>
  <c r="AA172" i="19"/>
  <c r="AA153" i="19"/>
  <c r="AA149" i="19"/>
  <c r="AA175" i="19"/>
  <c r="AA174" i="19"/>
  <c r="AA144" i="19"/>
  <c r="AA145" i="19"/>
  <c r="AA155" i="19"/>
  <c r="AA154" i="19"/>
  <c r="AA142" i="19"/>
  <c r="AA152" i="19"/>
  <c r="AA57" i="12"/>
  <c r="AA119" i="12"/>
  <c r="AA52" i="12"/>
  <c r="AA122" i="19"/>
  <c r="AA123" i="19"/>
  <c r="AA120" i="19"/>
  <c r="Z69" i="20"/>
  <c r="AA69" i="20"/>
  <c r="Z79" i="20"/>
  <c r="AA82" i="20"/>
  <c r="AA71" i="20"/>
  <c r="Z74" i="20"/>
  <c r="Z76" i="20"/>
  <c r="AA79" i="20"/>
  <c r="AA13" i="20"/>
  <c r="AA72" i="20"/>
  <c r="Z78" i="20"/>
  <c r="AA74" i="20"/>
  <c r="AA85" i="20"/>
  <c r="Z73" i="20"/>
  <c r="AA84" i="20"/>
  <c r="Z72" i="20"/>
  <c r="AA83" i="20"/>
  <c r="Z84" i="20"/>
  <c r="AA87" i="20"/>
  <c r="Z77" i="20"/>
  <c r="AA78" i="20"/>
  <c r="AA76" i="20"/>
  <c r="Z87" i="20"/>
  <c r="AA81" i="20"/>
  <c r="Z81" i="20"/>
  <c r="AA80" i="20"/>
  <c r="Z85" i="20"/>
  <c r="AA75" i="20"/>
  <c r="Z75" i="20"/>
  <c r="Z80" i="20"/>
  <c r="Z83" i="20"/>
  <c r="AA73" i="20"/>
  <c r="AA77" i="20"/>
  <c r="Z71" i="20"/>
  <c r="Z82" i="20"/>
  <c r="AA126" i="12"/>
  <c r="Z113" i="12"/>
  <c r="AA118" i="12"/>
  <c r="Z96" i="12"/>
  <c r="Z97" i="12" s="1"/>
  <c r="AA101" i="12"/>
  <c r="AA102" i="12" s="1"/>
  <c r="Z101" i="12"/>
  <c r="Z102" i="12" s="1"/>
  <c r="AA96" i="12"/>
  <c r="AA97" i="12" s="1"/>
  <c r="AA54" i="12"/>
  <c r="AA139" i="12"/>
  <c r="AA113" i="12"/>
  <c r="AA52" i="20"/>
  <c r="AA57" i="20"/>
  <c r="AA119" i="20"/>
  <c r="Z121" i="20"/>
  <c r="Z124" i="20"/>
  <c r="Y114" i="12"/>
  <c r="Y116" i="12"/>
  <c r="Y115" i="12"/>
  <c r="AA132" i="19"/>
  <c r="AA133" i="19"/>
  <c r="AA135" i="19"/>
  <c r="AA134" i="19"/>
  <c r="AA129" i="19"/>
  <c r="AA131" i="19"/>
  <c r="Z175" i="12"/>
  <c r="Z144" i="12"/>
  <c r="Z173" i="12"/>
  <c r="Z153" i="12"/>
  <c r="Z149" i="12"/>
  <c r="Z155" i="12"/>
  <c r="Z172" i="12"/>
  <c r="Z174" i="12"/>
  <c r="Z152" i="12"/>
  <c r="Z145" i="12"/>
  <c r="Z154" i="12"/>
  <c r="Z142" i="12"/>
  <c r="Z143" i="12"/>
  <c r="Y70" i="20"/>
  <c r="Y168" i="20" s="1"/>
  <c r="N13" i="20"/>
  <c r="AA130" i="12"/>
  <c r="AA24" i="12"/>
  <c r="AA86" i="12"/>
  <c r="AA38" i="12"/>
  <c r="AA30" i="12"/>
  <c r="AA32" i="12"/>
  <c r="Z86" i="12"/>
  <c r="AA35" i="12"/>
  <c r="AA29" i="12"/>
  <c r="AA27" i="12"/>
  <c r="AA26" i="12"/>
  <c r="AA23" i="12"/>
  <c r="AA63" i="12"/>
  <c r="AA31" i="12"/>
  <c r="AA28" i="12"/>
  <c r="AA25" i="12"/>
  <c r="Z80" i="12"/>
  <c r="AA75" i="12"/>
  <c r="Z82" i="12"/>
  <c r="AA79" i="12"/>
  <c r="Z72" i="12"/>
  <c r="AA84" i="12"/>
  <c r="Z79" i="12"/>
  <c r="AA85" i="12"/>
  <c r="Z74" i="12"/>
  <c r="AA87" i="12"/>
  <c r="Z81" i="12"/>
  <c r="AA73" i="12"/>
  <c r="AA77" i="12"/>
  <c r="Z84" i="12"/>
  <c r="AA83" i="12"/>
  <c r="Z85" i="12"/>
  <c r="Z71" i="12"/>
  <c r="AA13" i="12"/>
  <c r="AA74" i="12"/>
  <c r="AA82" i="12"/>
  <c r="Z78" i="12"/>
  <c r="Z68" i="12"/>
  <c r="Z83" i="12"/>
  <c r="AA80" i="12"/>
  <c r="AA69" i="12"/>
  <c r="Z77" i="12"/>
  <c r="AA68" i="12"/>
  <c r="Z76" i="12"/>
  <c r="Z75" i="12"/>
  <c r="AA81" i="12"/>
  <c r="Z73" i="12"/>
  <c r="Z87" i="12"/>
  <c r="AA76" i="12"/>
  <c r="Z69" i="12"/>
  <c r="AA78" i="12"/>
  <c r="AA71" i="12"/>
  <c r="AA72" i="12"/>
  <c r="Z115" i="19"/>
  <c r="Z114" i="19"/>
  <c r="Z116" i="19"/>
  <c r="Z122" i="12"/>
  <c r="Z120" i="12"/>
  <c r="Z123" i="12"/>
  <c r="Z121" i="19"/>
  <c r="Z124" i="19"/>
  <c r="AA116" i="19"/>
  <c r="AA115" i="19"/>
  <c r="AA114" i="19"/>
  <c r="AA119" i="19"/>
  <c r="AA57" i="19"/>
  <c r="AA52" i="19"/>
  <c r="Y70" i="12"/>
  <c r="N13" i="12"/>
  <c r="Z129" i="12"/>
  <c r="Z135" i="12"/>
  <c r="Z134" i="12"/>
  <c r="Z131" i="12"/>
  <c r="Z133" i="12"/>
  <c r="Z132" i="12"/>
  <c r="AA86" i="19"/>
  <c r="AA25" i="19"/>
  <c r="AA63" i="19"/>
  <c r="AA28" i="19"/>
  <c r="AA32" i="19"/>
  <c r="AA26" i="19"/>
  <c r="AA31" i="19"/>
  <c r="AA35" i="19"/>
  <c r="AA29" i="19"/>
  <c r="AA38" i="19"/>
  <c r="Z86" i="19"/>
  <c r="AA27" i="19"/>
  <c r="AA30" i="19"/>
  <c r="AA130" i="19"/>
  <c r="AA23" i="19"/>
  <c r="AA24" i="19"/>
  <c r="N13" i="19"/>
  <c r="Y70" i="19"/>
  <c r="M28" i="29"/>
  <c r="Y177" i="19" l="1"/>
  <c r="Y178" i="19" s="1"/>
  <c r="Y169" i="19"/>
  <c r="Y169" i="20"/>
  <c r="Y177" i="20"/>
  <c r="Y178" i="20" s="1"/>
  <c r="Y179" i="20" s="1"/>
  <c r="M179" i="20" s="1"/>
  <c r="V169" i="20"/>
  <c r="V177" i="20"/>
  <c r="V178" i="20" s="1"/>
  <c r="V179" i="20" s="1"/>
  <c r="J179" i="20" s="1"/>
  <c r="AA123" i="12"/>
  <c r="AA120" i="12"/>
  <c r="AA122" i="12"/>
  <c r="X169" i="20"/>
  <c r="X177" i="20"/>
  <c r="X178" i="20" s="1"/>
  <c r="X179" i="20" s="1"/>
  <c r="L179" i="20" s="1"/>
  <c r="AA70" i="12"/>
  <c r="Z70" i="12"/>
  <c r="O13" i="12"/>
  <c r="AA132" i="12"/>
  <c r="AA133" i="12"/>
  <c r="AA135" i="12"/>
  <c r="AA129" i="12"/>
  <c r="AA131" i="12"/>
  <c r="AA134" i="12"/>
  <c r="Z115" i="12"/>
  <c r="Z114" i="12"/>
  <c r="Z116" i="12"/>
  <c r="Y168" i="12"/>
  <c r="AA124" i="19"/>
  <c r="AA121" i="19"/>
  <c r="AA124" i="12"/>
  <c r="AA121" i="12"/>
  <c r="U169" i="19"/>
  <c r="U177" i="19"/>
  <c r="U178" i="19" s="1"/>
  <c r="AA121" i="20"/>
  <c r="AA124" i="20"/>
  <c r="AA168" i="20"/>
  <c r="V169" i="12"/>
  <c r="V177" i="12"/>
  <c r="V178" i="12" s="1"/>
  <c r="W169" i="12"/>
  <c r="W177" i="12"/>
  <c r="W178" i="12" s="1"/>
  <c r="W179" i="12" s="1"/>
  <c r="K179" i="12" s="1"/>
  <c r="N30" i="21" s="1"/>
  <c r="X177" i="19"/>
  <c r="X178" i="19" s="1"/>
  <c r="X169" i="19"/>
  <c r="W177" i="19"/>
  <c r="W178" i="19" s="1"/>
  <c r="W169" i="19"/>
  <c r="AA116" i="12"/>
  <c r="AA115" i="12"/>
  <c r="AA114" i="12"/>
  <c r="AA70" i="20"/>
  <c r="Z70" i="20"/>
  <c r="Z168" i="20" s="1"/>
  <c r="O13" i="20"/>
  <c r="AA152" i="12"/>
  <c r="AA155" i="12"/>
  <c r="AA172" i="12"/>
  <c r="AA142" i="12"/>
  <c r="AA143" i="12"/>
  <c r="AA174" i="12"/>
  <c r="AA175" i="12"/>
  <c r="AA149" i="12"/>
  <c r="AA154" i="12"/>
  <c r="AA145" i="12"/>
  <c r="AA144" i="12"/>
  <c r="AA173" i="12"/>
  <c r="AA153" i="12"/>
  <c r="U169" i="20"/>
  <c r="U177" i="20"/>
  <c r="U178" i="20" s="1"/>
  <c r="U179" i="20" s="1"/>
  <c r="I179" i="20" s="1"/>
  <c r="X168" i="12"/>
  <c r="V169" i="19"/>
  <c r="V177" i="19"/>
  <c r="V178" i="19" s="1"/>
  <c r="V179" i="19" s="1"/>
  <c r="J179" i="19" s="1"/>
  <c r="O13" i="19"/>
  <c r="Z70" i="19"/>
  <c r="Z168" i="19" s="1"/>
  <c r="AA70" i="19"/>
  <c r="AA168" i="19" s="1"/>
  <c r="W177" i="20"/>
  <c r="W178" i="20" s="1"/>
  <c r="W179" i="20" s="1"/>
  <c r="K179" i="20" s="1"/>
  <c r="W169" i="20"/>
  <c r="U168" i="12"/>
  <c r="N28" i="29"/>
  <c r="M25" i="21"/>
  <c r="M53" i="21"/>
  <c r="M54" i="21"/>
  <c r="H53" i="21"/>
  <c r="H27" i="21"/>
  <c r="M26" i="21"/>
  <c r="H11" i="21"/>
  <c r="H10" i="21"/>
  <c r="H25" i="21"/>
  <c r="M27" i="21"/>
  <c r="H54" i="21"/>
  <c r="H26" i="21"/>
  <c r="I26" i="21" l="1"/>
  <c r="I54" i="21"/>
  <c r="N27" i="21"/>
  <c r="I25" i="21"/>
  <c r="I10" i="21"/>
  <c r="I11" i="21"/>
  <c r="N26" i="21"/>
  <c r="I27" i="21"/>
  <c r="O27" i="21" s="1"/>
  <c r="I53" i="21"/>
  <c r="N54" i="21"/>
  <c r="N53" i="21"/>
  <c r="N25" i="21"/>
  <c r="N29" i="21" s="1"/>
  <c r="AA169" i="19"/>
  <c r="AA177" i="19"/>
  <c r="AA178" i="19" s="1"/>
  <c r="AA179" i="19" s="1"/>
  <c r="O179" i="19" s="1"/>
  <c r="U177" i="12"/>
  <c r="U178" i="12" s="1"/>
  <c r="U169" i="12"/>
  <c r="V179" i="12"/>
  <c r="J179" i="12" s="1"/>
  <c r="I30" i="21" s="1"/>
  <c r="O30" i="21" s="1"/>
  <c r="AA177" i="20"/>
  <c r="AA178" i="20" s="1"/>
  <c r="AA179" i="20" s="1"/>
  <c r="O179" i="20" s="1"/>
  <c r="AA169" i="20"/>
  <c r="Z177" i="20"/>
  <c r="Z178" i="20" s="1"/>
  <c r="Z169" i="20"/>
  <c r="Z168" i="12"/>
  <c r="Z169" i="19"/>
  <c r="Z177" i="19"/>
  <c r="Z178" i="19" s="1"/>
  <c r="U179" i="19"/>
  <c r="I179" i="19" s="1"/>
  <c r="AA168" i="12"/>
  <c r="Y177" i="12"/>
  <c r="Y178" i="12" s="1"/>
  <c r="Y179" i="12" s="1"/>
  <c r="M179" i="12" s="1"/>
  <c r="N57" i="21" s="1"/>
  <c r="Y169" i="12"/>
  <c r="X169" i="12"/>
  <c r="X177" i="12"/>
  <c r="X178" i="12" s="1"/>
  <c r="X179" i="12" s="1"/>
  <c r="L179" i="12" s="1"/>
  <c r="I57" i="21" s="1"/>
  <c r="O57" i="21" s="1"/>
  <c r="W179" i="19"/>
  <c r="K179" i="19" s="1"/>
  <c r="X179" i="19"/>
  <c r="L179" i="19" s="1"/>
  <c r="Y179" i="19"/>
  <c r="M179" i="19" s="1"/>
  <c r="O28" i="29"/>
  <c r="H52" i="21"/>
  <c r="M52" i="21"/>
  <c r="H9" i="21"/>
  <c r="F10" i="25"/>
  <c r="I9" i="21" l="1"/>
  <c r="I13" i="21" s="1"/>
  <c r="N52" i="21"/>
  <c r="N56" i="21" s="1"/>
  <c r="I52" i="21"/>
  <c r="U179" i="12"/>
  <c r="I179" i="12" s="1"/>
  <c r="I14" i="21" s="1"/>
  <c r="J14" i="21" s="1"/>
  <c r="AA177" i="12"/>
  <c r="AA178" i="12" s="1"/>
  <c r="AA179" i="12" s="1"/>
  <c r="O179" i="12" s="1"/>
  <c r="AA169" i="12"/>
  <c r="O53" i="21"/>
  <c r="Z179" i="19"/>
  <c r="N179" i="19" s="1"/>
  <c r="I29" i="21"/>
  <c r="O25" i="21"/>
  <c r="Z179" i="20"/>
  <c r="N179" i="20" s="1"/>
  <c r="O54" i="21"/>
  <c r="N31" i="21"/>
  <c r="M29" i="21"/>
  <c r="K29" i="21"/>
  <c r="Z177" i="12"/>
  <c r="Z178" i="12" s="1"/>
  <c r="Z179" i="12" s="1"/>
  <c r="N179" i="12" s="1"/>
  <c r="Z169" i="12"/>
  <c r="O26" i="21"/>
  <c r="G10" i="25"/>
  <c r="H10" i="25"/>
  <c r="K56" i="21"/>
  <c r="M56" i="21"/>
  <c r="N58" i="21"/>
  <c r="P28" i="29"/>
  <c r="Q28" i="29" s="1"/>
  <c r="R28" i="29" s="1"/>
  <c r="I53" i="29"/>
  <c r="H48" i="29"/>
  <c r="F7" i="25"/>
  <c r="G7" i="25" l="1"/>
  <c r="H7" i="25"/>
  <c r="F29" i="21"/>
  <c r="I31" i="21"/>
  <c r="H29" i="21"/>
  <c r="O29" i="21"/>
  <c r="O31" i="21" s="1"/>
  <c r="I56" i="21"/>
  <c r="O52" i="21"/>
  <c r="H13" i="21"/>
  <c r="I15" i="21"/>
  <c r="I17" i="21" s="1"/>
  <c r="F13" i="21"/>
  <c r="H53" i="29"/>
  <c r="F6" i="25"/>
  <c r="D20" i="6"/>
  <c r="H6" i="25" l="1"/>
  <c r="G6" i="25"/>
  <c r="F8" i="25"/>
  <c r="H56" i="21"/>
  <c r="F56" i="21"/>
  <c r="I58" i="21"/>
  <c r="O56" i="21"/>
  <c r="O58" i="21" s="1"/>
  <c r="M47" i="29"/>
  <c r="H8" i="25" l="1"/>
  <c r="F12" i="25"/>
  <c r="G8" i="25"/>
  <c r="N47" i="29"/>
  <c r="D21" i="6"/>
  <c r="G12" i="25" l="1"/>
  <c r="H12" i="25"/>
  <c r="D23" i="6"/>
  <c r="B17" i="23" s="1"/>
  <c r="O47" i="29"/>
  <c r="P47" i="29" l="1"/>
  <c r="Q47" i="29" l="1"/>
  <c r="R47" i="29" l="1"/>
  <c r="K52" i="29"/>
  <c r="K53" i="29"/>
  <c r="C17" i="23"/>
  <c r="I33" i="21" s="1"/>
  <c r="I36" i="21" s="1"/>
  <c r="I42" i="21" s="1"/>
  <c r="I44" i="21" s="1"/>
  <c r="I45" i="21" s="1"/>
  <c r="I37" i="21" l="1"/>
  <c r="I38" i="21" s="1"/>
  <c r="D17" i="23"/>
  <c r="N33" i="21" s="1"/>
  <c r="O33" i="21" s="1"/>
  <c r="O36" i="21" s="1"/>
  <c r="O42" i="21" s="1"/>
  <c r="O44" i="21" s="1"/>
  <c r="O45" i="21" s="1"/>
  <c r="L52" i="29"/>
  <c r="L53" i="29"/>
  <c r="M50" i="29"/>
  <c r="N36" i="21" l="1"/>
  <c r="E17" i="23"/>
  <c r="M51" i="29"/>
  <c r="I60" i="21" l="1"/>
  <c r="F17" i="23"/>
  <c r="N51" i="29"/>
  <c r="O51" i="29" s="1"/>
  <c r="P51" i="29" s="1"/>
  <c r="Q51" i="29" s="1"/>
  <c r="N50" i="29"/>
  <c r="M52" i="29"/>
  <c r="N37" i="21"/>
  <c r="O37" i="21" s="1"/>
  <c r="N42" i="21"/>
  <c r="N44" i="21" s="1"/>
  <c r="N45" i="21" s="1"/>
  <c r="N60" i="21" l="1"/>
  <c r="N63" i="21" s="1"/>
  <c r="G17" i="23"/>
  <c r="H17" i="23" s="1"/>
  <c r="N38" i="21"/>
  <c r="O38" i="21" s="1"/>
  <c r="N52" i="29"/>
  <c r="O50" i="29"/>
  <c r="R51" i="29"/>
  <c r="I63" i="21"/>
  <c r="O60" i="21" l="1"/>
  <c r="O63" i="21" s="1"/>
  <c r="O69" i="21" s="1"/>
  <c r="O72" i="21" s="1"/>
  <c r="I69" i="21"/>
  <c r="I64" i="21"/>
  <c r="O52" i="29"/>
  <c r="P50" i="29"/>
  <c r="N69" i="21"/>
  <c r="N64" i="21"/>
  <c r="N65" i="21" s="1"/>
  <c r="F15" i="25"/>
  <c r="H15" i="25" l="1"/>
  <c r="G15" i="25"/>
  <c r="F18" i="25"/>
  <c r="H18" i="25" s="1"/>
  <c r="Q50" i="29"/>
  <c r="P52" i="29"/>
  <c r="O64" i="21"/>
  <c r="I65" i="21"/>
  <c r="O65" i="21" s="1"/>
  <c r="O1" i="21"/>
  <c r="F21" i="25" l="1"/>
  <c r="G18" i="25"/>
  <c r="R50" i="29"/>
  <c r="R52" i="29" s="1"/>
  <c r="Q52" i="29"/>
  <c r="F24" i="25" l="1"/>
  <c r="F25" i="25" s="1"/>
  <c r="F29" i="25"/>
  <c r="F30" i="25" s="1"/>
  <c r="H21" i="25"/>
  <c r="G21"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reederb</author>
    <author>"reederb"</author>
  </authors>
  <commentList>
    <comment ref="N13" authorId="0" shapeId="0" xr:uid="{00000000-0006-0000-1200-000001000000}">
      <text>
        <r>
          <rPr>
            <b/>
            <sz val="9"/>
            <color indexed="81"/>
            <rFont val="Tahoma"/>
            <family val="2"/>
          </rPr>
          <t>reederb:</t>
        </r>
        <r>
          <rPr>
            <sz val="9"/>
            <color indexed="81"/>
            <rFont val="Tahoma"/>
            <family val="2"/>
          </rPr>
          <t xml:space="preserve">
Actual 
Operating Exp. Of districts from OLAP--Excludes Objects 7xx and 8xx</t>
        </r>
      </text>
    </comment>
    <comment ref="N14" authorId="1" shapeId="0" xr:uid="{00000000-0006-0000-1200-000002000000}">
      <text>
        <r>
          <rPr>
            <b/>
            <sz val="9"/>
            <color indexed="81"/>
            <rFont val="Tahoma"/>
            <family val="2"/>
          </rPr>
          <t>"reederb":</t>
        </r>
        <r>
          <rPr>
            <sz val="9"/>
            <color indexed="81"/>
            <rFont val="Tahoma"/>
            <family val="2"/>
          </rPr>
          <t xml:space="preserve">
Excludes revenue for paid services to school districts since those are counted as expenditures by diistricts</t>
        </r>
      </text>
    </comment>
  </commentList>
</comments>
</file>

<file path=xl/sharedStrings.xml><?xml version="1.0" encoding="utf-8"?>
<sst xmlns="http://schemas.openxmlformats.org/spreadsheetml/2006/main" count="3010" uniqueCount="1122">
  <si>
    <t xml:space="preserve">Note: </t>
  </si>
  <si>
    <t>Select Policy Scenario Assumptions for each year from drop down menu above year.</t>
  </si>
  <si>
    <t>Policy Assumptions</t>
  </si>
  <si>
    <t>Policy Scenario Assumptions</t>
  </si>
  <si>
    <t>Actual</t>
  </si>
  <si>
    <t>Full QEM</t>
  </si>
  <si>
    <t>LOOKUP</t>
  </si>
  <si>
    <t>2014-15</t>
  </si>
  <si>
    <t>Base</t>
  </si>
  <si>
    <t>QEM</t>
  </si>
  <si>
    <t>Evidence-Based Practices</t>
  </si>
  <si>
    <t>Research-Based Policy Initiatives</t>
  </si>
  <si>
    <t>Early Grade Class Size Reduction</t>
  </si>
  <si>
    <t>KG_ClassSize</t>
  </si>
  <si>
    <t>G1_ClassSize</t>
  </si>
  <si>
    <t>Early Grade Tutoring Programs (% of students participating)</t>
  </si>
  <si>
    <t>ES_atRisk</t>
  </si>
  <si>
    <t>Assistance for Students at Risk of Dropping Out (% of Students Participating)</t>
  </si>
  <si>
    <t>MS_atRisk</t>
  </si>
  <si>
    <t>HS_atRisk</t>
  </si>
  <si>
    <t>Other Effective Practices</t>
  </si>
  <si>
    <t>Teacher Collaboration Time (hours per week)</t>
  </si>
  <si>
    <t>ES_TeacherCollab</t>
  </si>
  <si>
    <t>MS_TeacherCollab</t>
  </si>
  <si>
    <t>HS_TeacherCollab</t>
  </si>
  <si>
    <t>Additional Teachers for Focused Instruction (e.g., double-dosing)</t>
  </si>
  <si>
    <t>ES_ProgramStaff</t>
  </si>
  <si>
    <t>MS_ProgramStaff</t>
  </si>
  <si>
    <t>HS_ProgramStaff</t>
  </si>
  <si>
    <t>Additional Instruction Time (weeks of summer school)</t>
  </si>
  <si>
    <t>ES_AIT</t>
  </si>
  <si>
    <t>MS_AIT</t>
  </si>
  <si>
    <t>HS_AIT</t>
  </si>
  <si>
    <t>Building-Level Leadership Development (days)</t>
  </si>
  <si>
    <t>ES_LeadershipDev</t>
  </si>
  <si>
    <t>MS_LeadershipDev</t>
  </si>
  <si>
    <t>HS_LeadershipDev</t>
  </si>
  <si>
    <t>Parent/Community Outreach Programs ($ per Student)</t>
  </si>
  <si>
    <t>ES_ParComOutreach</t>
  </si>
  <si>
    <t>MS_ParComOutreach</t>
  </si>
  <si>
    <t>HS_ParComOutreach</t>
  </si>
  <si>
    <t>ES_FormAssess</t>
  </si>
  <si>
    <t>MS_FormAssess</t>
  </si>
  <si>
    <t>HS_FormAssess</t>
  </si>
  <si>
    <t>Teacher/Administrator Effectiveness</t>
  </si>
  <si>
    <t>Teacher Professional Development (days)</t>
  </si>
  <si>
    <t>ES_TeachProfDev</t>
  </si>
  <si>
    <t>MS_TeachProfDev</t>
  </si>
  <si>
    <t>HS_TeachProfDev</t>
  </si>
  <si>
    <t>Instructional Improvement--e.g. mentoring, peer evaluation (FTE)</t>
  </si>
  <si>
    <t>ES_InstImp</t>
  </si>
  <si>
    <t>MS_InstImp</t>
  </si>
  <si>
    <t>HS_InstImp</t>
  </si>
  <si>
    <t>Stipends to Encourage Additional Training in Math/Science (% of Teachers)</t>
  </si>
  <si>
    <t>Consultants for Staff Development ($ per school)</t>
  </si>
  <si>
    <t>ES_ConsStaffDev</t>
  </si>
  <si>
    <t>MS_ConsStaffDev</t>
  </si>
  <si>
    <t>HS_ConsStaffDev</t>
  </si>
  <si>
    <t>Core K-12 Services</t>
  </si>
  <si>
    <t>KG_allday</t>
  </si>
  <si>
    <t>All-Day Kindergarten (Y=Yes, N=No)</t>
  </si>
  <si>
    <t>Y</t>
  </si>
  <si>
    <t>Class Size</t>
  </si>
  <si>
    <t>G2-3_ClassSize</t>
  </si>
  <si>
    <t>G4-5_ClassSize</t>
  </si>
  <si>
    <t>Staffing Levels (FTE)</t>
  </si>
  <si>
    <t>MS_CoreStaff</t>
  </si>
  <si>
    <t>HS_CoreStaff</t>
  </si>
  <si>
    <t>ES_ESL</t>
  </si>
  <si>
    <t>MS_ESL</t>
  </si>
  <si>
    <t>HS_ESL</t>
  </si>
  <si>
    <t>ES_SpEd</t>
  </si>
  <si>
    <t>MS_SpEd</t>
  </si>
  <si>
    <t>HS_SpEd</t>
  </si>
  <si>
    <t>ES_Couns</t>
  </si>
  <si>
    <t>MS_Couns</t>
  </si>
  <si>
    <t>HS_Couns</t>
  </si>
  <si>
    <t>HS_CCAD</t>
  </si>
  <si>
    <t>ES_Clsfd</t>
  </si>
  <si>
    <t>MS_Clsfd</t>
  </si>
  <si>
    <t>HS_Clsfd</t>
  </si>
  <si>
    <t>Length of School Year (Instructional Days)</t>
  </si>
  <si>
    <t>ES_InstructionDays</t>
  </si>
  <si>
    <t>MS_InstructionDays</t>
  </si>
  <si>
    <t>HS_InstructionDays</t>
  </si>
  <si>
    <t>Computers and Technology</t>
  </si>
  <si>
    <t>ES_CompHardware</t>
  </si>
  <si>
    <t>MS_CompHardware</t>
  </si>
  <si>
    <t>HS_CompHardware</t>
  </si>
  <si>
    <t>ES_CompSoftware</t>
  </si>
  <si>
    <t>MS_CompSoftware</t>
  </si>
  <si>
    <t>HS_CompSoftware</t>
  </si>
  <si>
    <t>ES_TechServices</t>
  </si>
  <si>
    <t>MS_TechServices</t>
  </si>
  <si>
    <t>HS_TechServices</t>
  </si>
  <si>
    <t>Texts, Consumables, Classroom Sets ($ per student)</t>
  </si>
  <si>
    <t>ES_TextsConsumables</t>
  </si>
  <si>
    <t>MS_TextsConsumables</t>
  </si>
  <si>
    <t>HS_TextsConsumables</t>
  </si>
  <si>
    <t>Classroom Materials &amp; Equipment ($ per student)</t>
  </si>
  <si>
    <t>ES_CME</t>
  </si>
  <si>
    <t>MS_CME</t>
  </si>
  <si>
    <t>HS_CME</t>
  </si>
  <si>
    <t>Reimbursement of Teacher Expenses for Supplies ($ per Student)</t>
  </si>
  <si>
    <t>ES_TeacherReimbExp</t>
  </si>
  <si>
    <t>MS_TeacherReimbExp</t>
  </si>
  <si>
    <t>HS_TeacherReimbExp</t>
  </si>
  <si>
    <t>Media Materials ($ per student)</t>
  </si>
  <si>
    <t>ES_MediaMaterials</t>
  </si>
  <si>
    <t>MS_MediaMaterials</t>
  </si>
  <si>
    <t>HS_MediaMaterials</t>
  </si>
  <si>
    <t>Extracurricular Activities Sponsors (Number of staff)</t>
  </si>
  <si>
    <t>HS_ExtraCurrSponsors</t>
  </si>
  <si>
    <t>Operations and Maintenance($ per Student)</t>
  </si>
  <si>
    <t>ES_O&amp;M</t>
  </si>
  <si>
    <t>MS_O&amp;M</t>
  </si>
  <si>
    <t>HS_O&amp;M</t>
  </si>
  <si>
    <t>Assessment and Curriculum Development</t>
  </si>
  <si>
    <t>ES_AssessCurDev</t>
  </si>
  <si>
    <t>MS_AssessCurDev</t>
  </si>
  <si>
    <t>HS_AssessCurDev</t>
  </si>
  <si>
    <t>State-Level Special Education Fund ($ millions per year)</t>
  </si>
  <si>
    <t>ESD Expenditures ($ per Student)</t>
  </si>
  <si>
    <t>ESD_SpEd</t>
  </si>
  <si>
    <t>ESD_InstructSupport</t>
  </si>
  <si>
    <t>ESD_TechService</t>
  </si>
  <si>
    <t>ESD_CentService</t>
  </si>
  <si>
    <t>ESD_Admin</t>
  </si>
  <si>
    <t>Case</t>
  </si>
  <si>
    <t>Policy</t>
  </si>
  <si>
    <t>Update the years in row 7 when updating the model with new data.  Do not add new columns</t>
  </si>
  <si>
    <t>The Base Year is the latest year for which we have audited financial data</t>
  </si>
  <si>
    <t>Base Year</t>
  </si>
  <si>
    <t>Base+1</t>
  </si>
  <si>
    <t>Base+2</t>
  </si>
  <si>
    <t>Base+3</t>
  </si>
  <si>
    <t>Base+4</t>
  </si>
  <si>
    <t>Base+5</t>
  </si>
  <si>
    <t>Base+6</t>
  </si>
  <si>
    <t>Note:</t>
  </si>
  <si>
    <t>Enter Base Year in YYY1-Y2 format. All other fields update automatically.</t>
  </si>
  <si>
    <t>Student Data</t>
  </si>
  <si>
    <t>Grade</t>
  </si>
  <si>
    <t>Fall Memb</t>
  </si>
  <si>
    <t>ADM</t>
  </si>
  <si>
    <t>ESL</t>
  </si>
  <si>
    <t>LEP</t>
  </si>
  <si>
    <t>SpEd</t>
  </si>
  <si>
    <t>EcDis</t>
  </si>
  <si>
    <t>Year</t>
  </si>
  <si>
    <t>KG</t>
  </si>
  <si>
    <t>K-12</t>
  </si>
  <si>
    <t>In districts only</t>
  </si>
  <si>
    <t>Salaries and Wage Rates</t>
  </si>
  <si>
    <t>Teachers</t>
  </si>
  <si>
    <t>% Change</t>
  </si>
  <si>
    <t>Principals</t>
  </si>
  <si>
    <t>Counselors</t>
  </si>
  <si>
    <t>Classified 1 Wage Rate</t>
  </si>
  <si>
    <t>2008-09</t>
  </si>
  <si>
    <t>2009-10</t>
  </si>
  <si>
    <t>2010-11</t>
  </si>
  <si>
    <t>2011-12</t>
  </si>
  <si>
    <t>2012-13</t>
  </si>
  <si>
    <t>2013-14</t>
  </si>
  <si>
    <t>2015-16</t>
  </si>
  <si>
    <t>2016-17</t>
  </si>
  <si>
    <t>2017-18</t>
  </si>
  <si>
    <t>2018-19</t>
  </si>
  <si>
    <t>2019-20</t>
  </si>
  <si>
    <t>2020-21</t>
  </si>
  <si>
    <t>2021-22</t>
  </si>
  <si>
    <t>2022-23</t>
  </si>
  <si>
    <t>2023-24</t>
  </si>
  <si>
    <t>2024-25</t>
  </si>
  <si>
    <t>2025-26</t>
  </si>
  <si>
    <t>2026-27</t>
  </si>
  <si>
    <t>Salary</t>
  </si>
  <si>
    <t>VLOOKUP RANGE</t>
  </si>
  <si>
    <t>Category</t>
  </si>
  <si>
    <t>Elementary School</t>
  </si>
  <si>
    <t>Middle School</t>
  </si>
  <si>
    <t>High School</t>
  </si>
  <si>
    <t>BusFiscServ</t>
  </si>
  <si>
    <t>Business and Fiscal Services</t>
  </si>
  <si>
    <t>Cent_Admin</t>
  </si>
  <si>
    <t>Central Administration</t>
  </si>
  <si>
    <t>Cent_SpEd</t>
  </si>
  <si>
    <t>Centralized Special Education</t>
  </si>
  <si>
    <t>Curriculum Development and Assessment</t>
  </si>
  <si>
    <t>ExtCurrActivities</t>
  </si>
  <si>
    <t>Extra-Curricular Activities</t>
  </si>
  <si>
    <t>FoodService</t>
  </si>
  <si>
    <t>Food Service</t>
  </si>
  <si>
    <t>Media Materials</t>
  </si>
  <si>
    <t>OPSM</t>
  </si>
  <si>
    <t>Office of the Principal Supplies and Materials</t>
  </si>
  <si>
    <t>Operations and Maintenance</t>
  </si>
  <si>
    <t>OSS</t>
  </si>
  <si>
    <t>Other Support Services</t>
  </si>
  <si>
    <t>PersonnelServ</t>
  </si>
  <si>
    <t>Personnel Services</t>
  </si>
  <si>
    <t>PublicInfo</t>
  </si>
  <si>
    <t>Public Information</t>
  </si>
  <si>
    <t>Technology Services</t>
  </si>
  <si>
    <t>Textbooks</t>
  </si>
  <si>
    <t>Transport</t>
  </si>
  <si>
    <t>Transportation</t>
  </si>
  <si>
    <t>Regular Substitute Costs per Student</t>
  </si>
  <si>
    <t>Special Ed Substitute Costs per Student</t>
  </si>
  <si>
    <t>ESD Expenditures</t>
  </si>
  <si>
    <t>Total</t>
  </si>
  <si>
    <t>per Student</t>
  </si>
  <si>
    <t>Special Education Services</t>
  </si>
  <si>
    <t>Instructional Support</t>
  </si>
  <si>
    <t>Technoogy Services</t>
  </si>
  <si>
    <t>Central Services</t>
  </si>
  <si>
    <t>ESD Administration</t>
  </si>
  <si>
    <t>Local Revenue Outside Formula</t>
  </si>
  <si>
    <t xml:space="preserve">    Districts</t>
  </si>
  <si>
    <t xml:space="preserve">    ESDs</t>
  </si>
  <si>
    <t>Local Revenue in Formula</t>
  </si>
  <si>
    <t xml:space="preserve">     Districts</t>
  </si>
  <si>
    <t xml:space="preserve">     ESDs</t>
  </si>
  <si>
    <t>Total Local Revenue Formula Basis</t>
  </si>
  <si>
    <t>Food Service Enterprise Revenue</t>
  </si>
  <si>
    <t>Source:</t>
  </si>
  <si>
    <t>Federal Revenue (Districts and ESDs)</t>
  </si>
  <si>
    <t>Unrestricted Revenue</t>
  </si>
  <si>
    <t>Restricted Revenue</t>
  </si>
  <si>
    <t xml:space="preserve">           Totals</t>
  </si>
  <si>
    <t>Total Salaries</t>
  </si>
  <si>
    <t>School District audited financial statements (OLAP database)</t>
  </si>
  <si>
    <t>ESD audited financial statements (OLAP database)</t>
  </si>
  <si>
    <t>SSFQuery Budget worksheet</t>
  </si>
  <si>
    <t>Average Salaries--Historical and Forecast</t>
  </si>
  <si>
    <t>AvgTeachSal</t>
  </si>
  <si>
    <t>Average Teacher Salary</t>
  </si>
  <si>
    <t>AvgCounsSal</t>
  </si>
  <si>
    <t>Average Counselor Salary</t>
  </si>
  <si>
    <t>AvgPrinSal</t>
  </si>
  <si>
    <t>Average Principal Salary</t>
  </si>
  <si>
    <t>AvgAstPrinSal</t>
  </si>
  <si>
    <t>InstAsstWageRate</t>
  </si>
  <si>
    <t>Average Instr. Asst. Wage Rate</t>
  </si>
  <si>
    <t>AvgClsfdWageRate</t>
  </si>
  <si>
    <t>Average Classified Wage Rate</t>
  </si>
  <si>
    <t>AvgSecWageRate</t>
  </si>
  <si>
    <t>Average Secretary Wage Rate</t>
  </si>
  <si>
    <t>Principal</t>
  </si>
  <si>
    <t>TeachCounsGrowthRate</t>
  </si>
  <si>
    <t>AsstPrinGrowthRate</t>
  </si>
  <si>
    <t>PrinGrowthRate</t>
  </si>
  <si>
    <t>Possible Growth Factors</t>
  </si>
  <si>
    <t>DAS, Office of Economic Analysis</t>
  </si>
  <si>
    <t>U.S. GDP Implicit Price Deflator</t>
  </si>
  <si>
    <t>Percent Change in U.S. IPD</t>
  </si>
  <si>
    <t>Adjustments to reflect legislative appropriation</t>
  </si>
  <si>
    <t>Growth Factor Chosen plus adjustment for appropriation</t>
  </si>
  <si>
    <t>ROW MATCH</t>
  </si>
  <si>
    <t>COLUMN MATCH</t>
  </si>
  <si>
    <t>SHEET</t>
  </si>
  <si>
    <t>INDEX RANGE</t>
  </si>
  <si>
    <t>$A$3:$G$32</t>
  </si>
  <si>
    <t>$A$3:$A$32</t>
  </si>
  <si>
    <t>$E$4:$G$4</t>
  </si>
  <si>
    <t>$A$1:$H$9</t>
  </si>
  <si>
    <t>$A$1:$A$9</t>
  </si>
  <si>
    <t>$A$2:$H$2</t>
  </si>
  <si>
    <t>AvgClsfdGrowthRate</t>
  </si>
  <si>
    <t>Average Classified Salary Growth Rate</t>
  </si>
  <si>
    <t>Teacher Salary Growth Rate</t>
  </si>
  <si>
    <t>$A$1:$A$32</t>
  </si>
  <si>
    <t>$I$4:$K$11</t>
  </si>
  <si>
    <t>$I$4:$I$11</t>
  </si>
  <si>
    <t>$I$4:$K$4</t>
  </si>
  <si>
    <t>$E$1:$E$30</t>
  </si>
  <si>
    <t>K-12 Assumptions</t>
  </si>
  <si>
    <t>Salary Forecast Assumptions</t>
  </si>
  <si>
    <t>Students</t>
  </si>
  <si>
    <t>Program Element:</t>
  </si>
  <si>
    <t>Component</t>
  </si>
  <si>
    <t>Unit Cost Base year</t>
  </si>
  <si>
    <t>Teacher average salary assumption</t>
  </si>
  <si>
    <t>Principal average salary assumption</t>
  </si>
  <si>
    <t>Assistant Principal salary assumption</t>
  </si>
  <si>
    <t>Counselor average salary assumption</t>
  </si>
  <si>
    <t>Classified employee wage rate assumption</t>
  </si>
  <si>
    <t>Instructional Assistant wage rate assumption</t>
  </si>
  <si>
    <t>Principal's secretary wage rate assumption</t>
  </si>
  <si>
    <t>ContractBenefits</t>
  </si>
  <si>
    <t>HealthInsGrowthRate</t>
  </si>
  <si>
    <t>Contract Benefits</t>
  </si>
  <si>
    <t>OtherBenefits</t>
  </si>
  <si>
    <t>Other Benefits: Retirement, Employer Payroll Taxes</t>
  </si>
  <si>
    <t>UnempIns</t>
  </si>
  <si>
    <t>Unemployment Insurance</t>
  </si>
  <si>
    <t>Core instructional staff</t>
  </si>
  <si>
    <t>Media/Librarian</t>
  </si>
  <si>
    <t>English as a Second Language (ESL)</t>
  </si>
  <si>
    <t>Special education staffing</t>
  </si>
  <si>
    <t>Licensed substitute teachers for general instruction</t>
  </si>
  <si>
    <t>Licensed substitute teachers for special education</t>
  </si>
  <si>
    <t>Additional special student programs</t>
  </si>
  <si>
    <t>RIPROS</t>
  </si>
  <si>
    <t>Instructional Assistant</t>
  </si>
  <si>
    <t>Co-curricular/activities director</t>
  </si>
  <si>
    <t>Additional instructional time for students to achieve standards</t>
  </si>
  <si>
    <t>DailyClsfdCost</t>
  </si>
  <si>
    <t>Classified--Summer School</t>
  </si>
  <si>
    <t>Supplies--Summer School</t>
  </si>
  <si>
    <t>Instructional improvement</t>
  </si>
  <si>
    <t>Instructional support staff</t>
  </si>
  <si>
    <t>Special education</t>
  </si>
  <si>
    <t xml:space="preserve">Classified </t>
  </si>
  <si>
    <t>Administrative accountability</t>
  </si>
  <si>
    <t>Supplies and materials</t>
  </si>
  <si>
    <t>Parent/Community Outreach</t>
  </si>
  <si>
    <t>Computer hardware/software</t>
  </si>
  <si>
    <t>Software--percent upgraded each year</t>
  </si>
  <si>
    <t>Supplies, books, materials</t>
  </si>
  <si>
    <t>Texts, consumables, classroom sets--amount per student</t>
  </si>
  <si>
    <t>Classroom materials, equipment, supplies</t>
  </si>
  <si>
    <t>Media center materials--amount per student</t>
  </si>
  <si>
    <t>Teacher reimbursement of materials purchases--amount per student</t>
  </si>
  <si>
    <t>Professional training &amp; development</t>
  </si>
  <si>
    <t>Teacher collaboration time (hours per week for 36 weeks)</t>
  </si>
  <si>
    <t>Materials, Travel</t>
  </si>
  <si>
    <t>Consultants</t>
  </si>
  <si>
    <t>Special ed. support staff</t>
  </si>
  <si>
    <t>Leadership training for Principal</t>
  </si>
  <si>
    <t>Building support costs: Costs distributed to each building</t>
  </si>
  <si>
    <t>Food services</t>
  </si>
  <si>
    <t>Student transportation</t>
  </si>
  <si>
    <t>Technology services</t>
  </si>
  <si>
    <t>Operation, maintenance of plant</t>
  </si>
  <si>
    <t>Other support services</t>
  </si>
  <si>
    <t xml:space="preserve">Centralized special education </t>
  </si>
  <si>
    <t>Curriculum development, assessment</t>
  </si>
  <si>
    <t>District administrative support</t>
  </si>
  <si>
    <t>Central administration (Board of Education, superintendent)</t>
  </si>
  <si>
    <t>Business &amp; Fiscal Services</t>
  </si>
  <si>
    <t>Change in Instructional Days</t>
  </si>
  <si>
    <t>Total School Cost</t>
  </si>
  <si>
    <t>School Cost Per Pupil</t>
  </si>
  <si>
    <t>Education Service District support</t>
  </si>
  <si>
    <t>Total Cost</t>
  </si>
  <si>
    <t>Total Cost per Pupil</t>
  </si>
  <si>
    <t>Salary Forecasts (accounts only for inflation, not for growth in enrollment or ADMw)</t>
  </si>
  <si>
    <t>$A$4:$L$4</t>
  </si>
  <si>
    <t>Salary Growth Rates</t>
  </si>
  <si>
    <t>Weighted Average Wage&amp;Salary Growth Rate</t>
  </si>
  <si>
    <t>PERS Board estimate of employer rate</t>
  </si>
  <si>
    <t>PERS Board</t>
  </si>
  <si>
    <t>Federal tax rate</t>
  </si>
  <si>
    <t>DBI data</t>
  </si>
  <si>
    <t>Assistant principals</t>
  </si>
  <si>
    <t>Teacher leadership</t>
  </si>
  <si>
    <t>Principal's secretary</t>
  </si>
  <si>
    <t>School Nurse</t>
  </si>
  <si>
    <t>Counseling office</t>
  </si>
  <si>
    <t>School-to-work coordinator</t>
  </si>
  <si>
    <t>Registrar</t>
  </si>
  <si>
    <t>Attendance</t>
  </si>
  <si>
    <t>Community outreach</t>
  </si>
  <si>
    <t>Family resource center coordinator</t>
  </si>
  <si>
    <t>Departmental support</t>
  </si>
  <si>
    <t>Bookkeeper</t>
  </si>
  <si>
    <t>Volunteer coordinator</t>
  </si>
  <si>
    <t>Health clerk</t>
  </si>
  <si>
    <t>Media center assistant</t>
  </si>
  <si>
    <t>Receptionist</t>
  </si>
  <si>
    <t>Campus monitor</t>
  </si>
  <si>
    <t>Change in classified staff: policy scenario compared to baseline</t>
  </si>
  <si>
    <t>Elementary</t>
  </si>
  <si>
    <t>Middle</t>
  </si>
  <si>
    <t>High</t>
  </si>
  <si>
    <t>ES_librarian</t>
  </si>
  <si>
    <t>MS_librarian</t>
  </si>
  <si>
    <t>HS_librarian</t>
  </si>
  <si>
    <t>HS_ASSP</t>
  </si>
  <si>
    <t>ES_InstAsst</t>
  </si>
  <si>
    <t>MS_InstAsst</t>
  </si>
  <si>
    <t>HS_InstAsst</t>
  </si>
  <si>
    <t>School Size</t>
  </si>
  <si>
    <t>'K-12_Assumptions'!</t>
  </si>
  <si>
    <t>$A$6:$N$188</t>
  </si>
  <si>
    <t>$G$6:$N$6</t>
  </si>
  <si>
    <t>SpEd_Sub</t>
  </si>
  <si>
    <t>Reg_Sub</t>
  </si>
  <si>
    <t>$A$3:$E$21</t>
  </si>
  <si>
    <t>$A$3:$A$21</t>
  </si>
  <si>
    <t>$A$3:$E$3</t>
  </si>
  <si>
    <t>Licensed--Summer School</t>
  </si>
  <si>
    <t>MS_SumSchool</t>
  </si>
  <si>
    <t>HS_SumSchool</t>
  </si>
  <si>
    <t>ES_SumSchool</t>
  </si>
  <si>
    <t>Program staff - Elementary</t>
  </si>
  <si>
    <t>Program Staff - non-Elementary</t>
  </si>
  <si>
    <t>Core Staff - non-Elementary</t>
  </si>
  <si>
    <t>Core Staff - Kindergarten</t>
  </si>
  <si>
    <t>Core Staff - Grade 1</t>
  </si>
  <si>
    <t>Core Staff - Grades 2-3</t>
  </si>
  <si>
    <t>Core Staff - Grades 4-5</t>
  </si>
  <si>
    <t>Tutoring &amp; After School Programs</t>
  </si>
  <si>
    <t>Support staff for alternative education/teen parents</t>
  </si>
  <si>
    <t>Hardware replacement including student and administrative (%)</t>
  </si>
  <si>
    <t>Teacher professional development[standards and assessments] (FTE)</t>
  </si>
  <si>
    <t>ES_ClsfdSumSchool</t>
  </si>
  <si>
    <t>ES_SumSchlSupplies</t>
  </si>
  <si>
    <t>MS_SumSchlSupplies</t>
  </si>
  <si>
    <t>HS_SumSchlSupplies</t>
  </si>
  <si>
    <t>PERS_Rate</t>
  </si>
  <si>
    <t>Fed_Tax_Rate</t>
  </si>
  <si>
    <t>$A$1:$N$188</t>
  </si>
  <si>
    <t>$A$1:$A$188</t>
  </si>
  <si>
    <t>$A$6:$N$6</t>
  </si>
  <si>
    <t>$A$1:$L$31</t>
  </si>
  <si>
    <t>$A$1:$A$31</t>
  </si>
  <si>
    <t>Cumulative Growth Rate</t>
  </si>
  <si>
    <t>Daily Teacher Cost</t>
  </si>
  <si>
    <t>DailyTeacherCost</t>
  </si>
  <si>
    <t>WeightedAvgGrowthRate</t>
  </si>
  <si>
    <t>MS_ClsfdSumSchool</t>
  </si>
  <si>
    <t>HS_ClsfdSumSchool</t>
  </si>
  <si>
    <t>Cumulative Teacher Growth Rate</t>
  </si>
  <si>
    <t>Cumulative Classified Growth Rate</t>
  </si>
  <si>
    <t>Daily Classified Cost</t>
  </si>
  <si>
    <t>$A$1:$L$32</t>
  </si>
  <si>
    <t>Coaching</t>
  </si>
  <si>
    <t>Cther extracurricular sponsors</t>
  </si>
  <si>
    <t>Athletic event-related expenses</t>
  </si>
  <si>
    <t>Other extracurricular materials and supplies</t>
  </si>
  <si>
    <t>HS_SpecStudProg</t>
  </si>
  <si>
    <t>MS_AddlSupport</t>
  </si>
  <si>
    <t>MS_AsstPrin</t>
  </si>
  <si>
    <t>HS_AsstPrin</t>
  </si>
  <si>
    <t>HS_AthlEventExp</t>
  </si>
  <si>
    <t>HS_Attendance</t>
  </si>
  <si>
    <t>MS_Attendance</t>
  </si>
  <si>
    <t>HS_Bookkeeper</t>
  </si>
  <si>
    <t>HS_CampusMonitor</t>
  </si>
  <si>
    <t>MS_CampusMonitor</t>
  </si>
  <si>
    <t>ES_CentSpEd</t>
  </si>
  <si>
    <t>HS_CentSpEd</t>
  </si>
  <si>
    <t>MS_CentSpEd</t>
  </si>
  <si>
    <t>HS_Coach</t>
  </si>
  <si>
    <t>HS_CommOutreach</t>
  </si>
  <si>
    <t>MS_CommOutreach</t>
  </si>
  <si>
    <t>HS_CounsOffice</t>
  </si>
  <si>
    <t>HS_DeptSupport</t>
  </si>
  <si>
    <t>ES_ExCurrExp</t>
  </si>
  <si>
    <t>MS_ExCurrExp</t>
  </si>
  <si>
    <t>HS_FamResCenCoord</t>
  </si>
  <si>
    <t>MS_FamResCenCoord</t>
  </si>
  <si>
    <t>HS_HlthClrk</t>
  </si>
  <si>
    <t>ES_PrinLeadership</t>
  </si>
  <si>
    <t>MS_PrinLeadership</t>
  </si>
  <si>
    <t>HS_PrinLeadership</t>
  </si>
  <si>
    <t>ES_MaterTrav</t>
  </si>
  <si>
    <t>HS_MaterTrav</t>
  </si>
  <si>
    <t>MS_MaterTrav</t>
  </si>
  <si>
    <t>HS_MediaCentAsst</t>
  </si>
  <si>
    <t>MS_MediaCentAsst</t>
  </si>
  <si>
    <t>HS_Media/Lib</t>
  </si>
  <si>
    <t>MS_Media/Lib</t>
  </si>
  <si>
    <t>HS_OtherExtCurExp</t>
  </si>
  <si>
    <t>ES_OtherSuppServ</t>
  </si>
  <si>
    <t>HS_OtherSuppServ</t>
  </si>
  <si>
    <t>MS_OtherSuppServ</t>
  </si>
  <si>
    <t>ES_Prin</t>
  </si>
  <si>
    <t>HS_Prin</t>
  </si>
  <si>
    <t>MS_Prin</t>
  </si>
  <si>
    <t>HS_PrinSec</t>
  </si>
  <si>
    <t>MS_PrinSec</t>
  </si>
  <si>
    <t>ES_PubInfo</t>
  </si>
  <si>
    <t>HS_PubInfo</t>
  </si>
  <si>
    <t>MS_PubInfo</t>
  </si>
  <si>
    <t>HS_Receptionist</t>
  </si>
  <si>
    <t>MS_Receptionist</t>
  </si>
  <si>
    <t>HS_Registrar</t>
  </si>
  <si>
    <t>HS_Nurse</t>
  </si>
  <si>
    <t>MS_Nurse</t>
  </si>
  <si>
    <t>HS_S2W_Coord</t>
  </si>
  <si>
    <t>ES_PrinSec</t>
  </si>
  <si>
    <t>HS_SpEdSupport</t>
  </si>
  <si>
    <t>ES_SpEdSupport</t>
  </si>
  <si>
    <t>MS_SpEdSupport</t>
  </si>
  <si>
    <t>ES_SpEdStaff</t>
  </si>
  <si>
    <t>HS_SpEdStaff</t>
  </si>
  <si>
    <t>MS_SpEdStaff</t>
  </si>
  <si>
    <t>HS_STEM_Stipend</t>
  </si>
  <si>
    <t>MS_STEM_Stipend</t>
  </si>
  <si>
    <t>HS_AltEdTeenParent</t>
  </si>
  <si>
    <t>HS_TchrLeadership</t>
  </si>
  <si>
    <t>MS_TchrLeadership</t>
  </si>
  <si>
    <t>HS_TchrProfDev</t>
  </si>
  <si>
    <t>MS_TchrProfDev</t>
  </si>
  <si>
    <t>ES_TchrProfDev</t>
  </si>
  <si>
    <t>HS_Vol_Coord</t>
  </si>
  <si>
    <t>MS_Vol_Coord</t>
  </si>
  <si>
    <t>$A$1:$K$15</t>
  </si>
  <si>
    <t>$A$2:$K$2</t>
  </si>
  <si>
    <t>$B$1:$B$15</t>
  </si>
  <si>
    <t>Classified-&gt;Secretary adj. factor</t>
  </si>
  <si>
    <t>_SpEdStaff</t>
  </si>
  <si>
    <t>_PrinSec</t>
  </si>
  <si>
    <t>_Nurse</t>
  </si>
  <si>
    <t>_Attendance</t>
  </si>
  <si>
    <t>_CommOutreach</t>
  </si>
  <si>
    <t>_FamResCenCoord</t>
  </si>
  <si>
    <t>_Vol_Coord</t>
  </si>
  <si>
    <t>_MediaCentAsst</t>
  </si>
  <si>
    <t>_Receptionist</t>
  </si>
  <si>
    <t>_CampusMonitor</t>
  </si>
  <si>
    <t>_AltEdTeenParent</t>
  </si>
  <si>
    <t>_CounsOffice</t>
  </si>
  <si>
    <t>_S2W_Coord</t>
  </si>
  <si>
    <t>_Registrar</t>
  </si>
  <si>
    <t>_DeptSupport</t>
  </si>
  <si>
    <t>_Bookkeeper</t>
  </si>
  <si>
    <t>_HlthClrk</t>
  </si>
  <si>
    <t>_Clsfd</t>
  </si>
  <si>
    <t>AdditionalSupport</t>
  </si>
  <si>
    <t>_AddlSupport</t>
  </si>
  <si>
    <t>_Prin</t>
  </si>
  <si>
    <t>_AsstPrin</t>
  </si>
  <si>
    <t>_TchrLeadership</t>
  </si>
  <si>
    <t>_ParComOutreach</t>
  </si>
  <si>
    <t>_CompHardware</t>
  </si>
  <si>
    <t>_CompSoftware</t>
  </si>
  <si>
    <t>All Years</t>
  </si>
  <si>
    <t>Computers per school</t>
  </si>
  <si>
    <t>Students per Computer</t>
  </si>
  <si>
    <t>Student Computers</t>
  </si>
  <si>
    <t>Teacher and Admin Computers</t>
  </si>
  <si>
    <t>Total Computers</t>
  </si>
  <si>
    <t>HW_Cost</t>
  </si>
  <si>
    <t>Hardware cost per Unit</t>
  </si>
  <si>
    <t>SW_Cost</t>
  </si>
  <si>
    <t>Software cost per Unit</t>
  </si>
  <si>
    <t>Computer Hardware/Software</t>
  </si>
  <si>
    <t>$A$2:$F$2</t>
  </si>
  <si>
    <t>_TextsConsumables</t>
  </si>
  <si>
    <t>_CME</t>
  </si>
  <si>
    <t>_MediaMaterials</t>
  </si>
  <si>
    <t>_TeacherReimbExp</t>
  </si>
  <si>
    <t>Text_CumGrowthRate</t>
  </si>
  <si>
    <t>Comp_CumGrowthRate</t>
  </si>
  <si>
    <t>$A$1:$F$9</t>
  </si>
  <si>
    <t>_Coach</t>
  </si>
  <si>
    <t>_AthlEventExp</t>
  </si>
  <si>
    <t>_OtherExtCurExp</t>
  </si>
  <si>
    <t>_ExtraCurrSponsors</t>
  </si>
  <si>
    <t>_ExCurrExp</t>
  </si>
  <si>
    <t>Extracurricular expenditures (Non-High School)</t>
  </si>
  <si>
    <t>Stipends for math and science teachers to encourage further training</t>
  </si>
  <si>
    <t>_TeacherCollab</t>
  </si>
  <si>
    <t>_STEMStipend</t>
  </si>
  <si>
    <t>_LeadershipDev</t>
  </si>
  <si>
    <t>_ConsStaffDev</t>
  </si>
  <si>
    <t>_TeachProfDev</t>
  </si>
  <si>
    <t>SUM NON-SHADED CORE INSTRUCTIONAL AND INSTRUCTIONAL IMPROVEMENT</t>
  </si>
  <si>
    <t>_MaterTrav</t>
  </si>
  <si>
    <t>O&amp;M</t>
  </si>
  <si>
    <t>TechServices</t>
  </si>
  <si>
    <t>_AssessCurDev</t>
  </si>
  <si>
    <t>FoodServ_GrowthRate</t>
  </si>
  <si>
    <t>CentSpEd_GrowthRate</t>
  </si>
  <si>
    <t>$A$1:$A$16</t>
  </si>
  <si>
    <t>_FormAssess</t>
  </si>
  <si>
    <t>Food Services</t>
  </si>
  <si>
    <t>Share of Costs Represented by Salaries</t>
  </si>
  <si>
    <t>Change in PERS rate affects centralized services to the extent of their salary share. Adds amount equal to the difference</t>
  </si>
  <si>
    <t>(Affects costs when PERS rate changes)</t>
  </si>
  <si>
    <t>in the PERS rate from the base year times the share that is salary.</t>
  </si>
  <si>
    <t>StudTrans</t>
  </si>
  <si>
    <t>Student Transportation</t>
  </si>
  <si>
    <t>TechService</t>
  </si>
  <si>
    <t>OSS_Serv</t>
  </si>
  <si>
    <t>Centralized Special Ed Services</t>
  </si>
  <si>
    <t>CurDevAssess</t>
  </si>
  <si>
    <t>Curriculum Dev. and Assessment</t>
  </si>
  <si>
    <t>ExecAdmin</t>
  </si>
  <si>
    <t>Executive Administration</t>
  </si>
  <si>
    <t>BusFiscAdmin</t>
  </si>
  <si>
    <t>Business and Fiscal Administration</t>
  </si>
  <si>
    <t>PersAdmin</t>
  </si>
  <si>
    <t>Personnel Administration</t>
  </si>
  <si>
    <t>ESD Special Education Services</t>
  </si>
  <si>
    <t>ESD_InstSupp</t>
  </si>
  <si>
    <t>ESD Instructional Support</t>
  </si>
  <si>
    <t>ESD_TechServ</t>
  </si>
  <si>
    <t>ESD Technoogy Services</t>
  </si>
  <si>
    <t>ESD_CentServ</t>
  </si>
  <si>
    <t>ESD Central Services</t>
  </si>
  <si>
    <t>$A$1:$C$19</t>
  </si>
  <si>
    <t>$A$4:$C$4</t>
  </si>
  <si>
    <t>PERS_EmContGrowth</t>
  </si>
  <si>
    <t>$B$1:$B$16</t>
  </si>
  <si>
    <t>$A$1:$K$16</t>
  </si>
  <si>
    <t>_O&amp;M</t>
  </si>
  <si>
    <t>_TechServices</t>
  </si>
  <si>
    <t>_InstructionDays</t>
  </si>
  <si>
    <t>Calculations for Change in Instruction Days Impacts</t>
  </si>
  <si>
    <t>Full-Year Number of Teacher Days</t>
  </si>
  <si>
    <t>Full-Year Total District Days</t>
  </si>
  <si>
    <t>Variable Licensed Compensation costs per student per day</t>
  </si>
  <si>
    <t>Variable Classified Compensation costs per student per day</t>
  </si>
  <si>
    <t>Variable Administrator Compensation costs per student per day</t>
  </si>
  <si>
    <t>Building Support and Centralized support costs per student per day</t>
  </si>
  <si>
    <t>District administrative support costs per student per day</t>
  </si>
  <si>
    <t>Total Variable Costs per student per day</t>
  </si>
  <si>
    <t>$A$1:$A$19</t>
  </si>
  <si>
    <t>QEM Policy Model Estimated Expenditures</t>
  </si>
  <si>
    <t>Scaling Factor</t>
  </si>
  <si>
    <t>ADMw Extended Used in Model Scenario</t>
  </si>
  <si>
    <t xml:space="preserve">October 1 Enrollment: </t>
  </si>
  <si>
    <t>Expenditure</t>
  </si>
  <si>
    <t>District</t>
  </si>
  <si>
    <t>per</t>
  </si>
  <si>
    <t>ADMw</t>
  </si>
  <si>
    <t>October 1</t>
  </si>
  <si>
    <t>Extended</t>
  </si>
  <si>
    <t>Enrollment*</t>
  </si>
  <si>
    <t>Expenditure/Revenue</t>
  </si>
  <si>
    <t>get from parameters</t>
  </si>
  <si>
    <t>K-5</t>
  </si>
  <si>
    <t>6-8</t>
  </si>
  <si>
    <t>9-12</t>
  </si>
  <si>
    <t>Total Model Estimate--Districts</t>
  </si>
  <si>
    <t>ESDs</t>
  </si>
  <si>
    <t>diff from target</t>
  </si>
  <si>
    <t>** Difference between GF Expenditures and Formula Distribution is primarily local resources that are outside the formula.</t>
  </si>
  <si>
    <t>Plus: ESDs</t>
  </si>
  <si>
    <t>Total Costs: Districts plus ESDs</t>
  </si>
  <si>
    <t>Less: Local Revenue not in Formula</t>
  </si>
  <si>
    <t>Less: Federal Revenue</t>
  </si>
  <si>
    <t>Less: Food Service Enterprise Revenue</t>
  </si>
  <si>
    <t>Less: PERS Side Account Earnings</t>
  </si>
  <si>
    <t>Equals: Formula Distribution</t>
  </si>
  <si>
    <t>Less: Local Revenue Distributed by Formula</t>
  </si>
  <si>
    <t>Plus: High-Cost Special Education</t>
  </si>
  <si>
    <t>Less: Added Federal Special Education Funding</t>
  </si>
  <si>
    <t>Equals: State Funding Requirement</t>
  </si>
  <si>
    <t>target=</t>
  </si>
  <si>
    <t>Equals:Total Formula Distribution</t>
  </si>
  <si>
    <t>Plus: High-Cost Disability Fund</t>
  </si>
  <si>
    <t>Item</t>
  </si>
  <si>
    <t>Enrollment</t>
  </si>
  <si>
    <t>October 1 Enrollment: K-5</t>
  </si>
  <si>
    <t>October 1 Enrollment: 6-8</t>
  </si>
  <si>
    <t>October 1 Enrollment: 9-12</t>
  </si>
  <si>
    <t>October 1 Enrollment Growth Rate</t>
  </si>
  <si>
    <t>ADMw Extended at half-day Kindergarten</t>
  </si>
  <si>
    <t>ADMw Extended Growth Rate at Half-day K</t>
  </si>
  <si>
    <t>Kindergarteners (October 1 Enrollment)</t>
  </si>
  <si>
    <t>Growth Rate for Kindergarteners</t>
  </si>
  <si>
    <t>ADMw Extended at full-day Kindergarten</t>
  </si>
  <si>
    <t>ADMw Extended Growth Rate at Full-day K</t>
  </si>
  <si>
    <t xml:space="preserve">October 1 Enrollment </t>
  </si>
  <si>
    <t>Use this to calibrate Baseline to CSL</t>
  </si>
  <si>
    <t>Biennium Totals</t>
  </si>
  <si>
    <t>diff</t>
  </si>
  <si>
    <t xml:space="preserve">     District Local Revenue Growth Rate</t>
  </si>
  <si>
    <t xml:space="preserve">     ESD Local Revenue Growth Rate</t>
  </si>
  <si>
    <t xml:space="preserve">    Local Rev Outside Formula Growth Rate</t>
  </si>
  <si>
    <t>District Share of Formula Revenue</t>
  </si>
  <si>
    <t>ESD Share of Formula Revenue</t>
  </si>
  <si>
    <t>Federal Revenue</t>
  </si>
  <si>
    <t>Federal Revenue Growth Rate</t>
  </si>
  <si>
    <t>Food Services Growth Rate</t>
  </si>
  <si>
    <t>$A$1:$H$1</t>
  </si>
  <si>
    <t>$A$1:$H$17</t>
  </si>
  <si>
    <t>$A$1:$A$17</t>
  </si>
  <si>
    <t>Local Revenue Distributed by Formula</t>
  </si>
  <si>
    <t>State_SpEd_Fund</t>
  </si>
  <si>
    <t>Total Number of Teachers</t>
  </si>
  <si>
    <t>Total Number of Licensed Staff</t>
  </si>
  <si>
    <t>Number of Teachers for Class Size Calculation</t>
  </si>
  <si>
    <t>Number of School Administrators</t>
  </si>
  <si>
    <t>Students for Class Size Calculation (K at .5 when half-day)</t>
  </si>
  <si>
    <t>Number of School-Level Support (Classified) Staff</t>
  </si>
  <si>
    <t xml:space="preserve">Classes per student </t>
  </si>
  <si>
    <t>Classes per teacher</t>
  </si>
  <si>
    <t>Total School-Level Staff</t>
  </si>
  <si>
    <t>Average Class Size</t>
  </si>
  <si>
    <t>SubTotal</t>
  </si>
  <si>
    <t>District-Level</t>
  </si>
  <si>
    <t>Number of Prototype Schools</t>
  </si>
  <si>
    <t>Biennium_1</t>
  </si>
  <si>
    <t>Percent</t>
  </si>
  <si>
    <t>Level</t>
  </si>
  <si>
    <t>Difference</t>
  </si>
  <si>
    <t>TME</t>
  </si>
  <si>
    <t>ESD</t>
  </si>
  <si>
    <t>Plus: ESD Expenditures</t>
  </si>
  <si>
    <t>HCDF</t>
  </si>
  <si>
    <t>Plus: High-Cost Disabilities Fund for Special Education Students</t>
  </si>
  <si>
    <t>LR_NIF</t>
  </si>
  <si>
    <t>Less: Local Revenue not in Formula (local option taxes, fees, grants, donations, etc.)</t>
  </si>
  <si>
    <t>FedRev</t>
  </si>
  <si>
    <t>Less: Federal Revenue To School Districts and ESDs</t>
  </si>
  <si>
    <t>FSE_Rev</t>
  </si>
  <si>
    <t>PERS_SAE</t>
  </si>
  <si>
    <t>Equals: Total Equalization Formula Funding Requirement</t>
  </si>
  <si>
    <t>LR_DIST</t>
  </si>
  <si>
    <t>Less: Property Taxes and other Local Revenues Distributed by Formula</t>
  </si>
  <si>
    <t>Scenario</t>
  </si>
  <si>
    <t>'Scale-Up'!$A$47:$A$72</t>
  </si>
  <si>
    <t>'Scale-Up'!$A$47:$O$47</t>
  </si>
  <si>
    <t>_OtherSuppServ</t>
  </si>
  <si>
    <t>_CentSpEd</t>
  </si>
  <si>
    <t>Sources:</t>
  </si>
  <si>
    <t>Fall Membership</t>
  </si>
  <si>
    <t>Sped</t>
  </si>
  <si>
    <t>LEP table in PIE database</t>
  </si>
  <si>
    <t>Fall Membership table in Secure Student database</t>
  </si>
  <si>
    <t>CumADM table in Secure Student database</t>
  </si>
  <si>
    <t>Spring membership table in Secure Student database</t>
  </si>
  <si>
    <t>SECC table in Secure Student database</t>
  </si>
  <si>
    <t>Classroom Materials and Equipment</t>
  </si>
  <si>
    <t>Data Source: Calculated from school district audited financial reports.  Stored in "Expenditure Data--All Categories.xls"</t>
  </si>
  <si>
    <t xml:space="preserve">    Direct from the Federal government (4300)</t>
  </si>
  <si>
    <t xml:space="preserve">    Through the State (4500)</t>
  </si>
  <si>
    <t xml:space="preserve">    Direct from the Federal government (4100)</t>
  </si>
  <si>
    <t xml:space="preserve">    Through the State (4200)</t>
  </si>
  <si>
    <t>Grants-in-Aid Through Intermediate Sources (4700)</t>
  </si>
  <si>
    <t>Long-term growth rate in centalized SpEd expenditures per student from audited financial data</t>
  </si>
  <si>
    <t>Long-term growth rate in food service expenditures per student from audited financial data</t>
  </si>
  <si>
    <t>Health Insurance Cost to Districts Growth Rate</t>
  </si>
  <si>
    <t>Other Federal Revenue (4802 - 4900)</t>
  </si>
  <si>
    <t>Policy Scenario Compared to the Current Service Level</t>
  </si>
  <si>
    <t xml:space="preserve">   Growth Rate</t>
  </si>
  <si>
    <t>Additional special student programs (FTE)</t>
  </si>
  <si>
    <t>Total with HCD Fund</t>
  </si>
  <si>
    <t>\</t>
  </si>
  <si>
    <t>Total Model Estimate--Districts incl. HCD Fund</t>
  </si>
  <si>
    <t>Western Region CPI</t>
  </si>
  <si>
    <t>District and ESD Debt Service Payments in PERS Bonds</t>
  </si>
  <si>
    <t>Less: PERS Side Account Earnings Net of Debt Service Costs</t>
  </si>
  <si>
    <t>Collection_ID</t>
  </si>
  <si>
    <t>SchlYr</t>
  </si>
  <si>
    <t>Nm</t>
  </si>
  <si>
    <t>SumOfPERSSalary</t>
  </si>
  <si>
    <t>SumOfFTE</t>
  </si>
  <si>
    <t>SumOfAdjFTE</t>
  </si>
  <si>
    <t>AvgSal</t>
  </si>
  <si>
    <t>AdjAvgSal</t>
  </si>
  <si>
    <t>SpringStfPos08-09</t>
  </si>
  <si>
    <t>SpringStfPos09-10</t>
  </si>
  <si>
    <t>SpringStfPos10-11</t>
  </si>
  <si>
    <t>SpringStfPos11-12</t>
  </si>
  <si>
    <t>SpringStfPos12-13</t>
  </si>
  <si>
    <t>SpringStfPos13-14</t>
  </si>
  <si>
    <t>SpringStfPos14-15</t>
  </si>
  <si>
    <t>SpringStfPos15-16</t>
  </si>
  <si>
    <t>SpringStfPos16-17</t>
  </si>
  <si>
    <t>SpringStfPos17-18</t>
  </si>
  <si>
    <t>SpringStfPos18-19</t>
  </si>
  <si>
    <t>Average Salary for Counselors -- Output</t>
  </si>
  <si>
    <t>AvgOfHrlyRt</t>
  </si>
  <si>
    <t>Average Wage of Classified Staff -- Output</t>
  </si>
  <si>
    <t>'Raw Data'!</t>
  </si>
  <si>
    <t>ESDs Total Outside Formula</t>
  </si>
  <si>
    <t>District Total Outside Formula</t>
  </si>
  <si>
    <t>Districts Local Revenue in Formula</t>
  </si>
  <si>
    <t>ESDs Local Revenue in Formula</t>
  </si>
  <si>
    <t>calculated in worksheet</t>
  </si>
  <si>
    <t>Unrestricted Revenue Direct from the Federal government (4100)</t>
  </si>
  <si>
    <t>Unrestricted Revenue Through the State (4200)</t>
  </si>
  <si>
    <t>Restricted Revenue Through the State (4500)</t>
  </si>
  <si>
    <t>Restricted Revenue Direct from the Federal government (4300)</t>
  </si>
  <si>
    <t>$A$1:$P$1</t>
  </si>
  <si>
    <t>$C$25:$D$26</t>
  </si>
  <si>
    <t>$C$25:$C$27</t>
  </si>
  <si>
    <t>$C$25:$D$25</t>
  </si>
  <si>
    <t>Special Ed.</t>
  </si>
  <si>
    <t>Administration</t>
  </si>
  <si>
    <t>$A$6:$P$6</t>
  </si>
  <si>
    <t>$A$1:$R$188</t>
  </si>
  <si>
    <t>$A$6:$R$6</t>
  </si>
  <si>
    <t>2027-2028</t>
  </si>
  <si>
    <t>2028-2029</t>
  </si>
  <si>
    <t>Salaries</t>
  </si>
  <si>
    <t>Total  Op Exp</t>
  </si>
  <si>
    <t>SpringStfPos19-20</t>
  </si>
  <si>
    <t>SpringStfPos20-21</t>
  </si>
  <si>
    <t>Instr. Asst. Wage Rate</t>
  </si>
  <si>
    <t>Staff per prototype school</t>
  </si>
  <si>
    <t>ES_Nurse</t>
  </si>
  <si>
    <t>COMPUTER STAFF COUNT</t>
  </si>
  <si>
    <t>Jan</t>
  </si>
  <si>
    <t>Feb</t>
  </si>
  <si>
    <t>Mar</t>
  </si>
  <si>
    <t>Apr</t>
  </si>
  <si>
    <t>May</t>
  </si>
  <si>
    <t>Jun</t>
  </si>
  <si>
    <t>Jul</t>
  </si>
  <si>
    <t>Aug</t>
  </si>
  <si>
    <t>Sep</t>
  </si>
  <si>
    <t>Oct</t>
  </si>
  <si>
    <t>Nov</t>
  </si>
  <si>
    <t>Dec</t>
  </si>
  <si>
    <t>HALF1</t>
  </si>
  <si>
    <t>HALF2</t>
  </si>
  <si>
    <t>Personal computers and peripheral equipment in U.S. city average, all urban consumers, not seasonally adjusted</t>
  </si>
  <si>
    <t>https://data.bls.gov/timeseries/CUUR0000SEEE01?output_view=data</t>
  </si>
  <si>
    <t>Shool Year Index Average</t>
  </si>
  <si>
    <t>Growth Rate</t>
  </si>
  <si>
    <t>BLS PERSONAL COMPUTER GROWTH RATE</t>
  </si>
  <si>
    <t>Educational books and supplies in U.S. city average, all urban consumers, seasonally adjusted</t>
  </si>
  <si>
    <t>https://data.bls.gov/timeseries/CUSR0000SEEA?output_view=data</t>
  </si>
  <si>
    <t>BLS EDUCATIONAL BOOK AND SUPPLY COST GROWTH INDEX</t>
  </si>
  <si>
    <t>Percent Change in Western CPI</t>
  </si>
  <si>
    <t>Oregon Educational Sector Price Index</t>
  </si>
  <si>
    <t>centralized special ed expenditures</t>
  </si>
  <si>
    <t>SchoolYear</t>
  </si>
  <si>
    <t>1--Elementary</t>
  </si>
  <si>
    <t>2--Middle</t>
  </si>
  <si>
    <t>3--High</t>
  </si>
  <si>
    <t>School Level</t>
  </si>
  <si>
    <t>District Level</t>
  </si>
  <si>
    <t>total</t>
  </si>
  <si>
    <t>ADMr</t>
  </si>
  <si>
    <t>LRAvg</t>
  </si>
  <si>
    <t>$A$3:$M$3</t>
  </si>
  <si>
    <t>$A$3:$M$20</t>
  </si>
  <si>
    <t>$A$3:$A$20</t>
  </si>
  <si>
    <t>ES_MediaCentAsst</t>
  </si>
  <si>
    <t>$A$1:$P$87</t>
  </si>
  <si>
    <t>$A$1:$A$87</t>
  </si>
  <si>
    <t>ES_FamResCenCoord</t>
  </si>
  <si>
    <t>ES_SpecStudProg</t>
  </si>
  <si>
    <t>MS_SpecStudProg</t>
  </si>
  <si>
    <t>ES_AsstPrin</t>
  </si>
  <si>
    <t>MS_Coach</t>
  </si>
  <si>
    <t>ES_CommOutreach</t>
  </si>
  <si>
    <t>MS_CounsOffice</t>
  </si>
  <si>
    <t>ES_CounsOffice</t>
  </si>
  <si>
    <t>ES_Receptionist</t>
  </si>
  <si>
    <t>MS_Registrar</t>
  </si>
  <si>
    <t>ES_Vol_Coord</t>
  </si>
  <si>
    <t>iPad</t>
  </si>
  <si>
    <t>Chromebook</t>
  </si>
  <si>
    <t>Teacher laptop</t>
  </si>
  <si>
    <t>STUDENT DEVICE COST PER UNIT</t>
  </si>
  <si>
    <t>STAFF DEVICE COST PER UNIT</t>
  </si>
  <si>
    <t>$A$5:$G$12</t>
  </si>
  <si>
    <t>ESD Expenditures are net of ESD fee-for-service revenues from school districts since those are reported as expenditures by school districts</t>
  </si>
  <si>
    <t>ES_Media/Lib</t>
  </si>
  <si>
    <t>$A$1:$P$99</t>
  </si>
  <si>
    <t>$A$1:$A$99</t>
  </si>
  <si>
    <t>$A$1:$P$999</t>
  </si>
  <si>
    <t>Total Salaries of Districts</t>
  </si>
  <si>
    <t>DMD/OST</t>
  </si>
  <si>
    <t>&lt;- value to calibrrate</t>
  </si>
  <si>
    <t>2027-28</t>
  </si>
  <si>
    <t>2028-29</t>
  </si>
  <si>
    <t>SpringStfPos21-22</t>
  </si>
  <si>
    <t>SpringStfPos22-23</t>
  </si>
  <si>
    <t>SpringStfPos23-24</t>
  </si>
  <si>
    <t>Average Wage of EA -- Output</t>
  </si>
  <si>
    <t>RETURN</t>
  </si>
  <si>
    <t>SumOfActualExpAmt</t>
  </si>
  <si>
    <t>0001</t>
  </si>
  <si>
    <t>0102</t>
  </si>
  <si>
    <t>0203</t>
  </si>
  <si>
    <t>0304</t>
  </si>
  <si>
    <t>0405</t>
  </si>
  <si>
    <t>0506</t>
  </si>
  <si>
    <t>0607</t>
  </si>
  <si>
    <t>0708</t>
  </si>
  <si>
    <t>0809</t>
  </si>
  <si>
    <t>0910</t>
  </si>
  <si>
    <t>Unemployment Insurance Rate</t>
  </si>
  <si>
    <t>PERS Employer Contribution Rate</t>
  </si>
  <si>
    <t>PERS Side Account Earnings Rate</t>
  </si>
  <si>
    <t>PERS Blended Rate Net of Side Acct Earnings</t>
  </si>
  <si>
    <t>Federal Payroll Tax Rate</t>
  </si>
  <si>
    <t>Total Instructional Salaries of Districts</t>
  </si>
  <si>
    <t>Long Run Average</t>
  </si>
  <si>
    <t>RIPROS %</t>
  </si>
  <si>
    <t>Percentage of district instructional salaries</t>
  </si>
  <si>
    <t>Retirement Incentive Payment Rate and Other Salaries</t>
  </si>
  <si>
    <t>3-Year Lag Average</t>
  </si>
  <si>
    <t>1) LOCAL REVENUE IN FORMULA</t>
  </si>
  <si>
    <t>3-Yr Rate</t>
  </si>
  <si>
    <t>LRAVG</t>
  </si>
  <si>
    <t>A1:P1</t>
  </si>
  <si>
    <t>`</t>
  </si>
  <si>
    <t>Fund 100, 200-series, 500; Function 1132, Object 100-series</t>
  </si>
  <si>
    <t>Fund 100, 200-series, 500; Function 1122, Object 100-series</t>
  </si>
  <si>
    <t>_STEM_Stipend</t>
  </si>
  <si>
    <t>Additional Commercial Assessments to Identify Student Needs ($ per Student)</t>
  </si>
  <si>
    <t>2029-30</t>
  </si>
  <si>
    <t>SpringStfPos06-07</t>
  </si>
  <si>
    <t>SpringStfPos07-08</t>
  </si>
  <si>
    <t>SpringStfPos24-25</t>
  </si>
  <si>
    <t>SpringStfPos25-26</t>
  </si>
  <si>
    <t>2006-07</t>
  </si>
  <si>
    <t>2007-08</t>
  </si>
  <si>
    <t>2030-31</t>
  </si>
  <si>
    <t>March 2026 Forecast</t>
  </si>
  <si>
    <t>POB - SD &amp; ESD Debt Service as of 7/1/2024</t>
  </si>
  <si>
    <t>Milliman and PERS Board</t>
  </si>
  <si>
    <t>https://www.apple.com/education/pricelists/pdfs/Apple_US_Education_Institution_Price_List.pdf</t>
  </si>
  <si>
    <t>https://shop.oetc.org/sDashboard/main</t>
  </si>
  <si>
    <r>
      <t>System-wide software unit costs (</t>
    </r>
    <r>
      <rPr>
        <sz val="10"/>
        <color theme="1"/>
        <rFont val="Arial Unicode MS"/>
      </rPr>
      <t>SW_Cost</t>
    </r>
    <r>
      <rPr>
        <sz val="11"/>
        <color theme="1"/>
        <rFont val="Calibri"/>
        <family val="2"/>
        <scheme val="minor"/>
      </rPr>
      <t>) represent a fully loaded, per-unit baseline composite of enterprise software packages procured via active regional cooperative contracts (OETC Microsoft EES and SIS Master Price Schedules). Rather than simple standalone device apps, this parameter accounts for total institutional software overhead—combining enterprise productivity suites, student information systems (SIS), and mandatory CIPA-compliant content filtering and network endpoint security systems.</t>
    </r>
  </si>
  <si>
    <t>Student device parameters represent fully loaded, per-unit total cost of ownership (TCO) baselines for standard K-12 institutional deployments. Rather than unmanaged consumer shelf prices, hardware figures are built using active regional cooperative procurement contracts (OETC Chromebook and Apple Institutional Price Schedules). These unit costs account for ruggedized, education-grade hardware configurations blended with mandatory multi-year lifecycle assurance components—specifically including enterprise domain enrollment licensing (Google Chrome Education Upgrade / Apple MDM infrastructure) and extended multi-year accidental damage protection (ADP) contracts to safeguard public assets against instructional downtime.</t>
  </si>
  <si>
    <t>Staff workstation parameters represent a standard mid-tier 14"/15" enterprise-class laptop deployment provisioned under active regional cooperative contract schedules (OETC Systems portfolio). To accurately capture true cost of ownership (TCO) and safeguard operational continuity, the parameter is fully loaded to include business-grade hardware baselines (minimum Intel Core i5/16GB RAM/256GB SSD specification tiers), factory-floor 'white glove' provisioning services (including custom enterprise imaging and physical asset tagging), and an integrated 3-Year Next-Business-Day on-site service level agreement (SLA) to completely eliminate classroom instructional downtime during hardware failures.</t>
  </si>
  <si>
    <t>These used to be recorded here but are now reported under extracurricular expenditures</t>
  </si>
  <si>
    <t>b) 2025-26 through 2028-29 from DOR March 2026 School Revenue Report</t>
  </si>
  <si>
    <t>c) 2029-30 &amp; 2030-31 Forecast in worksheet using lagging four-year average growth rate</t>
  </si>
  <si>
    <t>a) 2024-25 From audited school financial data in OLAP</t>
  </si>
  <si>
    <t>Base Year Direct Categorical Expenditures per Student</t>
  </si>
  <si>
    <t>INTERPOLATED FOR COVID IMPACTS</t>
  </si>
  <si>
    <t>Transportation Fees for Foster Children</t>
  </si>
  <si>
    <t>Medicaid Reimbursement for Eligible K-12 Expenses (Ages Five</t>
  </si>
  <si>
    <t>Through-State Unrestricted Revenue</t>
  </si>
  <si>
    <t>Through State Restricted Revenue</t>
  </si>
  <si>
    <t xml:space="preserve">Medicaid Reimbursement for Eligible Early Intervention (EI) </t>
  </si>
  <si>
    <t xml:space="preserve">Medicaid Reimbursement for Eligible Early Childhood Special </t>
  </si>
  <si>
    <t>A1:R56</t>
  </si>
  <si>
    <t>10-year trailing average growth rates</t>
  </si>
  <si>
    <t>SSF enrollment forecast growth rates</t>
  </si>
  <si>
    <t>Inflation Adjusted Revenue (Feb 2026)</t>
  </si>
  <si>
    <t>&lt;- 25-27 DAS SSF CSL Actual Appropriation</t>
  </si>
  <si>
    <t>DAS SSF CSL ESTIMATE</t>
  </si>
  <si>
    <t>(DAS SSF CSL does not account for Federal Funds Reductions)</t>
  </si>
  <si>
    <t>change</t>
  </si>
  <si>
    <t>2025-27 Full QEM (Updated PERS rates)</t>
  </si>
  <si>
    <t xml:space="preserve">Middle </t>
  </si>
  <si>
    <t>Hours</t>
  </si>
  <si>
    <t>Days</t>
  </si>
  <si>
    <t>THIS NO LONGER HAS TO ALIGN TO CSL IN BASE CASE</t>
  </si>
  <si>
    <t>Status Quo</t>
  </si>
  <si>
    <t>Status Quo Service</t>
  </si>
  <si>
    <t>2025-27 Status Quo</t>
  </si>
  <si>
    <t>Non-SSF State Funding remainder</t>
  </si>
  <si>
    <t>Remainder for non-SSF State Funding need</t>
  </si>
  <si>
    <t>'SalaryHistory'!</t>
  </si>
  <si>
    <t>Asst. Prin.</t>
  </si>
  <si>
    <t>Data Source: May 2026 SalaryBenefit Forecast (Net PERS Rate) - With Model Estimate Variance Calibration Factor</t>
  </si>
  <si>
    <t>'PerStudentExpenditures'!</t>
  </si>
  <si>
    <t>Average Asst. Prin. Salary</t>
  </si>
  <si>
    <t>Asst. Prin. Salary Growth Rate</t>
  </si>
  <si>
    <t>Principal Salary Growth Rate</t>
  </si>
  <si>
    <t>'SalaryAssumptions'!</t>
  </si>
  <si>
    <t>'LocalAndFedRevenues'!</t>
  </si>
  <si>
    <t>This is used as part of PERS side account calculations in PayrollBenefits tab</t>
  </si>
  <si>
    <t>'GrowthFactors'!</t>
  </si>
  <si>
    <t>'PayrollBenefits'!</t>
  </si>
  <si>
    <t>FTE</t>
  </si>
  <si>
    <t>Note</t>
  </si>
  <si>
    <t>Units</t>
  </si>
  <si>
    <t>per pupil expenditures</t>
  </si>
  <si>
    <t>High School Assistant principal</t>
  </si>
  <si>
    <t>Middle School Assistant principal</t>
  </si>
  <si>
    <t>High School Athletic event-related expenses</t>
  </si>
  <si>
    <t>High School Attendance Monitor</t>
  </si>
  <si>
    <t>High School Bookkeeper</t>
  </si>
  <si>
    <t>High School Additional special student programs</t>
  </si>
  <si>
    <t>Middle School Additional support</t>
  </si>
  <si>
    <t>Middle School Attendance Monitor</t>
  </si>
  <si>
    <t>High School Campus monitor</t>
  </si>
  <si>
    <t>Middle School Campus monitor</t>
  </si>
  <si>
    <t xml:space="preserve">Elementary School Centralized special education </t>
  </si>
  <si>
    <t xml:space="preserve">High School Centralized special education </t>
  </si>
  <si>
    <t xml:space="preserve">Middle School Centralized special education </t>
  </si>
  <si>
    <t>Elementary School Classified--Summer School</t>
  </si>
  <si>
    <t>High School Classified--Summer School</t>
  </si>
  <si>
    <t>Middle School Classified--Summer School</t>
  </si>
  <si>
    <t>High School Coaching</t>
  </si>
  <si>
    <t>High School Community outreach</t>
  </si>
  <si>
    <t>Middle School Community outreach</t>
  </si>
  <si>
    <t>High School Counseling office</t>
  </si>
  <si>
    <t>High School Departmental support</t>
  </si>
  <si>
    <t>Elementary School Extracurricular expenditures</t>
  </si>
  <si>
    <t>Middle School Extracurricular expenditures</t>
  </si>
  <si>
    <t>Elementary School Family resource center coordinator</t>
  </si>
  <si>
    <t>High School Family resource center coordinator</t>
  </si>
  <si>
    <t>Middle School Family resource center coordinator</t>
  </si>
  <si>
    <t>High School Health clerk</t>
  </si>
  <si>
    <t>Elementary School Instructional Assistant</t>
  </si>
  <si>
    <t>High School Instructional Assistant</t>
  </si>
  <si>
    <t>Middle School Instructional Assistant</t>
  </si>
  <si>
    <t>Elementary School Leadership training for Principal</t>
  </si>
  <si>
    <t>High School Leadership training for Principal</t>
  </si>
  <si>
    <t>Middle School Leadership training for Principal</t>
  </si>
  <si>
    <t>Elementary School Licensed--Summer School</t>
  </si>
  <si>
    <t>High School Licensed--Summer School</t>
  </si>
  <si>
    <t>Middle School Licensed--Summer School</t>
  </si>
  <si>
    <t>Elementary School Materials, Travel</t>
  </si>
  <si>
    <t>High School Materials, Travel</t>
  </si>
  <si>
    <t>Middle School Materials, Travel</t>
  </si>
  <si>
    <t>Elementary School Media center assistant</t>
  </si>
  <si>
    <t>High School Media center assistant</t>
  </si>
  <si>
    <t>Middle School Media center assistant</t>
  </si>
  <si>
    <t>High School Media/Librarian</t>
  </si>
  <si>
    <t>Middle School Media/Librarian</t>
  </si>
  <si>
    <t>High School Other extracurricular materials and supplies</t>
  </si>
  <si>
    <t>High School Other extracurricular sponsors</t>
  </si>
  <si>
    <t>Elementary School Other support services</t>
  </si>
  <si>
    <t>High School Other support services</t>
  </si>
  <si>
    <t>Middle School Other support services</t>
  </si>
  <si>
    <t>Elementary School Principal</t>
  </si>
  <si>
    <t>High School Principal</t>
  </si>
  <si>
    <t>Middle School Principal</t>
  </si>
  <si>
    <t>High School Principal's secretary</t>
  </si>
  <si>
    <t>Middle School Principal's secretary</t>
  </si>
  <si>
    <t>Elementary School Public Information</t>
  </si>
  <si>
    <t>High School Public Information</t>
  </si>
  <si>
    <t>Middle School Public Information</t>
  </si>
  <si>
    <t>High School Receptionist</t>
  </si>
  <si>
    <t>Middle School Receptionist</t>
  </si>
  <si>
    <t>Middle School Registrar</t>
  </si>
  <si>
    <t>Elementary School School Nurse</t>
  </si>
  <si>
    <t>High School School Nurse</t>
  </si>
  <si>
    <t>Middle School School Nurse</t>
  </si>
  <si>
    <t>High School School-to-work coordinator</t>
  </si>
  <si>
    <t>Elementary School Principal's Secretary</t>
  </si>
  <si>
    <t>Elementary School Special ed. support staff</t>
  </si>
  <si>
    <t>High School Special ed. support staff</t>
  </si>
  <si>
    <t>Middle School Special ed. support staff</t>
  </si>
  <si>
    <t>Elementary School Special education</t>
  </si>
  <si>
    <t>High School Special education</t>
  </si>
  <si>
    <t>Middle School Special education</t>
  </si>
  <si>
    <t>High School Stipends for math and science</t>
  </si>
  <si>
    <t>Middle School Stipends for math and science</t>
  </si>
  <si>
    <t>Elementary School Supplies--Summer School</t>
  </si>
  <si>
    <t>High School Supplies--Summer School</t>
  </si>
  <si>
    <t>Middle School Supplies--Summer School</t>
  </si>
  <si>
    <t>High School Support staff for alternative education and  teen parent</t>
  </si>
  <si>
    <t>High School Teacher leadership</t>
  </si>
  <si>
    <t>Middle School Teacher leadership</t>
  </si>
  <si>
    <t>Elementary School Teacher professional development</t>
  </si>
  <si>
    <t>High School Teacher professional development</t>
  </si>
  <si>
    <t>Middle School Teacher professional development</t>
  </si>
  <si>
    <t>Elementary School Tutoring &amp; After School Programs</t>
  </si>
  <si>
    <t>High School Tutoring &amp; After School Programs</t>
  </si>
  <si>
    <t>Middle School Tutoring &amp; After School Programs</t>
  </si>
  <si>
    <t>High School Volunteer coordinator</t>
  </si>
  <si>
    <t>Middle School Volunteer coordinator</t>
  </si>
  <si>
    <t>Elementary School Additional special student programs</t>
  </si>
  <si>
    <t>Middle School Additional special student programs</t>
  </si>
  <si>
    <t>Elementary School Assistant principal</t>
  </si>
  <si>
    <t>Middle School Coaching</t>
  </si>
  <si>
    <t>Elementary School Community outreach</t>
  </si>
  <si>
    <t>Middle School Counseling office</t>
  </si>
  <si>
    <t>Elementary School Counseling office</t>
  </si>
  <si>
    <t>Elementary School Receptionist</t>
  </si>
  <si>
    <t>High School Registrar</t>
  </si>
  <si>
    <t>Elementary School Volunteer coordinator</t>
  </si>
  <si>
    <t>Elementary School Media/Librarian</t>
  </si>
  <si>
    <t>Base Year costs from salary data</t>
  </si>
  <si>
    <t>school level stipends per year</t>
  </si>
  <si>
    <t>school level expenditures per year</t>
  </si>
  <si>
    <t>from audited financials data, escalated by inflationary factors elsewhere in model</t>
  </si>
  <si>
    <t>days of training; cost per day</t>
  </si>
  <si>
    <t>FTE; coaching allowance ($/year)</t>
  </si>
  <si>
    <t>'OtherStaffingAssumptions'!</t>
  </si>
  <si>
    <t>'ComputerAssumptions'!</t>
  </si>
  <si>
    <t>'CostShares'!</t>
  </si>
  <si>
    <t>Instructional  Hours/Days Requirements</t>
  </si>
  <si>
    <t>October 1 Enrollment for 2026-27 through 2028-29 and ADMw Extended through 2028-29 taken from SSF ADMw Forecast as of 2/19/2026 (3-Yr Trend)</t>
  </si>
  <si>
    <t>October 1 Enrollment and ADMw Extended after 2028-29 calculated in worksheet based on three year average growth rate.</t>
  </si>
  <si>
    <t>All other data is actual data or calculated in worksheet from actual data and SSF ADMw forecast</t>
  </si>
  <si>
    <t>NOTE:</t>
  </si>
  <si>
    <t>2) LOCAL REVENUE OUTSIDE FORMULA</t>
  </si>
  <si>
    <t>3) FOOD SERVICE ENTERPRISE REVENUE</t>
  </si>
  <si>
    <t>4) FEDERAL REVENUE</t>
  </si>
  <si>
    <t>b) 2025-26 through 2030-31 forecast at 10-year trailing average growth rate</t>
  </si>
  <si>
    <t xml:space="preserve">  Median Kindergarten Class Size</t>
  </si>
  <si>
    <t xml:space="preserve">  Median Grade 1 Class Size</t>
  </si>
  <si>
    <t xml:space="preserve">  Elementary School</t>
  </si>
  <si>
    <t xml:space="preserve">  Middle School</t>
  </si>
  <si>
    <t xml:space="preserve">  High School</t>
  </si>
  <si>
    <t xml:space="preserve">   Elementary School</t>
  </si>
  <si>
    <t xml:space="preserve">   Middle School</t>
  </si>
  <si>
    <t xml:space="preserve">   High School</t>
  </si>
  <si>
    <t xml:space="preserve">  Median Grade 2-3 Class Size</t>
  </si>
  <si>
    <t xml:space="preserve">  Grade 4-5 Class Size</t>
  </si>
  <si>
    <t xml:space="preserve">  Staffing in Core Classes at Middle and High Schools</t>
  </si>
  <si>
    <t xml:space="preserve">  English as a Second Language Licensed Staff</t>
  </si>
  <si>
    <t xml:space="preserve">  Special Education and Alternative Education Licensed Staff</t>
  </si>
  <si>
    <t xml:space="preserve">  Counselors</t>
  </si>
  <si>
    <t xml:space="preserve"> Media/Librarian</t>
  </si>
  <si>
    <t xml:space="preserve">  Co-Curricular Activities Director (FTE)</t>
  </si>
  <si>
    <t xml:space="preserve">  Classified Staff</t>
  </si>
  <si>
    <t xml:space="preserve">  Hardware (percent of computers replaced each year)</t>
  </si>
  <si>
    <t xml:space="preserve">  Software (percent of computers upgraded each year)</t>
  </si>
  <si>
    <t xml:space="preserve"> Technology Services and Infrastructure</t>
  </si>
  <si>
    <t xml:space="preserve">   Special Education Services</t>
  </si>
  <si>
    <t xml:space="preserve">   Instructional Support</t>
  </si>
  <si>
    <t xml:space="preserve">   Technoogy Services</t>
  </si>
  <si>
    <t xml:space="preserve">   Central Services</t>
  </si>
  <si>
    <t xml:space="preserve">   ESD Administration</t>
  </si>
  <si>
    <t xml:space="preserve">  October 1 Enrollment </t>
  </si>
  <si>
    <t xml:space="preserve">  October 1 Enrollment Growth Rate</t>
  </si>
  <si>
    <t xml:space="preserve">  ADMw Extended at half-day Kindergarten</t>
  </si>
  <si>
    <t xml:space="preserve">  ADMw Extended Growth Rate at Half-day K</t>
  </si>
  <si>
    <t xml:space="preserve">  ADMw Extended at Full-day Kindergarten</t>
  </si>
  <si>
    <t xml:space="preserve">  ADMw Extended Growth Rate at Full-day K</t>
  </si>
  <si>
    <t xml:space="preserve">    Growth Rate</t>
  </si>
  <si>
    <t xml:space="preserve">   District Local Option Revenue</t>
  </si>
  <si>
    <t xml:space="preserve">   District Other Revenue Outside Formula</t>
  </si>
  <si>
    <t xml:space="preserve">  Districts</t>
  </si>
  <si>
    <t xml:space="preserve">  ESDs</t>
  </si>
  <si>
    <t xml:space="preserve">  Growth Rate</t>
  </si>
  <si>
    <t xml:space="preserve">      Total Federal Revenue</t>
  </si>
  <si>
    <t>* Excludes Pre-Kindergarten</t>
  </si>
  <si>
    <t>PERS Side Account Earnings Amount (net of debt service obligations)</t>
  </si>
  <si>
    <t xml:space="preserve">      District Share</t>
  </si>
  <si>
    <t xml:space="preserve">      ESD Share</t>
  </si>
  <si>
    <t>ESD Costs per Pupil</t>
  </si>
  <si>
    <t>REPORTING GRANULARITY EXPANDED</t>
  </si>
  <si>
    <t>'RevenueForecasts'!</t>
  </si>
  <si>
    <t>NOTE</t>
  </si>
  <si>
    <t>OCTOBER 2025 INTERPOLATED DUE TO MISSING FEDERAL DATA</t>
  </si>
  <si>
    <t>JUNE THROUGH SEPTEMBER 2024, OCTOBER 2025, JANUARY AND FEBRUARY 2026 INTERPOLATED DUE TO MISSING FEDERAL DATA</t>
  </si>
  <si>
    <t>MAY AND JUNE 2026 DERIVED FROM LINEAR ESTIMATE OF EXISTING DATA DUE TO TIMING OF FEDERAL DATA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</si>
</sst>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0.0%"/>
    <numFmt numFmtId="166" formatCode="&quot;$&quot;#,##0"/>
    <numFmt numFmtId="167" formatCode="_(&quot;$&quot;* #,##0_);_(&quot;$&quot;* \(#,##0\);_(&quot;$&quot;* &quot;-&quot;??_);_(@_)"/>
    <numFmt numFmtId="168" formatCode="&quot;$&quot;#,##0.0"/>
    <numFmt numFmtId="169" formatCode="#,##0.0"/>
    <numFmt numFmtId="170" formatCode="&quot;$&quot;#,##0.00"/>
    <numFmt numFmtId="171" formatCode="0.000%"/>
    <numFmt numFmtId="172" formatCode="#,##0.0000"/>
    <numFmt numFmtId="173" formatCode="0.0000000"/>
    <numFmt numFmtId="174" formatCode="&quot;$&quot;#,##0.00000"/>
    <numFmt numFmtId="175" formatCode="0.00000"/>
    <numFmt numFmtId="176" formatCode="&quot;$&quot;#,##0.0000000"/>
    <numFmt numFmtId="177" formatCode="&quot;$&quot;#,##0.00;\(&quot;$&quot;#,##0.00\)"/>
    <numFmt numFmtId="178" formatCode="dd\-mmm\-yy"/>
    <numFmt numFmtId="179" formatCode="_(* #,##0_);_(* \(#,##0\);_(* &quot;-&quot;??_);_(@_)"/>
    <numFmt numFmtId="180" formatCode="&quot;$&quot;#,##0;\(&quot;$&quot;#,##0\)"/>
    <numFmt numFmtId="181" formatCode="_(* #,##0.0_);_(* \(#,##0.0\);_(* &quot;0.0&quot;_);_(@_)"/>
  </numFmts>
  <fonts count="34">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9"/>
      <color indexed="81"/>
      <name val="Tahoma"/>
      <family val="2"/>
    </font>
    <font>
      <sz val="9"/>
      <color indexed="81"/>
      <name val="Tahoma"/>
      <family val="2"/>
    </font>
    <font>
      <sz val="12"/>
      <name val="Palatino"/>
    </font>
    <font>
      <u/>
      <sz val="10"/>
      <color indexed="12"/>
      <name val="Verdana"/>
      <family val="2"/>
    </font>
    <font>
      <sz val="10"/>
      <name val="Arial"/>
      <family val="2"/>
    </font>
    <font>
      <sz val="10"/>
      <color theme="1"/>
      <name val="Arial"/>
      <family val="2"/>
    </font>
    <font>
      <sz val="10"/>
      <color indexed="8"/>
      <name val="Arial"/>
      <family val="2"/>
    </font>
    <font>
      <sz val="11"/>
      <color indexed="8"/>
      <name val="Calibri"/>
      <family val="2"/>
    </font>
    <font>
      <u/>
      <sz val="11"/>
      <color theme="10"/>
      <name val="Calibri"/>
      <family val="2"/>
      <scheme val="minor"/>
    </font>
    <font>
      <sz val="12"/>
      <color rgb="FF000000"/>
      <name val="Calibri"/>
      <family val="2"/>
      <scheme val="minor"/>
    </font>
    <font>
      <sz val="10"/>
      <name val="Times New Roman"/>
      <family val="1"/>
    </font>
    <font>
      <sz val="10"/>
      <color indexed="8"/>
      <name val="Arial"/>
      <family val="2"/>
    </font>
    <font>
      <sz val="10"/>
      <color indexed="8"/>
      <name val="Arial"/>
      <family val="2"/>
    </font>
    <font>
      <sz val="10"/>
      <name val="Arial"/>
      <family val="2"/>
    </font>
    <font>
      <sz val="11"/>
      <color indexed="8"/>
      <name val="Calibri"/>
      <family val="2"/>
    </font>
    <font>
      <sz val="10"/>
      <color indexed="8"/>
      <name val="Arial"/>
      <family val="2"/>
    </font>
    <font>
      <sz val="8"/>
      <name val="Calibri"/>
      <family val="2"/>
      <scheme val="minor"/>
    </font>
    <font>
      <sz val="10"/>
      <color theme="1"/>
      <name val="Arial Unicode MS"/>
    </font>
    <font>
      <sz val="12"/>
      <name val="Calibri"/>
      <family val="2"/>
      <scheme val="minor"/>
    </font>
    <font>
      <sz val="12"/>
      <color theme="1"/>
      <name val="Calibri"/>
      <family val="2"/>
      <scheme val="minor"/>
    </font>
    <font>
      <b/>
      <sz val="12"/>
      <name val="Calibri"/>
      <family val="2"/>
      <scheme val="minor"/>
    </font>
    <font>
      <i/>
      <sz val="12"/>
      <name val="Calibri"/>
      <family val="2"/>
      <scheme val="minor"/>
    </font>
    <font>
      <sz val="12"/>
      <color indexed="8"/>
      <name val="Calibri"/>
      <family val="2"/>
      <scheme val="minor"/>
    </font>
    <font>
      <b/>
      <sz val="12"/>
      <color theme="1"/>
      <name val="Calibri"/>
      <family val="2"/>
      <scheme val="minor"/>
    </font>
    <font>
      <sz val="12"/>
      <color rgb="FFFF0000"/>
      <name val="Calibri"/>
      <family val="2"/>
      <scheme val="minor"/>
    </font>
    <font>
      <b/>
      <u/>
      <sz val="12"/>
      <name val="Calibri"/>
      <family val="2"/>
      <scheme val="minor"/>
    </font>
    <font>
      <u/>
      <sz val="12"/>
      <color theme="10"/>
      <name val="Calibri"/>
      <family val="2"/>
      <scheme val="minor"/>
    </font>
    <font>
      <b/>
      <sz val="12"/>
      <color rgb="FF000000"/>
      <name val="Calibri"/>
      <family val="2"/>
      <scheme val="minor"/>
    </font>
    <font>
      <sz val="12"/>
      <color indexed="10"/>
      <name val="Calibri"/>
      <family val="2"/>
      <scheme val="minor"/>
    </font>
  </fonts>
  <fills count="18">
    <fill>
      <patternFill patternType="none"/>
    </fill>
    <fill>
      <patternFill patternType="gray125"/>
    </fill>
    <fill>
      <patternFill patternType="solid">
        <fgColor theme="3"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indexed="22"/>
        <bgColor indexed="64"/>
      </patternFill>
    </fill>
    <fill>
      <patternFill patternType="solid">
        <fgColor rgb="FF92D050"/>
        <bgColor indexed="64"/>
      </patternFill>
    </fill>
    <fill>
      <patternFill patternType="solid">
        <fgColor indexed="22"/>
        <bgColor indexed="0"/>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medium">
        <color rgb="FFAAAAAA"/>
      </left>
      <right/>
      <top style="medium">
        <color rgb="FFAAAAAA"/>
      </top>
      <bottom/>
      <diagonal/>
    </border>
    <border>
      <left/>
      <right/>
      <top style="medium">
        <color rgb="FFAAAAAA"/>
      </top>
      <bottom/>
      <diagonal/>
    </border>
    <border>
      <left/>
      <right style="medium">
        <color rgb="FFAAAAAA"/>
      </right>
      <top style="medium">
        <color rgb="FFAAAAAA"/>
      </top>
      <bottom/>
      <diagonal/>
    </border>
    <border>
      <left style="medium">
        <color rgb="FFCCCCCC"/>
      </left>
      <right style="medium">
        <color rgb="FFCCCCCC"/>
      </right>
      <top style="medium">
        <color rgb="FFCCCCCC"/>
      </top>
      <bottom style="medium">
        <color rgb="FFCCCCCC"/>
      </bottom>
      <diagonal/>
    </border>
    <border>
      <left style="thin">
        <color indexed="8"/>
      </left>
      <right style="thin">
        <color indexed="8"/>
      </right>
      <top/>
      <bottom/>
      <diagonal/>
    </border>
    <border>
      <left/>
      <right style="thin">
        <color indexed="64"/>
      </right>
      <top/>
      <bottom style="double">
        <color indexed="64"/>
      </bottom>
      <diagonal/>
    </border>
    <border>
      <left style="thin">
        <color indexed="22"/>
      </left>
      <right style="thin">
        <color indexed="22"/>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5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8" fillId="0" borderId="0" applyNumberFormat="0" applyFill="0" applyBorder="0" applyAlignment="0" applyProtection="0"/>
    <xf numFmtId="0" fontId="7" fillId="0" borderId="0"/>
    <xf numFmtId="0" fontId="4" fillId="0" borderId="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11" fillId="0" borderId="0"/>
    <xf numFmtId="0" fontId="13" fillId="0" borderId="0" applyNumberFormat="0" applyFill="0" applyBorder="0" applyAlignment="0" applyProtection="0"/>
    <xf numFmtId="0" fontId="10" fillId="0" borderId="0"/>
    <xf numFmtId="0" fontId="1" fillId="0" borderId="0"/>
    <xf numFmtId="0" fontId="15" fillId="0" borderId="0"/>
    <xf numFmtId="0" fontId="16" fillId="0" borderId="0"/>
    <xf numFmtId="0" fontId="11" fillId="0" borderId="0"/>
    <xf numFmtId="0" fontId="17" fillId="0" borderId="0"/>
    <xf numFmtId="0" fontId="11" fillId="0" borderId="0"/>
    <xf numFmtId="0" fontId="18" fillId="0" borderId="0"/>
    <xf numFmtId="43" fontId="18" fillId="0" borderId="0" applyFont="0" applyFill="0" applyBorder="0" applyAlignment="0" applyProtection="0"/>
    <xf numFmtId="0" fontId="20" fillId="0" borderId="0"/>
    <xf numFmtId="0" fontId="11" fillId="0" borderId="0"/>
  </cellStyleXfs>
  <cellXfs count="879">
    <xf numFmtId="0" fontId="0" fillId="0" borderId="0" xfId="0"/>
    <xf numFmtId="10" fontId="0" fillId="0" borderId="0" xfId="0" applyNumberFormat="1"/>
    <xf numFmtId="166" fontId="0" fillId="0" borderId="0" xfId="0" applyNumberFormat="1"/>
    <xf numFmtId="10" fontId="0" fillId="0" borderId="0" xfId="3" applyNumberFormat="1" applyFont="1"/>
    <xf numFmtId="10" fontId="0" fillId="0" borderId="0" xfId="3" applyNumberFormat="1" applyFont="1" applyFill="1"/>
    <xf numFmtId="0" fontId="12" fillId="17" borderId="41" xfId="43" applyFont="1" applyFill="1" applyBorder="1" applyAlignment="1">
      <alignment horizontal="center"/>
    </xf>
    <xf numFmtId="178" fontId="12" fillId="0" borderId="42" xfId="43" applyNumberFormat="1" applyFont="1" applyBorder="1" applyAlignment="1">
      <alignment horizontal="right"/>
    </xf>
    <xf numFmtId="0" fontId="12" fillId="0" borderId="42" xfId="43" applyFont="1" applyBorder="1"/>
    <xf numFmtId="0" fontId="12" fillId="0" borderId="0" xfId="43" applyFont="1"/>
    <xf numFmtId="7" fontId="0" fillId="0" borderId="0" xfId="0" applyNumberFormat="1"/>
    <xf numFmtId="0" fontId="23" fillId="0" borderId="0" xfId="0" applyFont="1"/>
    <xf numFmtId="0" fontId="24" fillId="0" borderId="0" xfId="0" applyFont="1"/>
    <xf numFmtId="0" fontId="23" fillId="0" borderId="0" xfId="0" applyFont="1" applyAlignment="1">
      <alignment horizontal="center"/>
    </xf>
    <xf numFmtId="0" fontId="23" fillId="0" borderId="10" xfId="0" applyFont="1" applyBorder="1" applyAlignment="1" applyProtection="1">
      <alignment horizontal="center"/>
      <protection locked="0"/>
    </xf>
    <xf numFmtId="0" fontId="25" fillId="0" borderId="11" xfId="0" applyFont="1" applyBorder="1"/>
    <xf numFmtId="0" fontId="24" fillId="0" borderId="11" xfId="0" applyFont="1" applyBorder="1"/>
    <xf numFmtId="0" fontId="25" fillId="0" borderId="8" xfId="0" applyFont="1" applyBorder="1" applyAlignment="1">
      <alignment horizontal="center"/>
    </xf>
    <xf numFmtId="0" fontId="25" fillId="0" borderId="0" xfId="0" applyFont="1"/>
    <xf numFmtId="0" fontId="25" fillId="0" borderId="0" xfId="0" applyFont="1" applyAlignment="1">
      <alignment horizontal="center" wrapText="1"/>
    </xf>
    <xf numFmtId="0" fontId="25" fillId="0" borderId="0" xfId="0" applyFont="1" applyAlignment="1">
      <alignment horizontal="center"/>
    </xf>
    <xf numFmtId="14" fontId="24" fillId="0" borderId="0" xfId="0" applyNumberFormat="1" applyFont="1"/>
    <xf numFmtId="0" fontId="25" fillId="0" borderId="11" xfId="0" applyFont="1" applyBorder="1" applyAlignment="1">
      <alignment horizontal="right" wrapText="1"/>
    </xf>
    <xf numFmtId="0" fontId="25" fillId="0" borderId="11" xfId="0" applyFont="1" applyBorder="1" applyAlignment="1">
      <alignment horizontal="right"/>
    </xf>
    <xf numFmtId="0" fontId="25" fillId="0" borderId="14" xfId="0" applyFont="1" applyBorder="1" applyAlignment="1">
      <alignment horizontal="right" wrapText="1"/>
    </xf>
    <xf numFmtId="0" fontId="23" fillId="0" borderId="11" xfId="0" applyFont="1" applyBorder="1" applyAlignment="1">
      <alignment horizontal="right"/>
    </xf>
    <xf numFmtId="0" fontId="23" fillId="0" borderId="14" xfId="0" applyFont="1" applyBorder="1" applyAlignment="1">
      <alignment horizontal="right"/>
    </xf>
    <xf numFmtId="0" fontId="23" fillId="0" borderId="0" xfId="0" applyFont="1" applyAlignment="1">
      <alignment horizontal="right"/>
    </xf>
    <xf numFmtId="3" fontId="23" fillId="0" borderId="0" xfId="0" applyNumberFormat="1" applyFont="1" applyAlignment="1">
      <alignment horizontal="right" vertical="center" wrapText="1"/>
    </xf>
    <xf numFmtId="169" fontId="23" fillId="0" borderId="0" xfId="0" applyNumberFormat="1" applyFont="1" applyAlignment="1">
      <alignment horizontal="right" vertical="center" wrapText="1"/>
    </xf>
    <xf numFmtId="3" fontId="23" fillId="0" borderId="15" xfId="0" applyNumberFormat="1" applyFont="1" applyBorder="1" applyAlignment="1">
      <alignment horizontal="right"/>
    </xf>
    <xf numFmtId="0" fontId="23" fillId="0" borderId="16" xfId="0" applyFont="1" applyBorder="1" applyAlignment="1">
      <alignment horizontal="right"/>
    </xf>
    <xf numFmtId="3" fontId="23" fillId="0" borderId="16" xfId="0" applyNumberFormat="1" applyFont="1" applyBorder="1" applyAlignment="1">
      <alignment horizontal="right" vertical="center" wrapText="1"/>
    </xf>
    <xf numFmtId="169" fontId="23" fillId="0" borderId="16" xfId="0" applyNumberFormat="1" applyFont="1" applyBorder="1" applyAlignment="1">
      <alignment horizontal="right" vertical="center" wrapText="1"/>
    </xf>
    <xf numFmtId="3" fontId="23" fillId="0" borderId="49" xfId="0" applyNumberFormat="1" applyFont="1" applyBorder="1" applyAlignment="1">
      <alignment horizontal="right" vertical="center" wrapText="1"/>
    </xf>
    <xf numFmtId="3" fontId="23" fillId="0" borderId="17" xfId="0" applyNumberFormat="1" applyFont="1" applyBorder="1" applyAlignment="1">
      <alignment horizontal="right"/>
    </xf>
    <xf numFmtId="0" fontId="26" fillId="0" borderId="0" xfId="0" applyFont="1" applyAlignment="1">
      <alignment horizontal="right"/>
    </xf>
    <xf numFmtId="3" fontId="23" fillId="0" borderId="0" xfId="0" applyNumberFormat="1" applyFont="1" applyAlignment="1">
      <alignment horizontal="right"/>
    </xf>
    <xf numFmtId="169" fontId="23" fillId="0" borderId="0" xfId="0" applyNumberFormat="1" applyFont="1" applyAlignment="1">
      <alignment horizontal="right"/>
    </xf>
    <xf numFmtId="0" fontId="27" fillId="0" borderId="0" xfId="37" applyFont="1" applyAlignment="1">
      <alignment horizontal="right" wrapText="1"/>
    </xf>
    <xf numFmtId="0" fontId="28" fillId="0" borderId="0" xfId="0" applyFont="1"/>
    <xf numFmtId="0" fontId="28" fillId="0" borderId="8" xfId="0" applyFont="1" applyBorder="1"/>
    <xf numFmtId="0" fontId="24" fillId="0" borderId="8" xfId="0" applyFont="1" applyBorder="1"/>
    <xf numFmtId="3" fontId="23" fillId="0" borderId="15" xfId="0" applyNumberFormat="1" applyFont="1" applyBorder="1" applyAlignment="1">
      <alignment horizontal="right" vertical="center" wrapText="1"/>
    </xf>
    <xf numFmtId="3" fontId="23" fillId="0" borderId="17" xfId="0" applyNumberFormat="1" applyFont="1" applyBorder="1" applyAlignment="1">
      <alignment horizontal="right" vertical="center" wrapText="1"/>
    </xf>
    <xf numFmtId="166" fontId="24" fillId="0" borderId="0" xfId="0" applyNumberFormat="1" applyFont="1" applyProtection="1">
      <protection locked="0"/>
    </xf>
    <xf numFmtId="166" fontId="24" fillId="0" borderId="0" xfId="0" applyNumberFormat="1" applyFont="1"/>
    <xf numFmtId="10" fontId="24" fillId="0" borderId="0" xfId="0" applyNumberFormat="1" applyFont="1"/>
    <xf numFmtId="166" fontId="24" fillId="0" borderId="28" xfId="0" applyNumberFormat="1" applyFont="1" applyBorder="1"/>
    <xf numFmtId="166" fontId="24" fillId="0" borderId="29" xfId="0" applyNumberFormat="1" applyFont="1" applyBorder="1"/>
    <xf numFmtId="166" fontId="23" fillId="0" borderId="29" xfId="0" applyNumberFormat="1" applyFont="1" applyBorder="1"/>
    <xf numFmtId="170" fontId="23" fillId="0" borderId="29" xfId="0" applyNumberFormat="1" applyFont="1" applyBorder="1"/>
    <xf numFmtId="170" fontId="23" fillId="0" borderId="30" xfId="0" applyNumberFormat="1" applyFont="1" applyBorder="1"/>
    <xf numFmtId="0" fontId="24" fillId="0" borderId="0" xfId="0" applyFont="1" applyProtection="1">
      <protection locked="0"/>
    </xf>
    <xf numFmtId="0" fontId="24" fillId="0" borderId="1" xfId="0" applyFont="1" applyBorder="1"/>
    <xf numFmtId="0" fontId="23" fillId="0" borderId="28" xfId="0" applyFont="1" applyBorder="1" applyAlignment="1">
      <alignment horizontal="center"/>
    </xf>
    <xf numFmtId="166" fontId="25" fillId="0" borderId="22" xfId="0" applyNumberFormat="1" applyFont="1" applyBorder="1" applyAlignment="1">
      <alignment horizontal="center" vertical="center"/>
    </xf>
    <xf numFmtId="0" fontId="25" fillId="0" borderId="7" xfId="0" applyFont="1" applyBorder="1" applyAlignment="1">
      <alignment vertical="center"/>
    </xf>
    <xf numFmtId="0" fontId="24" fillId="0" borderId="30" xfId="0" applyFont="1" applyBorder="1" applyAlignment="1">
      <alignment horizontal="center" vertical="center"/>
    </xf>
    <xf numFmtId="0" fontId="24" fillId="0" borderId="0" xfId="0" applyFont="1" applyAlignment="1">
      <alignment horizontal="center"/>
    </xf>
    <xf numFmtId="0" fontId="23" fillId="0" borderId="1" xfId="0" applyFont="1" applyBorder="1"/>
    <xf numFmtId="0" fontId="23" fillId="0" borderId="4" xfId="0" applyFont="1" applyBorder="1"/>
    <xf numFmtId="0" fontId="24" fillId="0" borderId="43" xfId="0" applyFont="1" applyBorder="1" applyAlignment="1">
      <alignment horizontal="center"/>
    </xf>
    <xf numFmtId="166" fontId="24" fillId="0" borderId="43" xfId="0" applyNumberFormat="1" applyFont="1" applyBorder="1"/>
    <xf numFmtId="10" fontId="24" fillId="0" borderId="43" xfId="0" applyNumberFormat="1" applyFont="1" applyBorder="1"/>
    <xf numFmtId="0" fontId="23" fillId="0" borderId="7" xfId="0" applyFont="1" applyBorder="1"/>
    <xf numFmtId="0" fontId="24" fillId="0" borderId="0" xfId="0" applyFont="1" applyAlignment="1">
      <alignment horizontal="left"/>
    </xf>
    <xf numFmtId="0" fontId="29" fillId="0" borderId="0" xfId="0" applyFont="1"/>
    <xf numFmtId="0" fontId="27" fillId="0" borderId="41" xfId="44" applyFont="1" applyBorder="1" applyAlignment="1">
      <alignment horizontal="center"/>
    </xf>
    <xf numFmtId="0" fontId="27" fillId="0" borderId="42" xfId="44" applyFont="1" applyBorder="1" applyAlignment="1">
      <alignment horizontal="right" wrapText="1"/>
    </xf>
    <xf numFmtId="0" fontId="27" fillId="0" borderId="42" xfId="44" applyFont="1" applyBorder="1" applyAlignment="1">
      <alignment wrapText="1"/>
    </xf>
    <xf numFmtId="0" fontId="27" fillId="0" borderId="0" xfId="44" applyFont="1"/>
    <xf numFmtId="177" fontId="27" fillId="0" borderId="42" xfId="44" applyNumberFormat="1" applyFont="1" applyBorder="1" applyAlignment="1">
      <alignment horizontal="right" wrapText="1"/>
    </xf>
    <xf numFmtId="0" fontId="0" fillId="0" borderId="0" xfId="0" applyAlignment="1">
      <alignment horizontal="right"/>
    </xf>
    <xf numFmtId="0" fontId="25" fillId="0" borderId="11" xfId="0" applyFont="1" applyBorder="1" applyAlignment="1" applyProtection="1">
      <alignment horizontal="center" vertical="center" wrapText="1"/>
      <protection locked="0"/>
    </xf>
    <xf numFmtId="0" fontId="23" fillId="0" borderId="0" xfId="0" applyFont="1" applyProtection="1">
      <protection locked="0"/>
    </xf>
    <xf numFmtId="0" fontId="24" fillId="0" borderId="0" xfId="0" applyFont="1" applyAlignment="1">
      <alignment horizontal="right"/>
    </xf>
    <xf numFmtId="49" fontId="23" fillId="0" borderId="0" xfId="0" applyNumberFormat="1" applyFont="1" applyAlignment="1" applyProtection="1">
      <alignment horizontal="right" wrapText="1"/>
      <protection locked="0"/>
    </xf>
    <xf numFmtId="172" fontId="24" fillId="0" borderId="0" xfId="0" applyNumberFormat="1" applyFont="1"/>
    <xf numFmtId="0" fontId="25" fillId="0" borderId="11" xfId="0" applyFont="1" applyBorder="1" applyAlignment="1">
      <alignment horizontal="center" vertical="center" wrapText="1"/>
    </xf>
    <xf numFmtId="166" fontId="28" fillId="0" borderId="11" xfId="0" applyNumberFormat="1" applyFont="1" applyBorder="1" applyAlignment="1">
      <alignment horizontal="left" vertical="center"/>
    </xf>
    <xf numFmtId="170" fontId="24" fillId="0" borderId="0" xfId="0" applyNumberFormat="1" applyFont="1"/>
    <xf numFmtId="0" fontId="25" fillId="0" borderId="43" xfId="0" applyFont="1" applyBorder="1"/>
    <xf numFmtId="170" fontId="25" fillId="0" borderId="43" xfId="0" applyNumberFormat="1" applyFont="1" applyBorder="1" applyAlignment="1">
      <alignment horizontal="center"/>
    </xf>
    <xf numFmtId="170" fontId="28" fillId="0" borderId="43" xfId="0" applyNumberFormat="1" applyFont="1" applyBorder="1"/>
    <xf numFmtId="0" fontId="23" fillId="0" borderId="43" xfId="0" applyFont="1" applyBorder="1"/>
    <xf numFmtId="49" fontId="23" fillId="0" borderId="0" xfId="0" applyNumberFormat="1" applyFont="1" applyAlignment="1">
      <alignment vertical="top" wrapText="1"/>
    </xf>
    <xf numFmtId="7" fontId="24" fillId="0" borderId="0" xfId="2" applyNumberFormat="1" applyFont="1" applyFill="1" applyProtection="1"/>
    <xf numFmtId="170" fontId="23" fillId="0" borderId="0" xfId="0" applyNumberFormat="1" applyFont="1"/>
    <xf numFmtId="170" fontId="24" fillId="0" borderId="0" xfId="0" applyNumberFormat="1" applyFont="1" applyAlignment="1" applyProtection="1">
      <alignment horizontal="center"/>
      <protection locked="0"/>
    </xf>
    <xf numFmtId="170" fontId="24" fillId="0" borderId="0" xfId="0" applyNumberFormat="1" applyFont="1" applyAlignment="1">
      <alignment horizontal="center"/>
    </xf>
    <xf numFmtId="10" fontId="24" fillId="0" borderId="0" xfId="3" applyNumberFormat="1" applyFont="1" applyFill="1" applyBorder="1"/>
    <xf numFmtId="170" fontId="24" fillId="0" borderId="1" xfId="0" applyNumberFormat="1" applyFont="1" applyBorder="1" applyAlignment="1">
      <alignment horizontal="center"/>
    </xf>
    <xf numFmtId="170" fontId="24" fillId="0" borderId="2" xfId="0" applyNumberFormat="1" applyFont="1" applyBorder="1" applyAlignment="1">
      <alignment horizontal="center"/>
    </xf>
    <xf numFmtId="170" fontId="24" fillId="0" borderId="3" xfId="0" applyNumberFormat="1" applyFont="1" applyBorder="1" applyAlignment="1">
      <alignment horizontal="center"/>
    </xf>
    <xf numFmtId="0" fontId="24" fillId="0" borderId="7" xfId="0" applyFont="1" applyBorder="1"/>
    <xf numFmtId="170" fontId="24" fillId="0" borderId="7" xfId="0" applyNumberFormat="1" applyFont="1" applyBorder="1" applyAlignment="1">
      <alignment horizontal="center"/>
    </xf>
    <xf numFmtId="170" fontId="24" fillId="0" borderId="8" xfId="0" applyNumberFormat="1" applyFont="1" applyBorder="1" applyAlignment="1">
      <alignment horizontal="center"/>
    </xf>
    <xf numFmtId="170" fontId="24" fillId="0" borderId="9" xfId="0" applyNumberFormat="1" applyFont="1" applyBorder="1" applyAlignment="1">
      <alignment horizontal="center"/>
    </xf>
    <xf numFmtId="0" fontId="24" fillId="0" borderId="0" xfId="0" quotePrefix="1" applyFont="1"/>
    <xf numFmtId="170" fontId="24" fillId="0" borderId="4" xfId="0" applyNumberFormat="1" applyFont="1" applyBorder="1" applyAlignment="1">
      <alignment horizontal="center"/>
    </xf>
    <xf numFmtId="170" fontId="24" fillId="0" borderId="5" xfId="0" applyNumberFormat="1" applyFont="1" applyBorder="1" applyAlignment="1">
      <alignment horizontal="center"/>
    </xf>
    <xf numFmtId="167" fontId="24" fillId="0" borderId="1" xfId="2" applyNumberFormat="1" applyFont="1" applyFill="1" applyBorder="1" applyProtection="1"/>
    <xf numFmtId="167" fontId="24" fillId="0" borderId="2" xfId="2" applyNumberFormat="1" applyFont="1" applyFill="1" applyBorder="1" applyProtection="1"/>
    <xf numFmtId="167" fontId="24" fillId="0" borderId="3" xfId="2" applyNumberFormat="1" applyFont="1" applyFill="1" applyBorder="1" applyProtection="1"/>
    <xf numFmtId="167" fontId="24" fillId="0" borderId="4" xfId="2" applyNumberFormat="1" applyFont="1" applyFill="1" applyBorder="1" applyProtection="1"/>
    <xf numFmtId="167" fontId="24" fillId="0" borderId="0" xfId="2" applyNumberFormat="1" applyFont="1" applyFill="1" applyBorder="1" applyProtection="1"/>
    <xf numFmtId="167" fontId="24" fillId="0" borderId="5" xfId="2" applyNumberFormat="1" applyFont="1" applyFill="1" applyBorder="1" applyProtection="1"/>
    <xf numFmtId="44" fontId="24" fillId="0" borderId="4" xfId="2" applyFont="1" applyFill="1" applyBorder="1" applyProtection="1"/>
    <xf numFmtId="44" fontId="24" fillId="0" borderId="0" xfId="2" applyFont="1" applyFill="1" applyBorder="1" applyProtection="1"/>
    <xf numFmtId="44" fontId="24" fillId="0" borderId="5" xfId="2" applyFont="1" applyFill="1" applyBorder="1" applyProtection="1"/>
    <xf numFmtId="0" fontId="23" fillId="0" borderId="0" xfId="0" applyFont="1" applyAlignment="1">
      <alignment vertical="top"/>
    </xf>
    <xf numFmtId="0" fontId="23" fillId="0" borderId="33" xfId="0" applyFont="1" applyBorder="1"/>
    <xf numFmtId="0" fontId="23" fillId="0" borderId="34" xfId="0" applyFont="1" applyBorder="1"/>
    <xf numFmtId="0" fontId="23" fillId="0" borderId="12" xfId="0" applyFont="1" applyBorder="1"/>
    <xf numFmtId="44" fontId="24" fillId="0" borderId="12" xfId="2" applyFont="1" applyFill="1" applyBorder="1" applyProtection="1"/>
    <xf numFmtId="44" fontId="24" fillId="0" borderId="11" xfId="2" applyFont="1" applyFill="1" applyBorder="1" applyProtection="1"/>
    <xf numFmtId="44" fontId="24" fillId="0" borderId="13" xfId="2" applyFont="1" applyFill="1" applyBorder="1" applyProtection="1"/>
    <xf numFmtId="0" fontId="24" fillId="0" borderId="4" xfId="0" applyFont="1" applyBorder="1"/>
    <xf numFmtId="0" fontId="24" fillId="0" borderId="5" xfId="0" applyFont="1" applyBorder="1"/>
    <xf numFmtId="10" fontId="24" fillId="0" borderId="4" xfId="3" applyNumberFormat="1" applyFont="1" applyFill="1" applyBorder="1" applyProtection="1"/>
    <xf numFmtId="10" fontId="24" fillId="0" borderId="0" xfId="3" applyNumberFormat="1" applyFont="1" applyFill="1" applyBorder="1" applyProtection="1"/>
    <xf numFmtId="10" fontId="24" fillId="0" borderId="5" xfId="3" applyNumberFormat="1" applyFont="1" applyFill="1" applyBorder="1" applyProtection="1"/>
    <xf numFmtId="10" fontId="24" fillId="0" borderId="7" xfId="3" applyNumberFormat="1" applyFont="1" applyFill="1" applyBorder="1" applyProtection="1"/>
    <xf numFmtId="10" fontId="24" fillId="0" borderId="8" xfId="3" applyNumberFormat="1" applyFont="1" applyFill="1" applyBorder="1" applyProtection="1"/>
    <xf numFmtId="10" fontId="24" fillId="0" borderId="9" xfId="3" applyNumberFormat="1" applyFont="1" applyFill="1" applyBorder="1" applyProtection="1"/>
    <xf numFmtId="167" fontId="24" fillId="0" borderId="0" xfId="0" applyNumberFormat="1" applyFont="1"/>
    <xf numFmtId="44" fontId="24" fillId="0" borderId="0" xfId="0" applyNumberFormat="1" applyFont="1"/>
    <xf numFmtId="0" fontId="24" fillId="0" borderId="0" xfId="0" quotePrefix="1" applyFont="1" applyProtection="1">
      <protection locked="0"/>
    </xf>
    <xf numFmtId="170" fontId="24" fillId="0" borderId="0" xfId="0" applyNumberFormat="1" applyFont="1" applyProtection="1">
      <protection locked="0"/>
    </xf>
    <xf numFmtId="0" fontId="28" fillId="0" borderId="0" xfId="0" applyFont="1" applyProtection="1">
      <protection locked="0"/>
    </xf>
    <xf numFmtId="166" fontId="23" fillId="0" borderId="0" xfId="0" applyNumberFormat="1" applyFont="1"/>
    <xf numFmtId="49" fontId="25" fillId="0" borderId="0" xfId="0" applyNumberFormat="1" applyFont="1" applyAlignment="1">
      <alignment vertical="top" wrapText="1"/>
    </xf>
    <xf numFmtId="170" fontId="28" fillId="0" borderId="0" xfId="0" applyNumberFormat="1" applyFont="1" applyAlignment="1">
      <alignment horizontal="center"/>
    </xf>
    <xf numFmtId="170" fontId="28" fillId="0" borderId="8" xfId="0" applyNumberFormat="1" applyFont="1" applyBorder="1" applyAlignment="1">
      <alignment horizontal="center"/>
    </xf>
    <xf numFmtId="0" fontId="30" fillId="0" borderId="0" xfId="0" applyFont="1"/>
    <xf numFmtId="0" fontId="30" fillId="0" borderId="8" xfId="0" applyFont="1" applyBorder="1"/>
    <xf numFmtId="164" fontId="24" fillId="0" borderId="0" xfId="0" applyNumberFormat="1" applyFont="1"/>
    <xf numFmtId="171" fontId="24" fillId="0" borderId="0" xfId="0" applyNumberFormat="1" applyFont="1"/>
    <xf numFmtId="0" fontId="25" fillId="0" borderId="0" xfId="20" applyFont="1"/>
    <xf numFmtId="0" fontId="31" fillId="0" borderId="0" xfId="38" applyFont="1" applyFill="1"/>
    <xf numFmtId="0" fontId="23" fillId="0" borderId="0" xfId="20" applyFont="1"/>
    <xf numFmtId="9" fontId="24" fillId="0" borderId="0" xfId="3" applyFont="1" applyFill="1"/>
    <xf numFmtId="164" fontId="30" fillId="0" borderId="0" xfId="0" applyNumberFormat="1" applyFont="1"/>
    <xf numFmtId="164" fontId="30" fillId="0" borderId="8" xfId="0" applyNumberFormat="1" applyFont="1" applyBorder="1"/>
    <xf numFmtId="181" fontId="23" fillId="0" borderId="0" xfId="47" applyNumberFormat="1" applyFont="1" applyFill="1" applyProtection="1"/>
    <xf numFmtId="164" fontId="23" fillId="0" borderId="0" xfId="0" applyNumberFormat="1" applyFont="1"/>
    <xf numFmtId="10" fontId="23" fillId="0" borderId="0" xfId="3" applyNumberFormat="1" applyFont="1" applyFill="1" applyBorder="1" applyAlignment="1" applyProtection="1">
      <alignment horizontal="right"/>
    </xf>
    <xf numFmtId="10" fontId="23" fillId="0" borderId="0" xfId="20" applyNumberFormat="1" applyFont="1"/>
    <xf numFmtId="0" fontId="31" fillId="0" borderId="0" xfId="38" applyFont="1" applyFill="1" applyProtection="1"/>
    <xf numFmtId="164" fontId="23" fillId="0" borderId="0" xfId="20" applyNumberFormat="1" applyFont="1"/>
    <xf numFmtId="164" fontId="25" fillId="0" borderId="0" xfId="20" applyNumberFormat="1" applyFont="1"/>
    <xf numFmtId="166" fontId="24" fillId="0" borderId="0" xfId="0" applyNumberFormat="1" applyFont="1" applyAlignment="1" applyProtection="1">
      <alignment horizontal="center"/>
      <protection locked="0"/>
    </xf>
    <xf numFmtId="166" fontId="24" fillId="0" borderId="8" xfId="0" applyNumberFormat="1" applyFont="1" applyBorder="1" applyAlignment="1" applyProtection="1">
      <alignment horizontal="center"/>
      <protection locked="0"/>
    </xf>
    <xf numFmtId="10" fontId="24" fillId="0" borderId="0" xfId="3" applyNumberFormat="1" applyFont="1" applyFill="1"/>
    <xf numFmtId="0" fontId="24" fillId="0" borderId="16" xfId="0" applyFont="1" applyBorder="1"/>
    <xf numFmtId="166" fontId="24" fillId="0" borderId="0" xfId="0" applyNumberFormat="1" applyFont="1" applyAlignment="1">
      <alignment horizontal="center"/>
    </xf>
    <xf numFmtId="166" fontId="24" fillId="0" borderId="8" xfId="0" applyNumberFormat="1" applyFont="1" applyBorder="1" applyAlignment="1">
      <alignment horizontal="center"/>
    </xf>
    <xf numFmtId="166" fontId="24" fillId="0" borderId="0" xfId="2" applyNumberFormat="1" applyFont="1" applyFill="1" applyProtection="1"/>
    <xf numFmtId="10" fontId="24" fillId="0" borderId="0" xfId="3" applyNumberFormat="1" applyFont="1" applyFill="1" applyProtection="1"/>
    <xf numFmtId="10" fontId="23" fillId="0" borderId="0" xfId="3" applyNumberFormat="1" applyFont="1" applyFill="1" applyProtection="1"/>
    <xf numFmtId="166" fontId="24" fillId="0" borderId="0" xfId="3" applyNumberFormat="1" applyFont="1" applyFill="1" applyProtection="1"/>
    <xf numFmtId="9" fontId="23" fillId="0" borderId="0" xfId="3" applyFont="1" applyFill="1" applyProtection="1"/>
    <xf numFmtId="10" fontId="24" fillId="0" borderId="16" xfId="3" applyNumberFormat="1" applyFont="1" applyFill="1" applyBorder="1" applyProtection="1"/>
    <xf numFmtId="0" fontId="24" fillId="0" borderId="8" xfId="0" applyFont="1" applyBorder="1" applyAlignment="1">
      <alignment horizontal="left"/>
    </xf>
    <xf numFmtId="0" fontId="24" fillId="0" borderId="15" xfId="0" applyFont="1" applyBorder="1"/>
    <xf numFmtId="49" fontId="25" fillId="0" borderId="8" xfId="0" applyNumberFormat="1" applyFont="1" applyBorder="1" applyAlignment="1">
      <alignment horizontal="left" vertical="top"/>
    </xf>
    <xf numFmtId="0" fontId="25" fillId="0" borderId="8" xfId="0" applyFont="1" applyBorder="1" applyAlignment="1">
      <alignment horizontal="left" vertical="top"/>
    </xf>
    <xf numFmtId="44" fontId="25" fillId="0" borderId="51" xfId="2" applyFont="1" applyFill="1" applyBorder="1" applyAlignment="1" applyProtection="1">
      <alignment horizontal="left"/>
    </xf>
    <xf numFmtId="0" fontId="28" fillId="0" borderId="8" xfId="0" applyFont="1" applyBorder="1" applyAlignment="1">
      <alignment horizontal="left"/>
    </xf>
    <xf numFmtId="2" fontId="23" fillId="0" borderId="0" xfId="0" applyNumberFormat="1" applyFont="1" applyAlignment="1">
      <alignment vertical="top"/>
    </xf>
    <xf numFmtId="49" fontId="23" fillId="0" borderId="0" xfId="0" applyNumberFormat="1" applyFont="1" applyAlignment="1">
      <alignment vertical="top"/>
    </xf>
    <xf numFmtId="170" fontId="23" fillId="0" borderId="0" xfId="0" applyNumberFormat="1" applyFont="1" applyAlignment="1">
      <alignment vertical="top"/>
    </xf>
    <xf numFmtId="2" fontId="24" fillId="0" borderId="0" xfId="0" applyNumberFormat="1" applyFont="1"/>
    <xf numFmtId="44" fontId="23" fillId="0" borderId="15" xfId="2" applyFont="1" applyFill="1" applyBorder="1" applyAlignment="1" applyProtection="1">
      <alignment vertical="top"/>
    </xf>
    <xf numFmtId="166" fontId="23" fillId="0" borderId="0" xfId="0" applyNumberFormat="1" applyFont="1" applyAlignment="1">
      <alignment vertical="top"/>
    </xf>
    <xf numFmtId="166" fontId="23" fillId="0" borderId="15" xfId="0" applyNumberFormat="1" applyFont="1" applyBorder="1" applyAlignment="1">
      <alignment vertical="top"/>
    </xf>
    <xf numFmtId="2" fontId="23" fillId="0" borderId="0" xfId="7" applyNumberFormat="1" applyFont="1" applyFill="1" applyBorder="1" applyAlignment="1" applyProtection="1">
      <alignment vertical="top"/>
    </xf>
    <xf numFmtId="0" fontId="23" fillId="0" borderId="0" xfId="0" applyFont="1" applyAlignment="1">
      <alignment horizontal="left" vertical="top"/>
    </xf>
    <xf numFmtId="2" fontId="23" fillId="0" borderId="11" xfId="0" applyNumberFormat="1" applyFont="1" applyBorder="1" applyAlignment="1">
      <alignment vertical="top"/>
    </xf>
    <xf numFmtId="0" fontId="24" fillId="0" borderId="14" xfId="0" applyFont="1" applyBorder="1"/>
    <xf numFmtId="164" fontId="23" fillId="0" borderId="0" xfId="0" applyNumberFormat="1" applyFont="1" applyAlignment="1">
      <alignment vertical="top"/>
    </xf>
    <xf numFmtId="44" fontId="24" fillId="0" borderId="15" xfId="2" applyFont="1" applyFill="1" applyBorder="1" applyProtection="1"/>
    <xf numFmtId="49" fontId="23" fillId="0" borderId="0" xfId="0" applyNumberFormat="1" applyFont="1" applyAlignment="1">
      <alignment horizontal="left" vertical="top"/>
    </xf>
    <xf numFmtId="2" fontId="24" fillId="0" borderId="15" xfId="0" applyNumberFormat="1" applyFont="1" applyBorder="1"/>
    <xf numFmtId="0" fontId="9" fillId="0" borderId="0" xfId="30" applyAlignment="1">
      <alignment horizontal="left"/>
    </xf>
    <xf numFmtId="0" fontId="4" fillId="0" borderId="0" xfId="30" applyFont="1" applyAlignment="1">
      <alignment horizontal="left"/>
    </xf>
    <xf numFmtId="49" fontId="3" fillId="0" borderId="8" xfId="30" applyNumberFormat="1" applyFont="1" applyBorder="1" applyAlignment="1">
      <alignment horizontal="left" vertical="top"/>
    </xf>
    <xf numFmtId="0" fontId="4" fillId="0" borderId="8" xfId="30" applyFont="1" applyBorder="1" applyAlignment="1">
      <alignment horizontal="left"/>
    </xf>
    <xf numFmtId="0" fontId="3" fillId="0" borderId="0" xfId="30" applyFont="1" applyAlignment="1">
      <alignment horizontal="left"/>
    </xf>
    <xf numFmtId="0" fontId="9" fillId="0" borderId="0" xfId="30" applyAlignment="1">
      <alignment horizontal="right"/>
    </xf>
    <xf numFmtId="0" fontId="4" fillId="0" borderId="0" xfId="30" applyFont="1" applyAlignment="1">
      <alignment horizontal="right"/>
    </xf>
    <xf numFmtId="1" fontId="4" fillId="0" borderId="0" xfId="30" applyNumberFormat="1" applyFont="1" applyAlignment="1">
      <alignment horizontal="right"/>
    </xf>
    <xf numFmtId="1" fontId="9" fillId="0" borderId="0" xfId="30" applyNumberFormat="1" applyAlignment="1">
      <alignment horizontal="right"/>
    </xf>
    <xf numFmtId="0" fontId="0" fillId="0" borderId="47" xfId="0" applyBorder="1"/>
    <xf numFmtId="8" fontId="0" fillId="0" borderId="47" xfId="0" applyNumberFormat="1" applyBorder="1" applyAlignment="1">
      <alignment horizontal="right"/>
    </xf>
    <xf numFmtId="0" fontId="0" fillId="0" borderId="0" xfId="0" applyAlignment="1">
      <alignment horizontal="left"/>
    </xf>
    <xf numFmtId="0" fontId="3" fillId="0" borderId="0" xfId="30" applyFont="1" applyAlignment="1">
      <alignment horizontal="right"/>
    </xf>
    <xf numFmtId="166" fontId="4" fillId="0" borderId="0" xfId="30" applyNumberFormat="1" applyFont="1" applyAlignment="1">
      <alignment horizontal="right"/>
    </xf>
    <xf numFmtId="0" fontId="2" fillId="0" borderId="11" xfId="0" applyFont="1" applyBorder="1" applyAlignment="1">
      <alignment horizontal="left"/>
    </xf>
    <xf numFmtId="0" fontId="0" fillId="0" borderId="11" xfId="0" applyBorder="1" applyAlignment="1">
      <alignment horizontal="left"/>
    </xf>
    <xf numFmtId="0" fontId="0" fillId="0" borderId="11" xfId="0" applyBorder="1"/>
    <xf numFmtId="0" fontId="0" fillId="0" borderId="0" xfId="0" applyAlignment="1">
      <alignment wrapText="1"/>
    </xf>
    <xf numFmtId="0" fontId="23" fillId="0" borderId="8" xfId="20" applyFont="1" applyBorder="1" applyAlignment="1">
      <alignment horizontal="center"/>
    </xf>
    <xf numFmtId="0" fontId="28" fillId="0" borderId="8" xfId="0" applyFont="1" applyBorder="1" applyAlignment="1">
      <alignment horizontal="center"/>
    </xf>
    <xf numFmtId="9" fontId="23" fillId="0" borderId="0" xfId="20" applyNumberFormat="1" applyFont="1" applyAlignment="1">
      <alignment vertical="top"/>
    </xf>
    <xf numFmtId="49" fontId="23" fillId="0" borderId="0" xfId="20" applyNumberFormat="1" applyFont="1" applyAlignment="1">
      <alignment vertical="top"/>
    </xf>
    <xf numFmtId="49" fontId="23" fillId="0" borderId="16" xfId="20" applyNumberFormat="1" applyFont="1" applyBorder="1" applyAlignment="1">
      <alignment vertical="top" wrapText="1"/>
    </xf>
    <xf numFmtId="9" fontId="23" fillId="0" borderId="16" xfId="20" applyNumberFormat="1" applyFont="1" applyBorder="1" applyAlignment="1">
      <alignment vertical="top"/>
    </xf>
    <xf numFmtId="166" fontId="24" fillId="0" borderId="16" xfId="0" applyNumberFormat="1" applyFont="1" applyBorder="1"/>
    <xf numFmtId="0" fontId="23" fillId="0" borderId="0" xfId="20" applyFont="1" applyAlignment="1">
      <alignment vertical="top"/>
    </xf>
    <xf numFmtId="49" fontId="23" fillId="0" borderId="0" xfId="0" applyNumberFormat="1" applyFont="1"/>
    <xf numFmtId="49" fontId="23" fillId="0" borderId="0" xfId="0" quotePrefix="1" applyNumberFormat="1" applyFont="1"/>
    <xf numFmtId="0" fontId="23" fillId="0" borderId="0" xfId="20" applyFont="1" applyAlignment="1">
      <alignment horizontal="right"/>
    </xf>
    <xf numFmtId="0" fontId="25" fillId="0" borderId="11" xfId="20" applyFont="1" applyBorder="1" applyAlignment="1">
      <alignment horizontal="center"/>
    </xf>
    <xf numFmtId="0" fontId="23" fillId="0" borderId="0" xfId="20" applyFont="1" applyAlignment="1">
      <alignment horizontal="center"/>
    </xf>
    <xf numFmtId="0" fontId="23" fillId="0" borderId="11" xfId="20" applyFont="1" applyBorder="1" applyAlignment="1">
      <alignment horizontal="center"/>
    </xf>
    <xf numFmtId="0" fontId="30" fillId="0" borderId="0" xfId="20" applyFont="1"/>
    <xf numFmtId="3" fontId="23" fillId="0" borderId="0" xfId="20" applyNumberFormat="1" applyFont="1"/>
    <xf numFmtId="179" fontId="24" fillId="0" borderId="0" xfId="1" applyNumberFormat="1" applyFont="1" applyFill="1" applyBorder="1" applyProtection="1"/>
    <xf numFmtId="179" fontId="23" fillId="0" borderId="0" xfId="0" applyNumberFormat="1" applyFont="1"/>
    <xf numFmtId="0" fontId="23" fillId="0" borderId="0" xfId="19" applyFont="1"/>
    <xf numFmtId="0" fontId="25" fillId="0" borderId="8" xfId="0" applyFont="1" applyBorder="1"/>
    <xf numFmtId="0" fontId="23" fillId="0" borderId="8" xfId="0" applyFont="1" applyBorder="1"/>
    <xf numFmtId="0" fontId="23" fillId="0" borderId="0" xfId="3" applyNumberFormat="1" applyFont="1" applyFill="1" applyProtection="1"/>
    <xf numFmtId="1" fontId="23" fillId="0" borderId="0" xfId="3" applyNumberFormat="1" applyFont="1" applyFill="1" applyProtection="1"/>
    <xf numFmtId="0" fontId="25" fillId="0" borderId="11" xfId="30" applyFont="1" applyBorder="1"/>
    <xf numFmtId="0" fontId="23" fillId="0" borderId="0" xfId="30" applyFont="1"/>
    <xf numFmtId="166" fontId="23" fillId="0" borderId="0" xfId="30" applyNumberFormat="1" applyFont="1"/>
    <xf numFmtId="0" fontId="23" fillId="0" borderId="16" xfId="30" applyFont="1" applyBorder="1"/>
    <xf numFmtId="166" fontId="23" fillId="0" borderId="16" xfId="30" applyNumberFormat="1" applyFont="1" applyBorder="1"/>
    <xf numFmtId="0" fontId="28" fillId="0" borderId="15" xfId="0" applyFont="1" applyBorder="1"/>
    <xf numFmtId="10" fontId="23" fillId="0" borderId="0" xfId="30" applyNumberFormat="1" applyFont="1"/>
    <xf numFmtId="0" fontId="25" fillId="0" borderId="0" xfId="30" applyFont="1"/>
    <xf numFmtId="0" fontId="25" fillId="0" borderId="8" xfId="30" applyFont="1" applyBorder="1"/>
    <xf numFmtId="10" fontId="24" fillId="0" borderId="8" xfId="0" applyNumberFormat="1" applyFont="1" applyBorder="1"/>
    <xf numFmtId="0" fontId="24" fillId="0" borderId="43" xfId="0" applyFont="1" applyBorder="1"/>
    <xf numFmtId="165" fontId="23" fillId="0" borderId="0" xfId="3" applyNumberFormat="1" applyFont="1" applyFill="1" applyBorder="1" applyAlignment="1" applyProtection="1">
      <alignment horizontal="right"/>
    </xf>
    <xf numFmtId="167" fontId="23" fillId="0" borderId="0" xfId="2" applyNumberFormat="1" applyFont="1" applyFill="1" applyBorder="1" applyAlignment="1" applyProtection="1">
      <alignment horizontal="right"/>
    </xf>
    <xf numFmtId="9" fontId="23" fillId="0" borderId="0" xfId="3" applyFont="1" applyFill="1" applyBorder="1" applyAlignment="1" applyProtection="1">
      <alignment horizontal="right"/>
    </xf>
    <xf numFmtId="165" fontId="23" fillId="0" borderId="0" xfId="2" applyNumberFormat="1" applyFont="1" applyFill="1" applyBorder="1" applyProtection="1"/>
    <xf numFmtId="0" fontId="25" fillId="0" borderId="4" xfId="0" applyFont="1" applyBorder="1"/>
    <xf numFmtId="0" fontId="25" fillId="0" borderId="4" xfId="0" applyFont="1" applyBorder="1" applyAlignment="1">
      <alignment horizontal="center"/>
    </xf>
    <xf numFmtId="0" fontId="23" fillId="0" borderId="6" xfId="0" applyFont="1" applyBorder="1" applyAlignment="1">
      <alignment vertical="top"/>
    </xf>
    <xf numFmtId="0" fontId="25" fillId="0" borderId="0" xfId="0" applyFont="1" applyAlignment="1" applyProtection="1">
      <alignment horizontal="center"/>
      <protection locked="0"/>
    </xf>
    <xf numFmtId="0" fontId="25" fillId="0" borderId="7" xfId="0" applyFont="1" applyBorder="1" applyAlignment="1">
      <alignment horizontal="center"/>
    </xf>
    <xf numFmtId="0" fontId="25" fillId="0" borderId="9" xfId="0" applyFont="1" applyBorder="1" applyAlignment="1">
      <alignment horizontal="center"/>
    </xf>
    <xf numFmtId="165" fontId="23" fillId="0" borderId="5" xfId="3" applyNumberFormat="1" applyFont="1" applyFill="1" applyBorder="1" applyAlignment="1" applyProtection="1">
      <alignment horizontal="right"/>
    </xf>
    <xf numFmtId="167" fontId="23" fillId="0" borderId="5" xfId="2" applyNumberFormat="1" applyFont="1" applyFill="1" applyBorder="1" applyAlignment="1" applyProtection="1">
      <alignment horizontal="right"/>
    </xf>
    <xf numFmtId="9" fontId="23" fillId="0" borderId="5" xfId="3" applyFont="1" applyFill="1" applyBorder="1" applyAlignment="1" applyProtection="1">
      <alignment horizontal="right"/>
    </xf>
    <xf numFmtId="167" fontId="23" fillId="0" borderId="8" xfId="2" applyNumberFormat="1" applyFont="1" applyFill="1" applyBorder="1" applyAlignment="1" applyProtection="1">
      <alignment horizontal="right"/>
    </xf>
    <xf numFmtId="167" fontId="23" fillId="0" borderId="9" xfId="2" applyNumberFormat="1" applyFont="1" applyFill="1" applyBorder="1" applyAlignment="1" applyProtection="1">
      <alignment horizontal="right"/>
    </xf>
    <xf numFmtId="166" fontId="23" fillId="0" borderId="5" xfId="0" applyNumberFormat="1" applyFont="1" applyBorder="1"/>
    <xf numFmtId="0" fontId="25" fillId="0" borderId="1" xfId="0" applyFont="1" applyBorder="1"/>
    <xf numFmtId="0" fontId="25" fillId="0" borderId="1" xfId="0" applyFont="1" applyBorder="1" applyAlignment="1">
      <alignment horizontal="center"/>
    </xf>
    <xf numFmtId="0" fontId="25" fillId="0" borderId="2" xfId="0" applyFont="1" applyBorder="1" applyAlignment="1">
      <alignment horizontal="center"/>
    </xf>
    <xf numFmtId="0" fontId="25" fillId="0" borderId="3" xfId="0" applyFont="1" applyBorder="1" applyAlignment="1">
      <alignment horizontal="center"/>
    </xf>
    <xf numFmtId="0" fontId="25" fillId="0" borderId="35" xfId="0" applyFont="1" applyBorder="1" applyAlignment="1">
      <alignment horizontal="centerContinuous"/>
    </xf>
    <xf numFmtId="0" fontId="25" fillId="0" borderId="34" xfId="0" applyFont="1" applyBorder="1" applyAlignment="1">
      <alignment horizontal="centerContinuous"/>
    </xf>
    <xf numFmtId="0" fontId="25" fillId="0" borderId="5"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0" borderId="28" xfId="0" applyFont="1" applyBorder="1" applyAlignment="1">
      <alignment horizontal="left"/>
    </xf>
    <xf numFmtId="0" fontId="25" fillId="0" borderId="29" xfId="0" applyFont="1" applyBorder="1" applyAlignment="1">
      <alignment horizontal="left"/>
    </xf>
    <xf numFmtId="164" fontId="23" fillId="0" borderId="4" xfId="0" applyNumberFormat="1" applyFont="1" applyBorder="1" applyAlignment="1">
      <alignment horizontal="right"/>
    </xf>
    <xf numFmtId="164" fontId="23" fillId="0" borderId="0" xfId="0" applyNumberFormat="1" applyFont="1" applyAlignment="1">
      <alignment horizontal="right"/>
    </xf>
    <xf numFmtId="164" fontId="23" fillId="0" borderId="5" xfId="0" applyNumberFormat="1" applyFont="1" applyBorder="1" applyAlignment="1">
      <alignment horizontal="right"/>
    </xf>
    <xf numFmtId="164" fontId="23" fillId="0" borderId="4" xfId="0" applyNumberFormat="1" applyFont="1" applyBorder="1"/>
    <xf numFmtId="164" fontId="23" fillId="0" borderId="5" xfId="0" applyNumberFormat="1" applyFont="1" applyBorder="1"/>
    <xf numFmtId="0" fontId="23" fillId="0" borderId="5" xfId="0" applyFont="1" applyBorder="1"/>
    <xf numFmtId="0" fontId="23" fillId="0" borderId="5" xfId="0" applyFont="1" applyBorder="1" applyAlignment="1">
      <alignment horizontal="right"/>
    </xf>
    <xf numFmtId="165" fontId="23" fillId="0" borderId="4" xfId="0" applyNumberFormat="1" applyFont="1" applyBorder="1"/>
    <xf numFmtId="165" fontId="23" fillId="0" borderId="0" xfId="0" applyNumberFormat="1" applyFont="1"/>
    <xf numFmtId="165" fontId="23" fillId="0" borderId="5" xfId="0" applyNumberFormat="1" applyFont="1" applyBorder="1"/>
    <xf numFmtId="2" fontId="23" fillId="0" borderId="4" xfId="0" applyNumberFormat="1" applyFont="1" applyBorder="1"/>
    <xf numFmtId="2" fontId="23" fillId="0" borderId="0" xfId="0" applyNumberFormat="1" applyFont="1"/>
    <xf numFmtId="2" fontId="23" fillId="0" borderId="5" xfId="0" applyNumberFormat="1" applyFont="1" applyBorder="1"/>
    <xf numFmtId="2" fontId="23" fillId="0" borderId="0" xfId="0" applyNumberFormat="1" applyFont="1" applyAlignment="1">
      <alignment horizontal="right"/>
    </xf>
    <xf numFmtId="2" fontId="23" fillId="0" borderId="5" xfId="0" applyNumberFormat="1" applyFont="1" applyBorder="1" applyAlignment="1">
      <alignment horizontal="right"/>
    </xf>
    <xf numFmtId="1" fontId="23" fillId="0" borderId="4" xfId="0" applyNumberFormat="1" applyFont="1" applyBorder="1"/>
    <xf numFmtId="1" fontId="23" fillId="0" borderId="0" xfId="0" applyNumberFormat="1" applyFont="1"/>
    <xf numFmtId="1" fontId="23" fillId="0" borderId="5" xfId="0" applyNumberFormat="1" applyFont="1" applyBorder="1"/>
    <xf numFmtId="166" fontId="23" fillId="0" borderId="4" xfId="0" applyNumberFormat="1" applyFont="1" applyBorder="1"/>
    <xf numFmtId="0" fontId="23" fillId="0" borderId="4" xfId="0" applyFont="1" applyBorder="1" applyAlignment="1">
      <alignment horizontal="centerContinuous"/>
    </xf>
    <xf numFmtId="0" fontId="23" fillId="0" borderId="0" xfId="0" applyFont="1" applyAlignment="1">
      <alignment horizontal="centerContinuous"/>
    </xf>
    <xf numFmtId="0" fontId="23" fillId="0" borderId="5" xfId="0" applyFont="1" applyBorder="1" applyAlignment="1">
      <alignment horizontal="centerContinuous"/>
    </xf>
    <xf numFmtId="0" fontId="23" fillId="0" borderId="4" xfId="0" applyFont="1" applyBorder="1" applyAlignment="1">
      <alignment horizontal="right"/>
    </xf>
    <xf numFmtId="2" fontId="23" fillId="0" borderId="29" xfId="0" applyNumberFormat="1" applyFont="1" applyBorder="1"/>
    <xf numFmtId="9" fontId="23" fillId="0" borderId="4" xfId="0" applyNumberFormat="1" applyFont="1" applyBorder="1"/>
    <xf numFmtId="9" fontId="23" fillId="0" borderId="0" xfId="0" applyNumberFormat="1" applyFont="1"/>
    <xf numFmtId="9" fontId="23" fillId="0" borderId="5" xfId="0" applyNumberFormat="1" applyFont="1" applyBorder="1"/>
    <xf numFmtId="3" fontId="23" fillId="0" borderId="4" xfId="0" applyNumberFormat="1" applyFont="1" applyBorder="1"/>
    <xf numFmtId="3" fontId="23" fillId="0" borderId="0" xfId="0" applyNumberFormat="1" applyFont="1"/>
    <xf numFmtId="3" fontId="23" fillId="0" borderId="5" xfId="0" applyNumberFormat="1" applyFont="1" applyBorder="1"/>
    <xf numFmtId="168" fontId="23" fillId="0" borderId="4" xfId="0" applyNumberFormat="1" applyFont="1" applyBorder="1"/>
    <xf numFmtId="168" fontId="23" fillId="0" borderId="0" xfId="0" applyNumberFormat="1" applyFont="1"/>
    <xf numFmtId="168" fontId="23" fillId="0" borderId="5" xfId="0" applyNumberFormat="1" applyFont="1" applyBorder="1"/>
    <xf numFmtId="5" fontId="24" fillId="0" borderId="4" xfId="2" applyNumberFormat="1" applyFont="1" applyFill="1" applyBorder="1" applyProtection="1"/>
    <xf numFmtId="5" fontId="24" fillId="0" borderId="0" xfId="2" applyNumberFormat="1" applyFont="1" applyFill="1" applyBorder="1" applyProtection="1"/>
    <xf numFmtId="5" fontId="24" fillId="0" borderId="5" xfId="2" applyNumberFormat="1" applyFont="1" applyFill="1" applyBorder="1" applyProtection="1"/>
    <xf numFmtId="0" fontId="25" fillId="0" borderId="30" xfId="0" applyFont="1" applyBorder="1" applyAlignment="1">
      <alignment horizontal="left"/>
    </xf>
    <xf numFmtId="5" fontId="24" fillId="0" borderId="7" xfId="2" applyNumberFormat="1" applyFont="1" applyFill="1" applyBorder="1" applyProtection="1"/>
    <xf numFmtId="5" fontId="24" fillId="0" borderId="8" xfId="2" applyNumberFormat="1" applyFont="1" applyFill="1" applyBorder="1" applyProtection="1"/>
    <xf numFmtId="166" fontId="23" fillId="0" borderId="8" xfId="0" applyNumberFormat="1" applyFont="1" applyBorder="1"/>
    <xf numFmtId="5" fontId="24" fillId="0" borderId="9" xfId="2" applyNumberFormat="1" applyFont="1" applyFill="1" applyBorder="1" applyProtection="1"/>
    <xf numFmtId="0" fontId="24" fillId="0" borderId="0" xfId="0" applyFont="1" applyAlignment="1">
      <alignment horizontal="left" vertical="top"/>
    </xf>
    <xf numFmtId="169" fontId="25" fillId="0" borderId="6" xfId="0" applyNumberFormat="1" applyFont="1" applyBorder="1" applyAlignment="1">
      <alignment horizontal="left" vertical="top" wrapText="1"/>
    </xf>
    <xf numFmtId="49" fontId="23" fillId="0" borderId="20" xfId="0" applyNumberFormat="1" applyFont="1" applyBorder="1" applyAlignment="1">
      <alignment horizontal="right" vertical="top"/>
    </xf>
    <xf numFmtId="169" fontId="23" fillId="0" borderId="20" xfId="0" applyNumberFormat="1" applyFont="1" applyBorder="1" applyAlignment="1">
      <alignment horizontal="right" vertical="top"/>
    </xf>
    <xf numFmtId="166" fontId="23" fillId="0" borderId="20" xfId="0" applyNumberFormat="1" applyFont="1" applyBorder="1" applyAlignment="1">
      <alignment horizontal="right" vertical="top"/>
    </xf>
    <xf numFmtId="166" fontId="23" fillId="0" borderId="21" xfId="0" applyNumberFormat="1" applyFont="1" applyBorder="1" applyAlignment="1">
      <alignment horizontal="right" vertical="top"/>
    </xf>
    <xf numFmtId="169" fontId="25" fillId="0" borderId="27" xfId="0" applyNumberFormat="1" applyFont="1" applyBorder="1" applyAlignment="1">
      <alignment horizontal="left" vertical="top" wrapText="1"/>
    </xf>
    <xf numFmtId="49" fontId="25" fillId="0" borderId="27" xfId="0" applyNumberFormat="1" applyFont="1" applyBorder="1" applyAlignment="1">
      <alignment horizontal="center" vertical="center" wrapText="1"/>
    </xf>
    <xf numFmtId="0" fontId="25" fillId="0" borderId="19" xfId="0" applyFont="1" applyBorder="1" applyAlignment="1">
      <alignment horizontal="left"/>
    </xf>
    <xf numFmtId="0" fontId="25" fillId="0" borderId="20" xfId="0" applyFont="1" applyBorder="1" applyAlignment="1">
      <alignment horizontal="center"/>
    </xf>
    <xf numFmtId="0" fontId="25" fillId="0" borderId="21" xfId="0" applyFont="1" applyBorder="1" applyAlignment="1">
      <alignment horizontal="left" vertical="top" wrapText="1"/>
    </xf>
    <xf numFmtId="0" fontId="25" fillId="0" borderId="0" xfId="0" applyFont="1" applyAlignment="1">
      <alignment horizontal="left" vertical="top" wrapText="1"/>
    </xf>
    <xf numFmtId="0" fontId="25" fillId="0" borderId="0" xfId="0" applyFont="1" applyAlignment="1">
      <alignment horizontal="center" vertical="center" wrapText="1"/>
    </xf>
    <xf numFmtId="166" fontId="25" fillId="0" borderId="36" xfId="0" applyNumberFormat="1" applyFont="1" applyBorder="1" applyAlignment="1">
      <alignment horizontal="left" vertical="top" wrapText="1"/>
    </xf>
    <xf numFmtId="166" fontId="25" fillId="0" borderId="31" xfId="0" applyNumberFormat="1" applyFont="1" applyBorder="1" applyAlignment="1">
      <alignment horizontal="left" vertical="top" wrapText="1"/>
    </xf>
    <xf numFmtId="166" fontId="25" fillId="0" borderId="26" xfId="0" applyNumberFormat="1" applyFont="1" applyBorder="1" applyAlignment="1">
      <alignment horizontal="left" vertical="top" wrapText="1"/>
    </xf>
    <xf numFmtId="0" fontId="25" fillId="0" borderId="0" xfId="0" applyFont="1" applyAlignment="1">
      <alignment horizontal="left" vertical="top"/>
    </xf>
    <xf numFmtId="0" fontId="25" fillId="0" borderId="40" xfId="0" applyFont="1" applyBorder="1" applyAlignment="1">
      <alignment horizontal="left" vertical="center" wrapText="1"/>
    </xf>
    <xf numFmtId="49" fontId="25" fillId="0" borderId="40" xfId="0" applyNumberFormat="1" applyFont="1" applyBorder="1" applyAlignment="1">
      <alignment horizontal="center" vertical="center" wrapText="1"/>
    </xf>
    <xf numFmtId="0" fontId="25" fillId="0" borderId="8" xfId="0" applyFont="1" applyBorder="1" applyAlignment="1">
      <alignment horizontal="center" vertical="center" wrapText="1"/>
    </xf>
    <xf numFmtId="0" fontId="25" fillId="0" borderId="22" xfId="0" applyFont="1" applyBorder="1" applyAlignment="1">
      <alignment horizontal="left" vertical="top" wrapText="1"/>
    </xf>
    <xf numFmtId="0" fontId="25" fillId="0" borderId="8" xfId="0" applyFont="1" applyBorder="1" applyAlignment="1">
      <alignment horizontal="left" vertical="top" wrapText="1"/>
    </xf>
    <xf numFmtId="166" fontId="25" fillId="0" borderId="51" xfId="0" applyNumberFormat="1" applyFont="1" applyBorder="1" applyAlignment="1">
      <alignment horizontal="center" vertical="center" wrapText="1"/>
    </xf>
    <xf numFmtId="166" fontId="25" fillId="0" borderId="8" xfId="0" applyNumberFormat="1" applyFont="1" applyBorder="1" applyAlignment="1">
      <alignment horizontal="center" vertical="center" wrapText="1"/>
    </xf>
    <xf numFmtId="166" fontId="25" fillId="0" borderId="52" xfId="0" applyNumberFormat="1" applyFont="1" applyBorder="1" applyAlignment="1">
      <alignment horizontal="center" vertical="center" wrapText="1"/>
    </xf>
    <xf numFmtId="0" fontId="25" fillId="0" borderId="27" xfId="0" applyFont="1" applyBorder="1" applyAlignment="1">
      <alignment horizontal="left" vertical="center" wrapText="1"/>
    </xf>
    <xf numFmtId="0" fontId="24" fillId="0" borderId="27" xfId="0" applyFont="1" applyBorder="1"/>
    <xf numFmtId="0" fontId="25" fillId="0" borderId="0" xfId="0" applyFont="1" applyAlignment="1">
      <alignment horizontal="right" vertical="center" wrapText="1"/>
    </xf>
    <xf numFmtId="0" fontId="25" fillId="0" borderId="27" xfId="0" applyFont="1" applyBorder="1" applyAlignment="1">
      <alignment horizontal="right" vertical="center" wrapText="1"/>
    </xf>
    <xf numFmtId="166" fontId="25" fillId="0" borderId="0" xfId="0" quotePrefix="1" applyNumberFormat="1" applyFont="1" applyAlignment="1">
      <alignment horizontal="right" vertical="center"/>
    </xf>
    <xf numFmtId="166" fontId="25" fillId="0" borderId="0" xfId="0" applyNumberFormat="1" applyFont="1" applyAlignment="1">
      <alignment horizontal="right" vertical="center" wrapText="1"/>
    </xf>
    <xf numFmtId="166" fontId="25" fillId="0" borderId="0" xfId="0" quotePrefix="1" applyNumberFormat="1" applyFont="1" applyAlignment="1">
      <alignment horizontal="left" vertical="top"/>
    </xf>
    <xf numFmtId="0" fontId="23" fillId="0" borderId="23" xfId="0" applyFont="1" applyBorder="1" applyAlignment="1">
      <alignment horizontal="left" vertical="center" wrapText="1"/>
    </xf>
    <xf numFmtId="166" fontId="23" fillId="0" borderId="23" xfId="0" applyNumberFormat="1" applyFont="1" applyBorder="1" applyAlignment="1">
      <alignment horizontal="right" vertical="center" wrapText="1"/>
    </xf>
    <xf numFmtId="10" fontId="23" fillId="0" borderId="31" xfId="3" applyNumberFormat="1" applyFont="1" applyFill="1" applyBorder="1" applyAlignment="1">
      <alignment horizontal="right" vertical="center"/>
    </xf>
    <xf numFmtId="10" fontId="23" fillId="0" borderId="23" xfId="3" applyNumberFormat="1" applyFont="1" applyFill="1" applyBorder="1" applyAlignment="1">
      <alignment horizontal="right" vertical="center" wrapText="1"/>
    </xf>
    <xf numFmtId="10" fontId="23" fillId="0" borderId="31" xfId="3" applyNumberFormat="1" applyFont="1" applyFill="1" applyBorder="1" applyAlignment="1">
      <alignment horizontal="right" vertical="center" wrapText="1"/>
    </xf>
    <xf numFmtId="166" fontId="25" fillId="0" borderId="31" xfId="0" quotePrefix="1" applyNumberFormat="1" applyFont="1" applyBorder="1" applyAlignment="1">
      <alignment horizontal="right" vertical="center"/>
    </xf>
    <xf numFmtId="0" fontId="23" fillId="0" borderId="31" xfId="0" applyFont="1" applyBorder="1" applyAlignment="1">
      <alignment horizontal="right" vertical="top"/>
    </xf>
    <xf numFmtId="167" fontId="23" fillId="0" borderId="31" xfId="2" applyNumberFormat="1" applyFont="1" applyFill="1" applyBorder="1" applyAlignment="1">
      <alignment horizontal="right" vertical="center"/>
    </xf>
    <xf numFmtId="167" fontId="23" fillId="0" borderId="26" xfId="2" applyNumberFormat="1" applyFont="1" applyFill="1" applyBorder="1" applyAlignment="1">
      <alignment horizontal="right" vertical="center"/>
    </xf>
    <xf numFmtId="0" fontId="23" fillId="0" borderId="27" xfId="0" applyFont="1" applyBorder="1" applyAlignment="1">
      <alignment horizontal="left" vertical="center" wrapText="1"/>
    </xf>
    <xf numFmtId="166" fontId="23" fillId="0" borderId="27" xfId="0" applyNumberFormat="1" applyFont="1" applyBorder="1" applyAlignment="1">
      <alignment horizontal="right" vertical="center" wrapText="1"/>
    </xf>
    <xf numFmtId="10" fontId="23" fillId="0" borderId="0" xfId="3" applyNumberFormat="1" applyFont="1" applyFill="1" applyBorder="1" applyAlignment="1">
      <alignment horizontal="right" vertical="center"/>
    </xf>
    <xf numFmtId="10" fontId="23" fillId="0" borderId="27" xfId="3" applyNumberFormat="1" applyFont="1" applyFill="1" applyBorder="1" applyAlignment="1">
      <alignment horizontal="right" vertical="center" wrapText="1"/>
    </xf>
    <xf numFmtId="10" fontId="23" fillId="0" borderId="0" xfId="3" applyNumberFormat="1" applyFont="1" applyFill="1" applyBorder="1" applyAlignment="1">
      <alignment horizontal="right" vertical="center" wrapText="1"/>
    </xf>
    <xf numFmtId="0" fontId="23" fillId="0" borderId="0" xfId="0" applyFont="1" applyAlignment="1">
      <alignment horizontal="right" vertical="top"/>
    </xf>
    <xf numFmtId="167" fontId="23" fillId="0" borderId="0" xfId="2" applyNumberFormat="1" applyFont="1" applyFill="1" applyBorder="1" applyAlignment="1">
      <alignment horizontal="right" vertical="center"/>
    </xf>
    <xf numFmtId="167" fontId="23" fillId="0" borderId="18" xfId="2" applyNumberFormat="1" applyFont="1" applyFill="1" applyBorder="1" applyAlignment="1">
      <alignment horizontal="right" vertical="center"/>
    </xf>
    <xf numFmtId="170" fontId="23" fillId="0" borderId="27" xfId="0" applyNumberFormat="1" applyFont="1" applyBorder="1" applyAlignment="1">
      <alignment horizontal="right" vertical="center" wrapText="1"/>
    </xf>
    <xf numFmtId="44" fontId="23" fillId="0" borderId="0" xfId="2" applyFont="1" applyFill="1" applyBorder="1" applyAlignment="1">
      <alignment horizontal="right" vertical="center"/>
    </xf>
    <xf numFmtId="44" fontId="23" fillId="0" borderId="18" xfId="2" applyFont="1" applyFill="1" applyBorder="1" applyAlignment="1">
      <alignment horizontal="right" vertical="center"/>
    </xf>
    <xf numFmtId="0" fontId="23" fillId="0" borderId="25" xfId="0" applyFont="1" applyBorder="1" applyAlignment="1">
      <alignment horizontal="left" vertical="center" wrapText="1"/>
    </xf>
    <xf numFmtId="170" fontId="23" fillId="0" borderId="25" xfId="0" applyNumberFormat="1" applyFont="1" applyBorder="1" applyAlignment="1">
      <alignment horizontal="right" vertical="center" wrapText="1"/>
    </xf>
    <xf numFmtId="10" fontId="23" fillId="0" borderId="25" xfId="3" applyNumberFormat="1" applyFont="1" applyFill="1" applyBorder="1" applyAlignment="1">
      <alignment horizontal="right" vertical="center" wrapText="1"/>
    </xf>
    <xf numFmtId="10" fontId="23" fillId="0" borderId="43" xfId="3" applyNumberFormat="1" applyFont="1" applyFill="1" applyBorder="1" applyAlignment="1">
      <alignment horizontal="right" vertical="center" wrapText="1"/>
    </xf>
    <xf numFmtId="0" fontId="23" fillId="0" borderId="43" xfId="0" applyFont="1" applyBorder="1" applyAlignment="1">
      <alignment horizontal="right" vertical="top"/>
    </xf>
    <xf numFmtId="44" fontId="23" fillId="0" borderId="43" xfId="2" applyFont="1" applyFill="1" applyBorder="1" applyAlignment="1">
      <alignment horizontal="right" vertical="center"/>
    </xf>
    <xf numFmtId="44" fontId="23" fillId="0" borderId="37" xfId="2" applyFont="1" applyFill="1" applyBorder="1" applyAlignment="1">
      <alignment horizontal="right" vertical="center"/>
    </xf>
    <xf numFmtId="170" fontId="23" fillId="0" borderId="0" xfId="0" applyNumberFormat="1" applyFont="1" applyAlignment="1">
      <alignment horizontal="right" vertical="center" wrapText="1"/>
    </xf>
    <xf numFmtId="0" fontId="23" fillId="0" borderId="27" xfId="0" applyFont="1" applyBorder="1" applyAlignment="1">
      <alignment horizontal="right" vertical="center" wrapText="1"/>
    </xf>
    <xf numFmtId="0" fontId="23" fillId="0" borderId="0" xfId="0" applyFont="1" applyAlignment="1">
      <alignment horizontal="right" vertical="center" wrapText="1"/>
    </xf>
    <xf numFmtId="166" fontId="25" fillId="0" borderId="0" xfId="0" quotePrefix="1" applyNumberFormat="1" applyFont="1" applyAlignment="1">
      <alignment horizontal="right" vertical="top"/>
    </xf>
    <xf numFmtId="0" fontId="23" fillId="0" borderId="31" xfId="0" applyFont="1" applyBorder="1" applyAlignment="1">
      <alignment horizontal="left" vertical="center" wrapText="1"/>
    </xf>
    <xf numFmtId="167" fontId="23" fillId="0" borderId="36" xfId="2" applyNumberFormat="1" applyFont="1" applyFill="1" applyBorder="1" applyAlignment="1">
      <alignment horizontal="right" vertical="center"/>
    </xf>
    <xf numFmtId="2" fontId="23" fillId="0" borderId="31" xfId="0" applyNumberFormat="1" applyFont="1" applyBorder="1" applyAlignment="1">
      <alignment horizontal="right" vertical="center"/>
    </xf>
    <xf numFmtId="2" fontId="23" fillId="0" borderId="26" xfId="0" applyNumberFormat="1" applyFont="1" applyBorder="1" applyAlignment="1">
      <alignment horizontal="right" vertical="center"/>
    </xf>
    <xf numFmtId="166" fontId="23" fillId="0" borderId="0" xfId="0" applyNumberFormat="1" applyFont="1" applyAlignment="1">
      <alignment horizontal="right" vertical="center" wrapText="1"/>
    </xf>
    <xf numFmtId="0" fontId="23" fillId="0" borderId="27" xfId="0" applyFont="1" applyBorder="1" applyAlignment="1">
      <alignment horizontal="left" vertical="top" wrapText="1"/>
    </xf>
    <xf numFmtId="0" fontId="23" fillId="0" borderId="0" xfId="0" applyFont="1" applyAlignment="1">
      <alignment horizontal="left" vertical="top" wrapText="1"/>
    </xf>
    <xf numFmtId="10" fontId="23" fillId="0" borderId="15" xfId="3" applyNumberFormat="1" applyFont="1" applyFill="1" applyBorder="1" applyAlignment="1">
      <alignment horizontal="right" vertical="center"/>
    </xf>
    <xf numFmtId="10" fontId="23" fillId="0" borderId="18" xfId="3" applyNumberFormat="1" applyFont="1" applyFill="1" applyBorder="1" applyAlignment="1">
      <alignment horizontal="right" vertical="center"/>
    </xf>
    <xf numFmtId="10" fontId="23" fillId="0" borderId="27" xfId="3" applyNumberFormat="1" applyFont="1" applyFill="1" applyBorder="1" applyAlignment="1">
      <alignment horizontal="right" vertical="top" wrapText="1"/>
    </xf>
    <xf numFmtId="10" fontId="23" fillId="0" borderId="0" xfId="3" applyNumberFormat="1" applyFont="1" applyFill="1" applyBorder="1" applyAlignment="1">
      <alignment horizontal="right" vertical="top" wrapText="1"/>
    </xf>
    <xf numFmtId="3" fontId="25" fillId="0" borderId="0" xfId="0" applyNumberFormat="1" applyFont="1" applyAlignment="1">
      <alignment horizontal="right" vertical="top" wrapText="1"/>
    </xf>
    <xf numFmtId="0" fontId="23" fillId="0" borderId="43" xfId="0" applyFont="1" applyBorder="1" applyAlignment="1">
      <alignment horizontal="left" vertical="center" wrapText="1"/>
    </xf>
    <xf numFmtId="167" fontId="23" fillId="0" borderId="14" xfId="2" applyNumberFormat="1" applyFont="1" applyFill="1" applyBorder="1" applyAlignment="1">
      <alignment horizontal="right" vertical="center"/>
    </xf>
    <xf numFmtId="167" fontId="23" fillId="0" borderId="43" xfId="2" applyNumberFormat="1" applyFont="1" applyFill="1" applyBorder="1" applyAlignment="1">
      <alignment horizontal="right" vertical="center"/>
    </xf>
    <xf numFmtId="167" fontId="23" fillId="0" borderId="37" xfId="2" applyNumberFormat="1" applyFont="1" applyFill="1" applyBorder="1" applyAlignment="1">
      <alignment horizontal="right" vertical="center"/>
    </xf>
    <xf numFmtId="166" fontId="23" fillId="0" borderId="25" xfId="0" applyNumberFormat="1" applyFont="1" applyBorder="1" applyAlignment="1">
      <alignment horizontal="right" vertical="center" wrapText="1"/>
    </xf>
    <xf numFmtId="3" fontId="25" fillId="0" borderId="0" xfId="0" applyNumberFormat="1" applyFont="1" applyAlignment="1">
      <alignment horizontal="right" vertical="center" wrapText="1"/>
    </xf>
    <xf numFmtId="0" fontId="23" fillId="0" borderId="0" xfId="0" quotePrefix="1" applyFont="1" applyAlignment="1">
      <alignment horizontal="left" vertical="top"/>
    </xf>
    <xf numFmtId="1" fontId="23" fillId="0" borderId="0" xfId="0" applyNumberFormat="1" applyFont="1" applyAlignment="1">
      <alignment horizontal="right" vertical="top"/>
    </xf>
    <xf numFmtId="49" fontId="23" fillId="0" borderId="23" xfId="0" applyNumberFormat="1" applyFont="1" applyBorder="1" applyAlignment="1">
      <alignment horizontal="left" vertical="top" wrapText="1"/>
    </xf>
    <xf numFmtId="2" fontId="23" fillId="0" borderId="23" xfId="0" applyNumberFormat="1" applyFont="1" applyBorder="1" applyAlignment="1">
      <alignment horizontal="right" vertical="center"/>
    </xf>
    <xf numFmtId="49" fontId="23" fillId="0" borderId="27" xfId="0" applyNumberFormat="1" applyFont="1" applyBorder="1" applyAlignment="1">
      <alignment horizontal="left" vertical="top" wrapText="1"/>
    </xf>
    <xf numFmtId="2" fontId="23" fillId="0" borderId="0" xfId="0" applyNumberFormat="1" applyFont="1" applyAlignment="1">
      <alignment horizontal="right" vertical="center"/>
    </xf>
    <xf numFmtId="2" fontId="23" fillId="0" borderId="27" xfId="0" applyNumberFormat="1" applyFont="1" applyBorder="1" applyAlignment="1">
      <alignment horizontal="right" vertical="center"/>
    </xf>
    <xf numFmtId="167" fontId="23" fillId="0" borderId="15" xfId="2" applyNumberFormat="1" applyFont="1" applyFill="1" applyBorder="1" applyAlignment="1">
      <alignment horizontal="right" vertical="center"/>
    </xf>
    <xf numFmtId="166" fontId="23" fillId="0" borderId="31" xfId="0" applyNumberFormat="1" applyFont="1" applyBorder="1" applyAlignment="1">
      <alignment horizontal="right" vertical="center" wrapText="1"/>
    </xf>
    <xf numFmtId="2" fontId="23" fillId="0" borderId="0" xfId="0" quotePrefix="1" applyNumberFormat="1" applyFont="1" applyAlignment="1">
      <alignment horizontal="right" vertical="center"/>
    </xf>
    <xf numFmtId="44" fontId="23" fillId="0" borderId="27" xfId="2" applyFont="1" applyFill="1" applyBorder="1" applyAlignment="1">
      <alignment horizontal="right" vertical="center"/>
    </xf>
    <xf numFmtId="49" fontId="23" fillId="0" borderId="25" xfId="0" applyNumberFormat="1" applyFont="1" applyBorder="1" applyAlignment="1">
      <alignment horizontal="left" vertical="top" wrapText="1"/>
    </xf>
    <xf numFmtId="2" fontId="23" fillId="0" borderId="43" xfId="0" applyNumberFormat="1" applyFont="1" applyBorder="1" applyAlignment="1">
      <alignment horizontal="right" vertical="center"/>
    </xf>
    <xf numFmtId="2" fontId="23" fillId="0" borderId="25" xfId="0" applyNumberFormat="1" applyFont="1" applyBorder="1" applyAlignment="1">
      <alignment horizontal="right" vertical="center"/>
    </xf>
    <xf numFmtId="0" fontId="24" fillId="0" borderId="27" xfId="0" applyFont="1" applyBorder="1" applyAlignment="1">
      <alignment horizontal="right"/>
    </xf>
    <xf numFmtId="0" fontId="24" fillId="0" borderId="0" xfId="0" quotePrefix="1" applyFont="1" applyAlignment="1">
      <alignment horizontal="right" vertical="top"/>
    </xf>
    <xf numFmtId="0" fontId="24" fillId="0" borderId="0" xfId="0" applyFont="1" applyAlignment="1">
      <alignment horizontal="right" vertical="top"/>
    </xf>
    <xf numFmtId="9" fontId="23" fillId="0" borderId="0" xfId="3" applyFont="1" applyFill="1" applyBorder="1" applyAlignment="1">
      <alignment horizontal="right" vertical="center"/>
    </xf>
    <xf numFmtId="0" fontId="24" fillId="0" borderId="0" xfId="0" quotePrefix="1" applyFont="1" applyAlignment="1">
      <alignment horizontal="left" vertical="top"/>
    </xf>
    <xf numFmtId="44" fontId="23" fillId="0" borderId="23" xfId="2" applyFont="1" applyFill="1" applyBorder="1" applyAlignment="1">
      <alignment horizontal="right" vertical="center"/>
    </xf>
    <xf numFmtId="0" fontId="24" fillId="0" borderId="31" xfId="0" quotePrefix="1" applyFont="1" applyBorder="1" applyAlignment="1">
      <alignment horizontal="right" vertical="top"/>
    </xf>
    <xf numFmtId="0" fontId="24" fillId="0" borderId="31" xfId="0" applyFont="1" applyBorder="1" applyAlignment="1">
      <alignment horizontal="right"/>
    </xf>
    <xf numFmtId="0" fontId="23" fillId="0" borderId="27" xfId="0" applyFont="1" applyBorder="1" applyAlignment="1">
      <alignment horizontal="left" vertical="center"/>
    </xf>
    <xf numFmtId="2" fontId="23" fillId="0" borderId="18" xfId="0" applyNumberFormat="1" applyFont="1" applyBorder="1" applyAlignment="1">
      <alignment horizontal="right" vertical="center"/>
    </xf>
    <xf numFmtId="0" fontId="24" fillId="0" borderId="27" xfId="0" applyFont="1" applyBorder="1" applyAlignment="1">
      <alignment horizontal="left" vertical="top"/>
    </xf>
    <xf numFmtId="0" fontId="24" fillId="0" borderId="18" xfId="0" applyFont="1" applyBorder="1" applyAlignment="1">
      <alignment horizontal="left" vertical="top"/>
    </xf>
    <xf numFmtId="0" fontId="23" fillId="0" borderId="25" xfId="0" applyFont="1" applyBorder="1" applyAlignment="1">
      <alignment horizontal="left" vertical="center"/>
    </xf>
    <xf numFmtId="44" fontId="23" fillId="0" borderId="25" xfId="2" applyFont="1" applyFill="1" applyBorder="1" applyAlignment="1">
      <alignment horizontal="right" vertical="center"/>
    </xf>
    <xf numFmtId="0" fontId="24" fillId="0" borderId="43" xfId="0" applyFont="1" applyBorder="1" applyAlignment="1">
      <alignment horizontal="right" vertical="top"/>
    </xf>
    <xf numFmtId="0" fontId="23" fillId="0" borderId="27" xfId="0" applyFont="1" applyBorder="1" applyAlignment="1">
      <alignment horizontal="left" vertical="top"/>
    </xf>
    <xf numFmtId="3" fontId="25" fillId="0" borderId="0" xfId="0" quotePrefix="1" applyNumberFormat="1" applyFont="1" applyAlignment="1">
      <alignment horizontal="right" vertical="center" wrapText="1"/>
    </xf>
    <xf numFmtId="0" fontId="23" fillId="0" borderId="6" xfId="0" applyFont="1" applyBorder="1" applyAlignment="1">
      <alignment horizontal="left" vertical="center" wrapText="1"/>
    </xf>
    <xf numFmtId="2" fontId="23" fillId="0" borderId="20" xfId="0" applyNumberFormat="1" applyFont="1" applyBorder="1" applyAlignment="1">
      <alignment horizontal="right" vertical="center"/>
    </xf>
    <xf numFmtId="44" fontId="23" fillId="0" borderId="6" xfId="2" applyFont="1" applyFill="1" applyBorder="1" applyAlignment="1">
      <alignment horizontal="right" vertical="center"/>
    </xf>
    <xf numFmtId="0" fontId="23" fillId="0" borderId="20" xfId="0" applyFont="1" applyBorder="1" applyAlignment="1">
      <alignment horizontal="left" vertical="top"/>
    </xf>
    <xf numFmtId="166" fontId="23" fillId="0" borderId="20" xfId="0" applyNumberFormat="1" applyFont="1" applyBorder="1" applyAlignment="1">
      <alignment horizontal="right" vertical="center" wrapText="1"/>
    </xf>
    <xf numFmtId="167" fontId="23" fillId="0" borderId="20" xfId="2" applyNumberFormat="1" applyFont="1" applyFill="1" applyBorder="1" applyAlignment="1">
      <alignment horizontal="right" vertical="center"/>
    </xf>
    <xf numFmtId="167" fontId="23" fillId="0" borderId="21" xfId="2" applyNumberFormat="1" applyFont="1" applyFill="1" applyBorder="1" applyAlignment="1">
      <alignment horizontal="right" vertical="center"/>
    </xf>
    <xf numFmtId="4" fontId="23" fillId="0" borderId="0" xfId="0" applyNumberFormat="1" applyFont="1" applyAlignment="1">
      <alignment horizontal="right" vertical="center"/>
    </xf>
    <xf numFmtId="0" fontId="23" fillId="0" borderId="23" xfId="0" applyFont="1" applyBorder="1" applyAlignment="1">
      <alignment horizontal="right" vertical="top"/>
    </xf>
    <xf numFmtId="166" fontId="23" fillId="0" borderId="31" xfId="1" applyNumberFormat="1" applyFont="1" applyFill="1" applyBorder="1" applyAlignment="1">
      <alignment horizontal="right" vertical="center"/>
    </xf>
    <xf numFmtId="166" fontId="23" fillId="0" borderId="26" xfId="1" applyNumberFormat="1" applyFont="1" applyFill="1" applyBorder="1" applyAlignment="1">
      <alignment horizontal="right" vertical="center"/>
    </xf>
    <xf numFmtId="166" fontId="23" fillId="0" borderId="0" xfId="1" applyNumberFormat="1" applyFont="1" applyFill="1" applyBorder="1" applyAlignment="1">
      <alignment horizontal="right" vertical="center"/>
    </xf>
    <xf numFmtId="166" fontId="23" fillId="0" borderId="18" xfId="1" applyNumberFormat="1" applyFont="1" applyFill="1" applyBorder="1" applyAlignment="1">
      <alignment horizontal="right" vertical="center"/>
    </xf>
    <xf numFmtId="0" fontId="23" fillId="0" borderId="25" xfId="0" applyFont="1" applyBorder="1" applyAlignment="1">
      <alignment vertical="center" wrapText="1"/>
    </xf>
    <xf numFmtId="49" fontId="25" fillId="0" borderId="25" xfId="0" applyNumberFormat="1" applyFont="1" applyBorder="1" applyAlignment="1">
      <alignment horizontal="left" vertical="top" wrapText="1"/>
    </xf>
    <xf numFmtId="166" fontId="23" fillId="0" borderId="43" xfId="1" applyNumberFormat="1" applyFont="1" applyFill="1" applyBorder="1" applyAlignment="1">
      <alignment horizontal="right" vertical="center"/>
    </xf>
    <xf numFmtId="166" fontId="23" fillId="0" borderId="37" xfId="1" applyNumberFormat="1" applyFont="1" applyFill="1" applyBorder="1" applyAlignment="1">
      <alignment horizontal="right" vertical="center"/>
    </xf>
    <xf numFmtId="0" fontId="23" fillId="0" borderId="27" xfId="0" applyFont="1" applyBorder="1" applyAlignment="1">
      <alignment vertical="center" wrapText="1"/>
    </xf>
    <xf numFmtId="49" fontId="25" fillId="0" borderId="27" xfId="0" applyNumberFormat="1" applyFont="1" applyBorder="1" applyAlignment="1">
      <alignment horizontal="left" vertical="top" wrapText="1"/>
    </xf>
    <xf numFmtId="167" fontId="23" fillId="0" borderId="27" xfId="2" applyNumberFormat="1" applyFont="1" applyFill="1" applyBorder="1" applyAlignment="1">
      <alignment horizontal="right" vertical="center"/>
    </xf>
    <xf numFmtId="0" fontId="23" fillId="0" borderId="27" xfId="0" applyFont="1" applyBorder="1" applyAlignment="1">
      <alignment horizontal="right" vertical="top"/>
    </xf>
    <xf numFmtId="167" fontId="23" fillId="0" borderId="0" xfId="0" applyNumberFormat="1" applyFont="1" applyAlignment="1">
      <alignment horizontal="right" vertical="top"/>
    </xf>
    <xf numFmtId="0" fontId="23" fillId="0" borderId="18" xfId="0" applyFont="1" applyBorder="1" applyAlignment="1">
      <alignment horizontal="right" vertical="top"/>
    </xf>
    <xf numFmtId="167" fontId="23" fillId="0" borderId="0" xfId="0" applyNumberFormat="1" applyFont="1" applyAlignment="1">
      <alignment horizontal="right" vertical="center"/>
    </xf>
    <xf numFmtId="166" fontId="23" fillId="0" borderId="27" xfId="0" applyNumberFormat="1" applyFont="1" applyBorder="1" applyAlignment="1">
      <alignment horizontal="right" vertical="center"/>
    </xf>
    <xf numFmtId="166" fontId="23" fillId="0" borderId="0" xfId="0" applyNumberFormat="1" applyFont="1" applyAlignment="1">
      <alignment horizontal="right" vertical="center"/>
    </xf>
    <xf numFmtId="166" fontId="23" fillId="0" borderId="18" xfId="0" applyNumberFormat="1" applyFont="1" applyBorder="1" applyAlignment="1">
      <alignment horizontal="right" vertical="center" wrapText="1"/>
    </xf>
    <xf numFmtId="169" fontId="23" fillId="0" borderId="0" xfId="0" quotePrefix="1" applyNumberFormat="1" applyFont="1" applyAlignment="1">
      <alignment horizontal="left" vertical="top"/>
    </xf>
    <xf numFmtId="166" fontId="23" fillId="0" borderId="27" xfId="0" applyNumberFormat="1" applyFont="1" applyBorder="1" applyAlignment="1">
      <alignment horizontal="center" vertical="center"/>
    </xf>
    <xf numFmtId="166" fontId="23" fillId="0" borderId="18" xfId="0" applyNumberFormat="1" applyFont="1" applyBorder="1" applyAlignment="1">
      <alignment horizontal="right" vertical="center"/>
    </xf>
    <xf numFmtId="169" fontId="23" fillId="0" borderId="0" xfId="0" applyNumberFormat="1" applyFont="1" applyAlignment="1">
      <alignment horizontal="left" vertical="top"/>
    </xf>
    <xf numFmtId="166" fontId="23" fillId="0" borderId="25" xfId="0" applyNumberFormat="1" applyFont="1" applyBorder="1" applyAlignment="1">
      <alignment horizontal="right" vertical="center"/>
    </xf>
    <xf numFmtId="166" fontId="23" fillId="0" borderId="43" xfId="0" applyNumberFormat="1" applyFont="1" applyBorder="1" applyAlignment="1">
      <alignment horizontal="right" vertical="center"/>
    </xf>
    <xf numFmtId="166" fontId="23" fillId="0" borderId="43" xfId="0" applyNumberFormat="1" applyFont="1" applyBorder="1" applyAlignment="1">
      <alignment horizontal="right" vertical="center" wrapText="1"/>
    </xf>
    <xf numFmtId="166" fontId="23" fillId="0" borderId="37" xfId="0" applyNumberFormat="1" applyFont="1" applyBorder="1" applyAlignment="1">
      <alignment horizontal="right" vertical="center" wrapText="1"/>
    </xf>
    <xf numFmtId="169" fontId="23" fillId="0" borderId="27" xfId="0" applyNumberFormat="1" applyFont="1" applyBorder="1" applyAlignment="1">
      <alignment horizontal="left" vertical="top"/>
    </xf>
    <xf numFmtId="166" fontId="23" fillId="0" borderId="0" xfId="0" quotePrefix="1" applyNumberFormat="1" applyFont="1" applyAlignment="1">
      <alignment horizontal="right" vertical="center"/>
    </xf>
    <xf numFmtId="9" fontId="23" fillId="0" borderId="31" xfId="3" applyFont="1" applyFill="1" applyBorder="1" applyAlignment="1">
      <alignment horizontal="right" vertical="center"/>
    </xf>
    <xf numFmtId="167" fontId="23" fillId="0" borderId="23" xfId="2" applyNumberFormat="1" applyFont="1" applyFill="1" applyBorder="1" applyAlignment="1">
      <alignment horizontal="right" vertical="top"/>
    </xf>
    <xf numFmtId="0" fontId="23" fillId="0" borderId="31" xfId="20" applyFont="1" applyBorder="1" applyAlignment="1">
      <alignment horizontal="left" vertical="top"/>
    </xf>
    <xf numFmtId="166" fontId="23" fillId="0" borderId="31" xfId="0" applyNumberFormat="1" applyFont="1" applyBorder="1" applyAlignment="1">
      <alignment horizontal="right" vertical="center"/>
    </xf>
    <xf numFmtId="166" fontId="23" fillId="0" borderId="26" xfId="0" applyNumberFormat="1" applyFont="1" applyBorder="1" applyAlignment="1">
      <alignment horizontal="right" vertical="center" wrapText="1"/>
    </xf>
    <xf numFmtId="9" fontId="23" fillId="0" borderId="43" xfId="3" applyFont="1" applyFill="1" applyBorder="1" applyAlignment="1">
      <alignment horizontal="right" vertical="center"/>
    </xf>
    <xf numFmtId="167" fontId="23" fillId="0" borderId="25" xfId="2" applyNumberFormat="1" applyFont="1" applyFill="1" applyBorder="1" applyAlignment="1">
      <alignment horizontal="right" vertical="top"/>
    </xf>
    <xf numFmtId="0" fontId="23" fillId="0" borderId="43" xfId="20" applyFont="1" applyBorder="1" applyAlignment="1">
      <alignment horizontal="left" vertical="top"/>
    </xf>
    <xf numFmtId="49" fontId="23" fillId="0" borderId="0" xfId="0" applyNumberFormat="1" applyFont="1" applyAlignment="1">
      <alignment horizontal="right" vertical="top"/>
    </xf>
    <xf numFmtId="49" fontId="23" fillId="0" borderId="0" xfId="0" applyNumberFormat="1" applyFont="1" applyAlignment="1">
      <alignment horizontal="left" vertical="top" wrapText="1"/>
    </xf>
    <xf numFmtId="166" fontId="23" fillId="0" borderId="23" xfId="0" applyNumberFormat="1" applyFont="1" applyBorder="1" applyAlignment="1">
      <alignment horizontal="right" vertical="center"/>
    </xf>
    <xf numFmtId="49" fontId="23" fillId="0" borderId="31" xfId="0" applyNumberFormat="1" applyFont="1" applyBorder="1" applyAlignment="1">
      <alignment horizontal="left" vertical="top" wrapText="1"/>
    </xf>
    <xf numFmtId="167" fontId="23" fillId="0" borderId="0" xfId="0" applyNumberFormat="1" applyFont="1" applyAlignment="1">
      <alignment horizontal="left" vertical="top"/>
    </xf>
    <xf numFmtId="10" fontId="23" fillId="0" borderId="18" xfId="3" applyNumberFormat="1" applyFont="1" applyFill="1" applyBorder="1" applyAlignment="1">
      <alignment horizontal="right" vertical="top" wrapText="1"/>
    </xf>
    <xf numFmtId="49" fontId="23" fillId="0" borderId="43" xfId="0" applyNumberFormat="1" applyFont="1" applyBorder="1" applyAlignment="1">
      <alignment horizontal="left" vertical="top" wrapText="1"/>
    </xf>
    <xf numFmtId="49" fontId="23" fillId="0" borderId="27" xfId="0" applyNumberFormat="1" applyFont="1" applyBorder="1" applyAlignment="1">
      <alignment horizontal="right" vertical="top"/>
    </xf>
    <xf numFmtId="44" fontId="23" fillId="0" borderId="31" xfId="2" applyFont="1" applyFill="1" applyBorder="1" applyAlignment="1">
      <alignment horizontal="right" vertical="center"/>
    </xf>
    <xf numFmtId="0" fontId="24" fillId="0" borderId="31" xfId="0" applyFont="1" applyBorder="1"/>
    <xf numFmtId="166" fontId="23" fillId="0" borderId="26" xfId="0" applyNumberFormat="1" applyFont="1" applyBorder="1" applyAlignment="1">
      <alignment horizontal="right" vertical="center"/>
    </xf>
    <xf numFmtId="0" fontId="23" fillId="0" borderId="0" xfId="2" applyNumberFormat="1" applyFont="1" applyFill="1" applyBorder="1" applyAlignment="1">
      <alignment horizontal="right" vertical="center"/>
    </xf>
    <xf numFmtId="0" fontId="23" fillId="0" borderId="43" xfId="2" applyNumberFormat="1" applyFont="1" applyFill="1" applyBorder="1" applyAlignment="1">
      <alignment horizontal="right" vertical="center"/>
    </xf>
    <xf numFmtId="167" fontId="23" fillId="0" borderId="25" xfId="2" applyNumberFormat="1" applyFont="1" applyFill="1" applyBorder="1" applyAlignment="1">
      <alignment horizontal="right" vertical="center"/>
    </xf>
    <xf numFmtId="166" fontId="23" fillId="0" borderId="37" xfId="0" applyNumberFormat="1" applyFont="1" applyBorder="1" applyAlignment="1">
      <alignment horizontal="right" vertical="center"/>
    </xf>
    <xf numFmtId="2" fontId="23" fillId="0" borderId="0" xfId="1" applyNumberFormat="1" applyFont="1" applyFill="1" applyBorder="1" applyAlignment="1">
      <alignment horizontal="right" vertical="center"/>
    </xf>
    <xf numFmtId="164" fontId="23" fillId="0" borderId="23" xfId="0" applyNumberFormat="1" applyFont="1" applyBorder="1" applyAlignment="1">
      <alignment horizontal="left" vertical="top" wrapText="1"/>
    </xf>
    <xf numFmtId="4" fontId="23" fillId="0" borderId="31" xfId="1" applyNumberFormat="1" applyFont="1" applyFill="1" applyBorder="1" applyAlignment="1">
      <alignment horizontal="right" vertical="center"/>
    </xf>
    <xf numFmtId="167" fontId="23" fillId="0" borderId="23" xfId="2" applyNumberFormat="1" applyFont="1" applyFill="1" applyBorder="1" applyAlignment="1">
      <alignment horizontal="right" vertical="center"/>
    </xf>
    <xf numFmtId="0" fontId="23" fillId="0" borderId="27" xfId="0" applyFont="1" applyBorder="1" applyAlignment="1">
      <alignment horizontal="center" vertical="center" wrapText="1"/>
    </xf>
    <xf numFmtId="164" fontId="23" fillId="0" borderId="27" xfId="0" applyNumberFormat="1" applyFont="1" applyBorder="1" applyAlignment="1">
      <alignment horizontal="left" vertical="top" wrapText="1"/>
    </xf>
    <xf numFmtId="169" fontId="23" fillId="0" borderId="0" xfId="0" applyNumberFormat="1" applyFont="1" applyAlignment="1">
      <alignment horizontal="right" vertical="center"/>
    </xf>
    <xf numFmtId="0" fontId="23" fillId="0" borderId="25" xfId="0" applyFont="1" applyBorder="1" applyAlignment="1">
      <alignment horizontal="center" vertical="center" wrapText="1"/>
    </xf>
    <xf numFmtId="4" fontId="23" fillId="0" borderId="43" xfId="0" applyNumberFormat="1" applyFont="1" applyBorder="1" applyAlignment="1">
      <alignment horizontal="right" vertical="center"/>
    </xf>
    <xf numFmtId="0" fontId="23" fillId="0" borderId="43" xfId="0" applyFont="1" applyBorder="1" applyAlignment="1">
      <alignment horizontal="left" vertical="top"/>
    </xf>
    <xf numFmtId="0" fontId="23" fillId="0" borderId="0" xfId="20" quotePrefix="1" applyFont="1" applyAlignment="1">
      <alignment horizontal="left" vertical="top"/>
    </xf>
    <xf numFmtId="4" fontId="23" fillId="0" borderId="0" xfId="1" applyNumberFormat="1" applyFont="1" applyFill="1" applyBorder="1" applyAlignment="1">
      <alignment horizontal="right" vertical="center"/>
    </xf>
    <xf numFmtId="0" fontId="23" fillId="0" borderId="23" xfId="0" applyFont="1" applyBorder="1" applyAlignment="1">
      <alignment horizontal="left" vertical="top" wrapText="1"/>
    </xf>
    <xf numFmtId="0" fontId="23" fillId="0" borderId="23" xfId="2" applyNumberFormat="1" applyFont="1" applyFill="1" applyBorder="1" applyAlignment="1">
      <alignment horizontal="right" vertical="center"/>
    </xf>
    <xf numFmtId="10" fontId="23" fillId="0" borderId="31" xfId="3" applyNumberFormat="1" applyFont="1" applyFill="1" applyBorder="1" applyAlignment="1"/>
    <xf numFmtId="169" fontId="23" fillId="0" borderId="31" xfId="0" applyNumberFormat="1" applyFont="1" applyBorder="1" applyAlignment="1">
      <alignment horizontal="left" vertical="center"/>
    </xf>
    <xf numFmtId="0" fontId="23" fillId="0" borderId="31" xfId="20" applyFont="1" applyBorder="1" applyAlignment="1">
      <alignment horizontal="right"/>
    </xf>
    <xf numFmtId="0" fontId="23" fillId="0" borderId="27" xfId="2" applyNumberFormat="1" applyFont="1" applyFill="1" applyBorder="1" applyAlignment="1">
      <alignment horizontal="right" vertical="center"/>
    </xf>
    <xf numFmtId="10" fontId="23" fillId="0" borderId="0" xfId="3" applyNumberFormat="1" applyFont="1" applyFill="1" applyBorder="1" applyAlignment="1"/>
    <xf numFmtId="169" fontId="23" fillId="0" borderId="0" xfId="0" applyNumberFormat="1" applyFont="1" applyAlignment="1">
      <alignment horizontal="left" vertical="center"/>
    </xf>
    <xf numFmtId="169" fontId="23" fillId="0" borderId="27" xfId="0" applyNumberFormat="1" applyFont="1" applyBorder="1" applyAlignment="1">
      <alignment horizontal="right" vertical="center"/>
    </xf>
    <xf numFmtId="0" fontId="23" fillId="0" borderId="43" xfId="20" applyFont="1" applyBorder="1"/>
    <xf numFmtId="10" fontId="23" fillId="0" borderId="43" xfId="3" applyNumberFormat="1" applyFont="1" applyFill="1" applyBorder="1" applyAlignment="1"/>
    <xf numFmtId="0" fontId="23" fillId="0" borderId="0" xfId="20" applyFont="1" applyAlignment="1">
      <alignment horizontal="left" vertical="top"/>
    </xf>
    <xf numFmtId="10" fontId="24" fillId="0" borderId="31" xfId="3" applyNumberFormat="1" applyFont="1" applyFill="1" applyBorder="1"/>
    <xf numFmtId="10" fontId="23" fillId="0" borderId="31" xfId="3" quotePrefix="1" applyNumberFormat="1" applyFont="1" applyFill="1" applyBorder="1" applyAlignment="1"/>
    <xf numFmtId="10" fontId="24" fillId="0" borderId="43" xfId="3" applyNumberFormat="1" applyFont="1" applyFill="1" applyBorder="1"/>
    <xf numFmtId="166" fontId="23" fillId="0" borderId="0" xfId="7" applyNumberFormat="1" applyFont="1" applyFill="1" applyBorder="1" applyAlignment="1">
      <alignment horizontal="right" vertical="center"/>
    </xf>
    <xf numFmtId="166" fontId="23" fillId="0" borderId="0" xfId="20" applyNumberFormat="1" applyFont="1" applyAlignment="1">
      <alignment horizontal="right" vertical="center"/>
    </xf>
    <xf numFmtId="0" fontId="23" fillId="0" borderId="23" xfId="20" applyFont="1" applyBorder="1" applyAlignment="1">
      <alignment horizontal="left" vertical="center"/>
    </xf>
    <xf numFmtId="0" fontId="23" fillId="0" borderId="23" xfId="20" applyFont="1" applyBorder="1" applyAlignment="1">
      <alignment horizontal="left" vertical="top"/>
    </xf>
    <xf numFmtId="44" fontId="24" fillId="0" borderId="23" xfId="0" applyNumberFormat="1" applyFont="1" applyBorder="1"/>
    <xf numFmtId="0" fontId="23" fillId="0" borderId="27" xfId="20" applyFont="1" applyBorder="1" applyAlignment="1">
      <alignment horizontal="left" vertical="center"/>
    </xf>
    <xf numFmtId="44" fontId="24" fillId="0" borderId="27" xfId="0" applyNumberFormat="1" applyFont="1" applyBorder="1"/>
    <xf numFmtId="44" fontId="24" fillId="0" borderId="25" xfId="0" applyNumberFormat="1" applyFont="1" applyBorder="1"/>
    <xf numFmtId="44" fontId="24" fillId="0" borderId="23" xfId="2" applyFont="1" applyFill="1" applyBorder="1"/>
    <xf numFmtId="44" fontId="24" fillId="0" borderId="27" xfId="2" applyFont="1" applyFill="1" applyBorder="1"/>
    <xf numFmtId="166" fontId="23" fillId="0" borderId="18" xfId="20" applyNumberFormat="1" applyFont="1" applyBorder="1" applyAlignment="1">
      <alignment horizontal="right" vertical="center"/>
    </xf>
    <xf numFmtId="49" fontId="23" fillId="0" borderId="6" xfId="0" applyNumberFormat="1" applyFont="1" applyBorder="1" applyAlignment="1">
      <alignment horizontal="left" vertical="top" wrapText="1"/>
    </xf>
    <xf numFmtId="0" fontId="24" fillId="0" borderId="20" xfId="0" applyFont="1" applyBorder="1"/>
    <xf numFmtId="167" fontId="23" fillId="0" borderId="6" xfId="2" applyNumberFormat="1" applyFont="1" applyFill="1" applyBorder="1" applyAlignment="1">
      <alignment horizontal="right" vertical="center"/>
    </xf>
    <xf numFmtId="1" fontId="23" fillId="0" borderId="20" xfId="0" applyNumberFormat="1" applyFont="1" applyBorder="1" applyAlignment="1">
      <alignment horizontal="right" vertical="center" wrapText="1"/>
    </xf>
    <xf numFmtId="166" fontId="23" fillId="0" borderId="20" xfId="20" applyNumberFormat="1" applyFont="1" applyBorder="1" applyAlignment="1">
      <alignment horizontal="right" vertical="center"/>
    </xf>
    <xf numFmtId="166" fontId="23" fillId="0" borderId="21" xfId="20" applyNumberFormat="1" applyFont="1" applyBorder="1" applyAlignment="1">
      <alignment horizontal="right" vertical="center"/>
    </xf>
    <xf numFmtId="1" fontId="23" fillId="0" borderId="0" xfId="0" applyNumberFormat="1" applyFont="1" applyAlignment="1">
      <alignment horizontal="right" vertical="center" wrapText="1"/>
    </xf>
    <xf numFmtId="1" fontId="23" fillId="0" borderId="27" xfId="0" applyNumberFormat="1" applyFont="1" applyBorder="1" applyAlignment="1">
      <alignment horizontal="right" vertical="center" wrapText="1"/>
    </xf>
    <xf numFmtId="0" fontId="25" fillId="0" borderId="6" xfId="0" applyFont="1" applyBorder="1" applyAlignment="1">
      <alignment horizontal="left" vertical="center"/>
    </xf>
    <xf numFmtId="166" fontId="25" fillId="0" borderId="20" xfId="20" applyNumberFormat="1" applyFont="1" applyBorder="1" applyAlignment="1">
      <alignment horizontal="right" vertical="center"/>
    </xf>
    <xf numFmtId="166" fontId="25" fillId="0" borderId="21" xfId="20" applyNumberFormat="1" applyFont="1" applyBorder="1" applyAlignment="1">
      <alignment horizontal="right" vertical="center"/>
    </xf>
    <xf numFmtId="166" fontId="25" fillId="0" borderId="20" xfId="0" applyNumberFormat="1" applyFont="1" applyBorder="1" applyAlignment="1">
      <alignment horizontal="right" vertical="center" wrapText="1"/>
    </xf>
    <xf numFmtId="166" fontId="25" fillId="0" borderId="21" xfId="0" applyNumberFormat="1" applyFont="1" applyBorder="1" applyAlignment="1">
      <alignment horizontal="right" vertical="center" wrapText="1"/>
    </xf>
    <xf numFmtId="0" fontId="23" fillId="0" borderId="0" xfId="0" applyFont="1" applyAlignment="1">
      <alignment horizontal="left" vertical="center" wrapText="1"/>
    </xf>
    <xf numFmtId="0" fontId="23" fillId="0" borderId="31" xfId="0" applyFont="1" applyBorder="1"/>
    <xf numFmtId="4" fontId="23" fillId="0" borderId="31" xfId="0" quotePrefix="1" applyNumberFormat="1" applyFont="1" applyBorder="1" applyAlignment="1">
      <alignment horizontal="right" vertical="center"/>
    </xf>
    <xf numFmtId="4" fontId="23" fillId="0" borderId="31" xfId="0" applyNumberFormat="1" applyFont="1" applyBorder="1" applyAlignment="1">
      <alignment horizontal="right" vertical="center"/>
    </xf>
    <xf numFmtId="0" fontId="23" fillId="0" borderId="0" xfId="0" applyFont="1" applyAlignment="1">
      <alignment horizontal="left" vertical="center"/>
    </xf>
    <xf numFmtId="0" fontId="25" fillId="0" borderId="6" xfId="0" applyFont="1" applyBorder="1" applyAlignment="1">
      <alignment horizontal="left" vertical="center" wrapText="1"/>
    </xf>
    <xf numFmtId="0" fontId="23" fillId="0" borderId="20" xfId="0" applyFont="1" applyBorder="1" applyAlignment="1">
      <alignment horizontal="left" vertical="center" wrapText="1"/>
    </xf>
    <xf numFmtId="0" fontId="24" fillId="0" borderId="6" xfId="0" applyFont="1" applyBorder="1" applyAlignment="1">
      <alignment horizontal="left"/>
    </xf>
    <xf numFmtId="0" fontId="24" fillId="0" borderId="6" xfId="0" applyFont="1" applyBorder="1"/>
    <xf numFmtId="166" fontId="24" fillId="0" borderId="20" xfId="0" applyNumberFormat="1" applyFont="1" applyBorder="1"/>
    <xf numFmtId="166" fontId="24" fillId="0" borderId="21" xfId="0" applyNumberFormat="1" applyFont="1" applyBorder="1"/>
    <xf numFmtId="0" fontId="25" fillId="0" borderId="0" xfId="20" applyFont="1" applyAlignment="1">
      <alignment horizontal="left" vertical="top"/>
    </xf>
    <xf numFmtId="166" fontId="28" fillId="0" borderId="0" xfId="0" applyNumberFormat="1" applyFont="1"/>
    <xf numFmtId="0" fontId="24" fillId="12" borderId="6" xfId="0" applyFont="1" applyFill="1" applyBorder="1" applyAlignment="1">
      <alignment horizontal="left" vertical="top"/>
    </xf>
    <xf numFmtId="0" fontId="24" fillId="5" borderId="6" xfId="0" applyFont="1" applyFill="1" applyBorder="1" applyAlignment="1">
      <alignment horizontal="left" vertical="top"/>
    </xf>
    <xf numFmtId="0" fontId="24" fillId="5" borderId="23" xfId="0" applyFont="1" applyFill="1" applyBorder="1" applyAlignment="1">
      <alignment horizontal="left"/>
    </xf>
    <xf numFmtId="0" fontId="24" fillId="5" borderId="23" xfId="0" applyFont="1" applyFill="1" applyBorder="1"/>
    <xf numFmtId="0" fontId="24" fillId="5" borderId="6" xfId="0" applyFont="1" applyFill="1" applyBorder="1"/>
    <xf numFmtId="0" fontId="24" fillId="5" borderId="19" xfId="0" applyFont="1" applyFill="1" applyBorder="1"/>
    <xf numFmtId="0" fontId="24" fillId="5" borderId="21" xfId="0" applyFont="1" applyFill="1" applyBorder="1"/>
    <xf numFmtId="0" fontId="23" fillId="5" borderId="6" xfId="0" applyFont="1" applyFill="1" applyBorder="1" applyAlignment="1">
      <alignment horizontal="left" vertical="top"/>
    </xf>
    <xf numFmtId="0" fontId="23" fillId="5" borderId="19" xfId="0" applyFont="1" applyFill="1" applyBorder="1" applyAlignment="1">
      <alignment horizontal="left" vertical="top"/>
    </xf>
    <xf numFmtId="0" fontId="23" fillId="12" borderId="6" xfId="0" applyFont="1" applyFill="1" applyBorder="1" applyAlignment="1">
      <alignment horizontal="left" vertical="top"/>
    </xf>
    <xf numFmtId="0" fontId="25" fillId="5" borderId="6" xfId="0" applyFont="1" applyFill="1" applyBorder="1" applyAlignment="1">
      <alignment horizontal="left" vertical="top"/>
    </xf>
    <xf numFmtId="0" fontId="25" fillId="5" borderId="19" xfId="0" applyFont="1" applyFill="1" applyBorder="1" applyAlignment="1">
      <alignment horizontal="left" vertical="top"/>
    </xf>
    <xf numFmtId="0" fontId="24" fillId="5" borderId="24" xfId="0" applyFont="1" applyFill="1" applyBorder="1"/>
    <xf numFmtId="0" fontId="25" fillId="12" borderId="6" xfId="0" applyFont="1" applyFill="1" applyBorder="1" applyAlignment="1">
      <alignment horizontal="left" vertical="top"/>
    </xf>
    <xf numFmtId="0" fontId="24" fillId="5" borderId="37" xfId="0" applyFont="1" applyFill="1" applyBorder="1"/>
    <xf numFmtId="0" fontId="25" fillId="8" borderId="6" xfId="0" applyFont="1" applyFill="1" applyBorder="1" applyAlignment="1">
      <alignment horizontal="left" vertical="top"/>
    </xf>
    <xf numFmtId="0" fontId="24" fillId="8" borderId="6" xfId="0" applyFont="1" applyFill="1" applyBorder="1" applyAlignment="1">
      <alignment horizontal="left" vertical="top"/>
    </xf>
    <xf numFmtId="0" fontId="24" fillId="8" borderId="6" xfId="0" applyFont="1" applyFill="1" applyBorder="1"/>
    <xf numFmtId="0" fontId="24" fillId="8" borderId="21" xfId="0" applyFont="1" applyFill="1" applyBorder="1"/>
    <xf numFmtId="166" fontId="25" fillId="8" borderId="6" xfId="0" quotePrefix="1" applyNumberFormat="1" applyFont="1" applyFill="1" applyBorder="1" applyAlignment="1">
      <alignment horizontal="left" vertical="top"/>
    </xf>
    <xf numFmtId="0" fontId="24" fillId="8" borderId="19" xfId="0" applyFont="1" applyFill="1" applyBorder="1" applyAlignment="1">
      <alignment horizontal="left" vertical="top"/>
    </xf>
    <xf numFmtId="0" fontId="23" fillId="8" borderId="6" xfId="0" applyFont="1" applyFill="1" applyBorder="1" applyAlignment="1">
      <alignment horizontal="left" vertical="top"/>
    </xf>
    <xf numFmtId="0" fontId="23" fillId="8" borderId="19" xfId="0" applyFont="1" applyFill="1" applyBorder="1" applyAlignment="1">
      <alignment horizontal="left" vertical="top"/>
    </xf>
    <xf numFmtId="0" fontId="24" fillId="2" borderId="6" xfId="0" applyFont="1" applyFill="1" applyBorder="1" applyAlignment="1">
      <alignment horizontal="left" vertical="top"/>
    </xf>
    <xf numFmtId="0" fontId="23" fillId="2" borderId="6" xfId="0" applyFont="1" applyFill="1" applyBorder="1" applyAlignment="1">
      <alignment horizontal="left" vertical="top"/>
    </xf>
    <xf numFmtId="0" fontId="23" fillId="2" borderId="19" xfId="0" applyFont="1" applyFill="1" applyBorder="1" applyAlignment="1">
      <alignment horizontal="left" vertical="top"/>
    </xf>
    <xf numFmtId="0" fontId="24" fillId="2" borderId="21" xfId="0" applyFont="1" applyFill="1" applyBorder="1"/>
    <xf numFmtId="166" fontId="25" fillId="2" borderId="6" xfId="0" quotePrefix="1" applyNumberFormat="1" applyFont="1" applyFill="1" applyBorder="1" applyAlignment="1">
      <alignment horizontal="left" vertical="top"/>
    </xf>
    <xf numFmtId="0" fontId="24" fillId="2" borderId="19" xfId="0" applyFont="1" applyFill="1" applyBorder="1" applyAlignment="1">
      <alignment horizontal="left" vertical="top"/>
    </xf>
    <xf numFmtId="0" fontId="24" fillId="2" borderId="21" xfId="0" applyFont="1" applyFill="1" applyBorder="1" applyAlignment="1">
      <alignment horizontal="left" vertical="top"/>
    </xf>
    <xf numFmtId="0" fontId="23" fillId="9" borderId="6" xfId="0" applyFont="1" applyFill="1" applyBorder="1" applyAlignment="1">
      <alignment horizontal="left" vertical="top"/>
    </xf>
    <xf numFmtId="0" fontId="24" fillId="9" borderId="6" xfId="0" applyFont="1" applyFill="1" applyBorder="1" applyAlignment="1">
      <alignment horizontal="left" vertical="top"/>
    </xf>
    <xf numFmtId="0" fontId="24" fillId="9" borderId="21" xfId="0" applyFont="1" applyFill="1" applyBorder="1"/>
    <xf numFmtId="0" fontId="23" fillId="9" borderId="6" xfId="0" quotePrefix="1" applyFont="1" applyFill="1" applyBorder="1" applyAlignment="1">
      <alignment horizontal="left" vertical="top"/>
    </xf>
    <xf numFmtId="1" fontId="23" fillId="9" borderId="6" xfId="0" applyNumberFormat="1" applyFont="1" applyFill="1" applyBorder="1" applyAlignment="1">
      <alignment horizontal="right" vertical="top"/>
    </xf>
    <xf numFmtId="0" fontId="24" fillId="9" borderId="19" xfId="0" applyFont="1" applyFill="1" applyBorder="1" applyAlignment="1">
      <alignment horizontal="left" vertical="top"/>
    </xf>
    <xf numFmtId="0" fontId="23" fillId="9" borderId="6" xfId="0" applyFont="1" applyFill="1" applyBorder="1" applyAlignment="1">
      <alignment vertical="top"/>
    </xf>
    <xf numFmtId="0" fontId="23" fillId="9" borderId="6" xfId="0" applyFont="1" applyFill="1" applyBorder="1" applyAlignment="1">
      <alignment horizontal="left" vertical="top" wrapText="1"/>
    </xf>
    <xf numFmtId="0" fontId="23" fillId="9" borderId="6" xfId="0" applyFont="1" applyFill="1" applyBorder="1"/>
    <xf numFmtId="0" fontId="23" fillId="5" borderId="6" xfId="0" applyFont="1" applyFill="1" applyBorder="1"/>
    <xf numFmtId="0" fontId="24" fillId="12" borderId="21" xfId="0" applyFont="1" applyFill="1" applyBorder="1"/>
    <xf numFmtId="10" fontId="24" fillId="12" borderId="21" xfId="3" applyNumberFormat="1" applyFont="1" applyFill="1" applyBorder="1"/>
    <xf numFmtId="2" fontId="23" fillId="5" borderId="21" xfId="0" applyNumberFormat="1" applyFont="1" applyFill="1" applyBorder="1" applyAlignment="1">
      <alignment horizontal="right" vertical="center"/>
    </xf>
    <xf numFmtId="0" fontId="24" fillId="5" borderId="6" xfId="0" quotePrefix="1" applyFont="1" applyFill="1" applyBorder="1" applyAlignment="1">
      <alignment horizontal="left" vertical="top"/>
    </xf>
    <xf numFmtId="0" fontId="24" fillId="7" borderId="6" xfId="0" applyFont="1" applyFill="1" applyBorder="1" applyAlignment="1">
      <alignment horizontal="left" vertical="top"/>
    </xf>
    <xf numFmtId="0" fontId="24" fillId="7" borderId="19" xfId="0" applyFont="1" applyFill="1" applyBorder="1" applyAlignment="1">
      <alignment horizontal="left" vertical="top"/>
    </xf>
    <xf numFmtId="0" fontId="24" fillId="7" borderId="21" xfId="0" applyFont="1" applyFill="1" applyBorder="1" applyAlignment="1">
      <alignment horizontal="left" vertical="top"/>
    </xf>
    <xf numFmtId="0" fontId="24" fillId="7" borderId="6" xfId="0" quotePrefix="1" applyFont="1" applyFill="1" applyBorder="1" applyAlignment="1">
      <alignment horizontal="left" vertical="top"/>
    </xf>
    <xf numFmtId="0" fontId="23" fillId="7" borderId="6" xfId="0" applyFont="1" applyFill="1" applyBorder="1" applyAlignment="1">
      <alignment horizontal="left" vertical="top"/>
    </xf>
    <xf numFmtId="0" fontId="23" fillId="7" borderId="19" xfId="0" applyFont="1" applyFill="1" applyBorder="1" applyAlignment="1">
      <alignment horizontal="left" vertical="top"/>
    </xf>
    <xf numFmtId="167" fontId="23" fillId="7" borderId="21" xfId="2" applyNumberFormat="1" applyFont="1" applyFill="1" applyBorder="1" applyAlignment="1">
      <alignment horizontal="right" vertical="center"/>
    </xf>
    <xf numFmtId="0" fontId="23" fillId="7" borderId="21" xfId="0" applyFont="1" applyFill="1" applyBorder="1" applyAlignment="1">
      <alignment horizontal="left" vertical="top"/>
    </xf>
    <xf numFmtId="0" fontId="24" fillId="8" borderId="0" xfId="0" applyFont="1" applyFill="1"/>
    <xf numFmtId="0" fontId="24" fillId="8" borderId="6" xfId="0" quotePrefix="1" applyFont="1" applyFill="1" applyBorder="1" applyAlignment="1">
      <alignment horizontal="left" vertical="top"/>
    </xf>
    <xf numFmtId="0" fontId="23" fillId="8" borderId="21" xfId="0" applyFont="1" applyFill="1" applyBorder="1" applyAlignment="1">
      <alignment horizontal="left" vertical="top"/>
    </xf>
    <xf numFmtId="0" fontId="24" fillId="8" borderId="19" xfId="0" quotePrefix="1" applyFont="1" applyFill="1" applyBorder="1" applyAlignment="1">
      <alignment horizontal="left" vertical="top"/>
    </xf>
    <xf numFmtId="0" fontId="24" fillId="6" borderId="0" xfId="0" applyFont="1" applyFill="1"/>
    <xf numFmtId="0" fontId="24" fillId="6" borderId="6" xfId="0" quotePrefix="1" applyFont="1" applyFill="1" applyBorder="1" applyAlignment="1">
      <alignment horizontal="left" vertical="top"/>
    </xf>
    <xf numFmtId="0" fontId="23" fillId="6" borderId="6" xfId="0" applyFont="1" applyFill="1" applyBorder="1" applyAlignment="1">
      <alignment horizontal="left" vertical="top"/>
    </xf>
    <xf numFmtId="0" fontId="24" fillId="6" borderId="6" xfId="0" applyFont="1" applyFill="1" applyBorder="1"/>
    <xf numFmtId="0" fontId="24" fillId="6" borderId="19" xfId="0" quotePrefix="1" applyFont="1" applyFill="1" applyBorder="1" applyAlignment="1">
      <alignment horizontal="left" vertical="top"/>
    </xf>
    <xf numFmtId="0" fontId="24" fillId="6" borderId="6" xfId="0" applyFont="1" applyFill="1" applyBorder="1" applyAlignment="1">
      <alignment horizontal="left" vertical="top"/>
    </xf>
    <xf numFmtId="0" fontId="23" fillId="6" borderId="19" xfId="0" applyFont="1" applyFill="1" applyBorder="1" applyAlignment="1">
      <alignment horizontal="left" vertical="top"/>
    </xf>
    <xf numFmtId="0" fontId="23" fillId="6" borderId="21" xfId="0" applyFont="1" applyFill="1" applyBorder="1" applyAlignment="1">
      <alignment horizontal="right" vertical="top"/>
    </xf>
    <xf numFmtId="0" fontId="23" fillId="6" borderId="6" xfId="0" quotePrefix="1" applyFont="1" applyFill="1" applyBorder="1" applyAlignment="1">
      <alignment horizontal="left" vertical="top"/>
    </xf>
    <xf numFmtId="0" fontId="24" fillId="6" borderId="19" xfId="0" applyFont="1" applyFill="1" applyBorder="1"/>
    <xf numFmtId="0" fontId="24" fillId="3" borderId="6" xfId="0" applyFont="1" applyFill="1" applyBorder="1"/>
    <xf numFmtId="0" fontId="23" fillId="3" borderId="6" xfId="0" applyFont="1" applyFill="1" applyBorder="1" applyAlignment="1">
      <alignment horizontal="left" vertical="top"/>
    </xf>
    <xf numFmtId="0" fontId="23" fillId="3" borderId="21" xfId="0" applyFont="1" applyFill="1" applyBorder="1" applyAlignment="1">
      <alignment horizontal="right" vertical="top"/>
    </xf>
    <xf numFmtId="0" fontId="23" fillId="3" borderId="6" xfId="0" quotePrefix="1" applyFont="1" applyFill="1" applyBorder="1" applyAlignment="1">
      <alignment horizontal="left" vertical="top"/>
    </xf>
    <xf numFmtId="0" fontId="23" fillId="3" borderId="19" xfId="0" applyFont="1" applyFill="1" applyBorder="1" applyAlignment="1">
      <alignment horizontal="left" vertical="top"/>
    </xf>
    <xf numFmtId="0" fontId="23" fillId="3" borderId="6" xfId="0" applyFont="1" applyFill="1" applyBorder="1" applyAlignment="1">
      <alignment horizontal="right" vertical="top"/>
    </xf>
    <xf numFmtId="0" fontId="23" fillId="3" borderId="19" xfId="0" applyFont="1" applyFill="1" applyBorder="1" applyAlignment="1">
      <alignment horizontal="right" vertical="top"/>
    </xf>
    <xf numFmtId="0" fontId="24" fillId="3" borderId="6" xfId="0" quotePrefix="1" applyFont="1" applyFill="1" applyBorder="1" applyAlignment="1">
      <alignment horizontal="left" vertical="top"/>
    </xf>
    <xf numFmtId="0" fontId="24" fillId="3" borderId="6" xfId="0" applyFont="1" applyFill="1" applyBorder="1" applyAlignment="1">
      <alignment horizontal="left" vertical="top"/>
    </xf>
    <xf numFmtId="0" fontId="24" fillId="3" borderId="19" xfId="0" applyFont="1" applyFill="1" applyBorder="1" applyAlignment="1">
      <alignment horizontal="left" vertical="top"/>
    </xf>
    <xf numFmtId="166" fontId="23" fillId="3" borderId="21" xfId="1" applyNumberFormat="1" applyFont="1" applyFill="1" applyBorder="1" applyAlignment="1">
      <alignment horizontal="right" vertical="center"/>
    </xf>
    <xf numFmtId="169" fontId="23" fillId="3" borderId="6" xfId="0" quotePrefix="1" applyNumberFormat="1" applyFont="1" applyFill="1" applyBorder="1" applyAlignment="1">
      <alignment horizontal="left" vertical="top"/>
    </xf>
    <xf numFmtId="169" fontId="23" fillId="3" borderId="19" xfId="0" quotePrefix="1" applyNumberFormat="1" applyFont="1" applyFill="1" applyBorder="1" applyAlignment="1">
      <alignment horizontal="left" vertical="top"/>
    </xf>
    <xf numFmtId="166" fontId="23" fillId="3" borderId="21" xfId="0" applyNumberFormat="1" applyFont="1" applyFill="1" applyBorder="1" applyAlignment="1">
      <alignment horizontal="right" vertical="center"/>
    </xf>
    <xf numFmtId="169" fontId="23" fillId="3" borderId="6" xfId="0" applyNumberFormat="1" applyFont="1" applyFill="1" applyBorder="1" applyAlignment="1">
      <alignment horizontal="left" vertical="top"/>
    </xf>
    <xf numFmtId="169" fontId="23" fillId="3" borderId="19" xfId="0" applyNumberFormat="1" applyFont="1" applyFill="1" applyBorder="1" applyAlignment="1">
      <alignment horizontal="left" vertical="top"/>
    </xf>
    <xf numFmtId="0" fontId="23" fillId="3" borderId="6" xfId="0" applyFont="1" applyFill="1" applyBorder="1" applyProtection="1">
      <protection locked="0"/>
    </xf>
    <xf numFmtId="169" fontId="23" fillId="3" borderId="21" xfId="0" applyNumberFormat="1" applyFont="1" applyFill="1" applyBorder="1" applyAlignment="1">
      <alignment horizontal="left" vertical="top"/>
    </xf>
    <xf numFmtId="169" fontId="23" fillId="2" borderId="6" xfId="0" applyNumberFormat="1" applyFont="1" applyFill="1" applyBorder="1" applyAlignment="1">
      <alignment horizontal="left" vertical="top"/>
    </xf>
    <xf numFmtId="166" fontId="23" fillId="2" borderId="21" xfId="0" applyNumberFormat="1" applyFont="1" applyFill="1" applyBorder="1" applyAlignment="1">
      <alignment horizontal="right" vertical="center"/>
    </xf>
    <xf numFmtId="49" fontId="23" fillId="2" borderId="6" xfId="0" applyNumberFormat="1" applyFont="1" applyFill="1" applyBorder="1" applyAlignment="1">
      <alignment horizontal="left" vertical="top"/>
    </xf>
    <xf numFmtId="0" fontId="23" fillId="2" borderId="19" xfId="0" applyFont="1" applyFill="1" applyBorder="1" applyAlignment="1">
      <alignment horizontal="right" vertical="top"/>
    </xf>
    <xf numFmtId="49" fontId="23" fillId="4" borderId="6" xfId="0" applyNumberFormat="1" applyFont="1" applyFill="1" applyBorder="1" applyAlignment="1">
      <alignment horizontal="right" vertical="top"/>
    </xf>
    <xf numFmtId="0" fontId="24" fillId="4" borderId="6" xfId="0" applyFont="1" applyFill="1" applyBorder="1" applyAlignment="1">
      <alignment horizontal="left" vertical="top"/>
    </xf>
    <xf numFmtId="10" fontId="23" fillId="11" borderId="23" xfId="3" applyNumberFormat="1" applyFont="1" applyFill="1" applyBorder="1" applyAlignment="1">
      <alignment horizontal="right" vertical="center"/>
    </xf>
    <xf numFmtId="0" fontId="23" fillId="4" borderId="6" xfId="0" applyFont="1" applyFill="1" applyBorder="1" applyAlignment="1">
      <alignment horizontal="left" vertical="top"/>
    </xf>
    <xf numFmtId="169" fontId="23" fillId="4" borderId="6" xfId="0" applyNumberFormat="1" applyFont="1" applyFill="1" applyBorder="1" applyAlignment="1">
      <alignment horizontal="left" vertical="top"/>
    </xf>
    <xf numFmtId="169" fontId="23" fillId="4" borderId="19" xfId="0" applyNumberFormat="1" applyFont="1" applyFill="1" applyBorder="1" applyAlignment="1">
      <alignment horizontal="left" vertical="top"/>
    </xf>
    <xf numFmtId="49" fontId="23" fillId="4" borderId="21" xfId="0" applyNumberFormat="1" applyFont="1" applyFill="1" applyBorder="1" applyAlignment="1">
      <alignment horizontal="right" vertical="top"/>
    </xf>
    <xf numFmtId="0" fontId="23" fillId="4" borderId="19" xfId="0" applyFont="1" applyFill="1" applyBorder="1" applyAlignment="1">
      <alignment horizontal="left" vertical="top"/>
    </xf>
    <xf numFmtId="49" fontId="23" fillId="6" borderId="0" xfId="0" applyNumberFormat="1" applyFont="1" applyFill="1" applyAlignment="1">
      <alignment horizontal="right" vertical="top"/>
    </xf>
    <xf numFmtId="49" fontId="23" fillId="6" borderId="6" xfId="0" applyNumberFormat="1" applyFont="1" applyFill="1" applyBorder="1" applyAlignment="1">
      <alignment horizontal="right" vertical="top"/>
    </xf>
    <xf numFmtId="49" fontId="23" fillId="6" borderId="21" xfId="0" applyNumberFormat="1" applyFont="1" applyFill="1" applyBorder="1" applyAlignment="1">
      <alignment horizontal="right" vertical="top"/>
    </xf>
    <xf numFmtId="49" fontId="23" fillId="6" borderId="6" xfId="0" applyNumberFormat="1" applyFont="1" applyFill="1" applyBorder="1" applyAlignment="1">
      <alignment horizontal="left" vertical="top" wrapText="1"/>
    </xf>
    <xf numFmtId="0" fontId="24" fillId="6" borderId="21" xfId="0" applyFont="1" applyFill="1" applyBorder="1"/>
    <xf numFmtId="0" fontId="23" fillId="6" borderId="6" xfId="20" applyFont="1" applyFill="1" applyBorder="1" applyAlignment="1">
      <alignment vertical="top"/>
    </xf>
    <xf numFmtId="0" fontId="24" fillId="14" borderId="0" xfId="0" applyFont="1" applyFill="1"/>
    <xf numFmtId="0" fontId="24" fillId="14" borderId="6" xfId="0" applyFont="1" applyFill="1" applyBorder="1"/>
    <xf numFmtId="49" fontId="23" fillId="14" borderId="6" xfId="0" applyNumberFormat="1" applyFont="1" applyFill="1" applyBorder="1" applyAlignment="1">
      <alignment horizontal="left" vertical="top" wrapText="1"/>
    </xf>
    <xf numFmtId="0" fontId="23" fillId="14" borderId="6" xfId="0" applyFont="1" applyFill="1" applyBorder="1" applyAlignment="1">
      <alignment horizontal="left" vertical="top"/>
    </xf>
    <xf numFmtId="0" fontId="24" fillId="14" borderId="21" xfId="0" applyFont="1" applyFill="1" applyBorder="1"/>
    <xf numFmtId="0" fontId="23" fillId="14" borderId="19" xfId="0" applyFont="1" applyFill="1" applyBorder="1" applyAlignment="1">
      <alignment horizontal="left" vertical="top"/>
    </xf>
    <xf numFmtId="0" fontId="24" fillId="3" borderId="0" xfId="0" applyFont="1" applyFill="1"/>
    <xf numFmtId="0" fontId="23" fillId="13" borderId="6" xfId="20" quotePrefix="1" applyFont="1" applyFill="1" applyBorder="1" applyAlignment="1">
      <alignment horizontal="left" vertical="top"/>
    </xf>
    <xf numFmtId="0" fontId="23" fillId="3" borderId="6" xfId="20" applyFont="1" applyFill="1" applyBorder="1" applyAlignment="1">
      <alignment vertical="top"/>
    </xf>
    <xf numFmtId="0" fontId="24" fillId="3" borderId="21" xfId="0" applyFont="1" applyFill="1" applyBorder="1"/>
    <xf numFmtId="0" fontId="23" fillId="3" borderId="36" xfId="0" applyFont="1" applyFill="1" applyBorder="1" applyAlignment="1">
      <alignment horizontal="left" vertical="top"/>
    </xf>
    <xf numFmtId="166" fontId="23" fillId="3" borderId="26" xfId="0" applyNumberFormat="1" applyFont="1" applyFill="1" applyBorder="1" applyAlignment="1">
      <alignment horizontal="right" vertical="center"/>
    </xf>
    <xf numFmtId="0" fontId="24" fillId="0" borderId="23" xfId="0" applyFont="1" applyBorder="1"/>
    <xf numFmtId="166" fontId="23" fillId="3" borderId="6" xfId="0" applyNumberFormat="1" applyFont="1" applyFill="1" applyBorder="1" applyAlignment="1">
      <alignment horizontal="right" vertical="center"/>
    </xf>
    <xf numFmtId="0" fontId="23" fillId="13" borderId="6" xfId="20" applyFont="1" applyFill="1" applyBorder="1" applyAlignment="1">
      <alignment horizontal="left" vertical="top"/>
    </xf>
    <xf numFmtId="0" fontId="23" fillId="13" borderId="6" xfId="0" applyFont="1" applyFill="1" applyBorder="1" applyAlignment="1">
      <alignment horizontal="left" vertical="top"/>
    </xf>
    <xf numFmtId="0" fontId="24" fillId="13" borderId="6" xfId="0" applyFont="1" applyFill="1" applyBorder="1" applyAlignment="1">
      <alignment horizontal="left" vertical="top"/>
    </xf>
    <xf numFmtId="166" fontId="23" fillId="13" borderId="6" xfId="0" applyNumberFormat="1" applyFont="1" applyFill="1" applyBorder="1" applyAlignment="1">
      <alignment horizontal="right" vertical="center"/>
    </xf>
    <xf numFmtId="0" fontId="23" fillId="13" borderId="19" xfId="0" applyFont="1" applyFill="1" applyBorder="1" applyAlignment="1">
      <alignment horizontal="left" vertical="top"/>
    </xf>
    <xf numFmtId="0" fontId="24" fillId="13" borderId="21" xfId="0" applyFont="1" applyFill="1" applyBorder="1"/>
    <xf numFmtId="0" fontId="23" fillId="13" borderId="36" xfId="0" applyFont="1" applyFill="1" applyBorder="1" applyAlignment="1">
      <alignment horizontal="left" vertical="top"/>
    </xf>
    <xf numFmtId="0" fontId="24" fillId="9" borderId="6" xfId="0" applyFont="1" applyFill="1" applyBorder="1"/>
    <xf numFmtId="0" fontId="23" fillId="7" borderId="6" xfId="20" applyFont="1" applyFill="1" applyBorder="1" applyAlignment="1">
      <alignment horizontal="left" vertical="top"/>
    </xf>
    <xf numFmtId="0" fontId="24" fillId="7" borderId="21" xfId="0" applyFont="1" applyFill="1" applyBorder="1"/>
    <xf numFmtId="0" fontId="24" fillId="7" borderId="6" xfId="0" applyFont="1" applyFill="1" applyBorder="1"/>
    <xf numFmtId="0" fontId="24" fillId="7" borderId="19" xfId="0" applyFont="1" applyFill="1" applyBorder="1"/>
    <xf numFmtId="0" fontId="23" fillId="10" borderId="6" xfId="0" applyFont="1" applyFill="1" applyBorder="1" applyAlignment="1">
      <alignment horizontal="left" vertical="center" wrapText="1"/>
    </xf>
    <xf numFmtId="0" fontId="23" fillId="10" borderId="21" xfId="0" applyFont="1" applyFill="1" applyBorder="1" applyAlignment="1">
      <alignment horizontal="left" vertical="center" wrapText="1"/>
    </xf>
    <xf numFmtId="0" fontId="23" fillId="10" borderId="19" xfId="0" applyFont="1" applyFill="1" applyBorder="1" applyAlignment="1">
      <alignment horizontal="left" vertical="top"/>
    </xf>
    <xf numFmtId="0" fontId="23" fillId="10" borderId="6" xfId="0" applyFont="1" applyFill="1" applyBorder="1"/>
    <xf numFmtId="0" fontId="23" fillId="10" borderId="6" xfId="0" applyFont="1" applyFill="1" applyBorder="1" applyAlignment="1">
      <alignment horizontal="left" vertical="top"/>
    </xf>
    <xf numFmtId="0" fontId="24" fillId="10" borderId="21" xfId="0" applyFont="1" applyFill="1" applyBorder="1"/>
    <xf numFmtId="0" fontId="23" fillId="10" borderId="6" xfId="0" applyFont="1" applyFill="1" applyBorder="1" applyAlignment="1">
      <alignment horizontal="left" vertical="center"/>
    </xf>
    <xf numFmtId="0" fontId="24" fillId="0" borderId="6" xfId="0" applyFont="1" applyBorder="1" applyAlignment="1">
      <alignment horizontal="left" vertical="top"/>
    </xf>
    <xf numFmtId="0" fontId="24" fillId="0" borderId="23" xfId="0" applyFont="1" applyBorder="1" applyAlignment="1">
      <alignment horizontal="left"/>
    </xf>
    <xf numFmtId="0" fontId="24" fillId="0" borderId="19" xfId="0" applyFont="1" applyBorder="1"/>
    <xf numFmtId="0" fontId="24" fillId="0" borderId="21" xfId="0" applyFont="1" applyBorder="1"/>
    <xf numFmtId="0" fontId="23" fillId="0" borderId="6" xfId="0" applyFont="1" applyBorder="1" applyAlignment="1">
      <alignment horizontal="left" vertical="top"/>
    </xf>
    <xf numFmtId="0" fontId="23" fillId="0" borderId="19" xfId="0" applyFont="1" applyBorder="1" applyAlignment="1">
      <alignment horizontal="left" vertical="top"/>
    </xf>
    <xf numFmtId="0" fontId="25" fillId="0" borderId="6" xfId="0" applyFont="1" applyBorder="1" applyAlignment="1">
      <alignment horizontal="left" vertical="top"/>
    </xf>
    <xf numFmtId="0" fontId="25" fillId="0" borderId="19" xfId="0" applyFont="1" applyBorder="1" applyAlignment="1">
      <alignment horizontal="left" vertical="top"/>
    </xf>
    <xf numFmtId="0" fontId="24" fillId="0" borderId="24" xfId="0" applyFont="1" applyBorder="1"/>
    <xf numFmtId="0" fontId="24" fillId="0" borderId="37" xfId="0" applyFont="1" applyBorder="1"/>
    <xf numFmtId="166" fontId="25" fillId="0" borderId="6" xfId="0" quotePrefix="1" applyNumberFormat="1" applyFont="1" applyBorder="1" applyAlignment="1">
      <alignment horizontal="left" vertical="top"/>
    </xf>
    <xf numFmtId="0" fontId="24" fillId="0" borderId="19" xfId="0" applyFont="1" applyBorder="1" applyAlignment="1">
      <alignment horizontal="left" vertical="top"/>
    </xf>
    <xf numFmtId="0" fontId="24" fillId="0" borderId="21" xfId="0" applyFont="1" applyBorder="1" applyAlignment="1">
      <alignment horizontal="left" vertical="top"/>
    </xf>
    <xf numFmtId="0" fontId="23" fillId="0" borderId="6" xfId="0" quotePrefix="1" applyFont="1" applyBorder="1" applyAlignment="1">
      <alignment horizontal="left" vertical="top"/>
    </xf>
    <xf numFmtId="1" fontId="23" fillId="0" borderId="6" xfId="0" applyNumberFormat="1" applyFont="1" applyBorder="1" applyAlignment="1">
      <alignment horizontal="right" vertical="top"/>
    </xf>
    <xf numFmtId="0" fontId="23" fillId="0" borderId="6" xfId="0" applyFont="1" applyBorder="1" applyAlignment="1">
      <alignment horizontal="left" vertical="top" wrapText="1"/>
    </xf>
    <xf numFmtId="0" fontId="23" fillId="0" borderId="6" xfId="0" applyFont="1" applyBorder="1"/>
    <xf numFmtId="10" fontId="24" fillId="0" borderId="21" xfId="3" applyNumberFormat="1" applyFont="1" applyFill="1" applyBorder="1"/>
    <xf numFmtId="2" fontId="23" fillId="0" borderId="21" xfId="0" applyNumberFormat="1" applyFont="1" applyBorder="1" applyAlignment="1">
      <alignment horizontal="right" vertical="center"/>
    </xf>
    <xf numFmtId="0" fontId="24" fillId="0" borderId="6" xfId="0" quotePrefix="1" applyFont="1" applyBorder="1" applyAlignment="1">
      <alignment horizontal="left" vertical="top"/>
    </xf>
    <xf numFmtId="0" fontId="23" fillId="0" borderId="21" xfId="0" applyFont="1" applyBorder="1" applyAlignment="1">
      <alignment horizontal="left" vertical="top"/>
    </xf>
    <xf numFmtId="0" fontId="24" fillId="0" borderId="19" xfId="0" quotePrefix="1" applyFont="1" applyBorder="1" applyAlignment="1">
      <alignment horizontal="left" vertical="top"/>
    </xf>
    <xf numFmtId="0" fontId="23" fillId="0" borderId="21" xfId="0" applyFont="1" applyBorder="1" applyAlignment="1">
      <alignment horizontal="right" vertical="top"/>
    </xf>
    <xf numFmtId="0" fontId="23" fillId="0" borderId="6" xfId="0" applyFont="1" applyBorder="1" applyAlignment="1">
      <alignment horizontal="right" vertical="top"/>
    </xf>
    <xf numFmtId="0" fontId="23" fillId="0" borderId="19" xfId="0" applyFont="1" applyBorder="1" applyAlignment="1">
      <alignment horizontal="right" vertical="top"/>
    </xf>
    <xf numFmtId="166" fontId="23" fillId="0" borderId="21" xfId="1" applyNumberFormat="1" applyFont="1" applyFill="1" applyBorder="1" applyAlignment="1">
      <alignment horizontal="right" vertical="center"/>
    </xf>
    <xf numFmtId="169" fontId="23" fillId="0" borderId="6" xfId="0" quotePrefix="1" applyNumberFormat="1" applyFont="1" applyBorder="1" applyAlignment="1">
      <alignment horizontal="left" vertical="top"/>
    </xf>
    <xf numFmtId="169" fontId="23" fillId="0" borderId="19" xfId="0" quotePrefix="1" applyNumberFormat="1" applyFont="1" applyBorder="1" applyAlignment="1">
      <alignment horizontal="left" vertical="top"/>
    </xf>
    <xf numFmtId="166" fontId="23" fillId="0" borderId="21" xfId="0" applyNumberFormat="1" applyFont="1" applyBorder="1" applyAlignment="1">
      <alignment horizontal="right" vertical="center"/>
    </xf>
    <xf numFmtId="169" fontId="23" fillId="0" borderId="6" xfId="0" applyNumberFormat="1" applyFont="1" applyBorder="1" applyAlignment="1">
      <alignment horizontal="left" vertical="top"/>
    </xf>
    <xf numFmtId="169" fontId="23" fillId="0" borderId="19" xfId="0" applyNumberFormat="1" applyFont="1" applyBorder="1" applyAlignment="1">
      <alignment horizontal="left" vertical="top"/>
    </xf>
    <xf numFmtId="0" fontId="23" fillId="0" borderId="6" xfId="0" applyFont="1" applyBorder="1" applyProtection="1">
      <protection locked="0"/>
    </xf>
    <xf numFmtId="169" fontId="23" fillId="0" borderId="21" xfId="0" applyNumberFormat="1" applyFont="1" applyBorder="1" applyAlignment="1">
      <alignment horizontal="left" vertical="top"/>
    </xf>
    <xf numFmtId="49" fontId="23" fillId="0" borderId="6" xfId="0" applyNumberFormat="1" applyFont="1" applyBorder="1" applyAlignment="1">
      <alignment horizontal="left" vertical="top"/>
    </xf>
    <xf numFmtId="49" fontId="23" fillId="0" borderId="6" xfId="0" applyNumberFormat="1" applyFont="1" applyBorder="1" applyAlignment="1">
      <alignment horizontal="right" vertical="top"/>
    </xf>
    <xf numFmtId="10" fontId="23" fillId="0" borderId="23" xfId="3" applyNumberFormat="1" applyFont="1" applyFill="1" applyBorder="1" applyAlignment="1">
      <alignment horizontal="right" vertical="center"/>
    </xf>
    <xf numFmtId="49" fontId="23" fillId="0" borderId="21" xfId="0" applyNumberFormat="1" applyFont="1" applyBorder="1" applyAlignment="1">
      <alignment horizontal="right" vertical="top"/>
    </xf>
    <xf numFmtId="0" fontId="23" fillId="0" borderId="6" xfId="20" applyFont="1" applyBorder="1" applyAlignment="1">
      <alignment vertical="top"/>
    </xf>
    <xf numFmtId="0" fontId="23" fillId="0" borderId="6" xfId="20" quotePrefix="1" applyFont="1" applyBorder="1" applyAlignment="1">
      <alignment horizontal="left" vertical="top"/>
    </xf>
    <xf numFmtId="0" fontId="23" fillId="0" borderId="36" xfId="0" applyFont="1" applyBorder="1" applyAlignment="1">
      <alignment horizontal="left" vertical="top"/>
    </xf>
    <xf numFmtId="166" fontId="23" fillId="0" borderId="6" xfId="0" applyNumberFormat="1" applyFont="1" applyBorder="1" applyAlignment="1">
      <alignment horizontal="right" vertical="center"/>
    </xf>
    <xf numFmtId="0" fontId="23" fillId="0" borderId="6" xfId="20" applyFont="1" applyBorder="1" applyAlignment="1">
      <alignment horizontal="left" vertical="top"/>
    </xf>
    <xf numFmtId="0" fontId="23" fillId="0" borderId="21" xfId="0" applyFont="1" applyBorder="1" applyAlignment="1">
      <alignment horizontal="left" vertical="center" wrapText="1"/>
    </xf>
    <xf numFmtId="0" fontId="23" fillId="0" borderId="6" xfId="0" applyFont="1" applyBorder="1" applyAlignment="1">
      <alignment horizontal="left" vertical="center"/>
    </xf>
    <xf numFmtId="174" fontId="24" fillId="0" borderId="0" xfId="0" applyNumberFormat="1" applyFont="1"/>
    <xf numFmtId="166" fontId="23" fillId="16" borderId="0" xfId="30" applyNumberFormat="1" applyFont="1" applyFill="1"/>
    <xf numFmtId="3" fontId="24" fillId="0" borderId="0" xfId="0" applyNumberFormat="1" applyFont="1"/>
    <xf numFmtId="180" fontId="27" fillId="0" borderId="42" xfId="49" applyNumberFormat="1" applyFont="1" applyBorder="1" applyAlignment="1">
      <alignment horizontal="right" wrapText="1"/>
    </xf>
    <xf numFmtId="180" fontId="27" fillId="0" borderId="50" xfId="49" applyNumberFormat="1" applyFont="1" applyBorder="1" applyAlignment="1">
      <alignment horizontal="right" wrapText="1"/>
    </xf>
    <xf numFmtId="167" fontId="24" fillId="0" borderId="0" xfId="2" applyNumberFormat="1" applyFont="1" applyFill="1" applyAlignment="1" applyProtection="1">
      <alignment horizontal="left"/>
    </xf>
    <xf numFmtId="167" fontId="24" fillId="0" borderId="0" xfId="2" applyNumberFormat="1" applyFont="1" applyFill="1" applyProtection="1"/>
    <xf numFmtId="0" fontId="28" fillId="0" borderId="0" xfId="0" applyFont="1" applyAlignment="1">
      <alignment horizontal="right"/>
    </xf>
    <xf numFmtId="10" fontId="24" fillId="0" borderId="0" xfId="3" applyNumberFormat="1" applyFont="1"/>
    <xf numFmtId="166" fontId="23" fillId="0" borderId="0" xfId="30" applyNumberFormat="1" applyFont="1" applyAlignment="1">
      <alignment horizontal="right"/>
    </xf>
    <xf numFmtId="175" fontId="25" fillId="0" borderId="0" xfId="0" applyNumberFormat="1" applyFont="1"/>
    <xf numFmtId="0" fontId="24" fillId="0" borderId="0" xfId="0" applyFont="1" applyAlignment="1">
      <alignment wrapText="1"/>
    </xf>
    <xf numFmtId="0" fontId="23" fillId="0" borderId="0" xfId="0" applyFont="1" applyAlignment="1">
      <alignment wrapText="1"/>
    </xf>
    <xf numFmtId="16" fontId="25" fillId="0" borderId="0" xfId="0" quotePrefix="1" applyNumberFormat="1" applyFont="1" applyAlignment="1">
      <alignment horizontal="center"/>
    </xf>
    <xf numFmtId="0" fontId="25" fillId="0" borderId="0" xfId="0" quotePrefix="1" applyFont="1" applyAlignment="1">
      <alignment horizontal="center"/>
    </xf>
    <xf numFmtId="166" fontId="24" fillId="0" borderId="0" xfId="0" applyNumberFormat="1" applyFont="1" applyAlignment="1">
      <alignment horizontal="left"/>
    </xf>
    <xf numFmtId="173" fontId="24" fillId="0" borderId="0" xfId="0" applyNumberFormat="1" applyFont="1"/>
    <xf numFmtId="166" fontId="25" fillId="0" borderId="0" xfId="0" applyNumberFormat="1" applyFont="1"/>
    <xf numFmtId="166" fontId="24" fillId="0" borderId="0" xfId="0" applyNumberFormat="1" applyFont="1" applyAlignment="1">
      <alignment horizontal="right"/>
    </xf>
    <xf numFmtId="10" fontId="25" fillId="0" borderId="0" xfId="0" applyNumberFormat="1" applyFont="1"/>
    <xf numFmtId="0" fontId="24" fillId="0" borderId="2" xfId="0" applyFont="1" applyBorder="1"/>
    <xf numFmtId="0" fontId="25" fillId="0" borderId="2" xfId="0" applyFont="1" applyBorder="1"/>
    <xf numFmtId="0" fontId="25" fillId="0" borderId="3" xfId="0" applyFont="1" applyBorder="1"/>
    <xf numFmtId="0" fontId="25" fillId="0" borderId="5" xfId="0" applyFont="1" applyBorder="1"/>
    <xf numFmtId="0" fontId="25" fillId="0" borderId="7" xfId="0" applyFont="1" applyBorder="1"/>
    <xf numFmtId="16" fontId="25" fillId="0" borderId="8" xfId="0" quotePrefix="1" applyNumberFormat="1" applyFont="1" applyBorder="1" applyAlignment="1">
      <alignment horizontal="center"/>
    </xf>
    <xf numFmtId="0" fontId="25" fillId="0" borderId="9" xfId="0" applyFont="1" applyBorder="1"/>
    <xf numFmtId="3" fontId="24" fillId="0" borderId="4" xfId="0" applyNumberFormat="1" applyFont="1" applyBorder="1"/>
    <xf numFmtId="166" fontId="24" fillId="0" borderId="5" xfId="0" applyNumberFormat="1" applyFont="1" applyBorder="1"/>
    <xf numFmtId="0" fontId="24" fillId="0" borderId="12" xfId="0" applyFont="1" applyBorder="1"/>
    <xf numFmtId="169" fontId="24" fillId="0" borderId="12" xfId="0" applyNumberFormat="1" applyFont="1" applyBorder="1"/>
    <xf numFmtId="166" fontId="24" fillId="0" borderId="11" xfId="0" applyNumberFormat="1" applyFont="1" applyBorder="1"/>
    <xf numFmtId="3" fontId="24" fillId="0" borderId="11" xfId="0" applyNumberFormat="1" applyFont="1" applyBorder="1"/>
    <xf numFmtId="166" fontId="24" fillId="0" borderId="13" xfId="0" applyNumberFormat="1" applyFont="1" applyBorder="1"/>
    <xf numFmtId="166" fontId="23" fillId="0" borderId="13" xfId="0" applyNumberFormat="1" applyFont="1" applyBorder="1"/>
    <xf numFmtId="169" fontId="24" fillId="0" borderId="4" xfId="0" applyNumberFormat="1" applyFont="1" applyBorder="1"/>
    <xf numFmtId="166" fontId="25" fillId="0" borderId="5" xfId="0" applyNumberFormat="1" applyFont="1" applyBorder="1"/>
    <xf numFmtId="0" fontId="24" fillId="0" borderId="38" xfId="0" applyFont="1" applyBorder="1"/>
    <xf numFmtId="169" fontId="24" fillId="0" borderId="38" xfId="0" applyNumberFormat="1" applyFont="1" applyBorder="1"/>
    <xf numFmtId="3" fontId="24" fillId="0" borderId="16" xfId="0" applyNumberFormat="1" applyFont="1" applyBorder="1"/>
    <xf numFmtId="166" fontId="24" fillId="0" borderId="39" xfId="0" applyNumberFormat="1" applyFont="1" applyBorder="1"/>
    <xf numFmtId="166" fontId="25" fillId="0" borderId="8" xfId="0" applyNumberFormat="1" applyFont="1" applyBorder="1"/>
    <xf numFmtId="169" fontId="24" fillId="0" borderId="7" xfId="0" applyNumberFormat="1" applyFont="1" applyBorder="1"/>
    <xf numFmtId="166" fontId="24" fillId="0" borderId="8" xfId="0" applyNumberFormat="1" applyFont="1" applyBorder="1"/>
    <xf numFmtId="3" fontId="24" fillId="0" borderId="8" xfId="0" applyNumberFormat="1" applyFont="1" applyBorder="1"/>
    <xf numFmtId="166" fontId="25" fillId="0" borderId="9" xfId="0" applyNumberFormat="1" applyFont="1" applyBorder="1"/>
    <xf numFmtId="172" fontId="23" fillId="0" borderId="0" xfId="0" applyNumberFormat="1" applyFont="1" applyAlignment="1">
      <alignment horizontal="right"/>
    </xf>
    <xf numFmtId="6" fontId="25" fillId="0" borderId="0" xfId="0" applyNumberFormat="1" applyFont="1"/>
    <xf numFmtId="3" fontId="32" fillId="0" borderId="0" xfId="0" applyNumberFormat="1" applyFont="1" applyAlignment="1">
      <alignment vertical="top"/>
    </xf>
    <xf numFmtId="6" fontId="24" fillId="0" borderId="0" xfId="0" applyNumberFormat="1" applyFont="1"/>
    <xf numFmtId="10" fontId="33" fillId="0" borderId="0" xfId="0" applyNumberFormat="1" applyFont="1"/>
    <xf numFmtId="8" fontId="24" fillId="0" borderId="0" xfId="0" applyNumberFormat="1" applyFont="1"/>
    <xf numFmtId="176" fontId="23" fillId="0" borderId="0" xfId="30" applyNumberFormat="1" applyFont="1"/>
    <xf numFmtId="166" fontId="25" fillId="0" borderId="0" xfId="30" applyNumberFormat="1" applyFont="1"/>
    <xf numFmtId="170" fontId="23" fillId="0" borderId="5" xfId="0" applyNumberFormat="1" applyFont="1" applyBorder="1"/>
    <xf numFmtId="3" fontId="32" fillId="0" borderId="5" xfId="0" applyNumberFormat="1" applyFont="1" applyBorder="1" applyAlignment="1">
      <alignment vertical="top"/>
    </xf>
    <xf numFmtId="44" fontId="23" fillId="0" borderId="0" xfId="2" applyFont="1" applyFill="1"/>
    <xf numFmtId="169" fontId="24" fillId="0" borderId="0" xfId="0" applyNumberFormat="1" applyFont="1"/>
    <xf numFmtId="1" fontId="24" fillId="0" borderId="0" xfId="0" applyNumberFormat="1" applyFont="1"/>
    <xf numFmtId="0" fontId="25" fillId="15" borderId="33" xfId="30" applyFont="1" applyFill="1" applyBorder="1"/>
    <xf numFmtId="0" fontId="23" fillId="15" borderId="35" xfId="30" applyFont="1" applyFill="1" applyBorder="1"/>
    <xf numFmtId="2" fontId="23" fillId="15" borderId="34" xfId="30" applyNumberFormat="1" applyFont="1" applyFill="1" applyBorder="1"/>
    <xf numFmtId="3" fontId="23" fillId="0" borderId="0" xfId="30" applyNumberFormat="1" applyFont="1"/>
    <xf numFmtId="0" fontId="23" fillId="0" borderId="0" xfId="30" quotePrefix="1" applyFont="1"/>
    <xf numFmtId="15" fontId="25" fillId="15" borderId="33" xfId="30" applyNumberFormat="1" applyFont="1" applyFill="1" applyBorder="1" applyAlignment="1">
      <alignment horizontal="left"/>
    </xf>
    <xf numFmtId="0" fontId="23" fillId="15" borderId="35" xfId="30" applyFont="1" applyFill="1" applyBorder="1" applyAlignment="1">
      <alignment horizontal="center"/>
    </xf>
    <xf numFmtId="4" fontId="25" fillId="0" borderId="1" xfId="30" applyNumberFormat="1" applyFont="1" applyBorder="1"/>
    <xf numFmtId="166" fontId="25" fillId="0" borderId="2" xfId="30" applyNumberFormat="1" applyFont="1" applyBorder="1"/>
    <xf numFmtId="3" fontId="25" fillId="0" borderId="2" xfId="30" applyNumberFormat="1" applyFont="1" applyBorder="1"/>
    <xf numFmtId="166" fontId="25" fillId="0" borderId="3" xfId="30" applyNumberFormat="1" applyFont="1" applyBorder="1"/>
    <xf numFmtId="3" fontId="25" fillId="0" borderId="1" xfId="30" applyNumberFormat="1" applyFont="1" applyBorder="1"/>
    <xf numFmtId="0" fontId="23" fillId="0" borderId="4" xfId="30" applyFont="1" applyBorder="1"/>
    <xf numFmtId="0" fontId="23" fillId="0" borderId="0" xfId="30" applyFont="1" applyAlignment="1">
      <alignment horizontal="center"/>
    </xf>
    <xf numFmtId="2" fontId="23" fillId="0" borderId="5" xfId="30" applyNumberFormat="1" applyFont="1" applyBorder="1" applyAlignment="1">
      <alignment horizontal="center"/>
    </xf>
    <xf numFmtId="0" fontId="25" fillId="0" borderId="4" xfId="30" applyFont="1" applyBorder="1" applyAlignment="1">
      <alignment horizontal="center"/>
    </xf>
    <xf numFmtId="166" fontId="25" fillId="0" borderId="0" xfId="30" applyNumberFormat="1" applyFont="1" applyAlignment="1">
      <alignment horizontal="center"/>
    </xf>
    <xf numFmtId="0" fontId="25" fillId="0" borderId="0" xfId="30" applyFont="1" applyAlignment="1">
      <alignment horizontal="center"/>
    </xf>
    <xf numFmtId="166" fontId="25" fillId="0" borderId="5" xfId="30" applyNumberFormat="1" applyFont="1" applyBorder="1" applyAlignment="1">
      <alignment horizontal="center"/>
    </xf>
    <xf numFmtId="3" fontId="25" fillId="0" borderId="4" xfId="30" applyNumberFormat="1" applyFont="1" applyBorder="1" applyAlignment="1">
      <alignment horizontal="center"/>
    </xf>
    <xf numFmtId="3" fontId="25" fillId="0" borderId="0" xfId="30" applyNumberFormat="1" applyFont="1" applyAlignment="1">
      <alignment horizontal="center"/>
    </xf>
    <xf numFmtId="166" fontId="25" fillId="0" borderId="29" xfId="30" applyNumberFormat="1" applyFont="1" applyBorder="1" applyAlignment="1">
      <alignment horizontal="center"/>
    </xf>
    <xf numFmtId="165" fontId="23" fillId="0" borderId="5" xfId="30" applyNumberFormat="1" applyFont="1" applyBorder="1"/>
    <xf numFmtId="4" fontId="25" fillId="0" borderId="4" xfId="30" applyNumberFormat="1" applyFont="1" applyBorder="1" applyAlignment="1">
      <alignment horizontal="center"/>
    </xf>
    <xf numFmtId="0" fontId="23" fillId="0" borderId="12" xfId="30" applyFont="1" applyBorder="1"/>
    <xf numFmtId="4" fontId="23" fillId="16" borderId="4" xfId="30" applyNumberFormat="1" applyFont="1" applyFill="1" applyBorder="1"/>
    <xf numFmtId="3" fontId="23" fillId="16" borderId="0" xfId="30" applyNumberFormat="1" applyFont="1" applyFill="1"/>
    <xf numFmtId="166" fontId="23" fillId="16" borderId="5" xfId="30" applyNumberFormat="1" applyFont="1" applyFill="1" applyBorder="1"/>
    <xf numFmtId="3" fontId="23" fillId="16" borderId="4" xfId="30" applyNumberFormat="1" applyFont="1" applyFill="1" applyBorder="1"/>
    <xf numFmtId="166" fontId="23" fillId="16" borderId="29" xfId="30" applyNumberFormat="1" applyFont="1" applyFill="1" applyBorder="1"/>
    <xf numFmtId="0" fontId="25" fillId="0" borderId="4" xfId="30" applyFont="1" applyBorder="1"/>
    <xf numFmtId="165" fontId="23" fillId="0" borderId="13" xfId="30" applyNumberFormat="1" applyFont="1" applyBorder="1" applyAlignment="1">
      <alignment horizontal="right"/>
    </xf>
    <xf numFmtId="165" fontId="25" fillId="0" borderId="5" xfId="30" applyNumberFormat="1" applyFont="1" applyBorder="1" applyAlignment="1">
      <alignment horizontal="right"/>
    </xf>
    <xf numFmtId="165" fontId="23" fillId="0" borderId="5" xfId="30" applyNumberFormat="1" applyFont="1" applyBorder="1" applyAlignment="1">
      <alignment horizontal="right"/>
    </xf>
    <xf numFmtId="0" fontId="23" fillId="0" borderId="38" xfId="30" applyFont="1" applyBorder="1"/>
    <xf numFmtId="0" fontId="25" fillId="0" borderId="7" xfId="30" applyFont="1" applyBorder="1"/>
    <xf numFmtId="166" fontId="23" fillId="0" borderId="0" xfId="30" applyNumberFormat="1" applyFont="1" applyAlignment="1">
      <alignment horizontal="left"/>
    </xf>
    <xf numFmtId="165" fontId="23" fillId="0" borderId="0" xfId="3" applyNumberFormat="1" applyFont="1"/>
    <xf numFmtId="10" fontId="23" fillId="0" borderId="0" xfId="3" applyNumberFormat="1" applyFont="1"/>
    <xf numFmtId="166" fontId="23" fillId="0" borderId="11" xfId="30" applyNumberFormat="1" applyFont="1" applyBorder="1" applyAlignment="1">
      <alignment horizontal="right"/>
    </xf>
    <xf numFmtId="166" fontId="25" fillId="0" borderId="0" xfId="30" applyNumberFormat="1" applyFont="1" applyAlignment="1">
      <alignment horizontal="right"/>
    </xf>
    <xf numFmtId="166" fontId="23" fillId="0" borderId="43" xfId="30" applyNumberFormat="1" applyFont="1" applyBorder="1" applyAlignment="1">
      <alignment horizontal="right"/>
    </xf>
    <xf numFmtId="166" fontId="23" fillId="0" borderId="16" xfId="30" applyNumberFormat="1" applyFont="1" applyBorder="1" applyAlignment="1">
      <alignment horizontal="right"/>
    </xf>
    <xf numFmtId="165" fontId="23" fillId="0" borderId="39" xfId="30" applyNumberFormat="1" applyFont="1" applyBorder="1" applyAlignment="1">
      <alignment horizontal="right"/>
    </xf>
    <xf numFmtId="166" fontId="25" fillId="0" borderId="8" xfId="30" applyNumberFormat="1" applyFont="1" applyBorder="1" applyAlignment="1">
      <alignment horizontal="right"/>
    </xf>
    <xf numFmtId="165" fontId="25" fillId="0" borderId="9" xfId="30" applyNumberFormat="1" applyFont="1" applyBorder="1" applyAlignment="1">
      <alignment horizontal="right"/>
    </xf>
    <xf numFmtId="0" fontId="23" fillId="0" borderId="0" xfId="30" applyFont="1" applyAlignment="1">
      <alignment horizontal="right"/>
    </xf>
    <xf numFmtId="0" fontId="23" fillId="0" borderId="0" xfId="30" applyFont="1" applyAlignment="1">
      <alignment horizontal="left"/>
    </xf>
    <xf numFmtId="166" fontId="25" fillId="0" borderId="0" xfId="2" applyNumberFormat="1" applyFont="1" applyAlignment="1">
      <alignment horizontal="right"/>
    </xf>
    <xf numFmtId="166" fontId="23" fillId="0" borderId="0" xfId="2" applyNumberFormat="1" applyFont="1"/>
    <xf numFmtId="3" fontId="25" fillId="0" borderId="0" xfId="30" applyNumberFormat="1" applyFont="1" applyAlignment="1">
      <alignment horizontal="left"/>
    </xf>
    <xf numFmtId="0" fontId="25" fillId="0" borderId="0" xfId="30" applyFont="1" applyAlignment="1">
      <alignment horizontal="left"/>
    </xf>
    <xf numFmtId="0" fontId="23" fillId="0" borderId="11" xfId="30" applyFont="1" applyBorder="1" applyAlignment="1">
      <alignment horizontal="right"/>
    </xf>
    <xf numFmtId="3" fontId="23" fillId="0" borderId="0" xfId="30" applyNumberFormat="1" applyFont="1" applyAlignment="1">
      <alignment horizontal="right"/>
    </xf>
    <xf numFmtId="164" fontId="23" fillId="0" borderId="0" xfId="30" applyNumberFormat="1" applyFont="1" applyAlignment="1">
      <alignment horizontal="right"/>
    </xf>
    <xf numFmtId="3" fontId="23" fillId="0" borderId="0" xfId="30" applyNumberFormat="1" applyFont="1" applyAlignment="1">
      <alignment horizontal="left"/>
    </xf>
    <xf numFmtId="3" fontId="23" fillId="0" borderId="11" xfId="30" applyNumberFormat="1" applyFont="1" applyBorder="1"/>
    <xf numFmtId="0" fontId="25" fillId="0" borderId="43" xfId="30" applyFont="1" applyBorder="1"/>
    <xf numFmtId="0" fontId="23" fillId="0" borderId="43" xfId="30" applyFont="1" applyBorder="1"/>
    <xf numFmtId="0" fontId="14" fillId="0" borderId="0" xfId="0" applyFont="1"/>
    <xf numFmtId="0" fontId="24" fillId="0" borderId="44" xfId="0" applyFont="1" applyBorder="1"/>
    <xf numFmtId="0" fontId="24" fillId="0" borderId="45" xfId="0" applyFont="1" applyBorder="1"/>
    <xf numFmtId="0" fontId="24" fillId="0" borderId="46" xfId="0" applyFont="1" applyBorder="1"/>
    <xf numFmtId="0" fontId="14" fillId="0" borderId="0" xfId="0" applyFont="1" applyAlignment="1">
      <alignment horizontal="center" wrapText="1"/>
    </xf>
    <xf numFmtId="0" fontId="14" fillId="0" borderId="0" xfId="0" applyFont="1" applyAlignment="1">
      <alignment horizontal="left" vertical="center"/>
    </xf>
    <xf numFmtId="0" fontId="14" fillId="0" borderId="0" xfId="0" applyFont="1" applyAlignment="1">
      <alignment horizontal="right" vertical="center"/>
    </xf>
    <xf numFmtId="0" fontId="28" fillId="0" borderId="43" xfId="0" applyFont="1" applyBorder="1"/>
    <xf numFmtId="7" fontId="24" fillId="0" borderId="0" xfId="0" applyNumberFormat="1" applyFont="1"/>
    <xf numFmtId="0" fontId="27" fillId="17" borderId="41" xfId="42" applyFont="1" applyFill="1" applyBorder="1" applyAlignment="1">
      <alignment horizontal="center"/>
    </xf>
    <xf numFmtId="0" fontId="27" fillId="0" borderId="0" xfId="43" applyFont="1"/>
    <xf numFmtId="178" fontId="27" fillId="0" borderId="42" xfId="42" applyNumberFormat="1" applyFont="1" applyBorder="1" applyAlignment="1">
      <alignment horizontal="right" wrapText="1"/>
    </xf>
    <xf numFmtId="180" fontId="27" fillId="0" borderId="42" xfId="42" applyNumberFormat="1" applyFont="1" applyBorder="1" applyAlignment="1">
      <alignment horizontal="right" wrapText="1"/>
    </xf>
    <xf numFmtId="180" fontId="27" fillId="0" borderId="50" xfId="42" applyNumberFormat="1" applyFont="1" applyBorder="1" applyAlignment="1">
      <alignment horizontal="right" wrapText="1"/>
    </xf>
    <xf numFmtId="0" fontId="19" fillId="0" borderId="41" xfId="48" applyFont="1" applyBorder="1" applyAlignment="1">
      <alignment horizontal="center"/>
    </xf>
    <xf numFmtId="0" fontId="19" fillId="0" borderId="48" xfId="48" applyFont="1" applyBorder="1" applyAlignment="1">
      <alignment horizontal="center"/>
    </xf>
    <xf numFmtId="0" fontId="19" fillId="0" borderId="0" xfId="48" applyFont="1" applyAlignment="1">
      <alignment horizontal="center"/>
    </xf>
    <xf numFmtId="178" fontId="0" fillId="0" borderId="0" xfId="0" applyNumberFormat="1"/>
    <xf numFmtId="178" fontId="19" fillId="0" borderId="42" xfId="48" applyNumberFormat="1" applyFont="1" applyBorder="1" applyAlignment="1">
      <alignment horizontal="right" wrapText="1"/>
    </xf>
    <xf numFmtId="177" fontId="19" fillId="0" borderId="42" xfId="48" applyNumberFormat="1" applyFont="1" applyBorder="1" applyAlignment="1">
      <alignment horizontal="right" wrapText="1"/>
    </xf>
    <xf numFmtId="177" fontId="12" fillId="0" borderId="50" xfId="48" applyNumberFormat="1" applyFont="1" applyBorder="1" applyAlignment="1">
      <alignment horizontal="right" wrapText="1"/>
    </xf>
    <xf numFmtId="0" fontId="12" fillId="0" borderId="41" xfId="45" applyFont="1" applyBorder="1" applyAlignment="1">
      <alignment horizontal="center"/>
    </xf>
    <xf numFmtId="178" fontId="12" fillId="0" borderId="42" xfId="45" applyNumberFormat="1" applyFont="1" applyBorder="1" applyAlignment="1">
      <alignment horizontal="right" wrapText="1"/>
    </xf>
    <xf numFmtId="177" fontId="12" fillId="0" borderId="42" xfId="45" applyNumberFormat="1" applyFont="1" applyBorder="1" applyAlignment="1">
      <alignment horizontal="right" wrapText="1"/>
    </xf>
    <xf numFmtId="0" fontId="0" fillId="0" borderId="0" xfId="0" quotePrefix="1" applyAlignment="1">
      <alignment horizontal="right"/>
    </xf>
    <xf numFmtId="0" fontId="24" fillId="0" borderId="0" xfId="0" applyFont="1" applyAlignment="1">
      <alignment horizontal="left"/>
    </xf>
    <xf numFmtId="0" fontId="24" fillId="14" borderId="19" xfId="0" applyFont="1" applyFill="1" applyBorder="1" applyAlignment="1">
      <alignment horizontal="left"/>
    </xf>
    <xf numFmtId="0" fontId="24" fillId="14" borderId="20" xfId="0" applyFont="1" applyFill="1" applyBorder="1" applyAlignment="1">
      <alignment horizontal="left"/>
    </xf>
    <xf numFmtId="0" fontId="24" fillId="14" borderId="32" xfId="0" applyFont="1" applyFill="1" applyBorder="1" applyAlignment="1">
      <alignment horizontal="left"/>
    </xf>
    <xf numFmtId="0" fontId="24" fillId="0" borderId="19" xfId="0" applyFont="1" applyBorder="1" applyAlignment="1">
      <alignment horizontal="left"/>
    </xf>
    <xf numFmtId="0" fontId="24" fillId="0" borderId="20" xfId="0" applyFont="1" applyBorder="1" applyAlignment="1">
      <alignment horizontal="left"/>
    </xf>
    <xf numFmtId="0" fontId="24" fillId="0" borderId="32" xfId="0" applyFont="1" applyBorder="1" applyAlignment="1">
      <alignment horizontal="left"/>
    </xf>
    <xf numFmtId="0" fontId="25" fillId="0" borderId="6" xfId="0" applyFont="1" applyBorder="1" applyAlignment="1">
      <alignment horizontal="center" vertical="center"/>
    </xf>
    <xf numFmtId="0" fontId="25" fillId="0" borderId="22" xfId="0" applyFont="1" applyBorder="1" applyAlignment="1">
      <alignment horizontal="center" vertical="center"/>
    </xf>
    <xf numFmtId="166" fontId="25" fillId="0" borderId="19" xfId="0" applyNumberFormat="1" applyFont="1" applyBorder="1" applyAlignment="1">
      <alignment horizontal="center" vertical="center"/>
    </xf>
    <xf numFmtId="166" fontId="25" fillId="0" borderId="20" xfId="0" applyNumberFormat="1" applyFont="1" applyBorder="1" applyAlignment="1">
      <alignment horizontal="center" vertical="center"/>
    </xf>
    <xf numFmtId="166" fontId="25" fillId="0" borderId="21" xfId="0" applyNumberFormat="1" applyFont="1" applyBorder="1" applyAlignment="1">
      <alignment horizontal="center" vertic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0" fillId="0" borderId="0" xfId="0" applyAlignment="1">
      <alignment horizontal="left" wrapText="1"/>
    </xf>
    <xf numFmtId="0" fontId="19" fillId="0" borderId="0" xfId="48" applyFont="1" applyAlignment="1">
      <alignment horizontal="left"/>
    </xf>
  </cellXfs>
  <cellStyles count="50">
    <cellStyle name="Comma" xfId="1" builtinId="3"/>
    <cellStyle name="Comma 2" xfId="6" xr:uid="{00000000-0005-0000-0000-000001000000}"/>
    <cellStyle name="Comma 3" xfId="7" xr:uid="{00000000-0005-0000-0000-000002000000}"/>
    <cellStyle name="Comma 3 2" xfId="8" xr:uid="{00000000-0005-0000-0000-000003000000}"/>
    <cellStyle name="Comma 3 3" xfId="34" xr:uid="{00000000-0005-0000-0000-000004000000}"/>
    <cellStyle name="Comma 4" xfId="9" xr:uid="{00000000-0005-0000-0000-000005000000}"/>
    <cellStyle name="Comma 5" xfId="27" xr:uid="{00000000-0005-0000-0000-000006000000}"/>
    <cellStyle name="Comma 6" xfId="5" xr:uid="{00000000-0005-0000-0000-000007000000}"/>
    <cellStyle name="Comma 7" xfId="31" xr:uid="{00000000-0005-0000-0000-000008000000}"/>
    <cellStyle name="Comma 8" xfId="47" xr:uid="{57923FE8-09A0-4C9D-BFF5-40D0B6407C6B}"/>
    <cellStyle name="Comma0" xfId="10" xr:uid="{00000000-0005-0000-0000-000009000000}"/>
    <cellStyle name="Comma0 2" xfId="11" xr:uid="{00000000-0005-0000-0000-00000A000000}"/>
    <cellStyle name="Comma0 3" xfId="12" xr:uid="{00000000-0005-0000-0000-00000B000000}"/>
    <cellStyle name="Currency" xfId="2" builtinId="4"/>
    <cellStyle name="Currency 2" xfId="14" xr:uid="{00000000-0005-0000-0000-00000D000000}"/>
    <cellStyle name="Currency 3" xfId="15" xr:uid="{00000000-0005-0000-0000-00000E000000}"/>
    <cellStyle name="Currency 3 2" xfId="16" xr:uid="{00000000-0005-0000-0000-00000F000000}"/>
    <cellStyle name="Currency 3 3" xfId="35" xr:uid="{00000000-0005-0000-0000-000010000000}"/>
    <cellStyle name="Currency 4" xfId="17" xr:uid="{00000000-0005-0000-0000-000011000000}"/>
    <cellStyle name="Currency 5" xfId="28" xr:uid="{00000000-0005-0000-0000-000012000000}"/>
    <cellStyle name="Currency 6" xfId="13" xr:uid="{00000000-0005-0000-0000-000013000000}"/>
    <cellStyle name="Currency 7" xfId="32" xr:uid="{00000000-0005-0000-0000-000014000000}"/>
    <cellStyle name="Hyperlink" xfId="38" builtinId="8"/>
    <cellStyle name="Hyperlink 2" xfId="18" xr:uid="{00000000-0005-0000-0000-000016000000}"/>
    <cellStyle name="Normal" xfId="0" builtinId="0"/>
    <cellStyle name="Normal 10 2 2" xfId="39" xr:uid="{00000000-0005-0000-0000-000018000000}"/>
    <cellStyle name="Normal 169" xfId="40" xr:uid="{00000000-0005-0000-0000-000019000000}"/>
    <cellStyle name="Normal 2" xfId="19" xr:uid="{00000000-0005-0000-0000-00001A000000}"/>
    <cellStyle name="Normal 2 2" xfId="41" xr:uid="{00000000-0005-0000-0000-00001B000000}"/>
    <cellStyle name="Normal 3" xfId="20" xr:uid="{00000000-0005-0000-0000-00001C000000}"/>
    <cellStyle name="Normal 4" xfId="26" xr:uid="{00000000-0005-0000-0000-00001D000000}"/>
    <cellStyle name="Normal 5" xfId="4" xr:uid="{00000000-0005-0000-0000-00001E000000}"/>
    <cellStyle name="Normal 6" xfId="30" xr:uid="{00000000-0005-0000-0000-00001F000000}"/>
    <cellStyle name="Normal 7" xfId="46" xr:uid="{14FEAB08-AC90-41A6-A961-7F9CC561C347}"/>
    <cellStyle name="Normal_2.StudentAssumptions" xfId="37" xr:uid="{00000000-0005-0000-0000-000020000000}"/>
    <cellStyle name="Normal_3.SalaryHistory_2" xfId="44" xr:uid="{B988A3BD-C2D0-4F18-8A85-F4123FD2E7FD}"/>
    <cellStyle name="Normal_District total salaries" xfId="45" xr:uid="{6D17DF79-79DD-42B8-9394-B2682B30CAC6}"/>
    <cellStyle name="Normal_Food service" xfId="43" xr:uid="{00000000-0005-0000-0000-000024000000}"/>
    <cellStyle name="Normal_RIPROS" xfId="48" xr:uid="{7BEA3F5E-5E6E-4591-AB1E-D2A59D2A6878}"/>
    <cellStyle name="Normal_Sheet1" xfId="49" xr:uid="{6D8B0C83-50C3-47EC-B48C-D6DBF33BFBCC}"/>
    <cellStyle name="Normal_Sheet3" xfId="42" xr:uid="{00000000-0005-0000-0000-000025000000}"/>
    <cellStyle name="Percent" xfId="3" builtinId="5"/>
    <cellStyle name="Percent 2" xfId="22" xr:uid="{00000000-0005-0000-0000-000028000000}"/>
    <cellStyle name="Percent 3" xfId="23" xr:uid="{00000000-0005-0000-0000-000029000000}"/>
    <cellStyle name="Percent 3 2" xfId="24" xr:uid="{00000000-0005-0000-0000-00002A000000}"/>
    <cellStyle name="Percent 3 3" xfId="36" xr:uid="{00000000-0005-0000-0000-00002B000000}"/>
    <cellStyle name="Percent 4" xfId="25" xr:uid="{00000000-0005-0000-0000-00002C000000}"/>
    <cellStyle name="Percent 5" xfId="29" xr:uid="{00000000-0005-0000-0000-00002D000000}"/>
    <cellStyle name="Percent 6" xfId="21" xr:uid="{00000000-0005-0000-0000-00002E000000}"/>
    <cellStyle name="Percent 7" xfId="33"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90</xdr:row>
      <xdr:rowOff>0</xdr:rowOff>
    </xdr:from>
    <xdr:to>
      <xdr:col>6</xdr:col>
      <xdr:colOff>33337</xdr:colOff>
      <xdr:row>91</xdr:row>
      <xdr:rowOff>2381</xdr:rowOff>
    </xdr:to>
    <xdr:sp macro="" textlink="">
      <xdr:nvSpPr>
        <xdr:cNvPr id="3" name="Text Box 1">
          <a:extLst>
            <a:ext uri="{FF2B5EF4-FFF2-40B4-BE49-F238E27FC236}">
              <a16:creationId xmlns:a16="http://schemas.microsoft.com/office/drawing/2014/main" id="{00000000-0008-0000-0E00-000003000000}"/>
            </a:ext>
          </a:extLst>
        </xdr:cNvPr>
        <xdr:cNvSpPr txBox="1">
          <a:spLocks noChangeArrowheads="1"/>
        </xdr:cNvSpPr>
      </xdr:nvSpPr>
      <xdr:spPr bwMode="auto">
        <a:xfrm>
          <a:off x="4381500" y="571500"/>
          <a:ext cx="571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xdr:row>
      <xdr:rowOff>0</xdr:rowOff>
    </xdr:from>
    <xdr:to>
      <xdr:col>6</xdr:col>
      <xdr:colOff>33337</xdr:colOff>
      <xdr:row>85</xdr:row>
      <xdr:rowOff>38101</xdr:rowOff>
    </xdr:to>
    <xdr:sp macro="" textlink="">
      <xdr:nvSpPr>
        <xdr:cNvPr id="6" name="Text Box 1">
          <a:extLst>
            <a:ext uri="{FF2B5EF4-FFF2-40B4-BE49-F238E27FC236}">
              <a16:creationId xmlns:a16="http://schemas.microsoft.com/office/drawing/2014/main" id="{00000000-0008-0000-0E00-000006000000}"/>
            </a:ext>
          </a:extLst>
        </xdr:cNvPr>
        <xdr:cNvSpPr txBox="1">
          <a:spLocks noChangeArrowheads="1"/>
        </xdr:cNvSpPr>
      </xdr:nvSpPr>
      <xdr:spPr bwMode="auto">
        <a:xfrm>
          <a:off x="4381500" y="190500"/>
          <a:ext cx="571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114</xdr:row>
      <xdr:rowOff>57150</xdr:rowOff>
    </xdr:from>
    <xdr:to>
      <xdr:col>6</xdr:col>
      <xdr:colOff>33337</xdr:colOff>
      <xdr:row>115</xdr:row>
      <xdr:rowOff>47625</xdr:rowOff>
    </xdr:to>
    <xdr:sp macro="" textlink="">
      <xdr:nvSpPr>
        <xdr:cNvPr id="7" name="Text Box 1">
          <a:extLst>
            <a:ext uri="{FF2B5EF4-FFF2-40B4-BE49-F238E27FC236}">
              <a16:creationId xmlns:a16="http://schemas.microsoft.com/office/drawing/2014/main" id="{00000000-0008-0000-0E00-000007000000}"/>
            </a:ext>
          </a:extLst>
        </xdr:cNvPr>
        <xdr:cNvSpPr txBox="1">
          <a:spLocks noChangeArrowheads="1"/>
        </xdr:cNvSpPr>
      </xdr:nvSpPr>
      <xdr:spPr bwMode="auto">
        <a:xfrm>
          <a:off x="4381500" y="1962150"/>
          <a:ext cx="571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90</xdr:row>
      <xdr:rowOff>0</xdr:rowOff>
    </xdr:from>
    <xdr:ext cx="33337" cy="192881"/>
    <xdr:sp macro="" textlink="">
      <xdr:nvSpPr>
        <xdr:cNvPr id="2" name="Text Box 1">
          <a:extLst>
            <a:ext uri="{FF2B5EF4-FFF2-40B4-BE49-F238E27FC236}">
              <a16:creationId xmlns:a16="http://schemas.microsoft.com/office/drawing/2014/main" id="{892B3A30-162F-4371-A002-3E69C95E4BB0}"/>
            </a:ext>
          </a:extLst>
        </xdr:cNvPr>
        <xdr:cNvSpPr txBox="1">
          <a:spLocks noChangeArrowheads="1"/>
        </xdr:cNvSpPr>
      </xdr:nvSpPr>
      <xdr:spPr bwMode="auto">
        <a:xfrm>
          <a:off x="0" y="10731500"/>
          <a:ext cx="33337" cy="192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71</xdr:row>
      <xdr:rowOff>0</xdr:rowOff>
    </xdr:from>
    <xdr:ext cx="33337" cy="2705101"/>
    <xdr:sp macro="" textlink="">
      <xdr:nvSpPr>
        <xdr:cNvPr id="4" name="Text Box 1">
          <a:extLst>
            <a:ext uri="{FF2B5EF4-FFF2-40B4-BE49-F238E27FC236}">
              <a16:creationId xmlns:a16="http://schemas.microsoft.com/office/drawing/2014/main" id="{E2EF72A2-5EB0-4D5A-B14D-2E27173E6062}"/>
            </a:ext>
          </a:extLst>
        </xdr:cNvPr>
        <xdr:cNvSpPr txBox="1">
          <a:spLocks noChangeArrowheads="1"/>
        </xdr:cNvSpPr>
      </xdr:nvSpPr>
      <xdr:spPr bwMode="auto">
        <a:xfrm>
          <a:off x="0" y="7471833"/>
          <a:ext cx="33337" cy="2705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57150</xdr:rowOff>
    </xdr:from>
    <xdr:ext cx="33337" cy="180975"/>
    <xdr:sp macro="" textlink="">
      <xdr:nvSpPr>
        <xdr:cNvPr id="5" name="Text Box 1">
          <a:extLst>
            <a:ext uri="{FF2B5EF4-FFF2-40B4-BE49-F238E27FC236}">
              <a16:creationId xmlns:a16="http://schemas.microsoft.com/office/drawing/2014/main" id="{02C94772-B986-4F33-AA05-FBDFEA94EB70}"/>
            </a:ext>
          </a:extLst>
        </xdr:cNvPr>
        <xdr:cNvSpPr txBox="1">
          <a:spLocks noChangeArrowheads="1"/>
        </xdr:cNvSpPr>
      </xdr:nvSpPr>
      <xdr:spPr bwMode="auto">
        <a:xfrm>
          <a:off x="0" y="12333817"/>
          <a:ext cx="33337"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90</xdr:row>
      <xdr:rowOff>0</xdr:rowOff>
    </xdr:from>
    <xdr:to>
      <xdr:col>6</xdr:col>
      <xdr:colOff>33337</xdr:colOff>
      <xdr:row>90</xdr:row>
      <xdr:rowOff>180975</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3629025" y="17487900"/>
          <a:ext cx="33337"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xdr:row>
      <xdr:rowOff>0</xdr:rowOff>
    </xdr:from>
    <xdr:to>
      <xdr:col>6</xdr:col>
      <xdr:colOff>33337</xdr:colOff>
      <xdr:row>84</xdr:row>
      <xdr:rowOff>104773</xdr:rowOff>
    </xdr:to>
    <xdr:sp macro="" textlink="">
      <xdr:nvSpPr>
        <xdr:cNvPr id="3" name="Text Box 1">
          <a:extLst>
            <a:ext uri="{FF2B5EF4-FFF2-40B4-BE49-F238E27FC236}">
              <a16:creationId xmlns:a16="http://schemas.microsoft.com/office/drawing/2014/main" id="{00000000-0008-0000-0F00-000003000000}"/>
            </a:ext>
          </a:extLst>
        </xdr:cNvPr>
        <xdr:cNvSpPr txBox="1">
          <a:spLocks noChangeArrowheads="1"/>
        </xdr:cNvSpPr>
      </xdr:nvSpPr>
      <xdr:spPr bwMode="auto">
        <a:xfrm>
          <a:off x="3629025" y="13839825"/>
          <a:ext cx="33337"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114</xdr:row>
      <xdr:rowOff>57150</xdr:rowOff>
    </xdr:from>
    <xdr:to>
      <xdr:col>6</xdr:col>
      <xdr:colOff>33337</xdr:colOff>
      <xdr:row>115</xdr:row>
      <xdr:rowOff>38100</xdr:rowOff>
    </xdr:to>
    <xdr:sp macro="" textlink="">
      <xdr:nvSpPr>
        <xdr:cNvPr id="4" name="Text Box 1">
          <a:extLst>
            <a:ext uri="{FF2B5EF4-FFF2-40B4-BE49-F238E27FC236}">
              <a16:creationId xmlns:a16="http://schemas.microsoft.com/office/drawing/2014/main" id="{00000000-0008-0000-0F00-000004000000}"/>
            </a:ext>
          </a:extLst>
        </xdr:cNvPr>
        <xdr:cNvSpPr txBox="1">
          <a:spLocks noChangeArrowheads="1"/>
        </xdr:cNvSpPr>
      </xdr:nvSpPr>
      <xdr:spPr bwMode="auto">
        <a:xfrm>
          <a:off x="3629025" y="22155150"/>
          <a:ext cx="33337"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90</xdr:row>
      <xdr:rowOff>0</xdr:rowOff>
    </xdr:from>
    <xdr:to>
      <xdr:col>6</xdr:col>
      <xdr:colOff>33337</xdr:colOff>
      <xdr:row>90</xdr:row>
      <xdr:rowOff>192240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3629025" y="17487900"/>
          <a:ext cx="33337"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71</xdr:row>
      <xdr:rowOff>0</xdr:rowOff>
    </xdr:from>
    <xdr:to>
      <xdr:col>6</xdr:col>
      <xdr:colOff>33337</xdr:colOff>
      <xdr:row>84</xdr:row>
      <xdr:rowOff>104775</xdr:rowOff>
    </xdr:to>
    <xdr:sp macro="" textlink="">
      <xdr:nvSpPr>
        <xdr:cNvPr id="3" name="Text Box 1">
          <a:extLst>
            <a:ext uri="{FF2B5EF4-FFF2-40B4-BE49-F238E27FC236}">
              <a16:creationId xmlns:a16="http://schemas.microsoft.com/office/drawing/2014/main" id="{00000000-0008-0000-1000-000003000000}"/>
            </a:ext>
          </a:extLst>
        </xdr:cNvPr>
        <xdr:cNvSpPr txBox="1">
          <a:spLocks noChangeArrowheads="1"/>
        </xdr:cNvSpPr>
      </xdr:nvSpPr>
      <xdr:spPr bwMode="auto">
        <a:xfrm>
          <a:off x="3629025" y="13839825"/>
          <a:ext cx="33337"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114</xdr:row>
      <xdr:rowOff>57150</xdr:rowOff>
    </xdr:from>
    <xdr:to>
      <xdr:col>6</xdr:col>
      <xdr:colOff>33337</xdr:colOff>
      <xdr:row>115</xdr:row>
      <xdr:rowOff>38100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3629025" y="22155150"/>
          <a:ext cx="33337"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QEC\QEC%20YYYY\Model%20Spreadsheets\Initial%20for%20Report%20YYY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12 Assumptions"/>
      <sheetName val="Years"/>
      <sheetName val="Raw Student"/>
      <sheetName val="Raw Staff"/>
      <sheetName val="Raw Financial"/>
      <sheetName val="Staffing_ClassSize_Report"/>
      <sheetName val="Pre-K Assumptions"/>
      <sheetName val="Scale-Up"/>
      <sheetName val="Pre-K Output Tables"/>
      <sheetName val="Pre-K Detail"/>
      <sheetName val="K-12 Output Tables"/>
      <sheetName val="ES_Detail"/>
      <sheetName val="MS_Detail"/>
      <sheetName val="HS_Detail"/>
      <sheetName val="Detail_Parameters"/>
      <sheetName val="Parameters"/>
      <sheetName val="SalaryParameters"/>
      <sheetName val="Diagnosti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76">
          <cell r="B76" t="str">
            <v>Computers per school</v>
          </cell>
          <cell r="C76" t="str">
            <v>Students per Computer</v>
          </cell>
          <cell r="D76" t="str">
            <v>Student Computers</v>
          </cell>
          <cell r="E76" t="str">
            <v>Teacher and Admin Computers</v>
          </cell>
          <cell r="F76" t="str">
            <v>Total Computers</v>
          </cell>
        </row>
        <row r="78">
          <cell r="B78" t="str">
            <v>Elementary</v>
          </cell>
          <cell r="C78">
            <v>6</v>
          </cell>
          <cell r="D78">
            <v>55</v>
          </cell>
          <cell r="E78">
            <v>25</v>
          </cell>
          <cell r="F78">
            <v>80</v>
          </cell>
        </row>
        <row r="79">
          <cell r="B79" t="str">
            <v>Middle</v>
          </cell>
          <cell r="C79">
            <v>6</v>
          </cell>
          <cell r="D79">
            <v>83.333333333333329</v>
          </cell>
          <cell r="E79">
            <v>35</v>
          </cell>
          <cell r="F79">
            <v>118.33333333333333</v>
          </cell>
        </row>
        <row r="80">
          <cell r="B80" t="str">
            <v>High</v>
          </cell>
          <cell r="C80">
            <v>5</v>
          </cell>
          <cell r="D80">
            <v>200</v>
          </cell>
          <cell r="E80">
            <v>75</v>
          </cell>
          <cell r="F80">
            <v>275</v>
          </cell>
        </row>
      </sheetData>
      <sheetData sheetId="16">
        <row r="80">
          <cell r="C80" t="str">
            <v>All Years</v>
          </cell>
        </row>
        <row r="81">
          <cell r="A81" t="str">
            <v>StudTrans</v>
          </cell>
          <cell r="B81" t="str">
            <v>Student Transportation</v>
          </cell>
          <cell r="C81">
            <v>0.33</v>
          </cell>
        </row>
        <row r="82">
          <cell r="A82" t="str">
            <v>TechService</v>
          </cell>
          <cell r="B82" t="str">
            <v>Technology Services</v>
          </cell>
          <cell r="C82">
            <v>0.34</v>
          </cell>
        </row>
        <row r="83">
          <cell r="A83" t="str">
            <v>O&amp;M</v>
          </cell>
          <cell r="B83" t="str">
            <v>Operations and Maintenance</v>
          </cell>
          <cell r="C83">
            <v>0.42</v>
          </cell>
        </row>
        <row r="84">
          <cell r="A84" t="str">
            <v>OSS_Serv</v>
          </cell>
          <cell r="B84" t="str">
            <v>Other Support Services</v>
          </cell>
          <cell r="C84">
            <v>0.5</v>
          </cell>
        </row>
        <row r="85">
          <cell r="A85" t="str">
            <v>Cent_SpEd</v>
          </cell>
          <cell r="B85" t="str">
            <v>Centralized Special Ed Services</v>
          </cell>
          <cell r="C85">
            <v>0.5</v>
          </cell>
        </row>
        <row r="86">
          <cell r="A86" t="str">
            <v>CurDevAssess</v>
          </cell>
          <cell r="B86" t="str">
            <v>Curriculum Dev. and Assessment</v>
          </cell>
          <cell r="C86">
            <v>0.6</v>
          </cell>
        </row>
        <row r="87">
          <cell r="A87" t="str">
            <v>ExecAdmin</v>
          </cell>
          <cell r="B87" t="str">
            <v>Executive Administration</v>
          </cell>
          <cell r="C87">
            <v>0.49</v>
          </cell>
        </row>
        <row r="88">
          <cell r="A88" t="str">
            <v>BusFiscAdmin</v>
          </cell>
          <cell r="B88" t="str">
            <v>Business and Fiscal Administration</v>
          </cell>
          <cell r="C88">
            <v>0.6</v>
          </cell>
        </row>
        <row r="89">
          <cell r="A89" t="str">
            <v>PersAdmin</v>
          </cell>
          <cell r="B89" t="str">
            <v>Personnel Administration</v>
          </cell>
          <cell r="C89">
            <v>0.56000000000000005</v>
          </cell>
        </row>
        <row r="90">
          <cell r="A90" t="str">
            <v>PublicInfo</v>
          </cell>
          <cell r="B90" t="str">
            <v>Public Information</v>
          </cell>
          <cell r="C90">
            <v>0.52</v>
          </cell>
        </row>
        <row r="91">
          <cell r="A91" t="str">
            <v>ESD_SpEd</v>
          </cell>
          <cell r="B91" t="str">
            <v>ESD Special Education Services</v>
          </cell>
          <cell r="C91">
            <v>0.5</v>
          </cell>
        </row>
        <row r="92">
          <cell r="A92" t="str">
            <v>ESD_InstSupp</v>
          </cell>
          <cell r="B92" t="str">
            <v>ESD Instructional Support</v>
          </cell>
          <cell r="C92">
            <v>0.6</v>
          </cell>
        </row>
        <row r="93">
          <cell r="A93" t="str">
            <v>ESD_TechServ</v>
          </cell>
          <cell r="B93" t="str">
            <v>ESD Technoogy Services</v>
          </cell>
          <cell r="C93">
            <v>0.34</v>
          </cell>
        </row>
        <row r="94">
          <cell r="A94" t="str">
            <v>ESD_CentServ</v>
          </cell>
          <cell r="B94" t="str">
            <v>ESD Central Services</v>
          </cell>
          <cell r="C94">
            <v>0.5</v>
          </cell>
        </row>
        <row r="95">
          <cell r="A95" t="str">
            <v>ESD_Admin</v>
          </cell>
          <cell r="B95" t="str">
            <v>ESD Administration</v>
          </cell>
          <cell r="C95">
            <v>0.49</v>
          </cell>
        </row>
      </sheetData>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data.bls.gov/timeseries/CUUR0000SEEE01?output_view=data"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data.bls.gov/timeseries/CUSR0000SEEA?output_view=data"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32"/>
  <sheetViews>
    <sheetView tabSelected="1" topLeftCell="C1" zoomScaleNormal="100" workbookViewId="0">
      <selection activeCell="C1" sqref="C1"/>
    </sheetView>
  </sheetViews>
  <sheetFormatPr defaultRowHeight="15.75" outlineLevelCol="1"/>
  <cols>
    <col min="1" max="1" width="22.28515625" style="226" hidden="1" customWidth="1" outlineLevel="1"/>
    <col min="2" max="2" width="11" style="226" hidden="1" customWidth="1" outlineLevel="1"/>
    <col min="3" max="3" width="2.85546875" style="226" customWidth="1" collapsed="1"/>
    <col min="4" max="4" width="71.7109375" style="226" customWidth="1"/>
    <col min="5" max="5" width="21" style="226" bestFit="1" customWidth="1"/>
    <col min="6" max="6" width="17.7109375" style="226" customWidth="1"/>
    <col min="7" max="7" width="15.42578125" style="226" bestFit="1" customWidth="1"/>
    <col min="8" max="8" width="12.42578125" style="226" bestFit="1" customWidth="1"/>
    <col min="9" max="9" width="14.85546875" style="226" bestFit="1" customWidth="1"/>
    <col min="10" max="10" width="40.140625" style="226" hidden="1" customWidth="1"/>
    <col min="11" max="11" width="12" style="226" hidden="1" customWidth="1"/>
    <col min="12" max="12" width="12" style="227" hidden="1" customWidth="1"/>
    <col min="13" max="13" width="12" style="226" hidden="1" customWidth="1"/>
    <col min="14" max="14" width="12" style="227" hidden="1" customWidth="1"/>
    <col min="15" max="15" width="19.7109375" style="227" hidden="1" customWidth="1"/>
    <col min="16" max="16" width="12" style="781" hidden="1" customWidth="1"/>
    <col min="17" max="17" width="12" style="227" hidden="1" customWidth="1"/>
    <col min="18" max="18" width="12" style="781" hidden="1" customWidth="1"/>
    <col min="19" max="19" width="12" style="227" hidden="1" customWidth="1"/>
    <col min="20" max="20" width="16.5703125" style="227" hidden="1" customWidth="1"/>
    <col min="21" max="21" width="17.28515625" style="227" hidden="1" customWidth="1"/>
    <col min="22" max="254" width="9.140625" style="226"/>
    <col min="255" max="255" width="21" style="226" bestFit="1" customWidth="1"/>
    <col min="256" max="256" width="9.5703125" style="226" bestFit="1" customWidth="1"/>
    <col min="257" max="257" width="2.85546875" style="226" customWidth="1"/>
    <col min="258" max="258" width="68.7109375" style="226" customWidth="1"/>
    <col min="259" max="260" width="15.7109375" style="226" customWidth="1"/>
    <col min="261" max="261" width="15.5703125" style="226" bestFit="1" customWidth="1"/>
    <col min="262" max="262" width="11.7109375" style="226" customWidth="1"/>
    <col min="263" max="263" width="13.140625" style="226" customWidth="1"/>
    <col min="264" max="264" width="17" style="226" customWidth="1"/>
    <col min="265" max="265" width="15.42578125" style="226" customWidth="1"/>
    <col min="266" max="266" width="11.140625" style="226" customWidth="1"/>
    <col min="267" max="267" width="16.7109375" style="226" customWidth="1"/>
    <col min="268" max="268" width="11.7109375" style="226" bestFit="1" customWidth="1"/>
    <col min="269" max="510" width="9.140625" style="226"/>
    <col min="511" max="511" width="21" style="226" bestFit="1" customWidth="1"/>
    <col min="512" max="512" width="9.5703125" style="226" bestFit="1" customWidth="1"/>
    <col min="513" max="513" width="2.85546875" style="226" customWidth="1"/>
    <col min="514" max="514" width="68.7109375" style="226" customWidth="1"/>
    <col min="515" max="516" width="15.7109375" style="226" customWidth="1"/>
    <col min="517" max="517" width="15.5703125" style="226" bestFit="1" customWidth="1"/>
    <col min="518" max="518" width="11.7109375" style="226" customWidth="1"/>
    <col min="519" max="519" width="13.140625" style="226" customWidth="1"/>
    <col min="520" max="520" width="17" style="226" customWidth="1"/>
    <col min="521" max="521" width="15.42578125" style="226" customWidth="1"/>
    <col min="522" max="522" width="11.140625" style="226" customWidth="1"/>
    <col min="523" max="523" width="16.7109375" style="226" customWidth="1"/>
    <col min="524" max="524" width="11.7109375" style="226" bestFit="1" customWidth="1"/>
    <col min="525" max="766" width="9.140625" style="226"/>
    <col min="767" max="767" width="21" style="226" bestFit="1" customWidth="1"/>
    <col min="768" max="768" width="9.5703125" style="226" bestFit="1" customWidth="1"/>
    <col min="769" max="769" width="2.85546875" style="226" customWidth="1"/>
    <col min="770" max="770" width="68.7109375" style="226" customWidth="1"/>
    <col min="771" max="772" width="15.7109375" style="226" customWidth="1"/>
    <col min="773" max="773" width="15.5703125" style="226" bestFit="1" customWidth="1"/>
    <col min="774" max="774" width="11.7109375" style="226" customWidth="1"/>
    <col min="775" max="775" width="13.140625" style="226" customWidth="1"/>
    <col min="776" max="776" width="17" style="226" customWidth="1"/>
    <col min="777" max="777" width="15.42578125" style="226" customWidth="1"/>
    <col min="778" max="778" width="11.140625" style="226" customWidth="1"/>
    <col min="779" max="779" width="16.7109375" style="226" customWidth="1"/>
    <col min="780" max="780" width="11.7109375" style="226" bestFit="1" customWidth="1"/>
    <col min="781" max="1022" width="9.140625" style="226"/>
    <col min="1023" max="1023" width="21" style="226" bestFit="1" customWidth="1"/>
    <col min="1024" max="1024" width="9.5703125" style="226" bestFit="1" customWidth="1"/>
    <col min="1025" max="1025" width="2.85546875" style="226" customWidth="1"/>
    <col min="1026" max="1026" width="68.7109375" style="226" customWidth="1"/>
    <col min="1027" max="1028" width="15.7109375" style="226" customWidth="1"/>
    <col min="1029" max="1029" width="15.5703125" style="226" bestFit="1" customWidth="1"/>
    <col min="1030" max="1030" width="11.7109375" style="226" customWidth="1"/>
    <col min="1031" max="1031" width="13.140625" style="226" customWidth="1"/>
    <col min="1032" max="1032" width="17" style="226" customWidth="1"/>
    <col min="1033" max="1033" width="15.42578125" style="226" customWidth="1"/>
    <col min="1034" max="1034" width="11.140625" style="226" customWidth="1"/>
    <col min="1035" max="1035" width="16.7109375" style="226" customWidth="1"/>
    <col min="1036" max="1036" width="11.7109375" style="226" bestFit="1" customWidth="1"/>
    <col min="1037" max="1278" width="9.140625" style="226"/>
    <col min="1279" max="1279" width="21" style="226" bestFit="1" customWidth="1"/>
    <col min="1280" max="1280" width="9.5703125" style="226" bestFit="1" customWidth="1"/>
    <col min="1281" max="1281" width="2.85546875" style="226" customWidth="1"/>
    <col min="1282" max="1282" width="68.7109375" style="226" customWidth="1"/>
    <col min="1283" max="1284" width="15.7109375" style="226" customWidth="1"/>
    <col min="1285" max="1285" width="15.5703125" style="226" bestFit="1" customWidth="1"/>
    <col min="1286" max="1286" width="11.7109375" style="226" customWidth="1"/>
    <col min="1287" max="1287" width="13.140625" style="226" customWidth="1"/>
    <col min="1288" max="1288" width="17" style="226" customWidth="1"/>
    <col min="1289" max="1289" width="15.42578125" style="226" customWidth="1"/>
    <col min="1290" max="1290" width="11.140625" style="226" customWidth="1"/>
    <col min="1291" max="1291" width="16.7109375" style="226" customWidth="1"/>
    <col min="1292" max="1292" width="11.7109375" style="226" bestFit="1" customWidth="1"/>
    <col min="1293" max="1534" width="9.140625" style="226"/>
    <col min="1535" max="1535" width="21" style="226" bestFit="1" customWidth="1"/>
    <col min="1536" max="1536" width="9.5703125" style="226" bestFit="1" customWidth="1"/>
    <col min="1537" max="1537" width="2.85546875" style="226" customWidth="1"/>
    <col min="1538" max="1538" width="68.7109375" style="226" customWidth="1"/>
    <col min="1539" max="1540" width="15.7109375" style="226" customWidth="1"/>
    <col min="1541" max="1541" width="15.5703125" style="226" bestFit="1" customWidth="1"/>
    <col min="1542" max="1542" width="11.7109375" style="226" customWidth="1"/>
    <col min="1543" max="1543" width="13.140625" style="226" customWidth="1"/>
    <col min="1544" max="1544" width="17" style="226" customWidth="1"/>
    <col min="1545" max="1545" width="15.42578125" style="226" customWidth="1"/>
    <col min="1546" max="1546" width="11.140625" style="226" customWidth="1"/>
    <col min="1547" max="1547" width="16.7109375" style="226" customWidth="1"/>
    <col min="1548" max="1548" width="11.7109375" style="226" bestFit="1" customWidth="1"/>
    <col min="1549" max="1790" width="9.140625" style="226"/>
    <col min="1791" max="1791" width="21" style="226" bestFit="1" customWidth="1"/>
    <col min="1792" max="1792" width="9.5703125" style="226" bestFit="1" customWidth="1"/>
    <col min="1793" max="1793" width="2.85546875" style="226" customWidth="1"/>
    <col min="1794" max="1794" width="68.7109375" style="226" customWidth="1"/>
    <col min="1795" max="1796" width="15.7109375" style="226" customWidth="1"/>
    <col min="1797" max="1797" width="15.5703125" style="226" bestFit="1" customWidth="1"/>
    <col min="1798" max="1798" width="11.7109375" style="226" customWidth="1"/>
    <col min="1799" max="1799" width="13.140625" style="226" customWidth="1"/>
    <col min="1800" max="1800" width="17" style="226" customWidth="1"/>
    <col min="1801" max="1801" width="15.42578125" style="226" customWidth="1"/>
    <col min="1802" max="1802" width="11.140625" style="226" customWidth="1"/>
    <col min="1803" max="1803" width="16.7109375" style="226" customWidth="1"/>
    <col min="1804" max="1804" width="11.7109375" style="226" bestFit="1" customWidth="1"/>
    <col min="1805" max="2046" width="9.140625" style="226"/>
    <col min="2047" max="2047" width="21" style="226" bestFit="1" customWidth="1"/>
    <col min="2048" max="2048" width="9.5703125" style="226" bestFit="1" customWidth="1"/>
    <col min="2049" max="2049" width="2.85546875" style="226" customWidth="1"/>
    <col min="2050" max="2050" width="68.7109375" style="226" customWidth="1"/>
    <col min="2051" max="2052" width="15.7109375" style="226" customWidth="1"/>
    <col min="2053" max="2053" width="15.5703125" style="226" bestFit="1" customWidth="1"/>
    <col min="2054" max="2054" width="11.7109375" style="226" customWidth="1"/>
    <col min="2055" max="2055" width="13.140625" style="226" customWidth="1"/>
    <col min="2056" max="2056" width="17" style="226" customWidth="1"/>
    <col min="2057" max="2057" width="15.42578125" style="226" customWidth="1"/>
    <col min="2058" max="2058" width="11.140625" style="226" customWidth="1"/>
    <col min="2059" max="2059" width="16.7109375" style="226" customWidth="1"/>
    <col min="2060" max="2060" width="11.7109375" style="226" bestFit="1" customWidth="1"/>
    <col min="2061" max="2302" width="9.140625" style="226"/>
    <col min="2303" max="2303" width="21" style="226" bestFit="1" customWidth="1"/>
    <col min="2304" max="2304" width="9.5703125" style="226" bestFit="1" customWidth="1"/>
    <col min="2305" max="2305" width="2.85546875" style="226" customWidth="1"/>
    <col min="2306" max="2306" width="68.7109375" style="226" customWidth="1"/>
    <col min="2307" max="2308" width="15.7109375" style="226" customWidth="1"/>
    <col min="2309" max="2309" width="15.5703125" style="226" bestFit="1" customWidth="1"/>
    <col min="2310" max="2310" width="11.7109375" style="226" customWidth="1"/>
    <col min="2311" max="2311" width="13.140625" style="226" customWidth="1"/>
    <col min="2312" max="2312" width="17" style="226" customWidth="1"/>
    <col min="2313" max="2313" width="15.42578125" style="226" customWidth="1"/>
    <col min="2314" max="2314" width="11.140625" style="226" customWidth="1"/>
    <col min="2315" max="2315" width="16.7109375" style="226" customWidth="1"/>
    <col min="2316" max="2316" width="11.7109375" style="226" bestFit="1" customWidth="1"/>
    <col min="2317" max="2558" width="9.140625" style="226"/>
    <col min="2559" max="2559" width="21" style="226" bestFit="1" customWidth="1"/>
    <col min="2560" max="2560" width="9.5703125" style="226" bestFit="1" customWidth="1"/>
    <col min="2561" max="2561" width="2.85546875" style="226" customWidth="1"/>
    <col min="2562" max="2562" width="68.7109375" style="226" customWidth="1"/>
    <col min="2563" max="2564" width="15.7109375" style="226" customWidth="1"/>
    <col min="2565" max="2565" width="15.5703125" style="226" bestFit="1" customWidth="1"/>
    <col min="2566" max="2566" width="11.7109375" style="226" customWidth="1"/>
    <col min="2567" max="2567" width="13.140625" style="226" customWidth="1"/>
    <col min="2568" max="2568" width="17" style="226" customWidth="1"/>
    <col min="2569" max="2569" width="15.42578125" style="226" customWidth="1"/>
    <col min="2570" max="2570" width="11.140625" style="226" customWidth="1"/>
    <col min="2571" max="2571" width="16.7109375" style="226" customWidth="1"/>
    <col min="2572" max="2572" width="11.7109375" style="226" bestFit="1" customWidth="1"/>
    <col min="2573" max="2814" width="9.140625" style="226"/>
    <col min="2815" max="2815" width="21" style="226" bestFit="1" customWidth="1"/>
    <col min="2816" max="2816" width="9.5703125" style="226" bestFit="1" customWidth="1"/>
    <col min="2817" max="2817" width="2.85546875" style="226" customWidth="1"/>
    <col min="2818" max="2818" width="68.7109375" style="226" customWidth="1"/>
    <col min="2819" max="2820" width="15.7109375" style="226" customWidth="1"/>
    <col min="2821" max="2821" width="15.5703125" style="226" bestFit="1" customWidth="1"/>
    <col min="2822" max="2822" width="11.7109375" style="226" customWidth="1"/>
    <col min="2823" max="2823" width="13.140625" style="226" customWidth="1"/>
    <col min="2824" max="2824" width="17" style="226" customWidth="1"/>
    <col min="2825" max="2825" width="15.42578125" style="226" customWidth="1"/>
    <col min="2826" max="2826" width="11.140625" style="226" customWidth="1"/>
    <col min="2827" max="2827" width="16.7109375" style="226" customWidth="1"/>
    <col min="2828" max="2828" width="11.7109375" style="226" bestFit="1" customWidth="1"/>
    <col min="2829" max="3070" width="9.140625" style="226"/>
    <col min="3071" max="3071" width="21" style="226" bestFit="1" customWidth="1"/>
    <col min="3072" max="3072" width="9.5703125" style="226" bestFit="1" customWidth="1"/>
    <col min="3073" max="3073" width="2.85546875" style="226" customWidth="1"/>
    <col min="3074" max="3074" width="68.7109375" style="226" customWidth="1"/>
    <col min="3075" max="3076" width="15.7109375" style="226" customWidth="1"/>
    <col min="3077" max="3077" width="15.5703125" style="226" bestFit="1" customWidth="1"/>
    <col min="3078" max="3078" width="11.7109375" style="226" customWidth="1"/>
    <col min="3079" max="3079" width="13.140625" style="226" customWidth="1"/>
    <col min="3080" max="3080" width="17" style="226" customWidth="1"/>
    <col min="3081" max="3081" width="15.42578125" style="226" customWidth="1"/>
    <col min="3082" max="3082" width="11.140625" style="226" customWidth="1"/>
    <col min="3083" max="3083" width="16.7109375" style="226" customWidth="1"/>
    <col min="3084" max="3084" width="11.7109375" style="226" bestFit="1" customWidth="1"/>
    <col min="3085" max="3326" width="9.140625" style="226"/>
    <col min="3327" max="3327" width="21" style="226" bestFit="1" customWidth="1"/>
    <col min="3328" max="3328" width="9.5703125" style="226" bestFit="1" customWidth="1"/>
    <col min="3329" max="3329" width="2.85546875" style="226" customWidth="1"/>
    <col min="3330" max="3330" width="68.7109375" style="226" customWidth="1"/>
    <col min="3331" max="3332" width="15.7109375" style="226" customWidth="1"/>
    <col min="3333" max="3333" width="15.5703125" style="226" bestFit="1" customWidth="1"/>
    <col min="3334" max="3334" width="11.7109375" style="226" customWidth="1"/>
    <col min="3335" max="3335" width="13.140625" style="226" customWidth="1"/>
    <col min="3336" max="3336" width="17" style="226" customWidth="1"/>
    <col min="3337" max="3337" width="15.42578125" style="226" customWidth="1"/>
    <col min="3338" max="3338" width="11.140625" style="226" customWidth="1"/>
    <col min="3339" max="3339" width="16.7109375" style="226" customWidth="1"/>
    <col min="3340" max="3340" width="11.7109375" style="226" bestFit="1" customWidth="1"/>
    <col min="3341" max="3582" width="9.140625" style="226"/>
    <col min="3583" max="3583" width="21" style="226" bestFit="1" customWidth="1"/>
    <col min="3584" max="3584" width="9.5703125" style="226" bestFit="1" customWidth="1"/>
    <col min="3585" max="3585" width="2.85546875" style="226" customWidth="1"/>
    <col min="3586" max="3586" width="68.7109375" style="226" customWidth="1"/>
    <col min="3587" max="3588" width="15.7109375" style="226" customWidth="1"/>
    <col min="3589" max="3589" width="15.5703125" style="226" bestFit="1" customWidth="1"/>
    <col min="3590" max="3590" width="11.7109375" style="226" customWidth="1"/>
    <col min="3591" max="3591" width="13.140625" style="226" customWidth="1"/>
    <col min="3592" max="3592" width="17" style="226" customWidth="1"/>
    <col min="3593" max="3593" width="15.42578125" style="226" customWidth="1"/>
    <col min="3594" max="3594" width="11.140625" style="226" customWidth="1"/>
    <col min="3595" max="3595" width="16.7109375" style="226" customWidth="1"/>
    <col min="3596" max="3596" width="11.7109375" style="226" bestFit="1" customWidth="1"/>
    <col min="3597" max="3838" width="9.140625" style="226"/>
    <col min="3839" max="3839" width="21" style="226" bestFit="1" customWidth="1"/>
    <col min="3840" max="3840" width="9.5703125" style="226" bestFit="1" customWidth="1"/>
    <col min="3841" max="3841" width="2.85546875" style="226" customWidth="1"/>
    <col min="3842" max="3842" width="68.7109375" style="226" customWidth="1"/>
    <col min="3843" max="3844" width="15.7109375" style="226" customWidth="1"/>
    <col min="3845" max="3845" width="15.5703125" style="226" bestFit="1" customWidth="1"/>
    <col min="3846" max="3846" width="11.7109375" style="226" customWidth="1"/>
    <col min="3847" max="3847" width="13.140625" style="226" customWidth="1"/>
    <col min="3848" max="3848" width="17" style="226" customWidth="1"/>
    <col min="3849" max="3849" width="15.42578125" style="226" customWidth="1"/>
    <col min="3850" max="3850" width="11.140625" style="226" customWidth="1"/>
    <col min="3851" max="3851" width="16.7109375" style="226" customWidth="1"/>
    <col min="3852" max="3852" width="11.7109375" style="226" bestFit="1" customWidth="1"/>
    <col min="3853" max="4094" width="9.140625" style="226"/>
    <col min="4095" max="4095" width="21" style="226" bestFit="1" customWidth="1"/>
    <col min="4096" max="4096" width="9.5703125" style="226" bestFit="1" customWidth="1"/>
    <col min="4097" max="4097" width="2.85546875" style="226" customWidth="1"/>
    <col min="4098" max="4098" width="68.7109375" style="226" customWidth="1"/>
    <col min="4099" max="4100" width="15.7109375" style="226" customWidth="1"/>
    <col min="4101" max="4101" width="15.5703125" style="226" bestFit="1" customWidth="1"/>
    <col min="4102" max="4102" width="11.7109375" style="226" customWidth="1"/>
    <col min="4103" max="4103" width="13.140625" style="226" customWidth="1"/>
    <col min="4104" max="4104" width="17" style="226" customWidth="1"/>
    <col min="4105" max="4105" width="15.42578125" style="226" customWidth="1"/>
    <col min="4106" max="4106" width="11.140625" style="226" customWidth="1"/>
    <col min="4107" max="4107" width="16.7109375" style="226" customWidth="1"/>
    <col min="4108" max="4108" width="11.7109375" style="226" bestFit="1" customWidth="1"/>
    <col min="4109" max="4350" width="9.140625" style="226"/>
    <col min="4351" max="4351" width="21" style="226" bestFit="1" customWidth="1"/>
    <col min="4352" max="4352" width="9.5703125" style="226" bestFit="1" customWidth="1"/>
    <col min="4353" max="4353" width="2.85546875" style="226" customWidth="1"/>
    <col min="4354" max="4354" width="68.7109375" style="226" customWidth="1"/>
    <col min="4355" max="4356" width="15.7109375" style="226" customWidth="1"/>
    <col min="4357" max="4357" width="15.5703125" style="226" bestFit="1" customWidth="1"/>
    <col min="4358" max="4358" width="11.7109375" style="226" customWidth="1"/>
    <col min="4359" max="4359" width="13.140625" style="226" customWidth="1"/>
    <col min="4360" max="4360" width="17" style="226" customWidth="1"/>
    <col min="4361" max="4361" width="15.42578125" style="226" customWidth="1"/>
    <col min="4362" max="4362" width="11.140625" style="226" customWidth="1"/>
    <col min="4363" max="4363" width="16.7109375" style="226" customWidth="1"/>
    <col min="4364" max="4364" width="11.7109375" style="226" bestFit="1" customWidth="1"/>
    <col min="4365" max="4606" width="9.140625" style="226"/>
    <col min="4607" max="4607" width="21" style="226" bestFit="1" customWidth="1"/>
    <col min="4608" max="4608" width="9.5703125" style="226" bestFit="1" customWidth="1"/>
    <col min="4609" max="4609" width="2.85546875" style="226" customWidth="1"/>
    <col min="4610" max="4610" width="68.7109375" style="226" customWidth="1"/>
    <col min="4611" max="4612" width="15.7109375" style="226" customWidth="1"/>
    <col min="4613" max="4613" width="15.5703125" style="226" bestFit="1" customWidth="1"/>
    <col min="4614" max="4614" width="11.7109375" style="226" customWidth="1"/>
    <col min="4615" max="4615" width="13.140625" style="226" customWidth="1"/>
    <col min="4616" max="4616" width="17" style="226" customWidth="1"/>
    <col min="4617" max="4617" width="15.42578125" style="226" customWidth="1"/>
    <col min="4618" max="4618" width="11.140625" style="226" customWidth="1"/>
    <col min="4619" max="4619" width="16.7109375" style="226" customWidth="1"/>
    <col min="4620" max="4620" width="11.7109375" style="226" bestFit="1" customWidth="1"/>
    <col min="4621" max="4862" width="9.140625" style="226"/>
    <col min="4863" max="4863" width="21" style="226" bestFit="1" customWidth="1"/>
    <col min="4864" max="4864" width="9.5703125" style="226" bestFit="1" customWidth="1"/>
    <col min="4865" max="4865" width="2.85546875" style="226" customWidth="1"/>
    <col min="4866" max="4866" width="68.7109375" style="226" customWidth="1"/>
    <col min="4867" max="4868" width="15.7109375" style="226" customWidth="1"/>
    <col min="4869" max="4869" width="15.5703125" style="226" bestFit="1" customWidth="1"/>
    <col min="4870" max="4870" width="11.7109375" style="226" customWidth="1"/>
    <col min="4871" max="4871" width="13.140625" style="226" customWidth="1"/>
    <col min="4872" max="4872" width="17" style="226" customWidth="1"/>
    <col min="4873" max="4873" width="15.42578125" style="226" customWidth="1"/>
    <col min="4874" max="4874" width="11.140625" style="226" customWidth="1"/>
    <col min="4875" max="4875" width="16.7109375" style="226" customWidth="1"/>
    <col min="4876" max="4876" width="11.7109375" style="226" bestFit="1" customWidth="1"/>
    <col min="4877" max="5118" width="9.140625" style="226"/>
    <col min="5119" max="5119" width="21" style="226" bestFit="1" customWidth="1"/>
    <col min="5120" max="5120" width="9.5703125" style="226" bestFit="1" customWidth="1"/>
    <col min="5121" max="5121" width="2.85546875" style="226" customWidth="1"/>
    <col min="5122" max="5122" width="68.7109375" style="226" customWidth="1"/>
    <col min="5123" max="5124" width="15.7109375" style="226" customWidth="1"/>
    <col min="5125" max="5125" width="15.5703125" style="226" bestFit="1" customWidth="1"/>
    <col min="5126" max="5126" width="11.7109375" style="226" customWidth="1"/>
    <col min="5127" max="5127" width="13.140625" style="226" customWidth="1"/>
    <col min="5128" max="5128" width="17" style="226" customWidth="1"/>
    <col min="5129" max="5129" width="15.42578125" style="226" customWidth="1"/>
    <col min="5130" max="5130" width="11.140625" style="226" customWidth="1"/>
    <col min="5131" max="5131" width="16.7109375" style="226" customWidth="1"/>
    <col min="5132" max="5132" width="11.7109375" style="226" bestFit="1" customWidth="1"/>
    <col min="5133" max="5374" width="9.140625" style="226"/>
    <col min="5375" max="5375" width="21" style="226" bestFit="1" customWidth="1"/>
    <col min="5376" max="5376" width="9.5703125" style="226" bestFit="1" customWidth="1"/>
    <col min="5377" max="5377" width="2.85546875" style="226" customWidth="1"/>
    <col min="5378" max="5378" width="68.7109375" style="226" customWidth="1"/>
    <col min="5379" max="5380" width="15.7109375" style="226" customWidth="1"/>
    <col min="5381" max="5381" width="15.5703125" style="226" bestFit="1" customWidth="1"/>
    <col min="5382" max="5382" width="11.7109375" style="226" customWidth="1"/>
    <col min="5383" max="5383" width="13.140625" style="226" customWidth="1"/>
    <col min="5384" max="5384" width="17" style="226" customWidth="1"/>
    <col min="5385" max="5385" width="15.42578125" style="226" customWidth="1"/>
    <col min="5386" max="5386" width="11.140625" style="226" customWidth="1"/>
    <col min="5387" max="5387" width="16.7109375" style="226" customWidth="1"/>
    <col min="5388" max="5388" width="11.7109375" style="226" bestFit="1" customWidth="1"/>
    <col min="5389" max="5630" width="9.140625" style="226"/>
    <col min="5631" max="5631" width="21" style="226" bestFit="1" customWidth="1"/>
    <col min="5632" max="5632" width="9.5703125" style="226" bestFit="1" customWidth="1"/>
    <col min="5633" max="5633" width="2.85546875" style="226" customWidth="1"/>
    <col min="5634" max="5634" width="68.7109375" style="226" customWidth="1"/>
    <col min="5635" max="5636" width="15.7109375" style="226" customWidth="1"/>
    <col min="5637" max="5637" width="15.5703125" style="226" bestFit="1" customWidth="1"/>
    <col min="5638" max="5638" width="11.7109375" style="226" customWidth="1"/>
    <col min="5639" max="5639" width="13.140625" style="226" customWidth="1"/>
    <col min="5640" max="5640" width="17" style="226" customWidth="1"/>
    <col min="5641" max="5641" width="15.42578125" style="226" customWidth="1"/>
    <col min="5642" max="5642" width="11.140625" style="226" customWidth="1"/>
    <col min="5643" max="5643" width="16.7109375" style="226" customWidth="1"/>
    <col min="5644" max="5644" width="11.7109375" style="226" bestFit="1" customWidth="1"/>
    <col min="5645" max="5886" width="9.140625" style="226"/>
    <col min="5887" max="5887" width="21" style="226" bestFit="1" customWidth="1"/>
    <col min="5888" max="5888" width="9.5703125" style="226" bestFit="1" customWidth="1"/>
    <col min="5889" max="5889" width="2.85546875" style="226" customWidth="1"/>
    <col min="5890" max="5890" width="68.7109375" style="226" customWidth="1"/>
    <col min="5891" max="5892" width="15.7109375" style="226" customWidth="1"/>
    <col min="5893" max="5893" width="15.5703125" style="226" bestFit="1" customWidth="1"/>
    <col min="5894" max="5894" width="11.7109375" style="226" customWidth="1"/>
    <col min="5895" max="5895" width="13.140625" style="226" customWidth="1"/>
    <col min="5896" max="5896" width="17" style="226" customWidth="1"/>
    <col min="5897" max="5897" width="15.42578125" style="226" customWidth="1"/>
    <col min="5898" max="5898" width="11.140625" style="226" customWidth="1"/>
    <col min="5899" max="5899" width="16.7109375" style="226" customWidth="1"/>
    <col min="5900" max="5900" width="11.7109375" style="226" bestFit="1" customWidth="1"/>
    <col min="5901" max="6142" width="9.140625" style="226"/>
    <col min="6143" max="6143" width="21" style="226" bestFit="1" customWidth="1"/>
    <col min="6144" max="6144" width="9.5703125" style="226" bestFit="1" customWidth="1"/>
    <col min="6145" max="6145" width="2.85546875" style="226" customWidth="1"/>
    <col min="6146" max="6146" width="68.7109375" style="226" customWidth="1"/>
    <col min="6147" max="6148" width="15.7109375" style="226" customWidth="1"/>
    <col min="6149" max="6149" width="15.5703125" style="226" bestFit="1" customWidth="1"/>
    <col min="6150" max="6150" width="11.7109375" style="226" customWidth="1"/>
    <col min="6151" max="6151" width="13.140625" style="226" customWidth="1"/>
    <col min="6152" max="6152" width="17" style="226" customWidth="1"/>
    <col min="6153" max="6153" width="15.42578125" style="226" customWidth="1"/>
    <col min="6154" max="6154" width="11.140625" style="226" customWidth="1"/>
    <col min="6155" max="6155" width="16.7109375" style="226" customWidth="1"/>
    <col min="6156" max="6156" width="11.7109375" style="226" bestFit="1" customWidth="1"/>
    <col min="6157" max="6398" width="9.140625" style="226"/>
    <col min="6399" max="6399" width="21" style="226" bestFit="1" customWidth="1"/>
    <col min="6400" max="6400" width="9.5703125" style="226" bestFit="1" customWidth="1"/>
    <col min="6401" max="6401" width="2.85546875" style="226" customWidth="1"/>
    <col min="6402" max="6402" width="68.7109375" style="226" customWidth="1"/>
    <col min="6403" max="6404" width="15.7109375" style="226" customWidth="1"/>
    <col min="6405" max="6405" width="15.5703125" style="226" bestFit="1" customWidth="1"/>
    <col min="6406" max="6406" width="11.7109375" style="226" customWidth="1"/>
    <col min="6407" max="6407" width="13.140625" style="226" customWidth="1"/>
    <col min="6408" max="6408" width="17" style="226" customWidth="1"/>
    <col min="6409" max="6409" width="15.42578125" style="226" customWidth="1"/>
    <col min="6410" max="6410" width="11.140625" style="226" customWidth="1"/>
    <col min="6411" max="6411" width="16.7109375" style="226" customWidth="1"/>
    <col min="6412" max="6412" width="11.7109375" style="226" bestFit="1" customWidth="1"/>
    <col min="6413" max="6654" width="9.140625" style="226"/>
    <col min="6655" max="6655" width="21" style="226" bestFit="1" customWidth="1"/>
    <col min="6656" max="6656" width="9.5703125" style="226" bestFit="1" customWidth="1"/>
    <col min="6657" max="6657" width="2.85546875" style="226" customWidth="1"/>
    <col min="6658" max="6658" width="68.7109375" style="226" customWidth="1"/>
    <col min="6659" max="6660" width="15.7109375" style="226" customWidth="1"/>
    <col min="6661" max="6661" width="15.5703125" style="226" bestFit="1" customWidth="1"/>
    <col min="6662" max="6662" width="11.7109375" style="226" customWidth="1"/>
    <col min="6663" max="6663" width="13.140625" style="226" customWidth="1"/>
    <col min="6664" max="6664" width="17" style="226" customWidth="1"/>
    <col min="6665" max="6665" width="15.42578125" style="226" customWidth="1"/>
    <col min="6666" max="6666" width="11.140625" style="226" customWidth="1"/>
    <col min="6667" max="6667" width="16.7109375" style="226" customWidth="1"/>
    <col min="6668" max="6668" width="11.7109375" style="226" bestFit="1" customWidth="1"/>
    <col min="6669" max="6910" width="9.140625" style="226"/>
    <col min="6911" max="6911" width="21" style="226" bestFit="1" customWidth="1"/>
    <col min="6912" max="6912" width="9.5703125" style="226" bestFit="1" customWidth="1"/>
    <col min="6913" max="6913" width="2.85546875" style="226" customWidth="1"/>
    <col min="6914" max="6914" width="68.7109375" style="226" customWidth="1"/>
    <col min="6915" max="6916" width="15.7109375" style="226" customWidth="1"/>
    <col min="6917" max="6917" width="15.5703125" style="226" bestFit="1" customWidth="1"/>
    <col min="6918" max="6918" width="11.7109375" style="226" customWidth="1"/>
    <col min="6919" max="6919" width="13.140625" style="226" customWidth="1"/>
    <col min="6920" max="6920" width="17" style="226" customWidth="1"/>
    <col min="6921" max="6921" width="15.42578125" style="226" customWidth="1"/>
    <col min="6922" max="6922" width="11.140625" style="226" customWidth="1"/>
    <col min="6923" max="6923" width="16.7109375" style="226" customWidth="1"/>
    <col min="6924" max="6924" width="11.7109375" style="226" bestFit="1" customWidth="1"/>
    <col min="6925" max="7166" width="9.140625" style="226"/>
    <col min="7167" max="7167" width="21" style="226" bestFit="1" customWidth="1"/>
    <col min="7168" max="7168" width="9.5703125" style="226" bestFit="1" customWidth="1"/>
    <col min="7169" max="7169" width="2.85546875" style="226" customWidth="1"/>
    <col min="7170" max="7170" width="68.7109375" style="226" customWidth="1"/>
    <col min="7171" max="7172" width="15.7109375" style="226" customWidth="1"/>
    <col min="7173" max="7173" width="15.5703125" style="226" bestFit="1" customWidth="1"/>
    <col min="7174" max="7174" width="11.7109375" style="226" customWidth="1"/>
    <col min="7175" max="7175" width="13.140625" style="226" customWidth="1"/>
    <col min="7176" max="7176" width="17" style="226" customWidth="1"/>
    <col min="7177" max="7177" width="15.42578125" style="226" customWidth="1"/>
    <col min="7178" max="7178" width="11.140625" style="226" customWidth="1"/>
    <col min="7179" max="7179" width="16.7109375" style="226" customWidth="1"/>
    <col min="7180" max="7180" width="11.7109375" style="226" bestFit="1" customWidth="1"/>
    <col min="7181" max="7422" width="9.140625" style="226"/>
    <col min="7423" max="7423" width="21" style="226" bestFit="1" customWidth="1"/>
    <col min="7424" max="7424" width="9.5703125" style="226" bestFit="1" customWidth="1"/>
    <col min="7425" max="7425" width="2.85546875" style="226" customWidth="1"/>
    <col min="7426" max="7426" width="68.7109375" style="226" customWidth="1"/>
    <col min="7427" max="7428" width="15.7109375" style="226" customWidth="1"/>
    <col min="7429" max="7429" width="15.5703125" style="226" bestFit="1" customWidth="1"/>
    <col min="7430" max="7430" width="11.7109375" style="226" customWidth="1"/>
    <col min="7431" max="7431" width="13.140625" style="226" customWidth="1"/>
    <col min="7432" max="7432" width="17" style="226" customWidth="1"/>
    <col min="7433" max="7433" width="15.42578125" style="226" customWidth="1"/>
    <col min="7434" max="7434" width="11.140625" style="226" customWidth="1"/>
    <col min="7435" max="7435" width="16.7109375" style="226" customWidth="1"/>
    <col min="7436" max="7436" width="11.7109375" style="226" bestFit="1" customWidth="1"/>
    <col min="7437" max="7678" width="9.140625" style="226"/>
    <col min="7679" max="7679" width="21" style="226" bestFit="1" customWidth="1"/>
    <col min="7680" max="7680" width="9.5703125" style="226" bestFit="1" customWidth="1"/>
    <col min="7681" max="7681" width="2.85546875" style="226" customWidth="1"/>
    <col min="7682" max="7682" width="68.7109375" style="226" customWidth="1"/>
    <col min="7683" max="7684" width="15.7109375" style="226" customWidth="1"/>
    <col min="7685" max="7685" width="15.5703125" style="226" bestFit="1" customWidth="1"/>
    <col min="7686" max="7686" width="11.7109375" style="226" customWidth="1"/>
    <col min="7687" max="7687" width="13.140625" style="226" customWidth="1"/>
    <col min="7688" max="7688" width="17" style="226" customWidth="1"/>
    <col min="7689" max="7689" width="15.42578125" style="226" customWidth="1"/>
    <col min="7690" max="7690" width="11.140625" style="226" customWidth="1"/>
    <col min="7691" max="7691" width="16.7109375" style="226" customWidth="1"/>
    <col min="7692" max="7692" width="11.7109375" style="226" bestFit="1" customWidth="1"/>
    <col min="7693" max="7934" width="9.140625" style="226"/>
    <col min="7935" max="7935" width="21" style="226" bestFit="1" customWidth="1"/>
    <col min="7936" max="7936" width="9.5703125" style="226" bestFit="1" customWidth="1"/>
    <col min="7937" max="7937" width="2.85546875" style="226" customWidth="1"/>
    <col min="7938" max="7938" width="68.7109375" style="226" customWidth="1"/>
    <col min="7939" max="7940" width="15.7109375" style="226" customWidth="1"/>
    <col min="7941" max="7941" width="15.5703125" style="226" bestFit="1" customWidth="1"/>
    <col min="7942" max="7942" width="11.7109375" style="226" customWidth="1"/>
    <col min="7943" max="7943" width="13.140625" style="226" customWidth="1"/>
    <col min="7944" max="7944" width="17" style="226" customWidth="1"/>
    <col min="7945" max="7945" width="15.42578125" style="226" customWidth="1"/>
    <col min="7946" max="7946" width="11.140625" style="226" customWidth="1"/>
    <col min="7947" max="7947" width="16.7109375" style="226" customWidth="1"/>
    <col min="7948" max="7948" width="11.7109375" style="226" bestFit="1" customWidth="1"/>
    <col min="7949" max="8190" width="9.140625" style="226"/>
    <col min="8191" max="8191" width="21" style="226" bestFit="1" customWidth="1"/>
    <col min="8192" max="8192" width="9.5703125" style="226" bestFit="1" customWidth="1"/>
    <col min="8193" max="8193" width="2.85546875" style="226" customWidth="1"/>
    <col min="8194" max="8194" width="68.7109375" style="226" customWidth="1"/>
    <col min="8195" max="8196" width="15.7109375" style="226" customWidth="1"/>
    <col min="8197" max="8197" width="15.5703125" style="226" bestFit="1" customWidth="1"/>
    <col min="8198" max="8198" width="11.7109375" style="226" customWidth="1"/>
    <col min="8199" max="8199" width="13.140625" style="226" customWidth="1"/>
    <col min="8200" max="8200" width="17" style="226" customWidth="1"/>
    <col min="8201" max="8201" width="15.42578125" style="226" customWidth="1"/>
    <col min="8202" max="8202" width="11.140625" style="226" customWidth="1"/>
    <col min="8203" max="8203" width="16.7109375" style="226" customWidth="1"/>
    <col min="8204" max="8204" width="11.7109375" style="226" bestFit="1" customWidth="1"/>
    <col min="8205" max="8446" width="9.140625" style="226"/>
    <col min="8447" max="8447" width="21" style="226" bestFit="1" customWidth="1"/>
    <col min="8448" max="8448" width="9.5703125" style="226" bestFit="1" customWidth="1"/>
    <col min="8449" max="8449" width="2.85546875" style="226" customWidth="1"/>
    <col min="8450" max="8450" width="68.7109375" style="226" customWidth="1"/>
    <col min="8451" max="8452" width="15.7109375" style="226" customWidth="1"/>
    <col min="8453" max="8453" width="15.5703125" style="226" bestFit="1" customWidth="1"/>
    <col min="8454" max="8454" width="11.7109375" style="226" customWidth="1"/>
    <col min="8455" max="8455" width="13.140625" style="226" customWidth="1"/>
    <col min="8456" max="8456" width="17" style="226" customWidth="1"/>
    <col min="8457" max="8457" width="15.42578125" style="226" customWidth="1"/>
    <col min="8458" max="8458" width="11.140625" style="226" customWidth="1"/>
    <col min="8459" max="8459" width="16.7109375" style="226" customWidth="1"/>
    <col min="8460" max="8460" width="11.7109375" style="226" bestFit="1" customWidth="1"/>
    <col min="8461" max="8702" width="9.140625" style="226"/>
    <col min="8703" max="8703" width="21" style="226" bestFit="1" customWidth="1"/>
    <col min="8704" max="8704" width="9.5703125" style="226" bestFit="1" customWidth="1"/>
    <col min="8705" max="8705" width="2.85546875" style="226" customWidth="1"/>
    <col min="8706" max="8706" width="68.7109375" style="226" customWidth="1"/>
    <col min="8707" max="8708" width="15.7109375" style="226" customWidth="1"/>
    <col min="8709" max="8709" width="15.5703125" style="226" bestFit="1" customWidth="1"/>
    <col min="8710" max="8710" width="11.7109375" style="226" customWidth="1"/>
    <col min="8711" max="8711" width="13.140625" style="226" customWidth="1"/>
    <col min="8712" max="8712" width="17" style="226" customWidth="1"/>
    <col min="8713" max="8713" width="15.42578125" style="226" customWidth="1"/>
    <col min="8714" max="8714" width="11.140625" style="226" customWidth="1"/>
    <col min="8715" max="8715" width="16.7109375" style="226" customWidth="1"/>
    <col min="8716" max="8716" width="11.7109375" style="226" bestFit="1" customWidth="1"/>
    <col min="8717" max="8958" width="9.140625" style="226"/>
    <col min="8959" max="8959" width="21" style="226" bestFit="1" customWidth="1"/>
    <col min="8960" max="8960" width="9.5703125" style="226" bestFit="1" customWidth="1"/>
    <col min="8961" max="8961" width="2.85546875" style="226" customWidth="1"/>
    <col min="8962" max="8962" width="68.7109375" style="226" customWidth="1"/>
    <col min="8963" max="8964" width="15.7109375" style="226" customWidth="1"/>
    <col min="8965" max="8965" width="15.5703125" style="226" bestFit="1" customWidth="1"/>
    <col min="8966" max="8966" width="11.7109375" style="226" customWidth="1"/>
    <col min="8967" max="8967" width="13.140625" style="226" customWidth="1"/>
    <col min="8968" max="8968" width="17" style="226" customWidth="1"/>
    <col min="8969" max="8969" width="15.42578125" style="226" customWidth="1"/>
    <col min="8970" max="8970" width="11.140625" style="226" customWidth="1"/>
    <col min="8971" max="8971" width="16.7109375" style="226" customWidth="1"/>
    <col min="8972" max="8972" width="11.7109375" style="226" bestFit="1" customWidth="1"/>
    <col min="8973" max="9214" width="9.140625" style="226"/>
    <col min="9215" max="9215" width="21" style="226" bestFit="1" customWidth="1"/>
    <col min="9216" max="9216" width="9.5703125" style="226" bestFit="1" customWidth="1"/>
    <col min="9217" max="9217" width="2.85546875" style="226" customWidth="1"/>
    <col min="9218" max="9218" width="68.7109375" style="226" customWidth="1"/>
    <col min="9219" max="9220" width="15.7109375" style="226" customWidth="1"/>
    <col min="9221" max="9221" width="15.5703125" style="226" bestFit="1" customWidth="1"/>
    <col min="9222" max="9222" width="11.7109375" style="226" customWidth="1"/>
    <col min="9223" max="9223" width="13.140625" style="226" customWidth="1"/>
    <col min="9224" max="9224" width="17" style="226" customWidth="1"/>
    <col min="9225" max="9225" width="15.42578125" style="226" customWidth="1"/>
    <col min="9226" max="9226" width="11.140625" style="226" customWidth="1"/>
    <col min="9227" max="9227" width="16.7109375" style="226" customWidth="1"/>
    <col min="9228" max="9228" width="11.7109375" style="226" bestFit="1" customWidth="1"/>
    <col min="9229" max="9470" width="9.140625" style="226"/>
    <col min="9471" max="9471" width="21" style="226" bestFit="1" customWidth="1"/>
    <col min="9472" max="9472" width="9.5703125" style="226" bestFit="1" customWidth="1"/>
    <col min="9473" max="9473" width="2.85546875" style="226" customWidth="1"/>
    <col min="9474" max="9474" width="68.7109375" style="226" customWidth="1"/>
    <col min="9475" max="9476" width="15.7109375" style="226" customWidth="1"/>
    <col min="9477" max="9477" width="15.5703125" style="226" bestFit="1" customWidth="1"/>
    <col min="9478" max="9478" width="11.7109375" style="226" customWidth="1"/>
    <col min="9479" max="9479" width="13.140625" style="226" customWidth="1"/>
    <col min="9480" max="9480" width="17" style="226" customWidth="1"/>
    <col min="9481" max="9481" width="15.42578125" style="226" customWidth="1"/>
    <col min="9482" max="9482" width="11.140625" style="226" customWidth="1"/>
    <col min="9483" max="9483" width="16.7109375" style="226" customWidth="1"/>
    <col min="9484" max="9484" width="11.7109375" style="226" bestFit="1" customWidth="1"/>
    <col min="9485" max="9726" width="9.140625" style="226"/>
    <col min="9727" max="9727" width="21" style="226" bestFit="1" customWidth="1"/>
    <col min="9728" max="9728" width="9.5703125" style="226" bestFit="1" customWidth="1"/>
    <col min="9729" max="9729" width="2.85546875" style="226" customWidth="1"/>
    <col min="9730" max="9730" width="68.7109375" style="226" customWidth="1"/>
    <col min="9731" max="9732" width="15.7109375" style="226" customWidth="1"/>
    <col min="9733" max="9733" width="15.5703125" style="226" bestFit="1" customWidth="1"/>
    <col min="9734" max="9734" width="11.7109375" style="226" customWidth="1"/>
    <col min="9735" max="9735" width="13.140625" style="226" customWidth="1"/>
    <col min="9736" max="9736" width="17" style="226" customWidth="1"/>
    <col min="9737" max="9737" width="15.42578125" style="226" customWidth="1"/>
    <col min="9738" max="9738" width="11.140625" style="226" customWidth="1"/>
    <col min="9739" max="9739" width="16.7109375" style="226" customWidth="1"/>
    <col min="9740" max="9740" width="11.7109375" style="226" bestFit="1" customWidth="1"/>
    <col min="9741" max="9982" width="9.140625" style="226"/>
    <col min="9983" max="9983" width="21" style="226" bestFit="1" customWidth="1"/>
    <col min="9984" max="9984" width="9.5703125" style="226" bestFit="1" customWidth="1"/>
    <col min="9985" max="9985" width="2.85546875" style="226" customWidth="1"/>
    <col min="9986" max="9986" width="68.7109375" style="226" customWidth="1"/>
    <col min="9987" max="9988" width="15.7109375" style="226" customWidth="1"/>
    <col min="9989" max="9989" width="15.5703125" style="226" bestFit="1" customWidth="1"/>
    <col min="9990" max="9990" width="11.7109375" style="226" customWidth="1"/>
    <col min="9991" max="9991" width="13.140625" style="226" customWidth="1"/>
    <col min="9992" max="9992" width="17" style="226" customWidth="1"/>
    <col min="9993" max="9993" width="15.42578125" style="226" customWidth="1"/>
    <col min="9994" max="9994" width="11.140625" style="226" customWidth="1"/>
    <col min="9995" max="9995" width="16.7109375" style="226" customWidth="1"/>
    <col min="9996" max="9996" width="11.7109375" style="226" bestFit="1" customWidth="1"/>
    <col min="9997" max="10238" width="9.140625" style="226"/>
    <col min="10239" max="10239" width="21" style="226" bestFit="1" customWidth="1"/>
    <col min="10240" max="10240" width="9.5703125" style="226" bestFit="1" customWidth="1"/>
    <col min="10241" max="10241" width="2.85546875" style="226" customWidth="1"/>
    <col min="10242" max="10242" width="68.7109375" style="226" customWidth="1"/>
    <col min="10243" max="10244" width="15.7109375" style="226" customWidth="1"/>
    <col min="10245" max="10245" width="15.5703125" style="226" bestFit="1" customWidth="1"/>
    <col min="10246" max="10246" width="11.7109375" style="226" customWidth="1"/>
    <col min="10247" max="10247" width="13.140625" style="226" customWidth="1"/>
    <col min="10248" max="10248" width="17" style="226" customWidth="1"/>
    <col min="10249" max="10249" width="15.42578125" style="226" customWidth="1"/>
    <col min="10250" max="10250" width="11.140625" style="226" customWidth="1"/>
    <col min="10251" max="10251" width="16.7109375" style="226" customWidth="1"/>
    <col min="10252" max="10252" width="11.7109375" style="226" bestFit="1" customWidth="1"/>
    <col min="10253" max="10494" width="9.140625" style="226"/>
    <col min="10495" max="10495" width="21" style="226" bestFit="1" customWidth="1"/>
    <col min="10496" max="10496" width="9.5703125" style="226" bestFit="1" customWidth="1"/>
    <col min="10497" max="10497" width="2.85546875" style="226" customWidth="1"/>
    <col min="10498" max="10498" width="68.7109375" style="226" customWidth="1"/>
    <col min="10499" max="10500" width="15.7109375" style="226" customWidth="1"/>
    <col min="10501" max="10501" width="15.5703125" style="226" bestFit="1" customWidth="1"/>
    <col min="10502" max="10502" width="11.7109375" style="226" customWidth="1"/>
    <col min="10503" max="10503" width="13.140625" style="226" customWidth="1"/>
    <col min="10504" max="10504" width="17" style="226" customWidth="1"/>
    <col min="10505" max="10505" width="15.42578125" style="226" customWidth="1"/>
    <col min="10506" max="10506" width="11.140625" style="226" customWidth="1"/>
    <col min="10507" max="10507" width="16.7109375" style="226" customWidth="1"/>
    <col min="10508" max="10508" width="11.7109375" style="226" bestFit="1" customWidth="1"/>
    <col min="10509" max="10750" width="9.140625" style="226"/>
    <col min="10751" max="10751" width="21" style="226" bestFit="1" customWidth="1"/>
    <col min="10752" max="10752" width="9.5703125" style="226" bestFit="1" customWidth="1"/>
    <col min="10753" max="10753" width="2.85546875" style="226" customWidth="1"/>
    <col min="10754" max="10754" width="68.7109375" style="226" customWidth="1"/>
    <col min="10755" max="10756" width="15.7109375" style="226" customWidth="1"/>
    <col min="10757" max="10757" width="15.5703125" style="226" bestFit="1" customWidth="1"/>
    <col min="10758" max="10758" width="11.7109375" style="226" customWidth="1"/>
    <col min="10759" max="10759" width="13.140625" style="226" customWidth="1"/>
    <col min="10760" max="10760" width="17" style="226" customWidth="1"/>
    <col min="10761" max="10761" width="15.42578125" style="226" customWidth="1"/>
    <col min="10762" max="10762" width="11.140625" style="226" customWidth="1"/>
    <col min="10763" max="10763" width="16.7109375" style="226" customWidth="1"/>
    <col min="10764" max="10764" width="11.7109375" style="226" bestFit="1" customWidth="1"/>
    <col min="10765" max="11006" width="9.140625" style="226"/>
    <col min="11007" max="11007" width="21" style="226" bestFit="1" customWidth="1"/>
    <col min="11008" max="11008" width="9.5703125" style="226" bestFit="1" customWidth="1"/>
    <col min="11009" max="11009" width="2.85546875" style="226" customWidth="1"/>
    <col min="11010" max="11010" width="68.7109375" style="226" customWidth="1"/>
    <col min="11011" max="11012" width="15.7109375" style="226" customWidth="1"/>
    <col min="11013" max="11013" width="15.5703125" style="226" bestFit="1" customWidth="1"/>
    <col min="11014" max="11014" width="11.7109375" style="226" customWidth="1"/>
    <col min="11015" max="11015" width="13.140625" style="226" customWidth="1"/>
    <col min="11016" max="11016" width="17" style="226" customWidth="1"/>
    <col min="11017" max="11017" width="15.42578125" style="226" customWidth="1"/>
    <col min="11018" max="11018" width="11.140625" style="226" customWidth="1"/>
    <col min="11019" max="11019" width="16.7109375" style="226" customWidth="1"/>
    <col min="11020" max="11020" width="11.7109375" style="226" bestFit="1" customWidth="1"/>
    <col min="11021" max="11262" width="9.140625" style="226"/>
    <col min="11263" max="11263" width="21" style="226" bestFit="1" customWidth="1"/>
    <col min="11264" max="11264" width="9.5703125" style="226" bestFit="1" customWidth="1"/>
    <col min="11265" max="11265" width="2.85546875" style="226" customWidth="1"/>
    <col min="11266" max="11266" width="68.7109375" style="226" customWidth="1"/>
    <col min="11267" max="11268" width="15.7109375" style="226" customWidth="1"/>
    <col min="11269" max="11269" width="15.5703125" style="226" bestFit="1" customWidth="1"/>
    <col min="11270" max="11270" width="11.7109375" style="226" customWidth="1"/>
    <col min="11271" max="11271" width="13.140625" style="226" customWidth="1"/>
    <col min="11272" max="11272" width="17" style="226" customWidth="1"/>
    <col min="11273" max="11273" width="15.42578125" style="226" customWidth="1"/>
    <col min="11274" max="11274" width="11.140625" style="226" customWidth="1"/>
    <col min="11275" max="11275" width="16.7109375" style="226" customWidth="1"/>
    <col min="11276" max="11276" width="11.7109375" style="226" bestFit="1" customWidth="1"/>
    <col min="11277" max="11518" width="9.140625" style="226"/>
    <col min="11519" max="11519" width="21" style="226" bestFit="1" customWidth="1"/>
    <col min="11520" max="11520" width="9.5703125" style="226" bestFit="1" customWidth="1"/>
    <col min="11521" max="11521" width="2.85546875" style="226" customWidth="1"/>
    <col min="11522" max="11522" width="68.7109375" style="226" customWidth="1"/>
    <col min="11523" max="11524" width="15.7109375" style="226" customWidth="1"/>
    <col min="11525" max="11525" width="15.5703125" style="226" bestFit="1" customWidth="1"/>
    <col min="11526" max="11526" width="11.7109375" style="226" customWidth="1"/>
    <col min="11527" max="11527" width="13.140625" style="226" customWidth="1"/>
    <col min="11528" max="11528" width="17" style="226" customWidth="1"/>
    <col min="11529" max="11529" width="15.42578125" style="226" customWidth="1"/>
    <col min="11530" max="11530" width="11.140625" style="226" customWidth="1"/>
    <col min="11531" max="11531" width="16.7109375" style="226" customWidth="1"/>
    <col min="11532" max="11532" width="11.7109375" style="226" bestFit="1" customWidth="1"/>
    <col min="11533" max="11774" width="9.140625" style="226"/>
    <col min="11775" max="11775" width="21" style="226" bestFit="1" customWidth="1"/>
    <col min="11776" max="11776" width="9.5703125" style="226" bestFit="1" customWidth="1"/>
    <col min="11777" max="11777" width="2.85546875" style="226" customWidth="1"/>
    <col min="11778" max="11778" width="68.7109375" style="226" customWidth="1"/>
    <col min="11779" max="11780" width="15.7109375" style="226" customWidth="1"/>
    <col min="11781" max="11781" width="15.5703125" style="226" bestFit="1" customWidth="1"/>
    <col min="11782" max="11782" width="11.7109375" style="226" customWidth="1"/>
    <col min="11783" max="11783" width="13.140625" style="226" customWidth="1"/>
    <col min="11784" max="11784" width="17" style="226" customWidth="1"/>
    <col min="11785" max="11785" width="15.42578125" style="226" customWidth="1"/>
    <col min="11786" max="11786" width="11.140625" style="226" customWidth="1"/>
    <col min="11787" max="11787" width="16.7109375" style="226" customWidth="1"/>
    <col min="11788" max="11788" width="11.7109375" style="226" bestFit="1" customWidth="1"/>
    <col min="11789" max="12030" width="9.140625" style="226"/>
    <col min="12031" max="12031" width="21" style="226" bestFit="1" customWidth="1"/>
    <col min="12032" max="12032" width="9.5703125" style="226" bestFit="1" customWidth="1"/>
    <col min="12033" max="12033" width="2.85546875" style="226" customWidth="1"/>
    <col min="12034" max="12034" width="68.7109375" style="226" customWidth="1"/>
    <col min="12035" max="12036" width="15.7109375" style="226" customWidth="1"/>
    <col min="12037" max="12037" width="15.5703125" style="226" bestFit="1" customWidth="1"/>
    <col min="12038" max="12038" width="11.7109375" style="226" customWidth="1"/>
    <col min="12039" max="12039" width="13.140625" style="226" customWidth="1"/>
    <col min="12040" max="12040" width="17" style="226" customWidth="1"/>
    <col min="12041" max="12041" width="15.42578125" style="226" customWidth="1"/>
    <col min="12042" max="12042" width="11.140625" style="226" customWidth="1"/>
    <col min="12043" max="12043" width="16.7109375" style="226" customWidth="1"/>
    <col min="12044" max="12044" width="11.7109375" style="226" bestFit="1" customWidth="1"/>
    <col min="12045" max="12286" width="9.140625" style="226"/>
    <col min="12287" max="12287" width="21" style="226" bestFit="1" customWidth="1"/>
    <col min="12288" max="12288" width="9.5703125" style="226" bestFit="1" customWidth="1"/>
    <col min="12289" max="12289" width="2.85546875" style="226" customWidth="1"/>
    <col min="12290" max="12290" width="68.7109375" style="226" customWidth="1"/>
    <col min="12291" max="12292" width="15.7109375" style="226" customWidth="1"/>
    <col min="12293" max="12293" width="15.5703125" style="226" bestFit="1" customWidth="1"/>
    <col min="12294" max="12294" width="11.7109375" style="226" customWidth="1"/>
    <col min="12295" max="12295" width="13.140625" style="226" customWidth="1"/>
    <col min="12296" max="12296" width="17" style="226" customWidth="1"/>
    <col min="12297" max="12297" width="15.42578125" style="226" customWidth="1"/>
    <col min="12298" max="12298" width="11.140625" style="226" customWidth="1"/>
    <col min="12299" max="12299" width="16.7109375" style="226" customWidth="1"/>
    <col min="12300" max="12300" width="11.7109375" style="226" bestFit="1" customWidth="1"/>
    <col min="12301" max="12542" width="9.140625" style="226"/>
    <col min="12543" max="12543" width="21" style="226" bestFit="1" customWidth="1"/>
    <col min="12544" max="12544" width="9.5703125" style="226" bestFit="1" customWidth="1"/>
    <col min="12545" max="12545" width="2.85546875" style="226" customWidth="1"/>
    <col min="12546" max="12546" width="68.7109375" style="226" customWidth="1"/>
    <col min="12547" max="12548" width="15.7109375" style="226" customWidth="1"/>
    <col min="12549" max="12549" width="15.5703125" style="226" bestFit="1" customWidth="1"/>
    <col min="12550" max="12550" width="11.7109375" style="226" customWidth="1"/>
    <col min="12551" max="12551" width="13.140625" style="226" customWidth="1"/>
    <col min="12552" max="12552" width="17" style="226" customWidth="1"/>
    <col min="12553" max="12553" width="15.42578125" style="226" customWidth="1"/>
    <col min="12554" max="12554" width="11.140625" style="226" customWidth="1"/>
    <col min="12555" max="12555" width="16.7109375" style="226" customWidth="1"/>
    <col min="12556" max="12556" width="11.7109375" style="226" bestFit="1" customWidth="1"/>
    <col min="12557" max="12798" width="9.140625" style="226"/>
    <col min="12799" max="12799" width="21" style="226" bestFit="1" customWidth="1"/>
    <col min="12800" max="12800" width="9.5703125" style="226" bestFit="1" customWidth="1"/>
    <col min="12801" max="12801" width="2.85546875" style="226" customWidth="1"/>
    <col min="12802" max="12802" width="68.7109375" style="226" customWidth="1"/>
    <col min="12803" max="12804" width="15.7109375" style="226" customWidth="1"/>
    <col min="12805" max="12805" width="15.5703125" style="226" bestFit="1" customWidth="1"/>
    <col min="12806" max="12806" width="11.7109375" style="226" customWidth="1"/>
    <col min="12807" max="12807" width="13.140625" style="226" customWidth="1"/>
    <col min="12808" max="12808" width="17" style="226" customWidth="1"/>
    <col min="12809" max="12809" width="15.42578125" style="226" customWidth="1"/>
    <col min="12810" max="12810" width="11.140625" style="226" customWidth="1"/>
    <col min="12811" max="12811" width="16.7109375" style="226" customWidth="1"/>
    <col min="12812" max="12812" width="11.7109375" style="226" bestFit="1" customWidth="1"/>
    <col min="12813" max="13054" width="9.140625" style="226"/>
    <col min="13055" max="13055" width="21" style="226" bestFit="1" customWidth="1"/>
    <col min="13056" max="13056" width="9.5703125" style="226" bestFit="1" customWidth="1"/>
    <col min="13057" max="13057" width="2.85546875" style="226" customWidth="1"/>
    <col min="13058" max="13058" width="68.7109375" style="226" customWidth="1"/>
    <col min="13059" max="13060" width="15.7109375" style="226" customWidth="1"/>
    <col min="13061" max="13061" width="15.5703125" style="226" bestFit="1" customWidth="1"/>
    <col min="13062" max="13062" width="11.7109375" style="226" customWidth="1"/>
    <col min="13063" max="13063" width="13.140625" style="226" customWidth="1"/>
    <col min="13064" max="13064" width="17" style="226" customWidth="1"/>
    <col min="13065" max="13065" width="15.42578125" style="226" customWidth="1"/>
    <col min="13066" max="13066" width="11.140625" style="226" customWidth="1"/>
    <col min="13067" max="13067" width="16.7109375" style="226" customWidth="1"/>
    <col min="13068" max="13068" width="11.7109375" style="226" bestFit="1" customWidth="1"/>
    <col min="13069" max="13310" width="9.140625" style="226"/>
    <col min="13311" max="13311" width="21" style="226" bestFit="1" customWidth="1"/>
    <col min="13312" max="13312" width="9.5703125" style="226" bestFit="1" customWidth="1"/>
    <col min="13313" max="13313" width="2.85546875" style="226" customWidth="1"/>
    <col min="13314" max="13314" width="68.7109375" style="226" customWidth="1"/>
    <col min="13315" max="13316" width="15.7109375" style="226" customWidth="1"/>
    <col min="13317" max="13317" width="15.5703125" style="226" bestFit="1" customWidth="1"/>
    <col min="13318" max="13318" width="11.7109375" style="226" customWidth="1"/>
    <col min="13319" max="13319" width="13.140625" style="226" customWidth="1"/>
    <col min="13320" max="13320" width="17" style="226" customWidth="1"/>
    <col min="13321" max="13321" width="15.42578125" style="226" customWidth="1"/>
    <col min="13322" max="13322" width="11.140625" style="226" customWidth="1"/>
    <col min="13323" max="13323" width="16.7109375" style="226" customWidth="1"/>
    <col min="13324" max="13324" width="11.7109375" style="226" bestFit="1" customWidth="1"/>
    <col min="13325" max="13566" width="9.140625" style="226"/>
    <col min="13567" max="13567" width="21" style="226" bestFit="1" customWidth="1"/>
    <col min="13568" max="13568" width="9.5703125" style="226" bestFit="1" customWidth="1"/>
    <col min="13569" max="13569" width="2.85546875" style="226" customWidth="1"/>
    <col min="13570" max="13570" width="68.7109375" style="226" customWidth="1"/>
    <col min="13571" max="13572" width="15.7109375" style="226" customWidth="1"/>
    <col min="13573" max="13573" width="15.5703125" style="226" bestFit="1" customWidth="1"/>
    <col min="13574" max="13574" width="11.7109375" style="226" customWidth="1"/>
    <col min="13575" max="13575" width="13.140625" style="226" customWidth="1"/>
    <col min="13576" max="13576" width="17" style="226" customWidth="1"/>
    <col min="13577" max="13577" width="15.42578125" style="226" customWidth="1"/>
    <col min="13578" max="13578" width="11.140625" style="226" customWidth="1"/>
    <col min="13579" max="13579" width="16.7109375" style="226" customWidth="1"/>
    <col min="13580" max="13580" width="11.7109375" style="226" bestFit="1" customWidth="1"/>
    <col min="13581" max="13822" width="9.140625" style="226"/>
    <col min="13823" max="13823" width="21" style="226" bestFit="1" customWidth="1"/>
    <col min="13824" max="13824" width="9.5703125" style="226" bestFit="1" customWidth="1"/>
    <col min="13825" max="13825" width="2.85546875" style="226" customWidth="1"/>
    <col min="13826" max="13826" width="68.7109375" style="226" customWidth="1"/>
    <col min="13827" max="13828" width="15.7109375" style="226" customWidth="1"/>
    <col min="13829" max="13829" width="15.5703125" style="226" bestFit="1" customWidth="1"/>
    <col min="13830" max="13830" width="11.7109375" style="226" customWidth="1"/>
    <col min="13831" max="13831" width="13.140625" style="226" customWidth="1"/>
    <col min="13832" max="13832" width="17" style="226" customWidth="1"/>
    <col min="13833" max="13833" width="15.42578125" style="226" customWidth="1"/>
    <col min="13834" max="13834" width="11.140625" style="226" customWidth="1"/>
    <col min="13835" max="13835" width="16.7109375" style="226" customWidth="1"/>
    <col min="13836" max="13836" width="11.7109375" style="226" bestFit="1" customWidth="1"/>
    <col min="13837" max="14078" width="9.140625" style="226"/>
    <col min="14079" max="14079" width="21" style="226" bestFit="1" customWidth="1"/>
    <col min="14080" max="14080" width="9.5703125" style="226" bestFit="1" customWidth="1"/>
    <col min="14081" max="14081" width="2.85546875" style="226" customWidth="1"/>
    <col min="14082" max="14082" width="68.7109375" style="226" customWidth="1"/>
    <col min="14083" max="14084" width="15.7109375" style="226" customWidth="1"/>
    <col min="14085" max="14085" width="15.5703125" style="226" bestFit="1" customWidth="1"/>
    <col min="14086" max="14086" width="11.7109375" style="226" customWidth="1"/>
    <col min="14087" max="14087" width="13.140625" style="226" customWidth="1"/>
    <col min="14088" max="14088" width="17" style="226" customWidth="1"/>
    <col min="14089" max="14089" width="15.42578125" style="226" customWidth="1"/>
    <col min="14090" max="14090" width="11.140625" style="226" customWidth="1"/>
    <col min="14091" max="14091" width="16.7109375" style="226" customWidth="1"/>
    <col min="14092" max="14092" width="11.7109375" style="226" bestFit="1" customWidth="1"/>
    <col min="14093" max="14334" width="9.140625" style="226"/>
    <col min="14335" max="14335" width="21" style="226" bestFit="1" customWidth="1"/>
    <col min="14336" max="14336" width="9.5703125" style="226" bestFit="1" customWidth="1"/>
    <col min="14337" max="14337" width="2.85546875" style="226" customWidth="1"/>
    <col min="14338" max="14338" width="68.7109375" style="226" customWidth="1"/>
    <col min="14339" max="14340" width="15.7109375" style="226" customWidth="1"/>
    <col min="14341" max="14341" width="15.5703125" style="226" bestFit="1" customWidth="1"/>
    <col min="14342" max="14342" width="11.7109375" style="226" customWidth="1"/>
    <col min="14343" max="14343" width="13.140625" style="226" customWidth="1"/>
    <col min="14344" max="14344" width="17" style="226" customWidth="1"/>
    <col min="14345" max="14345" width="15.42578125" style="226" customWidth="1"/>
    <col min="14346" max="14346" width="11.140625" style="226" customWidth="1"/>
    <col min="14347" max="14347" width="16.7109375" style="226" customWidth="1"/>
    <col min="14348" max="14348" width="11.7109375" style="226" bestFit="1" customWidth="1"/>
    <col min="14349" max="14590" width="9.140625" style="226"/>
    <col min="14591" max="14591" width="21" style="226" bestFit="1" customWidth="1"/>
    <col min="14592" max="14592" width="9.5703125" style="226" bestFit="1" customWidth="1"/>
    <col min="14593" max="14593" width="2.85546875" style="226" customWidth="1"/>
    <col min="14594" max="14594" width="68.7109375" style="226" customWidth="1"/>
    <col min="14595" max="14596" width="15.7109375" style="226" customWidth="1"/>
    <col min="14597" max="14597" width="15.5703125" style="226" bestFit="1" customWidth="1"/>
    <col min="14598" max="14598" width="11.7109375" style="226" customWidth="1"/>
    <col min="14599" max="14599" width="13.140625" style="226" customWidth="1"/>
    <col min="14600" max="14600" width="17" style="226" customWidth="1"/>
    <col min="14601" max="14601" width="15.42578125" style="226" customWidth="1"/>
    <col min="14602" max="14602" width="11.140625" style="226" customWidth="1"/>
    <col min="14603" max="14603" width="16.7109375" style="226" customWidth="1"/>
    <col min="14604" max="14604" width="11.7109375" style="226" bestFit="1" customWidth="1"/>
    <col min="14605" max="14846" width="9.140625" style="226"/>
    <col min="14847" max="14847" width="21" style="226" bestFit="1" customWidth="1"/>
    <col min="14848" max="14848" width="9.5703125" style="226" bestFit="1" customWidth="1"/>
    <col min="14849" max="14849" width="2.85546875" style="226" customWidth="1"/>
    <col min="14850" max="14850" width="68.7109375" style="226" customWidth="1"/>
    <col min="14851" max="14852" width="15.7109375" style="226" customWidth="1"/>
    <col min="14853" max="14853" width="15.5703125" style="226" bestFit="1" customWidth="1"/>
    <col min="14854" max="14854" width="11.7109375" style="226" customWidth="1"/>
    <col min="14855" max="14855" width="13.140625" style="226" customWidth="1"/>
    <col min="14856" max="14856" width="17" style="226" customWidth="1"/>
    <col min="14857" max="14857" width="15.42578125" style="226" customWidth="1"/>
    <col min="14858" max="14858" width="11.140625" style="226" customWidth="1"/>
    <col min="14859" max="14859" width="16.7109375" style="226" customWidth="1"/>
    <col min="14860" max="14860" width="11.7109375" style="226" bestFit="1" customWidth="1"/>
    <col min="14861" max="15102" width="9.140625" style="226"/>
    <col min="15103" max="15103" width="21" style="226" bestFit="1" customWidth="1"/>
    <col min="15104" max="15104" width="9.5703125" style="226" bestFit="1" customWidth="1"/>
    <col min="15105" max="15105" width="2.85546875" style="226" customWidth="1"/>
    <col min="15106" max="15106" width="68.7109375" style="226" customWidth="1"/>
    <col min="15107" max="15108" width="15.7109375" style="226" customWidth="1"/>
    <col min="15109" max="15109" width="15.5703125" style="226" bestFit="1" customWidth="1"/>
    <col min="15110" max="15110" width="11.7109375" style="226" customWidth="1"/>
    <col min="15111" max="15111" width="13.140625" style="226" customWidth="1"/>
    <col min="15112" max="15112" width="17" style="226" customWidth="1"/>
    <col min="15113" max="15113" width="15.42578125" style="226" customWidth="1"/>
    <col min="15114" max="15114" width="11.140625" style="226" customWidth="1"/>
    <col min="15115" max="15115" width="16.7109375" style="226" customWidth="1"/>
    <col min="15116" max="15116" width="11.7109375" style="226" bestFit="1" customWidth="1"/>
    <col min="15117" max="15358" width="9.140625" style="226"/>
    <col min="15359" max="15359" width="21" style="226" bestFit="1" customWidth="1"/>
    <col min="15360" max="15360" width="9.5703125" style="226" bestFit="1" customWidth="1"/>
    <col min="15361" max="15361" width="2.85546875" style="226" customWidth="1"/>
    <col min="15362" max="15362" width="68.7109375" style="226" customWidth="1"/>
    <col min="15363" max="15364" width="15.7109375" style="226" customWidth="1"/>
    <col min="15365" max="15365" width="15.5703125" style="226" bestFit="1" customWidth="1"/>
    <col min="15366" max="15366" width="11.7109375" style="226" customWidth="1"/>
    <col min="15367" max="15367" width="13.140625" style="226" customWidth="1"/>
    <col min="15368" max="15368" width="17" style="226" customWidth="1"/>
    <col min="15369" max="15369" width="15.42578125" style="226" customWidth="1"/>
    <col min="15370" max="15370" width="11.140625" style="226" customWidth="1"/>
    <col min="15371" max="15371" width="16.7109375" style="226" customWidth="1"/>
    <col min="15372" max="15372" width="11.7109375" style="226" bestFit="1" customWidth="1"/>
    <col min="15373" max="15614" width="9.140625" style="226"/>
    <col min="15615" max="15615" width="21" style="226" bestFit="1" customWidth="1"/>
    <col min="15616" max="15616" width="9.5703125" style="226" bestFit="1" customWidth="1"/>
    <col min="15617" max="15617" width="2.85546875" style="226" customWidth="1"/>
    <col min="15618" max="15618" width="68.7109375" style="226" customWidth="1"/>
    <col min="15619" max="15620" width="15.7109375" style="226" customWidth="1"/>
    <col min="15621" max="15621" width="15.5703125" style="226" bestFit="1" customWidth="1"/>
    <col min="15622" max="15622" width="11.7109375" style="226" customWidth="1"/>
    <col min="15623" max="15623" width="13.140625" style="226" customWidth="1"/>
    <col min="15624" max="15624" width="17" style="226" customWidth="1"/>
    <col min="15625" max="15625" width="15.42578125" style="226" customWidth="1"/>
    <col min="15626" max="15626" width="11.140625" style="226" customWidth="1"/>
    <col min="15627" max="15627" width="16.7109375" style="226" customWidth="1"/>
    <col min="15628" max="15628" width="11.7109375" style="226" bestFit="1" customWidth="1"/>
    <col min="15629" max="15870" width="9.140625" style="226"/>
    <col min="15871" max="15871" width="21" style="226" bestFit="1" customWidth="1"/>
    <col min="15872" max="15872" width="9.5703125" style="226" bestFit="1" customWidth="1"/>
    <col min="15873" max="15873" width="2.85546875" style="226" customWidth="1"/>
    <col min="15874" max="15874" width="68.7109375" style="226" customWidth="1"/>
    <col min="15875" max="15876" width="15.7109375" style="226" customWidth="1"/>
    <col min="15877" max="15877" width="15.5703125" style="226" bestFit="1" customWidth="1"/>
    <col min="15878" max="15878" width="11.7109375" style="226" customWidth="1"/>
    <col min="15879" max="15879" width="13.140625" style="226" customWidth="1"/>
    <col min="15880" max="15880" width="17" style="226" customWidth="1"/>
    <col min="15881" max="15881" width="15.42578125" style="226" customWidth="1"/>
    <col min="15882" max="15882" width="11.140625" style="226" customWidth="1"/>
    <col min="15883" max="15883" width="16.7109375" style="226" customWidth="1"/>
    <col min="15884" max="15884" width="11.7109375" style="226" bestFit="1" customWidth="1"/>
    <col min="15885" max="16126" width="9.140625" style="226"/>
    <col min="16127" max="16127" width="21" style="226" bestFit="1" customWidth="1"/>
    <col min="16128" max="16128" width="9.5703125" style="226" bestFit="1" customWidth="1"/>
    <col min="16129" max="16129" width="2.85546875" style="226" customWidth="1"/>
    <col min="16130" max="16130" width="68.7109375" style="226" customWidth="1"/>
    <col min="16131" max="16132" width="15.7109375" style="226" customWidth="1"/>
    <col min="16133" max="16133" width="15.5703125" style="226" bestFit="1" customWidth="1"/>
    <col min="16134" max="16134" width="11.7109375" style="226" customWidth="1"/>
    <col min="16135" max="16135" width="13.140625" style="226" customWidth="1"/>
    <col min="16136" max="16136" width="17" style="226" customWidth="1"/>
    <col min="16137" max="16137" width="15.42578125" style="226" customWidth="1"/>
    <col min="16138" max="16138" width="11.140625" style="226" customWidth="1"/>
    <col min="16139" max="16139" width="16.7109375" style="226" customWidth="1"/>
    <col min="16140" max="16140" width="11.7109375" style="226" bestFit="1" customWidth="1"/>
    <col min="16141" max="16384" width="9.140625" style="226"/>
  </cols>
  <sheetData>
    <row r="1" spans="1:21" ht="16.5" thickBot="1">
      <c r="A1" s="226" t="s">
        <v>690</v>
      </c>
      <c r="D1" s="778" t="str">
        <f>"Quality Education Model Impact Analysis for the " &amp; LEFT(A6,4) &amp; "-" &amp; LEFT(A7, 2) &amp; RIGHT(A7, 2) &amp; " Biennium"</f>
        <v>Quality Education Model Impact Analysis for the 2027-2029 Biennium</v>
      </c>
      <c r="E1" s="779"/>
      <c r="F1" s="779"/>
      <c r="G1" s="779"/>
      <c r="H1" s="780"/>
    </row>
    <row r="2" spans="1:21" ht="16.5" thickBot="1">
      <c r="A2" s="782" t="s">
        <v>710</v>
      </c>
      <c r="D2" s="783" t="s">
        <v>732</v>
      </c>
      <c r="E2" s="784"/>
      <c r="F2" s="779"/>
      <c r="G2" s="779"/>
      <c r="H2" s="780"/>
      <c r="K2" s="785"/>
      <c r="L2" s="786"/>
      <c r="M2" s="787"/>
      <c r="N2" s="786"/>
      <c r="O2" s="788" t="s">
        <v>857</v>
      </c>
      <c r="P2" s="789"/>
      <c r="Q2" s="786"/>
      <c r="R2" s="787"/>
      <c r="S2" s="786"/>
      <c r="T2" s="786" t="s">
        <v>858</v>
      </c>
      <c r="U2" s="788" t="s">
        <v>662</v>
      </c>
    </row>
    <row r="3" spans="1:21">
      <c r="A3" s="782" t="s">
        <v>709</v>
      </c>
      <c r="D3" s="790"/>
      <c r="E3" s="791" t="s">
        <v>937</v>
      </c>
      <c r="F3" s="791" t="s">
        <v>129</v>
      </c>
      <c r="H3" s="792" t="s">
        <v>691</v>
      </c>
      <c r="K3" s="793"/>
      <c r="L3" s="794" t="s">
        <v>618</v>
      </c>
      <c r="M3" s="795"/>
      <c r="N3" s="794"/>
      <c r="O3" s="796"/>
      <c r="P3" s="797"/>
      <c r="Q3" s="794" t="s">
        <v>618</v>
      </c>
      <c r="R3" s="798"/>
      <c r="S3" s="794"/>
      <c r="T3" s="796"/>
      <c r="U3" s="799"/>
    </row>
    <row r="4" spans="1:21">
      <c r="D4" s="790"/>
      <c r="E4" s="791" t="s">
        <v>692</v>
      </c>
      <c r="F4" s="791" t="s">
        <v>708</v>
      </c>
      <c r="G4" s="791" t="s">
        <v>693</v>
      </c>
      <c r="H4" s="792" t="s">
        <v>693</v>
      </c>
      <c r="K4" s="793"/>
      <c r="L4" s="794" t="s">
        <v>620</v>
      </c>
      <c r="M4" s="795"/>
      <c r="N4" s="794" t="s">
        <v>618</v>
      </c>
      <c r="O4" s="796"/>
      <c r="P4" s="797"/>
      <c r="Q4" s="794" t="s">
        <v>620</v>
      </c>
      <c r="R4" s="798"/>
      <c r="S4" s="794" t="s">
        <v>618</v>
      </c>
      <c r="T4" s="796"/>
      <c r="U4" s="799"/>
    </row>
    <row r="5" spans="1:21">
      <c r="D5" s="790"/>
      <c r="H5" s="800"/>
      <c r="K5" s="801" t="s">
        <v>621</v>
      </c>
      <c r="L5" s="794" t="s">
        <v>621</v>
      </c>
      <c r="M5" s="795" t="s">
        <v>622</v>
      </c>
      <c r="N5" s="794" t="s">
        <v>620</v>
      </c>
      <c r="O5" s="796"/>
      <c r="P5" s="797" t="s">
        <v>621</v>
      </c>
      <c r="Q5" s="794" t="s">
        <v>621</v>
      </c>
      <c r="R5" s="798" t="s">
        <v>622</v>
      </c>
      <c r="S5" s="794" t="s">
        <v>620</v>
      </c>
      <c r="T5" s="796"/>
      <c r="U5" s="799"/>
    </row>
    <row r="6" spans="1:21">
      <c r="A6" s="226" t="str">
        <f>'Scale-Up'!I47</f>
        <v>2027-28</v>
      </c>
      <c r="B6" s="226" t="s">
        <v>694</v>
      </c>
      <c r="D6" s="790" t="str">
        <f xml:space="preserve"> "Estimated Prototype School Operating Expenditures for " &amp; A6</f>
        <v>Estimated Prototype School Operating Expenditures for 2027-28</v>
      </c>
      <c r="E6" s="728">
        <v>11394507238.018951</v>
      </c>
      <c r="F6" s="728">
        <f ca="1">INDEX(INDIRECT(A1), MATCH(B6, INDIRECT(A3),0), MATCH(A6,INDIRECT(A2),0))</f>
        <v>12591313288.161734</v>
      </c>
      <c r="G6" s="728">
        <f ca="1">+F6-E6</f>
        <v>1196806050.1427822</v>
      </c>
      <c r="H6" s="811">
        <f ca="1">+F6/E6-1</f>
        <v>0.10503359426983505</v>
      </c>
      <c r="K6" s="801" t="s">
        <v>623</v>
      </c>
      <c r="L6" s="794" t="s">
        <v>623</v>
      </c>
      <c r="M6" s="795" t="s">
        <v>624</v>
      </c>
      <c r="N6" s="794" t="s">
        <v>622</v>
      </c>
      <c r="O6" s="796" t="s">
        <v>618</v>
      </c>
      <c r="P6" s="797" t="s">
        <v>623</v>
      </c>
      <c r="Q6" s="794" t="s">
        <v>623</v>
      </c>
      <c r="R6" s="798" t="s">
        <v>624</v>
      </c>
      <c r="S6" s="794" t="s">
        <v>622</v>
      </c>
      <c r="T6" s="796" t="s">
        <v>618</v>
      </c>
      <c r="U6" s="799"/>
    </row>
    <row r="7" spans="1:21">
      <c r="A7" s="226" t="str">
        <f>'Scale-Up'!N47</f>
        <v>2028-29</v>
      </c>
      <c r="B7" s="226" t="s">
        <v>694</v>
      </c>
      <c r="D7" s="802" t="str">
        <f xml:space="preserve"> "Estimated Prototype School Operating Expenditures for " &amp; A7</f>
        <v>Estimated Prototype School Operating Expenditures for 2028-29</v>
      </c>
      <c r="E7" s="817">
        <v>11821045333.982063</v>
      </c>
      <c r="F7" s="817">
        <f ca="1">INDEX(INDIRECT(A1), MATCH(B7, INDIRECT(A3),0), MATCH(A7,INDIRECT(A2),0))</f>
        <v>13056292425.45866</v>
      </c>
      <c r="G7" s="817">
        <f ca="1">+F7-E7</f>
        <v>1235247091.4765968</v>
      </c>
      <c r="H7" s="809">
        <f ca="1">+F7/E7-1</f>
        <v>0.10449558872138165</v>
      </c>
      <c r="J7" s="226" t="s">
        <v>374</v>
      </c>
      <c r="K7" s="803"/>
      <c r="L7" s="720"/>
      <c r="M7" s="804">
        <v>232247.14285375559</v>
      </c>
      <c r="N7" s="720">
        <v>22241.69008809017</v>
      </c>
      <c r="O7" s="805">
        <v>5165568975.1976376</v>
      </c>
      <c r="P7" s="806"/>
      <c r="Q7" s="720"/>
      <c r="R7" s="804">
        <v>231231.76055897874</v>
      </c>
      <c r="S7" s="720">
        <v>23180.267780149883</v>
      </c>
      <c r="T7" s="805">
        <v>5360014129.0326271</v>
      </c>
      <c r="U7" s="807">
        <v>10525583104.230265</v>
      </c>
    </row>
    <row r="8" spans="1:21">
      <c r="D8" s="808" t="str">
        <f xml:space="preserve"> LEFT(A6,4) &amp; "-" &amp; RIGHT(A7, 2) &amp; " Biennium Total for Prototype Schools"</f>
        <v>2027-29 Biennium Total for Prototype Schools</v>
      </c>
      <c r="E8" s="818">
        <v>23215552572.001015</v>
      </c>
      <c r="F8" s="818">
        <f ca="1">+F7+F6</f>
        <v>25647605713.620392</v>
      </c>
      <c r="G8" s="818">
        <f ca="1">+F8-E8</f>
        <v>2432053141.6193771</v>
      </c>
      <c r="H8" s="810">
        <f ca="1">+F8/E8-1</f>
        <v>0.10475964912213809</v>
      </c>
      <c r="J8" s="226" t="s">
        <v>375</v>
      </c>
      <c r="K8" s="803"/>
      <c r="L8" s="720"/>
      <c r="M8" s="804">
        <v>128029.38055363524</v>
      </c>
      <c r="N8" s="720">
        <v>21755.621696450988</v>
      </c>
      <c r="O8" s="805">
        <v>2785358769.3558469</v>
      </c>
      <c r="P8" s="806"/>
      <c r="Q8" s="720"/>
      <c r="R8" s="804">
        <v>127469.6373222308</v>
      </c>
      <c r="S8" s="720">
        <v>22669.016081244943</v>
      </c>
      <c r="T8" s="805">
        <v>2889611258.3281107</v>
      </c>
      <c r="U8" s="807">
        <v>5674970027.6839581</v>
      </c>
    </row>
    <row r="9" spans="1:21">
      <c r="D9" s="790"/>
      <c r="E9" s="728"/>
      <c r="F9" s="728"/>
      <c r="G9" s="728"/>
      <c r="H9" s="811"/>
      <c r="J9" s="226" t="s">
        <v>376</v>
      </c>
      <c r="K9" s="803"/>
      <c r="L9" s="720"/>
      <c r="M9" s="804">
        <v>167629.47659260916</v>
      </c>
      <c r="N9" s="720">
        <v>20542.854730867803</v>
      </c>
      <c r="O9" s="805">
        <v>3443587986.2533746</v>
      </c>
      <c r="P9" s="806"/>
      <c r="Q9" s="720"/>
      <c r="R9" s="804">
        <v>166896.60211879044</v>
      </c>
      <c r="S9" s="720">
        <v>21399.049979740837</v>
      </c>
      <c r="T9" s="805">
        <v>3571428730.1889172</v>
      </c>
      <c r="U9" s="807">
        <v>7015016716.4422913</v>
      </c>
    </row>
    <row r="10" spans="1:21">
      <c r="A10" s="226" t="s">
        <v>662</v>
      </c>
      <c r="B10" s="226" t="s">
        <v>695</v>
      </c>
      <c r="D10" s="790" t="s">
        <v>696</v>
      </c>
      <c r="E10" s="728">
        <v>1429203981.5920091</v>
      </c>
      <c r="F10" s="728">
        <f ca="1">INDEX(INDIRECT(A1), MATCH(B10, INDIRECT(A3),0), MATCH(A10,INDIRECT(A2),0))</f>
        <v>1429203981.5920091</v>
      </c>
      <c r="G10" s="728">
        <f ca="1">+F10-E10</f>
        <v>0</v>
      </c>
      <c r="H10" s="811">
        <f ca="1">+F10/E10-1</f>
        <v>0</v>
      </c>
      <c r="K10" s="803"/>
      <c r="L10" s="720"/>
      <c r="M10" s="804"/>
      <c r="N10" s="720"/>
      <c r="O10" s="805"/>
      <c r="P10" s="806"/>
      <c r="Q10" s="720"/>
      <c r="R10" s="804"/>
      <c r="S10" s="720"/>
      <c r="T10" s="805"/>
      <c r="U10" s="807"/>
    </row>
    <row r="11" spans="1:21">
      <c r="A11" s="226" t="s">
        <v>662</v>
      </c>
      <c r="B11" s="226" t="s">
        <v>697</v>
      </c>
      <c r="D11" s="802" t="s">
        <v>698</v>
      </c>
      <c r="E11" s="817">
        <v>110000000</v>
      </c>
      <c r="F11" s="817">
        <f ca="1">INDEX(INDIRECT(A1), MATCH(B11, INDIRECT(A3),0), MATCH(A11,INDIRECT(A2),0))</f>
        <v>110000000</v>
      </c>
      <c r="G11" s="817">
        <f ca="1">+F11-E11</f>
        <v>0</v>
      </c>
      <c r="H11" s="809">
        <f ca="1">IF(E11=0,"na",F11/E11-1)</f>
        <v>0</v>
      </c>
      <c r="J11" s="226" t="s">
        <v>630</v>
      </c>
      <c r="K11" s="806">
        <v>654060</v>
      </c>
      <c r="L11" s="720">
        <v>17421.20865181613</v>
      </c>
      <c r="M11" s="804">
        <v>527906</v>
      </c>
      <c r="N11" s="720">
        <v>21584.36488845904</v>
      </c>
      <c r="O11" s="805">
        <v>11394515730.806858</v>
      </c>
      <c r="P11" s="806">
        <v>647460</v>
      </c>
      <c r="Q11" s="720">
        <v>18257.582117118673</v>
      </c>
      <c r="R11" s="804">
        <v>525598</v>
      </c>
      <c r="S11" s="720">
        <v>22490.675606736815</v>
      </c>
      <c r="T11" s="805">
        <v>11821054117.549656</v>
      </c>
      <c r="U11" s="807">
        <v>23215569848.356514</v>
      </c>
    </row>
    <row r="12" spans="1:21">
      <c r="D12" s="808" t="str">
        <f xml:space="preserve"> "Equals: Total " &amp; LEFT(A6,4) &amp; "-" &amp; RIGHT(A7, 2) &amp; " School Funding Requirement"</f>
        <v>Equals: Total 2027-29 School Funding Requirement</v>
      </c>
      <c r="E12" s="818">
        <v>24754756553.593025</v>
      </c>
      <c r="F12" s="818">
        <f ca="1">+F8+F10+F11</f>
        <v>27186809695.212402</v>
      </c>
      <c r="G12" s="818">
        <f ca="1">+F12-E12</f>
        <v>2432053141.6193771</v>
      </c>
      <c r="H12" s="810">
        <f ca="1">IF(E12=0,"na",F12/E12-1)</f>
        <v>9.8245892111848532E-2</v>
      </c>
      <c r="J12" s="226" t="s">
        <v>634</v>
      </c>
      <c r="K12" s="803"/>
      <c r="L12" s="720"/>
      <c r="M12" s="804"/>
      <c r="N12" s="720"/>
      <c r="O12" s="805">
        <v>690105692.8325175</v>
      </c>
      <c r="P12" s="806"/>
      <c r="Q12" s="720"/>
      <c r="R12" s="804"/>
      <c r="S12" s="720"/>
      <c r="T12" s="805">
        <v>739098288.75949359</v>
      </c>
      <c r="U12" s="807">
        <v>1429203981.592011</v>
      </c>
    </row>
    <row r="13" spans="1:21">
      <c r="D13" s="790"/>
      <c r="E13" s="728"/>
      <c r="F13" s="728"/>
      <c r="G13" s="728"/>
      <c r="H13" s="811"/>
      <c r="J13" s="226" t="s">
        <v>635</v>
      </c>
      <c r="K13" s="803"/>
      <c r="L13" s="720"/>
      <c r="M13" s="804"/>
      <c r="N13" s="720"/>
      <c r="O13" s="805">
        <v>12084621423.639376</v>
      </c>
      <c r="P13" s="806"/>
      <c r="Q13" s="720"/>
      <c r="R13" s="804"/>
      <c r="S13" s="720"/>
      <c r="T13" s="805">
        <v>12560152406.309149</v>
      </c>
      <c r="U13" s="807">
        <v>24644773829.948524</v>
      </c>
    </row>
    <row r="14" spans="1:21">
      <c r="A14" s="226" t="s">
        <v>662</v>
      </c>
      <c r="B14" s="226" t="s">
        <v>699</v>
      </c>
      <c r="D14" s="790" t="s">
        <v>700</v>
      </c>
      <c r="E14" s="728">
        <v>2913243172.8036098</v>
      </c>
      <c r="F14" s="728">
        <f ca="1">INDEX(INDIRECT(A1), MATCH(B14, INDIRECT(A3),0), MATCH(A14,INDIRECT(A2),0))</f>
        <v>2913243172.8036098</v>
      </c>
      <c r="G14" s="728">
        <f ca="1">+F14-E14</f>
        <v>0</v>
      </c>
      <c r="H14" s="811">
        <f ca="1">+F14/E14-1</f>
        <v>0</v>
      </c>
      <c r="J14" s="226" t="s">
        <v>636</v>
      </c>
      <c r="K14" s="803"/>
      <c r="L14" s="720"/>
      <c r="M14" s="804"/>
      <c r="N14" s="720"/>
      <c r="O14" s="805">
        <v>1372163083.9168158</v>
      </c>
      <c r="P14" s="806"/>
      <c r="Q14" s="720"/>
      <c r="R14" s="804"/>
      <c r="S14" s="720"/>
      <c r="T14" s="805">
        <v>1468322487.5434935</v>
      </c>
      <c r="U14" s="807">
        <v>2840485571.460309</v>
      </c>
    </row>
    <row r="15" spans="1:21">
      <c r="A15" s="226" t="s">
        <v>662</v>
      </c>
      <c r="B15" s="226" t="s">
        <v>701</v>
      </c>
      <c r="D15" s="790" t="s">
        <v>702</v>
      </c>
      <c r="E15" s="728">
        <v>2223972695.5667663</v>
      </c>
      <c r="F15" s="728">
        <f ca="1">INDEX(INDIRECT(A1), MATCH(B15, INDIRECT(A3),0), MATCH(A15,INDIRECT(A2),0))</f>
        <v>2223972695.5667663</v>
      </c>
      <c r="G15" s="728">
        <f ca="1">+F15-E15</f>
        <v>0</v>
      </c>
      <c r="H15" s="811">
        <f ca="1">IF(E15=0,"na",F15/E15-1)</f>
        <v>0</v>
      </c>
      <c r="I15" s="227"/>
      <c r="J15" s="226" t="s">
        <v>637</v>
      </c>
      <c r="K15" s="803"/>
      <c r="L15" s="720"/>
      <c r="M15" s="804"/>
      <c r="N15" s="720"/>
      <c r="O15" s="805">
        <v>716170270.20685029</v>
      </c>
      <c r="P15" s="806"/>
      <c r="Q15" s="720"/>
      <c r="R15" s="804"/>
      <c r="S15" s="720"/>
      <c r="T15" s="805">
        <v>767491330.1790905</v>
      </c>
      <c r="U15" s="807">
        <v>1483661600.3859408</v>
      </c>
    </row>
    <row r="16" spans="1:21">
      <c r="A16" s="226" t="s">
        <v>662</v>
      </c>
      <c r="B16" s="226" t="s">
        <v>703</v>
      </c>
      <c r="D16" s="790" t="s">
        <v>638</v>
      </c>
      <c r="E16" s="728">
        <v>25786413.621706463</v>
      </c>
      <c r="F16" s="728">
        <f ca="1">INDEX(INDIRECT(A1), MATCH(B16, INDIRECT(A3),0), MATCH(A16,INDIRECT(A2),0))</f>
        <v>25786413.621706463</v>
      </c>
      <c r="G16" s="728">
        <f ca="1">+F16-E16</f>
        <v>0</v>
      </c>
      <c r="H16" s="811">
        <f ca="1">IF(E16=0,"na",F16/E16-1)</f>
        <v>0</v>
      </c>
      <c r="J16" s="226" t="s">
        <v>638</v>
      </c>
      <c r="K16" s="803"/>
      <c r="L16" s="720"/>
      <c r="M16" s="804"/>
      <c r="N16" s="720"/>
      <c r="O16" s="805">
        <v>12623900.038612122</v>
      </c>
      <c r="P16" s="806"/>
      <c r="Q16" s="720"/>
      <c r="R16" s="804"/>
      <c r="S16" s="720"/>
      <c r="T16" s="805">
        <v>13162513.583094342</v>
      </c>
      <c r="U16" s="807">
        <v>25786413.621706463</v>
      </c>
    </row>
    <row r="17" spans="1:21">
      <c r="A17" s="226" t="s">
        <v>662</v>
      </c>
      <c r="B17" s="226" t="s">
        <v>704</v>
      </c>
      <c r="D17" s="802" t="s">
        <v>740</v>
      </c>
      <c r="E17" s="819">
        <v>-245220477.22772282</v>
      </c>
      <c r="F17" s="817">
        <f ca="1">INDEX(INDIRECT(A1), MATCH(B17, INDIRECT(A3),0), MATCH(A17,INDIRECT(A2),0))</f>
        <v>-245220477.22772282</v>
      </c>
      <c r="G17" s="817">
        <f ca="1">+F17-E17</f>
        <v>0</v>
      </c>
      <c r="H17" s="809">
        <f ca="1">IF(E17=0,"na",F17/E17-1)</f>
        <v>0</v>
      </c>
      <c r="J17" s="226" t="s">
        <v>639</v>
      </c>
      <c r="K17" s="803"/>
      <c r="L17" s="720"/>
      <c r="M17" s="804"/>
      <c r="N17" s="720"/>
      <c r="O17" s="805">
        <v>-210032713.01459697</v>
      </c>
      <c r="P17" s="806"/>
      <c r="Q17" s="720"/>
      <c r="R17" s="804"/>
      <c r="S17" s="720"/>
      <c r="T17" s="805">
        <v>-35187379.775144383</v>
      </c>
      <c r="U17" s="807">
        <v>-245220092.78974134</v>
      </c>
    </row>
    <row r="18" spans="1:21">
      <c r="D18" s="808" t="s">
        <v>705</v>
      </c>
      <c r="E18" s="818">
        <v>19836974748.828663</v>
      </c>
      <c r="F18" s="818">
        <f ca="1">+F12-F14-F15-F16-F17</f>
        <v>22269027890.44804</v>
      </c>
      <c r="G18" s="818">
        <f ca="1">+F18-E18</f>
        <v>2432053141.6193771</v>
      </c>
      <c r="H18" s="810">
        <f ca="1">+F18/E18-1</f>
        <v>0.12260201832252604</v>
      </c>
      <c r="J18" s="226" t="s">
        <v>646</v>
      </c>
      <c r="K18" s="803"/>
      <c r="L18" s="720"/>
      <c r="M18" s="804"/>
      <c r="N18" s="720"/>
      <c r="O18" s="805">
        <v>10193696882.491695</v>
      </c>
      <c r="P18" s="806"/>
      <c r="Q18" s="720"/>
      <c r="R18" s="804"/>
      <c r="S18" s="720"/>
      <c r="T18" s="805">
        <v>10346363454.778616</v>
      </c>
      <c r="U18" s="807">
        <v>20540060337.270309</v>
      </c>
    </row>
    <row r="19" spans="1:21">
      <c r="D19" s="808"/>
      <c r="E19" s="818"/>
      <c r="F19" s="818"/>
      <c r="G19" s="818"/>
      <c r="H19" s="810"/>
      <c r="I19" s="227"/>
      <c r="J19" s="226" t="s">
        <v>1113</v>
      </c>
      <c r="K19" s="803"/>
      <c r="L19" s="720"/>
      <c r="M19" s="804"/>
      <c r="N19" s="720"/>
      <c r="O19" s="805">
        <v>9709496280.5733395</v>
      </c>
      <c r="P19" s="806"/>
      <c r="Q19" s="720"/>
      <c r="R19" s="804"/>
      <c r="S19" s="720"/>
      <c r="T19" s="805">
        <v>9854911190.6766319</v>
      </c>
      <c r="U19" s="807">
        <v>19564407471.249969</v>
      </c>
    </row>
    <row r="20" spans="1:21" ht="16.5" thickBot="1">
      <c r="A20" s="226" t="s">
        <v>662</v>
      </c>
      <c r="B20" s="226" t="s">
        <v>706</v>
      </c>
      <c r="D20" s="812" t="s">
        <v>707</v>
      </c>
      <c r="E20" s="820">
        <v>6061084185</v>
      </c>
      <c r="F20" s="820">
        <f ca="1">INDEX(INDIRECT(A1), MATCH(B20, INDIRECT(A3),0), MATCH(A20,INDIRECT(A2),0))</f>
        <v>6061084185</v>
      </c>
      <c r="G20" s="820">
        <f ca="1">+F20-E20</f>
        <v>0</v>
      </c>
      <c r="H20" s="821">
        <f ca="1">+F20/E20-1</f>
        <v>0</v>
      </c>
      <c r="J20" s="226" t="s">
        <v>1114</v>
      </c>
      <c r="K20" s="803"/>
      <c r="L20" s="720"/>
      <c r="M20" s="804"/>
      <c r="N20" s="720"/>
      <c r="O20" s="805">
        <v>484200601.91835594</v>
      </c>
      <c r="P20" s="806"/>
      <c r="Q20" s="720"/>
      <c r="R20" s="804"/>
      <c r="S20" s="720"/>
      <c r="T20" s="805">
        <v>491452264.10198402</v>
      </c>
      <c r="U20" s="807">
        <v>975652866.02033997</v>
      </c>
    </row>
    <row r="21" spans="1:21" ht="17.25" thickTop="1" thickBot="1">
      <c r="D21" s="813" t="str">
        <f>"Equals: " &amp; LEFT(A6,4) &amp; "-" &amp; RIGHT(A7, 2) &amp; " State Funding Requirement"</f>
        <v>Equals: 2027-29 State Funding Requirement</v>
      </c>
      <c r="E21" s="822">
        <v>13775890563.828663</v>
      </c>
      <c r="F21" s="822">
        <f ca="1">+F18-F20</f>
        <v>16207943705.44804</v>
      </c>
      <c r="G21" s="822">
        <f ca="1">+F21-E21</f>
        <v>2432053141.6193771</v>
      </c>
      <c r="H21" s="823">
        <f ca="1">+F21/E21-1</f>
        <v>0.17654416825909003</v>
      </c>
      <c r="I21" s="814"/>
      <c r="J21" s="226" t="s">
        <v>641</v>
      </c>
      <c r="K21" s="803"/>
      <c r="L21" s="720"/>
      <c r="M21" s="804"/>
      <c r="N21" s="720"/>
      <c r="O21" s="805">
        <v>2974815317</v>
      </c>
      <c r="P21" s="806"/>
      <c r="Q21" s="720"/>
      <c r="R21" s="804"/>
      <c r="S21" s="720"/>
      <c r="T21" s="805">
        <v>3086268868</v>
      </c>
      <c r="U21" s="807">
        <v>6061084185</v>
      </c>
    </row>
    <row r="22" spans="1:21">
      <c r="D22" s="232" t="s">
        <v>928</v>
      </c>
      <c r="E22" s="826">
        <v>12558429348</v>
      </c>
      <c r="F22" s="826">
        <v>12558429348</v>
      </c>
      <c r="G22" s="824"/>
      <c r="H22" s="824"/>
    </row>
    <row r="23" spans="1:21">
      <c r="D23" s="226" t="s">
        <v>929</v>
      </c>
    </row>
    <row r="24" spans="1:21">
      <c r="D24" s="232" t="s">
        <v>940</v>
      </c>
      <c r="E24" s="227">
        <f>E21-E22</f>
        <v>1217461215.8286629</v>
      </c>
      <c r="F24" s="227">
        <f ca="1">F21-F22</f>
        <v>3649514357.44804</v>
      </c>
      <c r="I24" s="227"/>
    </row>
    <row r="25" spans="1:21">
      <c r="D25" s="232"/>
      <c r="E25" s="815">
        <f>E24/E22</f>
        <v>9.6943748465053908E-2</v>
      </c>
      <c r="F25" s="815">
        <f ca="1">F24/F22</f>
        <v>0.29060277016482522</v>
      </c>
      <c r="I25" s="227"/>
    </row>
    <row r="26" spans="1:21">
      <c r="E26" s="815"/>
      <c r="F26" s="815"/>
      <c r="I26" s="227"/>
    </row>
    <row r="27" spans="1:21">
      <c r="E27" s="232" t="s">
        <v>938</v>
      </c>
      <c r="F27" s="232" t="s">
        <v>931</v>
      </c>
    </row>
    <row r="28" spans="1:21">
      <c r="E28" s="827">
        <v>11476885581.552565</v>
      </c>
      <c r="F28" s="827">
        <v>13688788468.319061</v>
      </c>
    </row>
    <row r="29" spans="1:21" ht="16.5" thickBot="1">
      <c r="D29" s="228" t="s">
        <v>930</v>
      </c>
      <c r="E29" s="229">
        <f>E21-E28</f>
        <v>2299004982.2760983</v>
      </c>
      <c r="F29" s="229">
        <f ca="1">F21-F28</f>
        <v>2519155237.1289787</v>
      </c>
      <c r="G29" s="228"/>
      <c r="H29" s="228"/>
    </row>
    <row r="30" spans="1:21" ht="16.5" thickTop="1">
      <c r="E30" s="815">
        <f>E29/E28</f>
        <v>0.20031610195464669</v>
      </c>
      <c r="F30" s="815">
        <f ca="1">F29/F28</f>
        <v>0.18403054755059145</v>
      </c>
    </row>
    <row r="32" spans="1:21">
      <c r="E32" s="816"/>
      <c r="F32" s="816"/>
    </row>
  </sheetData>
  <sheetProtection sheet="1" objects="1" scenarios="1"/>
  <printOptions horizontalCentered="1"/>
  <pageMargins left="0.56000000000000005" right="0.47" top="1.38" bottom="0.65" header="0.5" footer="0.5"/>
  <pageSetup scale="9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4"/>
  <sheetViews>
    <sheetView topLeftCell="B1" zoomScaleNormal="100" workbookViewId="0">
      <selection activeCell="B1" sqref="B1"/>
    </sheetView>
  </sheetViews>
  <sheetFormatPr defaultRowHeight="15.75" outlineLevelCol="1"/>
  <cols>
    <col min="1" max="1" width="45.42578125" style="11" hidden="1" customWidth="1" outlineLevel="1"/>
    <col min="2" max="2" width="50.85546875" style="11" customWidth="1" collapsed="1"/>
    <col min="3" max="3" width="20.7109375" style="11" customWidth="1"/>
    <col min="4" max="5" width="12.7109375" style="11" customWidth="1"/>
    <col min="6" max="6" width="59.28515625" style="11" bestFit="1" customWidth="1"/>
    <col min="7" max="16384" width="9.140625" style="11"/>
  </cols>
  <sheetData>
    <row r="1" spans="1:6">
      <c r="A1" s="52"/>
      <c r="B1" s="17" t="s">
        <v>915</v>
      </c>
    </row>
    <row r="2" spans="1:6">
      <c r="A2" s="52"/>
      <c r="B2" s="17" t="str">
        <f>+Years!A7</f>
        <v>2024-25</v>
      </c>
    </row>
    <row r="3" spans="1:6" ht="30" customHeight="1">
      <c r="A3" s="73" t="s">
        <v>6</v>
      </c>
      <c r="B3" s="78" t="s">
        <v>179</v>
      </c>
      <c r="C3" s="78" t="s">
        <v>180</v>
      </c>
      <c r="D3" s="78" t="s">
        <v>181</v>
      </c>
      <c r="E3" s="78" t="s">
        <v>182</v>
      </c>
      <c r="F3" s="79" t="s">
        <v>226</v>
      </c>
    </row>
    <row r="4" spans="1:6">
      <c r="A4" s="74" t="s">
        <v>183</v>
      </c>
      <c r="B4" s="10" t="s">
        <v>184</v>
      </c>
      <c r="C4" s="80">
        <v>336.67915165033691</v>
      </c>
      <c r="D4" s="80">
        <v>336.67915165033691</v>
      </c>
      <c r="E4" s="80">
        <v>336.67915165033691</v>
      </c>
      <c r="F4" s="10" t="s">
        <v>232</v>
      </c>
    </row>
    <row r="5" spans="1:6">
      <c r="A5" s="74" t="s">
        <v>185</v>
      </c>
      <c r="B5" s="10" t="s">
        <v>186</v>
      </c>
      <c r="C5" s="80">
        <v>241.13393122136912</v>
      </c>
      <c r="D5" s="80">
        <v>241.13393122136912</v>
      </c>
      <c r="E5" s="80">
        <v>241.13393122136912</v>
      </c>
    </row>
    <row r="6" spans="1:6">
      <c r="A6" s="74" t="s">
        <v>187</v>
      </c>
      <c r="B6" s="10" t="s">
        <v>188</v>
      </c>
      <c r="C6" s="80">
        <v>241.04897643165918</v>
      </c>
      <c r="D6" s="80">
        <v>241.04897643165918</v>
      </c>
      <c r="E6" s="80">
        <v>241.04897643165918</v>
      </c>
      <c r="F6" s="80"/>
    </row>
    <row r="7" spans="1:6">
      <c r="A7" s="52"/>
      <c r="B7" s="10" t="s">
        <v>721</v>
      </c>
      <c r="C7" s="80">
        <v>160.22923843211765</v>
      </c>
      <c r="D7" s="80">
        <v>182.55003407977455</v>
      </c>
      <c r="E7" s="80">
        <v>238.80319412830954</v>
      </c>
    </row>
    <row r="8" spans="1:6">
      <c r="A8" s="52"/>
      <c r="B8" s="10" t="s">
        <v>189</v>
      </c>
      <c r="C8" s="80">
        <v>290.41747620027127</v>
      </c>
      <c r="D8" s="80">
        <v>298.27360715710199</v>
      </c>
      <c r="E8" s="80">
        <v>295.79758510349785</v>
      </c>
    </row>
    <row r="9" spans="1:6">
      <c r="A9" s="74" t="s">
        <v>190</v>
      </c>
      <c r="B9" s="10" t="s">
        <v>191</v>
      </c>
      <c r="C9" s="80">
        <v>83.181914675853164</v>
      </c>
      <c r="D9" s="80">
        <v>176.26249152933323</v>
      </c>
      <c r="E9" s="80">
        <v>498.45113505652091</v>
      </c>
    </row>
    <row r="10" spans="1:6">
      <c r="A10" s="74" t="s">
        <v>192</v>
      </c>
      <c r="B10" s="10" t="s">
        <v>193</v>
      </c>
      <c r="C10" s="80">
        <v>685.37511987897551</v>
      </c>
      <c r="D10" s="80">
        <v>676.19460304600443</v>
      </c>
      <c r="E10" s="80">
        <v>585.39240192201476</v>
      </c>
    </row>
    <row r="11" spans="1:6">
      <c r="A11" s="52"/>
      <c r="B11" s="10" t="s">
        <v>194</v>
      </c>
      <c r="C11" s="80">
        <v>14.888912261589493</v>
      </c>
      <c r="D11" s="80">
        <v>16.285525588194808</v>
      </c>
      <c r="E11" s="80">
        <v>14.187156258806613</v>
      </c>
    </row>
    <row r="12" spans="1:6">
      <c r="A12" s="74" t="s">
        <v>195</v>
      </c>
      <c r="B12" s="10" t="s">
        <v>196</v>
      </c>
      <c r="C12" s="80">
        <v>29.497036613034354</v>
      </c>
      <c r="D12" s="80">
        <v>39.515832223518309</v>
      </c>
      <c r="E12" s="80">
        <v>39.449053728252323</v>
      </c>
    </row>
    <row r="13" spans="1:6">
      <c r="A13" s="52" t="s">
        <v>564</v>
      </c>
      <c r="B13" s="10" t="s">
        <v>197</v>
      </c>
      <c r="C13" s="80">
        <v>1498.07515077586</v>
      </c>
      <c r="D13" s="80">
        <v>1616.4372994353989</v>
      </c>
      <c r="E13" s="80">
        <v>1565.737452262144</v>
      </c>
    </row>
    <row r="14" spans="1:6">
      <c r="A14" s="74" t="s">
        <v>198</v>
      </c>
      <c r="B14" s="10" t="s">
        <v>199</v>
      </c>
      <c r="C14" s="80">
        <v>329.01354078798431</v>
      </c>
      <c r="D14" s="80">
        <v>316.71357729966837</v>
      </c>
      <c r="E14" s="80">
        <v>288.15884841626644</v>
      </c>
    </row>
    <row r="15" spans="1:6">
      <c r="A15" s="74" t="s">
        <v>200</v>
      </c>
      <c r="B15" s="10" t="s">
        <v>201</v>
      </c>
      <c r="C15" s="80">
        <v>161.18302563299014</v>
      </c>
      <c r="D15" s="80">
        <v>161.18302563299014</v>
      </c>
      <c r="E15" s="80">
        <v>161.18302563299014</v>
      </c>
    </row>
    <row r="16" spans="1:6">
      <c r="A16" s="74" t="s">
        <v>202</v>
      </c>
      <c r="B16" s="10" t="s">
        <v>203</v>
      </c>
      <c r="C16" s="80">
        <v>49.729289447245442</v>
      </c>
      <c r="D16" s="80">
        <v>49.729289447245442</v>
      </c>
      <c r="E16" s="80">
        <v>49.729289447245442</v>
      </c>
    </row>
    <row r="17" spans="1:6">
      <c r="A17" s="52" t="s">
        <v>565</v>
      </c>
      <c r="B17" s="10" t="s">
        <v>204</v>
      </c>
      <c r="C17" s="80">
        <v>390.58193269835624</v>
      </c>
      <c r="D17" s="80">
        <v>392.92196136153024</v>
      </c>
      <c r="E17" s="80">
        <v>393.30281976845623</v>
      </c>
    </row>
    <row r="18" spans="1:6">
      <c r="A18" s="52"/>
      <c r="B18" s="10" t="s">
        <v>205</v>
      </c>
      <c r="C18" s="80">
        <v>87.414348887906982</v>
      </c>
      <c r="D18" s="80">
        <v>93.676997792057094</v>
      </c>
      <c r="E18" s="80">
        <v>87.433938006621815</v>
      </c>
    </row>
    <row r="19" spans="1:6">
      <c r="A19" s="74" t="s">
        <v>206</v>
      </c>
      <c r="B19" s="10" t="s">
        <v>207</v>
      </c>
      <c r="C19" s="80">
        <v>968.92623274076993</v>
      </c>
      <c r="D19" s="80">
        <v>975.56275942332059</v>
      </c>
      <c r="E19" s="80">
        <v>1002.2552290976129</v>
      </c>
    </row>
    <row r="20" spans="1:6">
      <c r="A20" s="52" t="s">
        <v>389</v>
      </c>
      <c r="B20" s="10" t="s">
        <v>208</v>
      </c>
      <c r="C20" s="80">
        <v>116.56651303627083</v>
      </c>
      <c r="D20" s="80">
        <v>117.962415514725</v>
      </c>
      <c r="E20" s="80">
        <v>96.580392994887319</v>
      </c>
    </row>
    <row r="21" spans="1:6">
      <c r="A21" s="52" t="s">
        <v>388</v>
      </c>
      <c r="B21" s="10" t="s">
        <v>209</v>
      </c>
      <c r="C21" s="80">
        <v>21.815971729866863</v>
      </c>
      <c r="D21" s="80">
        <v>21.389497615622687</v>
      </c>
      <c r="E21" s="80">
        <v>17.364125464121894</v>
      </c>
    </row>
    <row r="23" spans="1:6">
      <c r="B23" s="81" t="s">
        <v>210</v>
      </c>
      <c r="C23" s="82" t="s">
        <v>211</v>
      </c>
      <c r="D23" s="82" t="s">
        <v>212</v>
      </c>
      <c r="E23" s="83"/>
      <c r="F23" s="84" t="s">
        <v>233</v>
      </c>
    </row>
    <row r="24" spans="1:6">
      <c r="B24" s="85" t="s">
        <v>777</v>
      </c>
      <c r="C24" s="86">
        <v>316176371</v>
      </c>
      <c r="D24" s="86">
        <f>C24/Enrollment!$C$4</f>
        <v>580.04647139544443</v>
      </c>
      <c r="E24" s="80"/>
      <c r="F24" s="80"/>
    </row>
    <row r="25" spans="1:6">
      <c r="B25" s="85" t="s">
        <v>214</v>
      </c>
      <c r="C25" s="86">
        <v>151225275</v>
      </c>
      <c r="D25" s="86">
        <f>C25/Enrollment!$C$4</f>
        <v>277.43277232300107</v>
      </c>
      <c r="E25" s="80"/>
      <c r="F25" s="80"/>
    </row>
    <row r="26" spans="1:6">
      <c r="B26" s="85" t="s">
        <v>204</v>
      </c>
      <c r="C26" s="86">
        <v>50993369.530000001</v>
      </c>
      <c r="D26" s="86">
        <f>C26/Enrollment!$C$4</f>
        <v>93.550710215598215</v>
      </c>
      <c r="E26" s="80"/>
      <c r="F26" s="80"/>
    </row>
    <row r="27" spans="1:6">
      <c r="B27" s="85" t="s">
        <v>216</v>
      </c>
      <c r="C27" s="86">
        <v>39169155</v>
      </c>
      <c r="D27" s="86">
        <f>C27/Enrollment!$C$4</f>
        <v>71.85840634906657</v>
      </c>
      <c r="E27" s="80"/>
      <c r="F27" s="80"/>
    </row>
    <row r="28" spans="1:6">
      <c r="B28" s="85" t="s">
        <v>778</v>
      </c>
      <c r="C28" s="86">
        <v>79559811</v>
      </c>
      <c r="D28" s="86">
        <f>C28/Enrollment!$C$4</f>
        <v>145.95773709933076</v>
      </c>
      <c r="E28" s="80"/>
      <c r="F28" s="87"/>
    </row>
    <row r="29" spans="1:6">
      <c r="B29" s="85"/>
      <c r="C29" s="86">
        <v>637123981.52999997</v>
      </c>
      <c r="D29" s="86">
        <f>C29/Enrollment!$C$4</f>
        <v>1168.846097382441</v>
      </c>
      <c r="E29" s="80"/>
      <c r="F29" s="87"/>
    </row>
    <row r="30" spans="1:6">
      <c r="B30" s="75"/>
      <c r="C30" s="45"/>
    </row>
    <row r="31" spans="1:6">
      <c r="B31" s="76"/>
      <c r="C31" s="77"/>
    </row>
    <row r="33" spans="2:2">
      <c r="B33" s="11" t="s">
        <v>722</v>
      </c>
    </row>
    <row r="34" spans="2:2">
      <c r="B34" s="11" t="s">
        <v>849</v>
      </c>
    </row>
  </sheetData>
  <sheetProtection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8"/>
  <sheetViews>
    <sheetView zoomScaleNormal="100" workbookViewId="0"/>
  </sheetViews>
  <sheetFormatPr defaultColWidth="9.140625" defaultRowHeight="15.75" outlineLevelRow="1" outlineLevelCol="1"/>
  <cols>
    <col min="1" max="7" width="12.7109375" style="11" customWidth="1"/>
    <col min="8" max="8" width="12" style="11" bestFit="1" customWidth="1"/>
    <col min="9" max="9" width="17.28515625" style="11" hidden="1" customWidth="1" outlineLevel="1"/>
    <col min="10" max="10" width="24.7109375" style="11" customWidth="1" collapsed="1"/>
    <col min="11" max="17" width="12.7109375" style="11" customWidth="1"/>
    <col min="18" max="16384" width="9.140625" style="11"/>
  </cols>
  <sheetData>
    <row r="1" spans="1:14">
      <c r="A1" s="17" t="s">
        <v>153</v>
      </c>
      <c r="B1" s="17"/>
    </row>
    <row r="2" spans="1:14" ht="16.5" thickBot="1">
      <c r="A2" s="10" t="s">
        <v>235</v>
      </c>
    </row>
    <row r="3" spans="1:14">
      <c r="A3" s="869" t="s">
        <v>149</v>
      </c>
      <c r="B3" s="871" t="s">
        <v>177</v>
      </c>
      <c r="C3" s="872"/>
      <c r="D3" s="873"/>
      <c r="E3" s="874" t="s">
        <v>155</v>
      </c>
      <c r="F3" s="875"/>
      <c r="G3" s="876"/>
      <c r="J3" s="53"/>
      <c r="K3" s="54" t="s">
        <v>132</v>
      </c>
    </row>
    <row r="4" spans="1:14" ht="16.5" thickBot="1">
      <c r="A4" s="870"/>
      <c r="B4" s="55" t="s">
        <v>154</v>
      </c>
      <c r="C4" s="55" t="s">
        <v>156</v>
      </c>
      <c r="D4" s="55" t="s">
        <v>942</v>
      </c>
      <c r="E4" s="55" t="s">
        <v>154</v>
      </c>
      <c r="F4" s="55" t="s">
        <v>156</v>
      </c>
      <c r="G4" s="55" t="s">
        <v>942</v>
      </c>
      <c r="J4" s="56"/>
      <c r="K4" s="57" t="str">
        <f>Years!A7</f>
        <v>2024-25</v>
      </c>
    </row>
    <row r="5" spans="1:14">
      <c r="A5" s="58" t="s">
        <v>173</v>
      </c>
      <c r="B5" s="45">
        <v>77088</v>
      </c>
      <c r="C5" s="45">
        <v>133446</v>
      </c>
      <c r="D5" s="45">
        <v>122635</v>
      </c>
      <c r="E5" s="46"/>
      <c r="F5" s="46"/>
      <c r="G5" s="46"/>
      <c r="I5" s="10" t="s">
        <v>236</v>
      </c>
      <c r="J5" s="59" t="s">
        <v>154</v>
      </c>
      <c r="K5" s="47">
        <f ca="1">CEILING(VLOOKUP($K$4,INDIRECT($K$15), MATCH(J5, $A$4:$G$4,0),0),10)</f>
        <v>81660</v>
      </c>
    </row>
    <row r="6" spans="1:14">
      <c r="A6" s="58" t="s">
        <v>174</v>
      </c>
      <c r="B6" s="45">
        <v>81660</v>
      </c>
      <c r="C6" s="45">
        <v>139545</v>
      </c>
      <c r="D6" s="45">
        <v>128753</v>
      </c>
      <c r="E6" s="46">
        <f>+B6/B5-1</f>
        <v>5.9308841843088489E-2</v>
      </c>
      <c r="F6" s="46">
        <f>+C6/C5-1</f>
        <v>4.5703880221213078E-2</v>
      </c>
      <c r="G6" s="46">
        <f>+D6/D5-1</f>
        <v>4.9887878664329088E-2</v>
      </c>
      <c r="I6" s="10" t="s">
        <v>240</v>
      </c>
      <c r="J6" s="60" t="s">
        <v>156</v>
      </c>
      <c r="K6" s="48">
        <f ca="1">CEILING(VLOOKUP($K$4,INDIRECT($K$15), MATCH(J6, $A$4:$G$4,0),0),10)</f>
        <v>139550</v>
      </c>
    </row>
    <row r="7" spans="1:14">
      <c r="A7" s="61" t="s">
        <v>175</v>
      </c>
      <c r="B7" s="62">
        <v>86336</v>
      </c>
      <c r="C7" s="62">
        <v>146777</v>
      </c>
      <c r="D7" s="62">
        <v>135026</v>
      </c>
      <c r="E7" s="63">
        <f t="shared" ref="E7:E12" si="0">+B7/B6-1</f>
        <v>5.7261817291207384E-2</v>
      </c>
      <c r="F7" s="63">
        <f t="shared" ref="F7:F12" si="1">+C7/C6-1</f>
        <v>5.1825575979074889E-2</v>
      </c>
      <c r="G7" s="63">
        <f t="shared" ref="G7:G12" si="2">+D7/D6-1</f>
        <v>4.8721194845945393E-2</v>
      </c>
      <c r="I7" s="10" t="s">
        <v>242</v>
      </c>
      <c r="J7" s="60" t="s">
        <v>942</v>
      </c>
      <c r="K7" s="48">
        <f ca="1">CEILING(VLOOKUP($K$4,INDIRECT($K$15), MATCH(J7, $A$4:$G$4,0),0),10)</f>
        <v>128760</v>
      </c>
    </row>
    <row r="8" spans="1:14">
      <c r="A8" s="58" t="s">
        <v>176</v>
      </c>
      <c r="B8" s="45">
        <v>92418.177880691917</v>
      </c>
      <c r="C8" s="45">
        <v>154517.80317402093</v>
      </c>
      <c r="D8" s="45">
        <v>142268.42112822327</v>
      </c>
      <c r="E8" s="46">
        <f t="shared" si="0"/>
        <v>7.0447760849378316E-2</v>
      </c>
      <c r="F8" s="46">
        <f t="shared" si="1"/>
        <v>5.2738529701662484E-2</v>
      </c>
      <c r="G8" s="46">
        <f t="shared" si="2"/>
        <v>5.3637233778851989E-2</v>
      </c>
      <c r="I8" s="10" t="s">
        <v>238</v>
      </c>
      <c r="J8" s="60" t="s">
        <v>157</v>
      </c>
      <c r="K8" s="49">
        <f>VLOOKUP($K$4, $A$18:$H$37, 8, FALSE)</f>
        <v>84114.457464438587</v>
      </c>
    </row>
    <row r="9" spans="1:14">
      <c r="A9" s="58" t="s">
        <v>857</v>
      </c>
      <c r="B9" s="45">
        <v>96260.888646568143</v>
      </c>
      <c r="C9" s="45">
        <v>160901.43508098804</v>
      </c>
      <c r="D9" s="45">
        <v>147470.71141462919</v>
      </c>
      <c r="E9" s="46">
        <f t="shared" si="0"/>
        <v>4.1579598884074587E-2</v>
      </c>
      <c r="F9" s="46">
        <f t="shared" si="1"/>
        <v>4.1313245307906366E-2</v>
      </c>
      <c r="G9" s="46">
        <f t="shared" si="2"/>
        <v>3.6566725385370091E-2</v>
      </c>
      <c r="I9" s="10" t="s">
        <v>245</v>
      </c>
      <c r="J9" s="60" t="s">
        <v>158</v>
      </c>
      <c r="K9" s="50">
        <f>VLOOKUP($K$4, $K$18:$L$37, 2, 0)</f>
        <v>26.257861826323364</v>
      </c>
    </row>
    <row r="10" spans="1:14" ht="16.5" thickBot="1">
      <c r="A10" s="58" t="s">
        <v>858</v>
      </c>
      <c r="B10" s="45">
        <v>100587.40367106696</v>
      </c>
      <c r="C10" s="45">
        <v>166980.98817971925</v>
      </c>
      <c r="D10" s="45">
        <v>152683.20101266855</v>
      </c>
      <c r="E10" s="46">
        <f t="shared" si="0"/>
        <v>4.4945720794081545E-2</v>
      </c>
      <c r="F10" s="46">
        <f t="shared" si="1"/>
        <v>3.7784331107246771E-2</v>
      </c>
      <c r="G10" s="46">
        <f t="shared" si="2"/>
        <v>3.5345931053278212E-2</v>
      </c>
      <c r="I10" s="10" t="s">
        <v>243</v>
      </c>
      <c r="J10" s="64" t="s">
        <v>788</v>
      </c>
      <c r="K10" s="51">
        <f>VLOOKUP($K$4, $O$18:$P$37, 2, 0)</f>
        <v>21.797802197802195</v>
      </c>
    </row>
    <row r="11" spans="1:14">
      <c r="A11" s="58" t="s">
        <v>895</v>
      </c>
      <c r="B11" s="45">
        <v>103069.82615076294</v>
      </c>
      <c r="C11" s="45">
        <v>173514.65751489531</v>
      </c>
      <c r="D11" s="45">
        <v>158343.9738526663</v>
      </c>
      <c r="E11" s="46">
        <f t="shared" si="0"/>
        <v>2.4679257929887566E-2</v>
      </c>
      <c r="F11" s="46">
        <f t="shared" si="1"/>
        <v>3.9128222957597769E-2</v>
      </c>
      <c r="G11" s="46">
        <f t="shared" si="2"/>
        <v>3.7075282692875078E-2</v>
      </c>
    </row>
    <row r="12" spans="1:14">
      <c r="A12" s="58" t="s">
        <v>902</v>
      </c>
      <c r="B12" s="45">
        <v>108469.99473861669</v>
      </c>
      <c r="C12" s="45">
        <v>180463.57070984764</v>
      </c>
      <c r="D12" s="45">
        <v>164409.44641854212</v>
      </c>
      <c r="E12" s="46">
        <f t="shared" si="0"/>
        <v>5.2393302574846645E-2</v>
      </c>
      <c r="F12" s="46">
        <f t="shared" si="1"/>
        <v>4.004798957319089E-2</v>
      </c>
      <c r="G12" s="46">
        <f t="shared" si="2"/>
        <v>3.8305673517575967E-2</v>
      </c>
    </row>
    <row r="14" spans="1:14">
      <c r="A14" s="65" t="s">
        <v>943</v>
      </c>
      <c r="B14" s="66"/>
    </row>
    <row r="15" spans="1:14" hidden="1" outlineLevel="1">
      <c r="J15" s="11" t="s">
        <v>178</v>
      </c>
      <c r="K15" s="11" t="s">
        <v>848</v>
      </c>
    </row>
    <row r="16" spans="1:14" hidden="1" outlineLevel="1">
      <c r="B16" s="11" t="s">
        <v>760</v>
      </c>
      <c r="J16" s="46" t="s">
        <v>762</v>
      </c>
      <c r="N16" s="11" t="s">
        <v>862</v>
      </c>
    </row>
    <row r="17" spans="1:16" hidden="1" outlineLevel="1">
      <c r="B17" s="67" t="s">
        <v>741</v>
      </c>
      <c r="C17" s="67" t="s">
        <v>743</v>
      </c>
      <c r="D17" s="67" t="s">
        <v>744</v>
      </c>
      <c r="E17" s="67" t="s">
        <v>745</v>
      </c>
      <c r="F17" s="67" t="s">
        <v>746</v>
      </c>
      <c r="G17" s="67" t="s">
        <v>747</v>
      </c>
      <c r="H17" s="67" t="s">
        <v>748</v>
      </c>
      <c r="J17" s="67" t="s">
        <v>741</v>
      </c>
      <c r="K17" s="67" t="s">
        <v>742</v>
      </c>
      <c r="L17" s="67" t="s">
        <v>761</v>
      </c>
      <c r="N17" s="67" t="s">
        <v>741</v>
      </c>
      <c r="O17" s="67" t="s">
        <v>742</v>
      </c>
      <c r="P17" s="67" t="s">
        <v>761</v>
      </c>
    </row>
    <row r="18" spans="1:16" ht="31.5" hidden="1" outlineLevel="1">
      <c r="A18" s="11" t="str">
        <f>"20" &amp; RIGHT(C18, 5)</f>
        <v>2006-07</v>
      </c>
      <c r="B18" s="68">
        <v>331</v>
      </c>
      <c r="C18" s="69" t="s">
        <v>896</v>
      </c>
      <c r="D18" s="68">
        <v>51206098.579999998</v>
      </c>
      <c r="E18" s="68">
        <v>942.31</v>
      </c>
      <c r="F18" s="70"/>
      <c r="G18" s="71">
        <v>54341.032759919777</v>
      </c>
      <c r="H18" s="70"/>
      <c r="J18" s="68">
        <v>331</v>
      </c>
      <c r="K18" s="69" t="s">
        <v>900</v>
      </c>
      <c r="L18" s="71">
        <v>15.568055664959958</v>
      </c>
      <c r="N18" s="68">
        <v>331</v>
      </c>
      <c r="O18" s="69" t="s">
        <v>900</v>
      </c>
      <c r="P18" s="71">
        <v>12.61697428139183</v>
      </c>
    </row>
    <row r="19" spans="1:16" ht="31.5" hidden="1" outlineLevel="1">
      <c r="A19" s="11" t="str">
        <f t="shared" ref="A19:A37" si="3">"20" &amp; RIGHT(C19, 5)</f>
        <v>2007-08</v>
      </c>
      <c r="B19" s="68">
        <v>411</v>
      </c>
      <c r="C19" s="69" t="s">
        <v>897</v>
      </c>
      <c r="D19" s="68">
        <v>58234399.899999999</v>
      </c>
      <c r="E19" s="68">
        <v>1042.74</v>
      </c>
      <c r="F19" s="68"/>
      <c r="G19" s="71">
        <v>55847.478661986694</v>
      </c>
      <c r="H19" s="71"/>
      <c r="J19" s="68">
        <v>411</v>
      </c>
      <c r="K19" s="69" t="s">
        <v>901</v>
      </c>
      <c r="L19" s="71">
        <v>16.065216545012166</v>
      </c>
      <c r="N19" s="68">
        <v>411</v>
      </c>
      <c r="O19" s="69" t="s">
        <v>901</v>
      </c>
      <c r="P19" s="71">
        <v>13.107885952712099</v>
      </c>
    </row>
    <row r="20" spans="1:16" ht="31.5" hidden="1" outlineLevel="1">
      <c r="A20" s="11" t="str">
        <f t="shared" si="3"/>
        <v>2008-09</v>
      </c>
      <c r="B20" s="68">
        <v>477</v>
      </c>
      <c r="C20" s="69" t="s">
        <v>749</v>
      </c>
      <c r="D20" s="68">
        <v>55592851.719999999</v>
      </c>
      <c r="E20" s="68">
        <v>971.68</v>
      </c>
      <c r="F20" s="68"/>
      <c r="G20" s="71">
        <v>57213.127490531871</v>
      </c>
      <c r="H20" s="71"/>
      <c r="J20" s="68">
        <v>477</v>
      </c>
      <c r="K20" s="69" t="s">
        <v>159</v>
      </c>
      <c r="L20" s="71">
        <v>16.935922142462726</v>
      </c>
      <c r="N20" s="68">
        <v>477</v>
      </c>
      <c r="O20" s="69" t="s">
        <v>159</v>
      </c>
      <c r="P20" s="71">
        <v>13.494589041095891</v>
      </c>
    </row>
    <row r="21" spans="1:16" ht="31.5" hidden="1" outlineLevel="1">
      <c r="A21" s="11" t="str">
        <f t="shared" si="3"/>
        <v>2009-10</v>
      </c>
      <c r="B21" s="68">
        <v>558</v>
      </c>
      <c r="C21" s="69" t="s">
        <v>750</v>
      </c>
      <c r="D21" s="68">
        <v>54619875.359999999</v>
      </c>
      <c r="E21" s="68">
        <v>926.72</v>
      </c>
      <c r="F21" s="68">
        <v>925.81744917851404</v>
      </c>
      <c r="G21" s="71">
        <v>58938.919371546966</v>
      </c>
      <c r="H21" s="71">
        <v>58996.377102704959</v>
      </c>
      <c r="J21" s="68">
        <v>558</v>
      </c>
      <c r="K21" s="69" t="s">
        <v>160</v>
      </c>
      <c r="L21" s="71">
        <v>17.519413735343381</v>
      </c>
      <c r="N21" s="68">
        <v>558</v>
      </c>
      <c r="O21" s="69" t="s">
        <v>160</v>
      </c>
      <c r="P21" s="71">
        <v>13.998983451536642</v>
      </c>
    </row>
    <row r="22" spans="1:16" ht="31.5" hidden="1" outlineLevel="1">
      <c r="A22" s="11" t="str">
        <f t="shared" si="3"/>
        <v>2010-11</v>
      </c>
      <c r="B22" s="68">
        <v>625</v>
      </c>
      <c r="C22" s="69" t="s">
        <v>751</v>
      </c>
      <c r="D22" s="68">
        <v>54598539.259999998</v>
      </c>
      <c r="E22" s="68">
        <v>914.11</v>
      </c>
      <c r="F22" s="68">
        <v>911.18422864584704</v>
      </c>
      <c r="G22" s="71">
        <v>59728.631411974486</v>
      </c>
      <c r="H22" s="71">
        <v>59920.417346491398</v>
      </c>
      <c r="J22" s="68">
        <v>625</v>
      </c>
      <c r="K22" s="69" t="s">
        <v>161</v>
      </c>
      <c r="L22" s="71">
        <v>16.863765182186235</v>
      </c>
      <c r="N22" s="68">
        <v>625</v>
      </c>
      <c r="O22" s="69" t="s">
        <v>161</v>
      </c>
      <c r="P22" s="71">
        <v>14.025416666666667</v>
      </c>
    </row>
    <row r="23" spans="1:16" ht="31.5" hidden="1" outlineLevel="1">
      <c r="A23" s="11" t="str">
        <f t="shared" si="3"/>
        <v>2011-12</v>
      </c>
      <c r="B23" s="68">
        <v>707</v>
      </c>
      <c r="C23" s="69" t="s">
        <v>752</v>
      </c>
      <c r="D23" s="68">
        <v>51692329.060000002</v>
      </c>
      <c r="E23" s="68">
        <v>859.79</v>
      </c>
      <c r="F23" s="68">
        <v>859.56431600972599</v>
      </c>
      <c r="G23" s="71">
        <v>60122.040335430742</v>
      </c>
      <c r="H23" s="71">
        <v>60137.825753361198</v>
      </c>
      <c r="J23" s="68">
        <v>707</v>
      </c>
      <c r="K23" s="69" t="s">
        <v>162</v>
      </c>
      <c r="L23" s="71">
        <v>16.851388960205391</v>
      </c>
      <c r="N23" s="68">
        <v>707</v>
      </c>
      <c r="O23" s="69" t="s">
        <v>162</v>
      </c>
      <c r="P23" s="71">
        <v>14.218927536231883</v>
      </c>
    </row>
    <row r="24" spans="1:16" ht="31.5" hidden="1" outlineLevel="1">
      <c r="A24" s="11" t="str">
        <f t="shared" si="3"/>
        <v>2012-13</v>
      </c>
      <c r="B24" s="68">
        <v>782</v>
      </c>
      <c r="C24" s="69" t="s">
        <v>753</v>
      </c>
      <c r="D24" s="68">
        <v>51319262.560000002</v>
      </c>
      <c r="E24" s="68">
        <v>847.08</v>
      </c>
      <c r="F24" s="68">
        <v>846.31206328399196</v>
      </c>
      <c r="G24" s="71">
        <v>60583.725929073997</v>
      </c>
      <c r="H24" s="71">
        <v>60638.699111605478</v>
      </c>
      <c r="J24" s="68">
        <v>782</v>
      </c>
      <c r="K24" s="69" t="s">
        <v>163</v>
      </c>
      <c r="L24" s="71">
        <v>17.100621200105735</v>
      </c>
      <c r="N24" s="68">
        <v>782</v>
      </c>
      <c r="O24" s="69" t="s">
        <v>163</v>
      </c>
      <c r="P24" s="71">
        <v>14.413399339933994</v>
      </c>
    </row>
    <row r="25" spans="1:16" ht="31.5" hidden="1" outlineLevel="1">
      <c r="A25" s="11" t="str">
        <f t="shared" si="3"/>
        <v>2013-14</v>
      </c>
      <c r="B25" s="68">
        <v>1070</v>
      </c>
      <c r="C25" s="69" t="s">
        <v>754</v>
      </c>
      <c r="D25" s="68">
        <v>54035233.439999998</v>
      </c>
      <c r="E25" s="68">
        <v>880.5</v>
      </c>
      <c r="F25" s="68">
        <v>879.04713131040705</v>
      </c>
      <c r="G25" s="71">
        <v>61368.805724020443</v>
      </c>
      <c r="H25" s="71">
        <v>61470.234661307601</v>
      </c>
      <c r="J25" s="68">
        <v>1070</v>
      </c>
      <c r="K25" s="69" t="s">
        <v>164</v>
      </c>
      <c r="L25" s="71">
        <v>17.765899312486138</v>
      </c>
      <c r="N25" s="68">
        <v>1070</v>
      </c>
      <c r="O25" s="69" t="s">
        <v>164</v>
      </c>
      <c r="P25" s="71">
        <v>14.790338028169012</v>
      </c>
    </row>
    <row r="26" spans="1:16" ht="31.5" hidden="1" outlineLevel="1">
      <c r="A26" s="11" t="str">
        <f t="shared" si="3"/>
        <v>2014-15</v>
      </c>
      <c r="B26" s="68">
        <v>1177</v>
      </c>
      <c r="C26" s="69" t="s">
        <v>755</v>
      </c>
      <c r="D26" s="68">
        <v>58753446.060000002</v>
      </c>
      <c r="E26" s="68">
        <v>942.77</v>
      </c>
      <c r="F26" s="68">
        <v>941.90762181698403</v>
      </c>
      <c r="G26" s="71">
        <v>62320.020853442518</v>
      </c>
      <c r="H26" s="71">
        <v>62377.078918484433</v>
      </c>
      <c r="J26" s="68">
        <v>1177</v>
      </c>
      <c r="K26" s="69" t="s">
        <v>7</v>
      </c>
      <c r="L26" s="71">
        <v>17.758035113035113</v>
      </c>
      <c r="N26" s="68">
        <v>1177</v>
      </c>
      <c r="O26" s="69" t="s">
        <v>7</v>
      </c>
      <c r="P26" s="71">
        <v>14.846656716417911</v>
      </c>
    </row>
    <row r="27" spans="1:16" ht="31.5" hidden="1" outlineLevel="1">
      <c r="A27" s="11" t="str">
        <f t="shared" si="3"/>
        <v>2015-16</v>
      </c>
      <c r="B27" s="68">
        <v>1376</v>
      </c>
      <c r="C27" s="69" t="s">
        <v>756</v>
      </c>
      <c r="D27" s="68">
        <v>63657341.920000002</v>
      </c>
      <c r="E27" s="68">
        <v>1003.48</v>
      </c>
      <c r="F27" s="68">
        <v>1003.25131304134</v>
      </c>
      <c r="G27" s="71">
        <v>63436.582612508479</v>
      </c>
      <c r="H27" s="71">
        <v>63451.042717326534</v>
      </c>
      <c r="J27" s="68">
        <v>1376</v>
      </c>
      <c r="K27" s="69" t="s">
        <v>165</v>
      </c>
      <c r="L27" s="71">
        <v>18.130314292268871</v>
      </c>
      <c r="N27" s="68">
        <v>1376</v>
      </c>
      <c r="O27" s="69" t="s">
        <v>165</v>
      </c>
      <c r="P27" s="71">
        <v>15.242512953367875</v>
      </c>
    </row>
    <row r="28" spans="1:16" ht="31.5" hidden="1" outlineLevel="1">
      <c r="A28" s="11" t="str">
        <f t="shared" si="3"/>
        <v>2016-17</v>
      </c>
      <c r="B28" s="68">
        <v>1709</v>
      </c>
      <c r="C28" s="69" t="s">
        <v>757</v>
      </c>
      <c r="D28" s="68">
        <v>68238534.099999994</v>
      </c>
      <c r="E28" s="68">
        <v>1057.71</v>
      </c>
      <c r="F28" s="68">
        <v>1056.9387550011299</v>
      </c>
      <c r="G28" s="71">
        <v>64515.353074094033</v>
      </c>
      <c r="H28" s="71">
        <v>64562.429731254429</v>
      </c>
      <c r="J28" s="68">
        <v>1709</v>
      </c>
      <c r="K28" s="69" t="s">
        <v>166</v>
      </c>
      <c r="L28" s="71">
        <v>18.327150138033552</v>
      </c>
      <c r="N28" s="68">
        <v>1709</v>
      </c>
      <c r="O28" s="69" t="s">
        <v>166</v>
      </c>
      <c r="P28" s="71">
        <v>15.371655172413792</v>
      </c>
    </row>
    <row r="29" spans="1:16" ht="31.5" hidden="1" outlineLevel="1">
      <c r="A29" s="11" t="str">
        <f t="shared" si="3"/>
        <v>2017-18</v>
      </c>
      <c r="B29" s="68">
        <v>1876</v>
      </c>
      <c r="C29" s="69" t="s">
        <v>758</v>
      </c>
      <c r="D29" s="68">
        <v>74605156.719999999</v>
      </c>
      <c r="E29" s="68">
        <v>1137.71</v>
      </c>
      <c r="F29" s="68">
        <v>1136.9880040958001</v>
      </c>
      <c r="G29" s="71">
        <v>65574.844837436613</v>
      </c>
      <c r="H29" s="71">
        <v>65616.485355384575</v>
      </c>
      <c r="J29" s="68">
        <v>1876</v>
      </c>
      <c r="K29" s="69" t="s">
        <v>167</v>
      </c>
      <c r="L29" s="71">
        <v>18.804281750266806</v>
      </c>
      <c r="N29" s="68">
        <v>1876</v>
      </c>
      <c r="O29" s="69" t="s">
        <v>167</v>
      </c>
      <c r="P29" s="71">
        <v>15.746470588235294</v>
      </c>
    </row>
    <row r="30" spans="1:16" ht="31.5" hidden="1" outlineLevel="1">
      <c r="A30" s="11" t="str">
        <f t="shared" si="3"/>
        <v>2018-19</v>
      </c>
      <c r="B30" s="68">
        <v>2205</v>
      </c>
      <c r="C30" s="69" t="s">
        <v>759</v>
      </c>
      <c r="D30" s="68">
        <v>82630177.159999996</v>
      </c>
      <c r="E30" s="68">
        <v>1230.19</v>
      </c>
      <c r="F30" s="68">
        <v>1229.5885452110199</v>
      </c>
      <c r="G30" s="71">
        <v>67168.630179078027</v>
      </c>
      <c r="H30" s="71">
        <v>67201.485799316026</v>
      </c>
      <c r="J30" s="68">
        <v>2205</v>
      </c>
      <c r="K30" s="69" t="s">
        <v>168</v>
      </c>
      <c r="L30" s="71">
        <v>19.358670020120723</v>
      </c>
      <c r="N30" s="68">
        <v>2205</v>
      </c>
      <c r="O30" s="69" t="s">
        <v>168</v>
      </c>
      <c r="P30" s="71">
        <v>16.129308176100629</v>
      </c>
    </row>
    <row r="31" spans="1:16" ht="31.5" hidden="1" outlineLevel="1">
      <c r="A31" s="11" t="str">
        <f t="shared" si="3"/>
        <v>2019-20</v>
      </c>
      <c r="B31" s="68">
        <v>2326</v>
      </c>
      <c r="C31" s="69" t="s">
        <v>786</v>
      </c>
      <c r="D31" s="68">
        <v>86165577.939999998</v>
      </c>
      <c r="E31" s="68">
        <v>1243.3800000000001</v>
      </c>
      <c r="F31" s="68">
        <v>1242.70990351763</v>
      </c>
      <c r="G31" s="71">
        <v>69299.47235760589</v>
      </c>
      <c r="H31" s="71">
        <v>69336.840155613667</v>
      </c>
      <c r="J31" s="68">
        <v>2326</v>
      </c>
      <c r="K31" s="69" t="s">
        <v>169</v>
      </c>
      <c r="L31" s="71">
        <v>20.166620008233838</v>
      </c>
      <c r="N31" s="68">
        <v>2326</v>
      </c>
      <c r="O31" s="69" t="s">
        <v>169</v>
      </c>
      <c r="P31" s="71">
        <v>16.693827956989249</v>
      </c>
    </row>
    <row r="32" spans="1:16" ht="31.5" hidden="1" outlineLevel="1">
      <c r="A32" s="11" t="str">
        <f t="shared" si="3"/>
        <v>2020-21</v>
      </c>
      <c r="B32" s="68">
        <v>2395</v>
      </c>
      <c r="C32" s="69" t="s">
        <v>787</v>
      </c>
      <c r="D32" s="68">
        <v>96344444.120000005</v>
      </c>
      <c r="E32" s="68">
        <v>1363.97</v>
      </c>
      <c r="F32" s="68">
        <v>1362.9054072418</v>
      </c>
      <c r="G32" s="71">
        <v>70635.310248759139</v>
      </c>
      <c r="H32" s="71">
        <v>70690.484906783444</v>
      </c>
      <c r="J32" s="68">
        <v>2395</v>
      </c>
      <c r="K32" s="69" t="s">
        <v>170</v>
      </c>
      <c r="L32" s="71">
        <v>21.21920541366514</v>
      </c>
      <c r="N32" s="68">
        <v>2395</v>
      </c>
      <c r="O32" s="69" t="s">
        <v>170</v>
      </c>
      <c r="P32" s="71">
        <v>18.339786096256685</v>
      </c>
    </row>
    <row r="33" spans="1:16" ht="31.5" hidden="1" outlineLevel="1">
      <c r="A33" s="11" t="str">
        <f t="shared" si="3"/>
        <v>2021-22</v>
      </c>
      <c r="B33" s="68">
        <v>2485</v>
      </c>
      <c r="C33" s="69" t="s">
        <v>859</v>
      </c>
      <c r="D33" s="68">
        <v>109619325</v>
      </c>
      <c r="E33" s="68">
        <v>1522.36</v>
      </c>
      <c r="F33" s="68">
        <v>1521.06152260969</v>
      </c>
      <c r="G33" s="71">
        <v>72006.17790798498</v>
      </c>
      <c r="H33" s="71">
        <v>72067.647081050207</v>
      </c>
      <c r="J33" s="68">
        <v>2485</v>
      </c>
      <c r="K33" s="69" t="s">
        <v>171</v>
      </c>
      <c r="L33" s="71">
        <v>21.61795489296636</v>
      </c>
      <c r="N33" s="68">
        <v>2485</v>
      </c>
      <c r="O33" s="69" t="s">
        <v>171</v>
      </c>
      <c r="P33" s="71">
        <v>17.885938628158843</v>
      </c>
    </row>
    <row r="34" spans="1:16" hidden="1" outlineLevel="1">
      <c r="A34" s="11" t="str">
        <f t="shared" si="3"/>
        <v>2022-23</v>
      </c>
      <c r="B34" s="11">
        <v>2573</v>
      </c>
      <c r="C34" s="11" t="s">
        <v>860</v>
      </c>
      <c r="D34" s="11">
        <v>114043741</v>
      </c>
      <c r="E34" s="11">
        <v>1523.59</v>
      </c>
      <c r="F34" s="11">
        <v>1522.53867713265</v>
      </c>
      <c r="G34" s="11">
        <v>74851.988395828273</v>
      </c>
      <c r="H34" s="11">
        <v>74903.674181055976</v>
      </c>
      <c r="J34" s="68">
        <v>2573</v>
      </c>
      <c r="K34" s="69" t="s">
        <v>172</v>
      </c>
      <c r="L34" s="71">
        <v>23.081870849933598</v>
      </c>
      <c r="N34" s="68">
        <v>2573</v>
      </c>
      <c r="O34" s="69" t="s">
        <v>172</v>
      </c>
      <c r="P34" s="71">
        <v>19.20056634304207</v>
      </c>
    </row>
    <row r="35" spans="1:16" hidden="1" outlineLevel="1">
      <c r="A35" s="11" t="str">
        <f t="shared" si="3"/>
        <v>2023-24</v>
      </c>
      <c r="B35" s="11">
        <v>2663</v>
      </c>
      <c r="C35" s="11" t="s">
        <v>861</v>
      </c>
      <c r="D35" s="11">
        <v>123523935.09999999</v>
      </c>
      <c r="E35" s="11">
        <v>1566.46</v>
      </c>
      <c r="F35" s="11">
        <v>1565.8035117821501</v>
      </c>
      <c r="G35" s="11">
        <v>78855.467168009403</v>
      </c>
      <c r="H35" s="11">
        <v>78888.528586456421</v>
      </c>
      <c r="J35" s="68">
        <v>2663</v>
      </c>
      <c r="K35" s="69" t="s">
        <v>173</v>
      </c>
      <c r="L35" s="71">
        <v>24.605480236093722</v>
      </c>
      <c r="N35" s="68">
        <v>2663</v>
      </c>
      <c r="O35" s="69" t="s">
        <v>173</v>
      </c>
      <c r="P35" s="71">
        <v>20.570831889081454</v>
      </c>
    </row>
    <row r="36" spans="1:16" hidden="1" outlineLevel="1">
      <c r="A36" s="11" t="str">
        <f t="shared" si="3"/>
        <v>2024-25</v>
      </c>
      <c r="B36" s="11">
        <v>2730</v>
      </c>
      <c r="C36" s="11" t="s">
        <v>898</v>
      </c>
      <c r="D36" s="11">
        <v>133188120.2</v>
      </c>
      <c r="E36" s="11">
        <v>1584.53</v>
      </c>
      <c r="F36" s="11">
        <v>1583.41531545048</v>
      </c>
      <c r="G36" s="11">
        <v>84055.284658542281</v>
      </c>
      <c r="H36" s="11">
        <v>84114.457464438587</v>
      </c>
      <c r="J36" s="68">
        <v>2730</v>
      </c>
      <c r="K36" s="69" t="s">
        <v>174</v>
      </c>
      <c r="L36" s="71">
        <v>26.257861826323364</v>
      </c>
      <c r="N36" s="68">
        <v>2730</v>
      </c>
      <c r="O36" s="69" t="s">
        <v>174</v>
      </c>
      <c r="P36" s="71">
        <v>21.797802197802195</v>
      </c>
    </row>
    <row r="37" spans="1:16" hidden="1" outlineLevel="1">
      <c r="A37" s="11" t="str">
        <f t="shared" si="3"/>
        <v>2025-26</v>
      </c>
      <c r="B37" s="11">
        <v>2820</v>
      </c>
      <c r="C37" s="11" t="s">
        <v>899</v>
      </c>
      <c r="D37" s="11">
        <v>140251174.74000001</v>
      </c>
      <c r="E37" s="11">
        <v>1577.6</v>
      </c>
      <c r="F37" s="11">
        <v>1576.4510257289701</v>
      </c>
      <c r="G37" s="11">
        <v>88901.606706389459</v>
      </c>
      <c r="H37" s="11">
        <v>88966.40139844887</v>
      </c>
      <c r="J37" s="68">
        <v>2820</v>
      </c>
      <c r="K37" s="69" t="s">
        <v>175</v>
      </c>
      <c r="L37" s="71">
        <v>27.821002219566331</v>
      </c>
      <c r="N37" s="68">
        <v>2820</v>
      </c>
      <c r="O37" s="69" t="s">
        <v>175</v>
      </c>
      <c r="P37" s="71">
        <v>23.14978520286396</v>
      </c>
    </row>
    <row r="38" spans="1:16" collapsed="1"/>
  </sheetData>
  <mergeCells count="3">
    <mergeCell ref="A3:A4"/>
    <mergeCell ref="B3:D3"/>
    <mergeCell ref="E3:G3"/>
  </mergeCells>
  <phoneticPr fontId="21"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31"/>
  <sheetViews>
    <sheetView topLeftCell="E1" zoomScaleNormal="100" workbookViewId="0">
      <selection activeCell="E1" sqref="E1"/>
    </sheetView>
  </sheetViews>
  <sheetFormatPr defaultColWidth="9.140625" defaultRowHeight="15.75" outlineLevelRow="2" outlineLevelCol="1"/>
  <cols>
    <col min="1" max="1" width="27.7109375" style="11" hidden="1" customWidth="1" outlineLevel="1"/>
    <col min="2" max="2" width="35" style="11" hidden="1" customWidth="1" outlineLevel="1"/>
    <col min="3" max="3" width="34.7109375" style="11" hidden="1" customWidth="1" outlineLevel="1"/>
    <col min="4" max="4" width="11.5703125" style="11" hidden="1" customWidth="1" outlineLevel="1"/>
    <col min="5" max="5" width="58.5703125" style="11" bestFit="1" customWidth="1" collapsed="1"/>
    <col min="6" max="12" width="12.7109375" style="11" customWidth="1"/>
    <col min="13" max="16384" width="9.140625" style="11"/>
  </cols>
  <sheetData>
    <row r="1" spans="1:14">
      <c r="D1" s="11" t="s">
        <v>259</v>
      </c>
      <c r="E1" s="39" t="s">
        <v>278</v>
      </c>
    </row>
    <row r="2" spans="1:14" ht="16.5" thickBot="1">
      <c r="D2" s="11" t="s">
        <v>276</v>
      </c>
    </row>
    <row r="3" spans="1:14">
      <c r="E3" s="53"/>
      <c r="F3" s="91" t="str">
        <f>Years!A4</f>
        <v>Base Year</v>
      </c>
      <c r="G3" s="92" t="str">
        <f>Years!B4</f>
        <v>Base+1</v>
      </c>
      <c r="H3" s="92" t="str">
        <f>Years!C4</f>
        <v>Base+2</v>
      </c>
      <c r="I3" s="92" t="str">
        <f>Years!D4</f>
        <v>Base+3</v>
      </c>
      <c r="J3" s="92" t="str">
        <f>Years!E4</f>
        <v>Base+4</v>
      </c>
      <c r="K3" s="92" t="str">
        <f>Years!F4</f>
        <v>Base+5</v>
      </c>
      <c r="L3" s="93" t="str">
        <f>Years!G4</f>
        <v>Base+6</v>
      </c>
      <c r="M3" s="88"/>
      <c r="N3" s="88"/>
    </row>
    <row r="4" spans="1:14" ht="16.5" thickBot="1">
      <c r="E4" s="94"/>
      <c r="F4" s="95" t="str">
        <f>Years!A7</f>
        <v>2024-25</v>
      </c>
      <c r="G4" s="96" t="str">
        <f>Years!B7</f>
        <v>2025-26</v>
      </c>
      <c r="H4" s="96" t="str">
        <f>Years!C7</f>
        <v>2026-27</v>
      </c>
      <c r="I4" s="96" t="str">
        <f>Years!D7</f>
        <v>2027-28</v>
      </c>
      <c r="J4" s="96" t="str">
        <f>Years!E7</f>
        <v>2028-29</v>
      </c>
      <c r="K4" s="96" t="str">
        <f>Years!F7</f>
        <v>2029-30</v>
      </c>
      <c r="L4" s="97" t="str">
        <f>Years!G7</f>
        <v>2030-31</v>
      </c>
      <c r="M4" s="89"/>
      <c r="N4" s="89"/>
    </row>
    <row r="5" spans="1:14" hidden="1" outlineLevel="1">
      <c r="B5" s="98" t="s">
        <v>941</v>
      </c>
      <c r="C5" s="98"/>
      <c r="F5" s="99" t="str">
        <f t="shared" ref="F5:L5" si="0">CHAR(64+MATCH(F4, $A$4:$L$4, 0))</f>
        <v>F</v>
      </c>
      <c r="G5" s="89" t="str">
        <f t="shared" si="0"/>
        <v>G</v>
      </c>
      <c r="H5" s="89" t="str">
        <f t="shared" si="0"/>
        <v>H</v>
      </c>
      <c r="I5" s="89" t="str">
        <f t="shared" si="0"/>
        <v>I</v>
      </c>
      <c r="J5" s="89" t="str">
        <f t="shared" si="0"/>
        <v>J</v>
      </c>
      <c r="K5" s="89" t="str">
        <f t="shared" si="0"/>
        <v>K</v>
      </c>
      <c r="L5" s="100" t="str">
        <f t="shared" si="0"/>
        <v>L</v>
      </c>
      <c r="M5" s="89"/>
      <c r="N5" s="89"/>
    </row>
    <row r="6" spans="1:14" hidden="1" outlineLevel="1">
      <c r="B6" s="98" t="s">
        <v>273</v>
      </c>
      <c r="C6" s="98"/>
      <c r="F6" s="99"/>
      <c r="G6" s="89"/>
      <c r="H6" s="89"/>
      <c r="I6" s="89"/>
      <c r="J6" s="89"/>
      <c r="K6" s="89"/>
      <c r="L6" s="100"/>
      <c r="M6" s="89"/>
      <c r="N6" s="89"/>
    </row>
    <row r="7" spans="1:14" hidden="1" outlineLevel="1">
      <c r="B7" s="11" t="s">
        <v>274</v>
      </c>
      <c r="F7" s="99"/>
      <c r="G7" s="89"/>
      <c r="H7" s="89"/>
      <c r="I7" s="89"/>
      <c r="J7" s="89"/>
      <c r="K7" s="89"/>
      <c r="L7" s="100"/>
      <c r="M7" s="89"/>
      <c r="N7" s="89"/>
    </row>
    <row r="8" spans="1:14" ht="16.5" hidden="1" outlineLevel="1" thickBot="1">
      <c r="B8" s="11" t="s">
        <v>275</v>
      </c>
      <c r="F8" s="99"/>
      <c r="G8" s="89"/>
      <c r="H8" s="89"/>
      <c r="I8" s="89"/>
      <c r="J8" s="89"/>
      <c r="K8" s="89"/>
      <c r="L8" s="100"/>
      <c r="M8" s="89"/>
      <c r="N8" s="89"/>
    </row>
    <row r="9" spans="1:14" collapsed="1">
      <c r="A9" s="10" t="s">
        <v>236</v>
      </c>
      <c r="B9" s="10" t="s">
        <v>237</v>
      </c>
      <c r="C9" s="11" t="s">
        <v>271</v>
      </c>
      <c r="D9" s="10">
        <f t="shared" ref="D9:D14" ca="1" si="1">MATCH($C9, INDIRECT($D$2), 0)</f>
        <v>20</v>
      </c>
      <c r="E9" s="59" t="s">
        <v>237</v>
      </c>
      <c r="F9" s="101">
        <f t="shared" ref="F9:F14" ca="1" si="2">INDEX(INDIRECT($B$5&amp;$B$6), MATCH($A9, INDIRECT($B$5 &amp; $B$7),0), MATCH(F$4, INDIRECT($B$5&amp;$B$8), 0))</f>
        <v>81660</v>
      </c>
      <c r="G9" s="102">
        <f t="shared" ref="G9:G14" ca="1" si="3">F9*(1+INDIRECT(G$5 &amp; $D9))</f>
        <v>86336</v>
      </c>
      <c r="H9" s="102">
        <f t="shared" ref="H9:L14" ca="1" si="4">G9*(1+INDIRECT(H$5 &amp; $D9))</f>
        <v>92418.177880691932</v>
      </c>
      <c r="I9" s="102">
        <f t="shared" ca="1" si="4"/>
        <v>96260.888646568157</v>
      </c>
      <c r="J9" s="102">
        <f t="shared" ca="1" si="4"/>
        <v>100587.40367106699</v>
      </c>
      <c r="K9" s="102">
        <f t="shared" ca="1" si="4"/>
        <v>103069.82615076296</v>
      </c>
      <c r="L9" s="103">
        <f t="shared" ca="1" si="4"/>
        <v>108469.99473861673</v>
      </c>
    </row>
    <row r="10" spans="1:14">
      <c r="A10" s="10" t="s">
        <v>238</v>
      </c>
      <c r="B10" s="10" t="s">
        <v>239</v>
      </c>
      <c r="C10" s="11" t="s">
        <v>271</v>
      </c>
      <c r="D10" s="10">
        <f t="shared" ca="1" si="1"/>
        <v>20</v>
      </c>
      <c r="E10" s="60" t="s">
        <v>239</v>
      </c>
      <c r="F10" s="104">
        <f t="shared" ca="1" si="2"/>
        <v>84114.457464438587</v>
      </c>
      <c r="G10" s="105">
        <f t="shared" ca="1" si="3"/>
        <v>88931.004159316304</v>
      </c>
      <c r="H10" s="105">
        <f t="shared" ca="1" si="4"/>
        <v>95195.994272426891</v>
      </c>
      <c r="I10" s="105">
        <f t="shared" ca="1" si="4"/>
        <v>99154.205529645056</v>
      </c>
      <c r="J10" s="105">
        <f t="shared" ca="1" si="4"/>
        <v>103610.76276693946</v>
      </c>
      <c r="K10" s="105">
        <f t="shared" ca="1" si="4"/>
        <v>106167.79950557715</v>
      </c>
      <c r="L10" s="106">
        <f t="shared" ca="1" si="4"/>
        <v>111730.28114877851</v>
      </c>
    </row>
    <row r="11" spans="1:14">
      <c r="A11" s="10" t="s">
        <v>240</v>
      </c>
      <c r="B11" s="10" t="s">
        <v>241</v>
      </c>
      <c r="C11" s="11" t="s">
        <v>947</v>
      </c>
      <c r="D11" s="10">
        <f t="shared" ca="1" si="1"/>
        <v>22</v>
      </c>
      <c r="E11" s="60" t="s">
        <v>241</v>
      </c>
      <c r="F11" s="104">
        <f t="shared" ca="1" si="2"/>
        <v>139550</v>
      </c>
      <c r="G11" s="105">
        <f t="shared" ca="1" si="3"/>
        <v>146782.25912787989</v>
      </c>
      <c r="H11" s="105">
        <f t="shared" ca="1" si="4"/>
        <v>154523.3396605727</v>
      </c>
      <c r="I11" s="105">
        <f t="shared" ca="1" si="4"/>
        <v>160907.20029776689</v>
      </c>
      <c r="J11" s="105">
        <f t="shared" ca="1" si="4"/>
        <v>166986.97123135778</v>
      </c>
      <c r="K11" s="105">
        <f t="shared" ca="1" si="4"/>
        <v>173520.87467271232</v>
      </c>
      <c r="L11" s="106">
        <f t="shared" ca="1" si="4"/>
        <v>180470.03685233608</v>
      </c>
    </row>
    <row r="12" spans="1:14">
      <c r="A12" s="10" t="s">
        <v>242</v>
      </c>
      <c r="B12" s="10" t="s">
        <v>945</v>
      </c>
      <c r="C12" s="11" t="s">
        <v>946</v>
      </c>
      <c r="D12" s="10">
        <f t="shared" ca="1" si="1"/>
        <v>21</v>
      </c>
      <c r="E12" s="60" t="s">
        <v>945</v>
      </c>
      <c r="F12" s="104">
        <f t="shared" ca="1" si="2"/>
        <v>128760</v>
      </c>
      <c r="G12" s="105">
        <f t="shared" ca="1" si="3"/>
        <v>135033.34104836392</v>
      </c>
      <c r="H12" s="105">
        <f t="shared" ca="1" si="4"/>
        <v>142276.15593011447</v>
      </c>
      <c r="I12" s="105">
        <f t="shared" ca="1" si="4"/>
        <v>147478.72905289708</v>
      </c>
      <c r="J12" s="105">
        <f t="shared" ca="1" si="4"/>
        <v>152691.50204182588</v>
      </c>
      <c r="K12" s="105">
        <f t="shared" ca="1" si="4"/>
        <v>158352.5826448263</v>
      </c>
      <c r="L12" s="106">
        <f t="shared" ca="1" si="4"/>
        <v>164418.38497628397</v>
      </c>
    </row>
    <row r="13" spans="1:14">
      <c r="A13" s="10" t="s">
        <v>243</v>
      </c>
      <c r="B13" s="10" t="s">
        <v>244</v>
      </c>
      <c r="C13" s="11" t="s">
        <v>270</v>
      </c>
      <c r="D13" s="10">
        <f t="shared" ca="1" si="1"/>
        <v>28</v>
      </c>
      <c r="E13" s="60" t="s">
        <v>244</v>
      </c>
      <c r="F13" s="107">
        <f t="shared" ca="1" si="2"/>
        <v>21.797802197802195</v>
      </c>
      <c r="G13" s="108">
        <f t="shared" ca="1" si="3"/>
        <v>22.415275675675677</v>
      </c>
      <c r="H13" s="108">
        <f t="shared" ca="1" si="4"/>
        <v>22.948767099466725</v>
      </c>
      <c r="I13" s="108">
        <f t="shared" ca="1" si="4"/>
        <v>23.601347658949386</v>
      </c>
      <c r="J13" s="108">
        <f t="shared" ca="1" si="4"/>
        <v>24.18954313697542</v>
      </c>
      <c r="K13" s="108">
        <f t="shared" ca="1" si="4"/>
        <v>24.765735294485097</v>
      </c>
      <c r="L13" s="109">
        <f t="shared" ca="1" si="4"/>
        <v>25.362776984791587</v>
      </c>
    </row>
    <row r="14" spans="1:14" ht="16.5" thickBot="1">
      <c r="A14" s="10" t="s">
        <v>245</v>
      </c>
      <c r="B14" s="10" t="s">
        <v>246</v>
      </c>
      <c r="C14" s="11" t="s">
        <v>270</v>
      </c>
      <c r="D14" s="10">
        <f t="shared" ca="1" si="1"/>
        <v>28</v>
      </c>
      <c r="E14" s="60" t="s">
        <v>246</v>
      </c>
      <c r="F14" s="107">
        <f t="shared" ca="1" si="2"/>
        <v>26.257861826323364</v>
      </c>
      <c r="G14" s="108">
        <f t="shared" ca="1" si="3"/>
        <v>27.001676873193361</v>
      </c>
      <c r="H14" s="108">
        <f t="shared" ca="1" si="4"/>
        <v>27.6443262542785</v>
      </c>
      <c r="I14" s="108">
        <f t="shared" ca="1" si="4"/>
        <v>28.430431660958821</v>
      </c>
      <c r="J14" s="108">
        <f t="shared" ca="1" si="4"/>
        <v>29.13897812122687</v>
      </c>
      <c r="K14" s="108">
        <f t="shared" ca="1" si="4"/>
        <v>29.833065255333707</v>
      </c>
      <c r="L14" s="109">
        <f t="shared" ca="1" si="4"/>
        <v>30.552267955971253</v>
      </c>
    </row>
    <row r="15" spans="1:14" ht="16.5" thickBot="1">
      <c r="A15" s="110" t="s">
        <v>247</v>
      </c>
      <c r="B15" s="10" t="s">
        <v>248</v>
      </c>
      <c r="C15" s="111" t="s">
        <v>504</v>
      </c>
      <c r="D15" s="112">
        <v>1.05</v>
      </c>
      <c r="E15" s="113" t="s">
        <v>248</v>
      </c>
      <c r="F15" s="114">
        <f t="shared" ref="F15:L15" ca="1" si="5">F14*$D15</f>
        <v>27.570754917639533</v>
      </c>
      <c r="G15" s="115">
        <f t="shared" ca="1" si="5"/>
        <v>28.351760716853029</v>
      </c>
      <c r="H15" s="115">
        <f t="shared" ca="1" si="5"/>
        <v>29.026542566992426</v>
      </c>
      <c r="I15" s="115">
        <f t="shared" ca="1" si="5"/>
        <v>29.851953244006761</v>
      </c>
      <c r="J15" s="115">
        <f t="shared" ca="1" si="5"/>
        <v>30.595927027288216</v>
      </c>
      <c r="K15" s="115">
        <f t="shared" ca="1" si="5"/>
        <v>31.324718518100394</v>
      </c>
      <c r="L15" s="116">
        <f t="shared" ca="1" si="5"/>
        <v>32.079881353769814</v>
      </c>
    </row>
    <row r="16" spans="1:14" hidden="1" outlineLevel="2">
      <c r="A16" s="11" t="s">
        <v>261</v>
      </c>
      <c r="B16" s="98" t="s">
        <v>941</v>
      </c>
      <c r="C16" s="98"/>
      <c r="E16" s="117"/>
      <c r="F16" s="117"/>
      <c r="L16" s="118"/>
    </row>
    <row r="17" spans="1:12" hidden="1" outlineLevel="2">
      <c r="A17" s="11" t="s">
        <v>262</v>
      </c>
      <c r="B17" s="98" t="s">
        <v>263</v>
      </c>
      <c r="C17" s="98"/>
      <c r="E17" s="117"/>
      <c r="F17" s="117"/>
      <c r="L17" s="118"/>
    </row>
    <row r="18" spans="1:12" hidden="1" outlineLevel="2">
      <c r="A18" s="11" t="s">
        <v>259</v>
      </c>
      <c r="B18" s="11" t="s">
        <v>264</v>
      </c>
      <c r="E18" s="117"/>
      <c r="F18" s="117"/>
      <c r="L18" s="118"/>
    </row>
    <row r="19" spans="1:12" hidden="1" outlineLevel="2">
      <c r="A19" s="11" t="s">
        <v>260</v>
      </c>
      <c r="B19" s="11" t="s">
        <v>265</v>
      </c>
      <c r="E19" s="117"/>
      <c r="F19" s="117"/>
      <c r="L19" s="118"/>
    </row>
    <row r="20" spans="1:12" collapsed="1">
      <c r="A20" s="11" t="s">
        <v>250</v>
      </c>
      <c r="B20" s="11" t="s">
        <v>154</v>
      </c>
      <c r="E20" s="117" t="s">
        <v>271</v>
      </c>
      <c r="F20" s="119">
        <f t="shared" ref="F20:L22" ca="1" si="6">INDEX(INDIRECT($B$16&amp;$B$17), MATCH(F$4, INDIRECT($B$16&amp;$B$18), 0),MATCH($B20, INDIRECT($B$16 &amp; $B$19),0)+4)</f>
        <v>5.9308841843088489E-2</v>
      </c>
      <c r="G20" s="120">
        <f t="shared" ca="1" si="6"/>
        <v>5.7261817291207384E-2</v>
      </c>
      <c r="H20" s="120">
        <f t="shared" ca="1" si="6"/>
        <v>7.0447760849378316E-2</v>
      </c>
      <c r="I20" s="120">
        <f t="shared" ca="1" si="6"/>
        <v>4.1579598884074587E-2</v>
      </c>
      <c r="J20" s="120">
        <f t="shared" ca="1" si="6"/>
        <v>4.4945720794081545E-2</v>
      </c>
      <c r="K20" s="120">
        <f t="shared" ca="1" si="6"/>
        <v>2.4679257929887566E-2</v>
      </c>
      <c r="L20" s="121">
        <f t="shared" ca="1" si="6"/>
        <v>5.2393302574846645E-2</v>
      </c>
    </row>
    <row r="21" spans="1:12">
      <c r="A21" s="11" t="s">
        <v>251</v>
      </c>
      <c r="B21" s="11" t="s">
        <v>942</v>
      </c>
      <c r="E21" s="117" t="s">
        <v>946</v>
      </c>
      <c r="F21" s="119">
        <f ca="1">INDEX(INDIRECT($B$16&amp;$B$17), MATCH(F$4, INDIRECT($B$16&amp;$B$18), 0),MATCH($B21, INDIRECT($B$16 &amp; $B$19),0)+4)</f>
        <v>4.9887878664329088E-2</v>
      </c>
      <c r="G21" s="120">
        <f t="shared" ca="1" si="6"/>
        <v>4.8721194845945393E-2</v>
      </c>
      <c r="H21" s="120">
        <f t="shared" ca="1" si="6"/>
        <v>5.3637233778851989E-2</v>
      </c>
      <c r="I21" s="120">
        <f t="shared" ca="1" si="6"/>
        <v>3.6566725385370091E-2</v>
      </c>
      <c r="J21" s="120">
        <f t="shared" ca="1" si="6"/>
        <v>3.5345931053278212E-2</v>
      </c>
      <c r="K21" s="120">
        <f t="shared" ca="1" si="6"/>
        <v>3.7075282692875078E-2</v>
      </c>
      <c r="L21" s="121">
        <f t="shared" ca="1" si="6"/>
        <v>3.8305673517575967E-2</v>
      </c>
    </row>
    <row r="22" spans="1:12">
      <c r="A22" s="11" t="s">
        <v>252</v>
      </c>
      <c r="B22" s="11" t="s">
        <v>156</v>
      </c>
      <c r="E22" s="117" t="s">
        <v>947</v>
      </c>
      <c r="F22" s="119">
        <f t="shared" ca="1" si="6"/>
        <v>4.5703880221213078E-2</v>
      </c>
      <c r="G22" s="120">
        <f t="shared" ca="1" si="6"/>
        <v>5.1825575979074889E-2</v>
      </c>
      <c r="H22" s="120">
        <f t="shared" ca="1" si="6"/>
        <v>5.2738529701662484E-2</v>
      </c>
      <c r="I22" s="120">
        <f t="shared" ca="1" si="6"/>
        <v>4.1313245307906366E-2</v>
      </c>
      <c r="J22" s="120">
        <f t="shared" ca="1" si="6"/>
        <v>3.7784331107246771E-2</v>
      </c>
      <c r="K22" s="120">
        <f t="shared" ca="1" si="6"/>
        <v>3.9128222957597769E-2</v>
      </c>
      <c r="L22" s="121">
        <f t="shared" ca="1" si="6"/>
        <v>4.004798957319089E-2</v>
      </c>
    </row>
    <row r="23" spans="1:12" hidden="1" outlineLevel="1">
      <c r="A23" s="11" t="s">
        <v>261</v>
      </c>
      <c r="B23" s="98" t="s">
        <v>951</v>
      </c>
      <c r="C23" s="98"/>
      <c r="E23" s="117"/>
      <c r="F23" s="119"/>
      <c r="G23" s="120"/>
      <c r="H23" s="120"/>
      <c r="I23" s="120"/>
      <c r="J23" s="120"/>
      <c r="K23" s="120"/>
      <c r="L23" s="121"/>
    </row>
    <row r="24" spans="1:12" hidden="1" outlineLevel="1">
      <c r="A24" s="11" t="s">
        <v>262</v>
      </c>
      <c r="B24" s="98" t="s">
        <v>266</v>
      </c>
      <c r="C24" s="98"/>
      <c r="E24" s="117"/>
      <c r="F24" s="119"/>
      <c r="G24" s="120"/>
      <c r="H24" s="120"/>
      <c r="I24" s="120"/>
      <c r="J24" s="120"/>
      <c r="K24" s="120"/>
      <c r="L24" s="121"/>
    </row>
    <row r="25" spans="1:12" hidden="1" outlineLevel="1">
      <c r="A25" s="11" t="s">
        <v>259</v>
      </c>
      <c r="B25" s="11" t="s">
        <v>267</v>
      </c>
      <c r="E25" s="117"/>
      <c r="F25" s="119"/>
      <c r="G25" s="120"/>
      <c r="H25" s="120"/>
      <c r="I25" s="120"/>
      <c r="J25" s="120"/>
      <c r="K25" s="120"/>
      <c r="L25" s="121"/>
    </row>
    <row r="26" spans="1:12" hidden="1" outlineLevel="1">
      <c r="A26" s="11" t="s">
        <v>260</v>
      </c>
      <c r="B26" s="11" t="s">
        <v>268</v>
      </c>
      <c r="E26" s="117"/>
      <c r="F26" s="119"/>
      <c r="G26" s="120"/>
      <c r="H26" s="120"/>
      <c r="I26" s="120"/>
      <c r="J26" s="120"/>
      <c r="K26" s="120"/>
      <c r="L26" s="121"/>
    </row>
    <row r="27" spans="1:12" collapsed="1">
      <c r="A27" s="11" t="s">
        <v>814</v>
      </c>
      <c r="E27" s="117" t="s">
        <v>814</v>
      </c>
      <c r="F27" s="119">
        <f>GrowthFactors!C8</f>
        <v>2.8095091077493084E-2</v>
      </c>
      <c r="G27" s="120">
        <f>GrowthFactors!D8</f>
        <v>2.7327327327327344E-2</v>
      </c>
      <c r="H27" s="120">
        <f>GrowthFactors!E8</f>
        <v>2.2800350774627276E-2</v>
      </c>
      <c r="I27" s="120">
        <f>GrowthFactors!F8</f>
        <v>2.7436410402972289E-2</v>
      </c>
      <c r="J27" s="120">
        <f>GrowthFactors!G8</f>
        <v>2.3922114047288057E-2</v>
      </c>
      <c r="K27" s="120">
        <f>GrowthFactors!H8</f>
        <v>2.281988590057038E-2</v>
      </c>
      <c r="L27" s="121">
        <f>GrowthFactors!I8</f>
        <v>2.3107569721115606E-2</v>
      </c>
    </row>
    <row r="28" spans="1:12">
      <c r="A28" s="11" t="s">
        <v>269</v>
      </c>
      <c r="E28" s="117" t="s">
        <v>270</v>
      </c>
      <c r="F28" s="119">
        <f>F27+0.001</f>
        <v>2.9095091077493085E-2</v>
      </c>
      <c r="G28" s="120">
        <f t="shared" ref="G28:L28" si="7">G27+0.001</f>
        <v>2.8327327327327345E-2</v>
      </c>
      <c r="H28" s="120">
        <f t="shared" si="7"/>
        <v>2.3800350774627277E-2</v>
      </c>
      <c r="I28" s="120">
        <f t="shared" si="7"/>
        <v>2.843641040297229E-2</v>
      </c>
      <c r="J28" s="120">
        <f t="shared" si="7"/>
        <v>2.4922114047288058E-2</v>
      </c>
      <c r="K28" s="120">
        <f t="shared" si="7"/>
        <v>2.3819885900570381E-2</v>
      </c>
      <c r="L28" s="121">
        <f t="shared" si="7"/>
        <v>2.4107569721115607E-2</v>
      </c>
    </row>
    <row r="29" spans="1:12" ht="16.5" thickBot="1">
      <c r="A29" s="11" t="s">
        <v>422</v>
      </c>
      <c r="E29" s="94" t="s">
        <v>351</v>
      </c>
      <c r="F29" s="122">
        <f t="shared" ref="F29:L29" ca="1" si="8">0.5*F20+0.1*F22+0.4*F28</f>
        <v>4.5862845374662786E-2</v>
      </c>
      <c r="G29" s="123">
        <f t="shared" ca="1" si="8"/>
        <v>4.5144397174442123E-2</v>
      </c>
      <c r="H29" s="123">
        <f t="shared" ca="1" si="8"/>
        <v>5.0017873704706318E-2</v>
      </c>
      <c r="I29" s="123">
        <f t="shared" ca="1" si="8"/>
        <v>3.6295688134016846E-2</v>
      </c>
      <c r="J29" s="123">
        <f t="shared" ca="1" si="8"/>
        <v>3.6220139126680671E-2</v>
      </c>
      <c r="K29" s="123">
        <f t="shared" ca="1" si="8"/>
        <v>2.5780405620931715E-2</v>
      </c>
      <c r="L29" s="124">
        <f t="shared" ca="1" si="8"/>
        <v>3.9844478133188657E-2</v>
      </c>
    </row>
    <row r="30" spans="1:12">
      <c r="A30" s="11" t="s">
        <v>421</v>
      </c>
      <c r="D30" s="125"/>
      <c r="E30" s="11" t="s">
        <v>420</v>
      </c>
      <c r="F30" s="126">
        <f ca="1">F9*(1+PayrollBenefits!D7+PayrollBenefits!D9)/190</f>
        <v>578.84046315789476</v>
      </c>
      <c r="G30" s="126">
        <f ca="1">G9*(1+PayrollBenefits!E7+PayrollBenefits!E9)/190</f>
        <v>617.84767999999997</v>
      </c>
      <c r="H30" s="126">
        <f ca="1">H9*(1+PayrollBenefits!F7+PayrollBenefits!F9)/190</f>
        <v>661.37366560198325</v>
      </c>
      <c r="I30" s="126">
        <f ca="1">I9*(1+PayrollBenefits!G7+PayrollBenefits!G9)/190</f>
        <v>678.28461957908132</v>
      </c>
      <c r="J30" s="126">
        <f ca="1">J9*(1+PayrollBenefits!H7+PayrollBenefits!H9)/190</f>
        <v>708.77061070960247</v>
      </c>
      <c r="K30" s="126">
        <f ca="1">K9*(1+PayrollBenefits!I7+PayrollBenefits!I9)/190</f>
        <v>726.26254342442871</v>
      </c>
      <c r="L30" s="126">
        <f ca="1">L9*(1+PayrollBenefits!J7+PayrollBenefits!J9)/190</f>
        <v>764.31383661084249</v>
      </c>
    </row>
    <row r="31" spans="1:12">
      <c r="A31" s="11" t="s">
        <v>308</v>
      </c>
      <c r="D31" s="125"/>
      <c r="E31" s="11" t="s">
        <v>427</v>
      </c>
      <c r="F31" s="126">
        <f ca="1">F14*(1+PayrollBenefits!D7+PayrollBenefits!D17)*8</f>
        <v>298.6884298467935</v>
      </c>
      <c r="G31" s="126">
        <f ca="1">G14*(1+PayrollBenefits!E7+PayrollBenefits!E17)*8</f>
        <v>321.36315747399806</v>
      </c>
      <c r="H31" s="126">
        <f ca="1">H14*(1+PayrollBenefits!F7+PayrollBenefits!F17)*8</f>
        <v>329.01171334792093</v>
      </c>
      <c r="I31" s="126">
        <f ca="1">I14*(1+PayrollBenefits!G7+PayrollBenefits!G17)*8</f>
        <v>342.55258499656065</v>
      </c>
      <c r="J31" s="126">
        <f ca="1">J14*(1+PayrollBenefits!H7+PayrollBenefits!H17)*8</f>
        <v>351.0897195870383</v>
      </c>
      <c r="K31" s="126">
        <f ca="1">K14*(1+PayrollBenefits!I7+PayrollBenefits!I17)*8</f>
        <v>359.45263664846476</v>
      </c>
      <c r="L31" s="126">
        <f ca="1">L14*(1+PayrollBenefits!J7+PayrollBenefits!J17)*8</f>
        <v>368.11816614790644</v>
      </c>
    </row>
  </sheetData>
  <sheetProtection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3"/>
  <sheetViews>
    <sheetView topLeftCell="C1" zoomScaleNormal="100" workbookViewId="0">
      <selection activeCell="C17" sqref="C17"/>
    </sheetView>
  </sheetViews>
  <sheetFormatPr defaultRowHeight="15.75" outlineLevelCol="1"/>
  <cols>
    <col min="1" max="1" width="24.5703125" style="11" hidden="1" customWidth="1" outlineLevel="1"/>
    <col min="2" max="2" width="20.28515625" style="11" hidden="1" customWidth="1" outlineLevel="1"/>
    <col min="3" max="3" width="67" style="11" bestFit="1" customWidth="1" collapsed="1"/>
    <col min="4" max="10" width="15.42578125" style="45" bestFit="1" customWidth="1"/>
    <col min="11" max="11" width="44.5703125" style="11" bestFit="1" customWidth="1"/>
    <col min="12" max="12" width="12" style="11" bestFit="1" customWidth="1"/>
    <col min="13" max="16384" width="9.140625" style="11"/>
  </cols>
  <sheetData>
    <row r="1" spans="1:12">
      <c r="B1" s="134"/>
      <c r="C1" s="134"/>
      <c r="D1" s="155" t="str">
        <f>Years!A4</f>
        <v>Base Year</v>
      </c>
      <c r="E1" s="155" t="str">
        <f>Years!B4</f>
        <v>Base+1</v>
      </c>
      <c r="F1" s="155" t="str">
        <f>Years!C4</f>
        <v>Base+2</v>
      </c>
      <c r="G1" s="155" t="str">
        <f>Years!D4</f>
        <v>Base+3</v>
      </c>
      <c r="H1" s="155" t="str">
        <f>Years!E4</f>
        <v>Base+4</v>
      </c>
      <c r="I1" s="155" t="str">
        <f>Years!F4</f>
        <v>Base+5</v>
      </c>
      <c r="J1" s="155" t="str">
        <f>Years!G4</f>
        <v>Base+6</v>
      </c>
    </row>
    <row r="2" spans="1:12" ht="16.5" thickBot="1">
      <c r="B2" s="135"/>
      <c r="C2" s="135"/>
      <c r="D2" s="156" t="str">
        <f>Years!A7</f>
        <v>2024-25</v>
      </c>
      <c r="E2" s="156" t="str">
        <f>Years!B7</f>
        <v>2025-26</v>
      </c>
      <c r="F2" s="156" t="str">
        <f>Years!C7</f>
        <v>2026-27</v>
      </c>
      <c r="G2" s="156" t="str">
        <f>Years!D7</f>
        <v>2027-28</v>
      </c>
      <c r="H2" s="156" t="str">
        <f>Years!E7</f>
        <v>2028-29</v>
      </c>
      <c r="I2" s="156" t="str">
        <f>Years!F7</f>
        <v>2029-30</v>
      </c>
      <c r="J2" s="156" t="str">
        <f>Years!G7</f>
        <v>2030-31</v>
      </c>
      <c r="K2" s="41"/>
      <c r="L2" s="40" t="s">
        <v>226</v>
      </c>
    </row>
    <row r="3" spans="1:12">
      <c r="B3" s="11" t="s">
        <v>290</v>
      </c>
      <c r="C3" s="11" t="s">
        <v>292</v>
      </c>
      <c r="D3" s="157">
        <v>20131</v>
      </c>
    </row>
    <row r="4" spans="1:12">
      <c r="B4" s="11" t="s">
        <v>295</v>
      </c>
      <c r="C4" s="11" t="s">
        <v>875</v>
      </c>
      <c r="D4" s="157">
        <f>6%*7000</f>
        <v>420</v>
      </c>
      <c r="E4" s="157">
        <f t="shared" ref="E4:J4" si="0">6%*7000</f>
        <v>420</v>
      </c>
      <c r="F4" s="157">
        <f t="shared" si="0"/>
        <v>420</v>
      </c>
      <c r="G4" s="157">
        <f t="shared" si="0"/>
        <v>420</v>
      </c>
      <c r="H4" s="157">
        <f t="shared" si="0"/>
        <v>420</v>
      </c>
      <c r="I4" s="157">
        <f t="shared" si="0"/>
        <v>420</v>
      </c>
      <c r="J4" s="157">
        <f t="shared" si="0"/>
        <v>420</v>
      </c>
      <c r="L4" s="39"/>
    </row>
    <row r="5" spans="1:12">
      <c r="B5" s="11" t="s">
        <v>291</v>
      </c>
      <c r="C5" s="11" t="s">
        <v>730</v>
      </c>
      <c r="D5" s="158">
        <v>3.4000000000000002E-2</v>
      </c>
      <c r="E5" s="158">
        <v>3.4000000000000002E-2</v>
      </c>
      <c r="F5" s="158">
        <v>3.4000000000000002E-2</v>
      </c>
      <c r="G5" s="158">
        <v>3.4000000000000002E-2</v>
      </c>
      <c r="H5" s="158">
        <v>3.4000000000000002E-2</v>
      </c>
      <c r="I5" s="158">
        <v>3.4000000000000002E-2</v>
      </c>
      <c r="J5" s="158">
        <v>3.4000000000000002E-2</v>
      </c>
    </row>
    <row r="6" spans="1:12" ht="3.95" customHeight="1">
      <c r="D6" s="158"/>
      <c r="E6" s="158"/>
      <c r="F6" s="158"/>
      <c r="G6" s="158"/>
      <c r="H6" s="158"/>
      <c r="I6" s="158"/>
      <c r="J6" s="158"/>
    </row>
    <row r="7" spans="1:12">
      <c r="B7" s="11" t="s">
        <v>412</v>
      </c>
      <c r="C7" s="11" t="s">
        <v>876</v>
      </c>
      <c r="D7" s="158">
        <v>0.27029999999999998</v>
      </c>
      <c r="E7" s="159">
        <v>0.28320000000000001</v>
      </c>
      <c r="F7" s="159">
        <v>0.28320000000000001</v>
      </c>
      <c r="G7" s="159">
        <v>0.26229999999999998</v>
      </c>
      <c r="H7" s="159">
        <v>0.26229999999999998</v>
      </c>
      <c r="I7" s="159">
        <v>0.26229999999999998</v>
      </c>
      <c r="J7" s="159">
        <v>0.26229999999999998</v>
      </c>
      <c r="K7" s="11" t="s">
        <v>352</v>
      </c>
      <c r="L7" s="11" t="s">
        <v>353</v>
      </c>
    </row>
    <row r="8" spans="1:12">
      <c r="A8" s="140" t="s">
        <v>598</v>
      </c>
      <c r="D8" s="160"/>
      <c r="E8" s="161">
        <f t="shared" ref="E8:J8" si="1">E7/D7-1</f>
        <v>4.7724750277469585E-2</v>
      </c>
      <c r="F8" s="161">
        <f t="shared" si="1"/>
        <v>0</v>
      </c>
      <c r="G8" s="161">
        <f t="shared" si="1"/>
        <v>-7.3799435028248705E-2</v>
      </c>
      <c r="H8" s="161">
        <f t="shared" si="1"/>
        <v>0</v>
      </c>
      <c r="I8" s="161">
        <f t="shared" si="1"/>
        <v>0</v>
      </c>
      <c r="J8" s="161">
        <f t="shared" si="1"/>
        <v>0</v>
      </c>
    </row>
    <row r="9" spans="1:12">
      <c r="B9" s="11" t="s">
        <v>413</v>
      </c>
      <c r="C9" s="11" t="s">
        <v>879</v>
      </c>
      <c r="D9" s="158">
        <v>7.6499999999999999E-2</v>
      </c>
      <c r="E9" s="158">
        <v>7.6499999999999999E-2</v>
      </c>
      <c r="F9" s="158">
        <v>7.6499999999999999E-2</v>
      </c>
      <c r="G9" s="158">
        <v>7.6499999999999999E-2</v>
      </c>
      <c r="H9" s="158">
        <v>7.6499999999999999E-2</v>
      </c>
      <c r="I9" s="158">
        <v>7.6499999999999999E-2</v>
      </c>
      <c r="J9" s="158">
        <v>7.6499999999999999E-2</v>
      </c>
      <c r="K9" s="11" t="s">
        <v>354</v>
      </c>
    </row>
    <row r="10" spans="1:12" ht="16.5" thickBot="1">
      <c r="B10" s="154" t="s">
        <v>304</v>
      </c>
      <c r="C10" s="154" t="s">
        <v>884</v>
      </c>
      <c r="D10" s="162">
        <f>VLOOKUP(D2, RIPROS!$A$2:$G$29, 5,0)</f>
        <v>4.6282437901751152E-3</v>
      </c>
      <c r="E10" s="162">
        <f>VLOOKUP(D2, RIPROS!$A$2:$G$29, 7,0)</f>
        <v>5.1797955760855708E-3</v>
      </c>
      <c r="F10" s="162">
        <f>E10</f>
        <v>5.1797955760855708E-3</v>
      </c>
      <c r="G10" s="162">
        <f>F10</f>
        <v>5.1797955760855708E-3</v>
      </c>
      <c r="H10" s="162">
        <f>G10</f>
        <v>5.1797955760855708E-3</v>
      </c>
      <c r="I10" s="162">
        <f>H10</f>
        <v>5.1797955760855708E-3</v>
      </c>
      <c r="J10" s="162">
        <f>I10</f>
        <v>5.1797955760855708E-3</v>
      </c>
      <c r="K10" s="11" t="s">
        <v>883</v>
      </c>
      <c r="L10" s="11" t="s">
        <v>355</v>
      </c>
    </row>
    <row r="11" spans="1:12" ht="16.5" thickTop="1">
      <c r="B11" s="11" t="s">
        <v>293</v>
      </c>
      <c r="C11" s="11" t="s">
        <v>294</v>
      </c>
      <c r="D11" s="158">
        <f>D7+D9+D10</f>
        <v>0.35142824379017512</v>
      </c>
      <c r="E11" s="158">
        <f t="shared" ref="E11:J11" si="2">E7+E9+E10</f>
        <v>0.36487979557608557</v>
      </c>
      <c r="F11" s="158">
        <f t="shared" si="2"/>
        <v>0.36487979557608557</v>
      </c>
      <c r="G11" s="158">
        <f t="shared" si="2"/>
        <v>0.34397979557608555</v>
      </c>
      <c r="H11" s="158">
        <f t="shared" si="2"/>
        <v>0.34397979557608555</v>
      </c>
      <c r="I11" s="158">
        <f t="shared" si="2"/>
        <v>0.34397979557608555</v>
      </c>
      <c r="J11" s="158">
        <f t="shared" si="2"/>
        <v>0.34397979557608555</v>
      </c>
    </row>
    <row r="13" spans="1:12">
      <c r="A13" s="98" t="s">
        <v>949</v>
      </c>
      <c r="C13" s="10" t="s">
        <v>231</v>
      </c>
      <c r="D13" s="157">
        <f>VLOOKUP(D2,RIPROS!A2:G29,3,0)</f>
        <v>3131402384.3699999</v>
      </c>
      <c r="E13" s="157">
        <f ca="1">D13*(1+Enrollment!D3)*(1+SalaryAssumptions!G29)</f>
        <v>3165263188.6509323</v>
      </c>
      <c r="F13" s="157">
        <f ca="1">E13*(1+Enrollment!E3)*(1+SalaryAssumptions!H29)</f>
        <v>3342761919.0971322</v>
      </c>
      <c r="G13" s="157">
        <f ca="1">F13*(1+Enrollment!F3)*(1+SalaryAssumptions!I29)</f>
        <v>3448939168.3565707</v>
      </c>
      <c r="H13" s="157">
        <f ca="1">G13*(1+Enrollment!G3)*(1+SalaryAssumptions!J29)</f>
        <v>3558235342.0367918</v>
      </c>
      <c r="I13" s="157">
        <f ca="1">H13*(1+Enrollment!H3)*(1+SalaryAssumptions!K29)</f>
        <v>3646348507.9318204</v>
      </c>
      <c r="J13" s="157">
        <f ca="1">I13*(1+Enrollment!I3)*(1+SalaryAssumptions!L29)</f>
        <v>3779328621.5378332</v>
      </c>
    </row>
    <row r="14" spans="1:12">
      <c r="A14" s="11" t="s">
        <v>774</v>
      </c>
      <c r="C14" s="11" t="s">
        <v>877</v>
      </c>
      <c r="D14" s="158">
        <v>0.1187</v>
      </c>
      <c r="E14" s="159">
        <v>7.8700000000000006E-2</v>
      </c>
      <c r="F14" s="159">
        <v>7.8700000000000006E-2</v>
      </c>
      <c r="G14" s="159">
        <v>1.8499999999999999E-2</v>
      </c>
      <c r="H14" s="159">
        <f>G14</f>
        <v>1.8499999999999999E-2</v>
      </c>
      <c r="I14" s="159">
        <f t="shared" ref="I14:J14" si="3">H14</f>
        <v>1.8499999999999999E-2</v>
      </c>
      <c r="J14" s="159">
        <f t="shared" si="3"/>
        <v>1.8499999999999999E-2</v>
      </c>
      <c r="K14" s="11" t="s">
        <v>905</v>
      </c>
    </row>
    <row r="15" spans="1:12">
      <c r="D15" s="157">
        <f>D13*D14</f>
        <v>371697463.024719</v>
      </c>
      <c r="E15" s="157">
        <f t="shared" ref="E15:J15" ca="1" si="4">E13*E14</f>
        <v>249106212.9468284</v>
      </c>
      <c r="F15" s="157">
        <f t="shared" ca="1" si="4"/>
        <v>263075363.03294432</v>
      </c>
      <c r="G15" s="157">
        <f t="shared" ca="1" si="4"/>
        <v>63805374.614596553</v>
      </c>
      <c r="H15" s="157">
        <f t="shared" ca="1" si="4"/>
        <v>65827353.827680647</v>
      </c>
      <c r="I15" s="157">
        <f t="shared" ca="1" si="4"/>
        <v>67457447.396738678</v>
      </c>
      <c r="J15" s="157">
        <f t="shared" ca="1" si="4"/>
        <v>69917579.498449907</v>
      </c>
    </row>
    <row r="16" spans="1:12">
      <c r="A16" s="11" t="s">
        <v>775</v>
      </c>
      <c r="C16" s="11" t="s">
        <v>1112</v>
      </c>
      <c r="D16" s="157">
        <f>D15-D18</f>
        <v>-57864307.735280991</v>
      </c>
      <c r="E16" s="157">
        <f t="shared" ref="E16:J16" ca="1" si="5">E15-E18</f>
        <v>-198751251.57317159</v>
      </c>
      <c r="F16" s="157">
        <f t="shared" ca="1" si="5"/>
        <v>-202553000.53705567</v>
      </c>
      <c r="G16" s="157">
        <f t="shared" ca="1" si="5"/>
        <v>-210032902.23540348</v>
      </c>
      <c r="H16" s="157">
        <f t="shared" ca="1" si="5"/>
        <v>-35187574.992319345</v>
      </c>
      <c r="I16" s="157">
        <f t="shared" ca="1" si="5"/>
        <v>-36588940.103261322</v>
      </c>
      <c r="J16" s="157">
        <f t="shared" ca="1" si="5"/>
        <v>-37271964.821550086</v>
      </c>
    </row>
    <row r="17" spans="1:12">
      <c r="A17" s="11" t="s">
        <v>776</v>
      </c>
      <c r="C17" s="11" t="s">
        <v>878</v>
      </c>
      <c r="D17" s="158">
        <f t="shared" ref="D17:J17" si="6">+D7-D14</f>
        <v>0.15159999999999998</v>
      </c>
      <c r="E17" s="158">
        <f t="shared" si="6"/>
        <v>0.20450000000000002</v>
      </c>
      <c r="F17" s="158">
        <f t="shared" si="6"/>
        <v>0.20450000000000002</v>
      </c>
      <c r="G17" s="158">
        <f t="shared" si="6"/>
        <v>0.24379999999999999</v>
      </c>
      <c r="H17" s="158">
        <f t="shared" si="6"/>
        <v>0.24379999999999999</v>
      </c>
      <c r="I17" s="158">
        <f t="shared" si="6"/>
        <v>0.24379999999999999</v>
      </c>
      <c r="J17" s="158">
        <f t="shared" si="6"/>
        <v>0.24379999999999999</v>
      </c>
      <c r="K17" s="11" t="s">
        <v>905</v>
      </c>
    </row>
    <row r="18" spans="1:12">
      <c r="C18" s="11" t="s">
        <v>739</v>
      </c>
      <c r="D18" s="45">
        <v>429561770.75999999</v>
      </c>
      <c r="E18" s="45">
        <v>447857464.51999998</v>
      </c>
      <c r="F18" s="45">
        <v>465628363.56999999</v>
      </c>
      <c r="G18" s="45">
        <v>273838276.85000002</v>
      </c>
      <c r="H18" s="45">
        <v>101014928.81999999</v>
      </c>
      <c r="I18" s="45">
        <v>104046387.5</v>
      </c>
      <c r="J18" s="45">
        <v>107189544.31999999</v>
      </c>
      <c r="K18" s="11" t="s">
        <v>904</v>
      </c>
      <c r="L18" s="11" t="s">
        <v>855</v>
      </c>
    </row>
    <row r="19" spans="1:12">
      <c r="D19" s="46"/>
      <c r="E19" s="46"/>
      <c r="F19" s="46"/>
      <c r="G19" s="46"/>
      <c r="H19" s="46"/>
      <c r="I19" s="46"/>
      <c r="J19" s="46"/>
    </row>
    <row r="22" spans="1:12">
      <c r="G22" s="153"/>
      <c r="H22" s="153"/>
    </row>
    <row r="23" spans="1:12">
      <c r="F23" s="153"/>
      <c r="G23" s="153"/>
      <c r="H23" s="153"/>
      <c r="I23" s="153"/>
      <c r="J23" s="153"/>
    </row>
  </sheetData>
  <sheetProtection sheet="1" objects="1" scenarios="1"/>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4"/>
  <sheetViews>
    <sheetView topLeftCell="B1" workbookViewId="0">
      <selection activeCell="B1" sqref="B1"/>
    </sheetView>
  </sheetViews>
  <sheetFormatPr defaultRowHeight="15.75" outlineLevelCol="1"/>
  <cols>
    <col min="1" max="1" width="14.42578125" style="11" hidden="1" customWidth="1" outlineLevel="1"/>
    <col min="2" max="2" width="37.5703125" style="11" bestFit="1" customWidth="1" collapsed="1"/>
    <col min="3" max="3" width="8.7109375" style="11" bestFit="1" customWidth="1"/>
    <col min="4" max="4" width="9.140625" style="11"/>
    <col min="5" max="6" width="15.42578125" style="11" bestFit="1" customWidth="1"/>
    <col min="7" max="16384" width="9.140625" style="11"/>
  </cols>
  <sheetData>
    <row r="1" spans="1:6">
      <c r="B1" s="138" t="s">
        <v>572</v>
      </c>
    </row>
    <row r="2" spans="1:6">
      <c r="B2" s="138" t="s">
        <v>574</v>
      </c>
    </row>
    <row r="4" spans="1:6" ht="16.5" thickBot="1">
      <c r="A4" s="140"/>
      <c r="B4" s="138"/>
      <c r="C4" s="202" t="s">
        <v>531</v>
      </c>
      <c r="D4" s="41"/>
      <c r="E4" s="203" t="s">
        <v>784</v>
      </c>
      <c r="F4" s="203" t="s">
        <v>785</v>
      </c>
    </row>
    <row r="5" spans="1:6">
      <c r="A5" s="138" t="s">
        <v>576</v>
      </c>
      <c r="B5" s="140" t="s">
        <v>577</v>
      </c>
      <c r="C5" s="204">
        <f>E5/F5</f>
        <v>0.2597430016272822</v>
      </c>
      <c r="E5" s="45">
        <v>139091641</v>
      </c>
      <c r="F5" s="45">
        <v>535497165</v>
      </c>
    </row>
    <row r="6" spans="1:6">
      <c r="A6" s="138" t="s">
        <v>578</v>
      </c>
      <c r="B6" s="140" t="s">
        <v>204</v>
      </c>
      <c r="C6" s="204">
        <f>E6/F6</f>
        <v>0.34826962206502049</v>
      </c>
      <c r="E6" s="45">
        <v>74441045</v>
      </c>
      <c r="F6" s="45">
        <v>213745444</v>
      </c>
    </row>
    <row r="7" spans="1:6">
      <c r="A7" s="138" t="s">
        <v>564</v>
      </c>
      <c r="B7" s="140" t="s">
        <v>197</v>
      </c>
      <c r="C7" s="204">
        <f t="shared" ref="C7:C19" si="0">E7/F7</f>
        <v>0.31639177491113951</v>
      </c>
      <c r="E7" s="45">
        <v>262550283</v>
      </c>
      <c r="F7" s="45">
        <v>829826512</v>
      </c>
    </row>
    <row r="8" spans="1:6">
      <c r="A8" s="138" t="s">
        <v>579</v>
      </c>
      <c r="B8" s="140" t="s">
        <v>199</v>
      </c>
      <c r="C8" s="204">
        <f t="shared" si="0"/>
        <v>0.49774998720871899</v>
      </c>
      <c r="E8" s="45">
        <v>83245115</v>
      </c>
      <c r="F8" s="45">
        <v>167242827</v>
      </c>
    </row>
    <row r="9" spans="1:6">
      <c r="A9" s="138" t="s">
        <v>187</v>
      </c>
      <c r="B9" s="140" t="s">
        <v>580</v>
      </c>
      <c r="C9" s="204">
        <f t="shared" si="0"/>
        <v>0.55403546902834855</v>
      </c>
      <c r="E9" s="45">
        <v>701250766</v>
      </c>
      <c r="F9" s="45">
        <v>1265714571</v>
      </c>
    </row>
    <row r="10" spans="1:6">
      <c r="A10" s="138" t="s">
        <v>581</v>
      </c>
      <c r="B10" s="140" t="s">
        <v>582</v>
      </c>
      <c r="C10" s="204">
        <f t="shared" si="0"/>
        <v>0.5482622865666773</v>
      </c>
      <c r="E10" s="45">
        <v>86948041</v>
      </c>
      <c r="F10" s="45">
        <v>158588404</v>
      </c>
    </row>
    <row r="11" spans="1:6">
      <c r="A11" s="138" t="s">
        <v>583</v>
      </c>
      <c r="B11" s="140" t="s">
        <v>584</v>
      </c>
      <c r="C11" s="204">
        <f t="shared" si="0"/>
        <v>0.44934091103571139</v>
      </c>
      <c r="E11" s="45">
        <v>59851698</v>
      </c>
      <c r="F11" s="45">
        <v>133198862</v>
      </c>
    </row>
    <row r="12" spans="1:6">
      <c r="A12" s="138" t="s">
        <v>585</v>
      </c>
      <c r="B12" s="140" t="s">
        <v>586</v>
      </c>
      <c r="C12" s="204">
        <f t="shared" si="0"/>
        <v>0.34884197616934026</v>
      </c>
      <c r="E12" s="45">
        <v>63711332</v>
      </c>
      <c r="F12" s="45">
        <v>182636656</v>
      </c>
    </row>
    <row r="13" spans="1:6">
      <c r="A13" s="138" t="s">
        <v>587</v>
      </c>
      <c r="B13" s="140" t="s">
        <v>588</v>
      </c>
      <c r="C13" s="204">
        <f t="shared" si="0"/>
        <v>0.49499865651105907</v>
      </c>
      <c r="E13" s="45">
        <v>46727742</v>
      </c>
      <c r="F13" s="45">
        <v>94399735</v>
      </c>
    </row>
    <row r="14" spans="1:6">
      <c r="A14" s="138" t="s">
        <v>202</v>
      </c>
      <c r="B14" s="140" t="s">
        <v>203</v>
      </c>
      <c r="C14" s="204">
        <f t="shared" si="0"/>
        <v>0.56046005250737874</v>
      </c>
      <c r="E14" s="45">
        <v>15119194</v>
      </c>
      <c r="F14" s="45">
        <v>26976399</v>
      </c>
    </row>
    <row r="15" spans="1:6">
      <c r="A15" s="138" t="s">
        <v>123</v>
      </c>
      <c r="B15" s="205" t="s">
        <v>589</v>
      </c>
      <c r="C15" s="204">
        <f t="shared" si="0"/>
        <v>0.5056927606954541</v>
      </c>
      <c r="E15" s="45">
        <v>168912746</v>
      </c>
      <c r="F15" s="45">
        <v>334022472</v>
      </c>
    </row>
    <row r="16" spans="1:6">
      <c r="A16" s="138" t="s">
        <v>590</v>
      </c>
      <c r="B16" s="205" t="s">
        <v>591</v>
      </c>
      <c r="C16" s="204">
        <f t="shared" si="0"/>
        <v>0.39705621942378394</v>
      </c>
      <c r="E16" s="45">
        <v>68444754</v>
      </c>
      <c r="F16" s="45">
        <v>172380511</v>
      </c>
    </row>
    <row r="17" spans="1:8">
      <c r="A17" s="138" t="s">
        <v>592</v>
      </c>
      <c r="B17" s="205" t="s">
        <v>593</v>
      </c>
      <c r="C17" s="204">
        <f t="shared" si="0"/>
        <v>0.36106412342112754</v>
      </c>
      <c r="E17" s="45">
        <v>19149950</v>
      </c>
      <c r="F17" s="45">
        <v>53037532</v>
      </c>
    </row>
    <row r="18" spans="1:8">
      <c r="A18" s="138" t="s">
        <v>594</v>
      </c>
      <c r="B18" s="205" t="s">
        <v>595</v>
      </c>
      <c r="C18" s="204">
        <f t="shared" si="0"/>
        <v>0.3610308294638373</v>
      </c>
      <c r="E18" s="45">
        <v>15693591</v>
      </c>
      <c r="F18" s="45">
        <v>43468839</v>
      </c>
    </row>
    <row r="19" spans="1:8" ht="16.5" thickBot="1">
      <c r="A19" s="138" t="s">
        <v>127</v>
      </c>
      <c r="B19" s="206" t="s">
        <v>217</v>
      </c>
      <c r="C19" s="207">
        <f t="shared" si="0"/>
        <v>0.43986958249734731</v>
      </c>
      <c r="D19" s="154"/>
      <c r="E19" s="208">
        <v>35792619</v>
      </c>
      <c r="F19" s="208">
        <v>81370980</v>
      </c>
    </row>
    <row r="20" spans="1:8" ht="16.5" thickTop="1">
      <c r="C20" s="204">
        <f>E20/F20</f>
        <v>0.42891068559820911</v>
      </c>
      <c r="E20" s="45">
        <f>SUM(E5:E19)</f>
        <v>1840930517</v>
      </c>
      <c r="F20" s="45">
        <f>SUM(F5:F19)</f>
        <v>4292106909</v>
      </c>
    </row>
    <row r="22" spans="1:8" ht="16.5" thickBot="1">
      <c r="B22" s="40" t="s">
        <v>954</v>
      </c>
      <c r="C22" s="41"/>
      <c r="D22" s="41"/>
      <c r="E22" s="41"/>
      <c r="F22" s="41"/>
      <c r="G22" s="41"/>
      <c r="H22" s="41"/>
    </row>
    <row r="23" spans="1:8">
      <c r="B23" s="209" t="s">
        <v>573</v>
      </c>
    </row>
    <row r="24" spans="1:8">
      <c r="B24" s="209" t="s">
        <v>575</v>
      </c>
    </row>
  </sheetData>
  <sheetProtection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9"/>
  <sheetViews>
    <sheetView workbookViewId="0">
      <pane xSplit="2" ySplit="1" topLeftCell="C2" activePane="bottomRight" state="frozen"/>
      <selection activeCell="H31" sqref="H31"/>
      <selection pane="topRight" activeCell="H31" sqref="H31"/>
      <selection pane="bottomLeft" activeCell="H31" sqref="H31"/>
      <selection pane="bottomRight" activeCell="B1" sqref="B1"/>
    </sheetView>
  </sheetViews>
  <sheetFormatPr defaultColWidth="9.140625" defaultRowHeight="15.75" outlineLevelCol="1"/>
  <cols>
    <col min="1" max="1" width="21.140625" style="11" hidden="1" customWidth="1" outlineLevel="1"/>
    <col min="2" max="2" width="62.28515625" style="11" bestFit="1" customWidth="1" collapsed="1"/>
    <col min="3" max="9" width="8.42578125" style="11" bestFit="1" customWidth="1"/>
    <col min="10" max="10" width="19.85546875" style="11" bestFit="1" customWidth="1"/>
    <col min="11" max="11" width="32.28515625" style="11" bestFit="1" customWidth="1"/>
    <col min="12" max="12" width="82" style="11" bestFit="1" customWidth="1"/>
    <col min="13" max="16384" width="9.140625" style="11"/>
  </cols>
  <sheetData>
    <row r="1" spans="1:12" s="65" customFormat="1" ht="16.5" thickBot="1">
      <c r="A1" s="163"/>
      <c r="B1" s="165" t="s">
        <v>281</v>
      </c>
      <c r="C1" s="166" t="s">
        <v>174</v>
      </c>
      <c r="D1" s="166" t="s">
        <v>175</v>
      </c>
      <c r="E1" s="166" t="s">
        <v>176</v>
      </c>
      <c r="F1" s="166" t="s">
        <v>857</v>
      </c>
      <c r="G1" s="166" t="s">
        <v>858</v>
      </c>
      <c r="H1" s="166" t="s">
        <v>895</v>
      </c>
      <c r="I1" s="166" t="s">
        <v>902</v>
      </c>
      <c r="J1" s="167" t="s">
        <v>282</v>
      </c>
      <c r="K1" s="168" t="s">
        <v>955</v>
      </c>
      <c r="L1" s="168" t="s">
        <v>954</v>
      </c>
    </row>
    <row r="2" spans="1:12">
      <c r="A2" s="11" t="s">
        <v>433</v>
      </c>
      <c r="B2" s="110" t="s">
        <v>962</v>
      </c>
      <c r="C2" s="169">
        <v>2.5</v>
      </c>
      <c r="D2" s="169">
        <v>2.5</v>
      </c>
      <c r="E2" s="169">
        <v>2.5</v>
      </c>
      <c r="F2" s="169">
        <v>2.5</v>
      </c>
      <c r="G2" s="169">
        <v>2.5</v>
      </c>
      <c r="H2" s="169">
        <v>2.5</v>
      </c>
      <c r="I2" s="169">
        <v>2.5</v>
      </c>
      <c r="J2" s="164"/>
      <c r="K2" s="11" t="s">
        <v>953</v>
      </c>
      <c r="L2" s="11" t="s">
        <v>1055</v>
      </c>
    </row>
    <row r="3" spans="1:12">
      <c r="A3" s="11" t="s">
        <v>434</v>
      </c>
      <c r="B3" s="170" t="s">
        <v>963</v>
      </c>
      <c r="C3" s="169">
        <v>1</v>
      </c>
      <c r="D3" s="169">
        <v>1</v>
      </c>
      <c r="E3" s="169">
        <v>1</v>
      </c>
      <c r="F3" s="169">
        <v>1</v>
      </c>
      <c r="G3" s="169">
        <v>1</v>
      </c>
      <c r="H3" s="169">
        <v>1</v>
      </c>
      <c r="I3" s="169">
        <v>1</v>
      </c>
      <c r="J3" s="164"/>
      <c r="K3" s="11" t="s">
        <v>953</v>
      </c>
      <c r="L3" s="11" t="s">
        <v>1055</v>
      </c>
    </row>
    <row r="4" spans="1:12">
      <c r="A4" s="11" t="s">
        <v>436</v>
      </c>
      <c r="B4" s="170" t="s">
        <v>957</v>
      </c>
      <c r="C4" s="169">
        <v>2</v>
      </c>
      <c r="D4" s="169">
        <v>2</v>
      </c>
      <c r="E4" s="169">
        <v>2</v>
      </c>
      <c r="F4" s="169">
        <v>2</v>
      </c>
      <c r="G4" s="169">
        <v>2</v>
      </c>
      <c r="H4" s="169">
        <v>2</v>
      </c>
      <c r="I4" s="169">
        <v>2</v>
      </c>
      <c r="J4" s="164"/>
      <c r="K4" s="11" t="s">
        <v>953</v>
      </c>
      <c r="L4" s="11" t="s">
        <v>1055</v>
      </c>
    </row>
    <row r="5" spans="1:12">
      <c r="A5" s="11" t="s">
        <v>435</v>
      </c>
      <c r="B5" s="170" t="s">
        <v>958</v>
      </c>
      <c r="C5" s="169">
        <v>1</v>
      </c>
      <c r="D5" s="169">
        <v>1</v>
      </c>
      <c r="E5" s="169">
        <v>1</v>
      </c>
      <c r="F5" s="169">
        <v>1</v>
      </c>
      <c r="G5" s="169">
        <v>1</v>
      </c>
      <c r="H5" s="169">
        <v>1</v>
      </c>
      <c r="I5" s="169">
        <v>1</v>
      </c>
      <c r="J5" s="164"/>
      <c r="K5" s="11" t="s">
        <v>953</v>
      </c>
      <c r="L5" s="11" t="s">
        <v>1055</v>
      </c>
    </row>
    <row r="6" spans="1:12">
      <c r="A6" s="11" t="s">
        <v>437</v>
      </c>
      <c r="B6" s="110" t="s">
        <v>959</v>
      </c>
      <c r="C6" s="171">
        <v>0</v>
      </c>
      <c r="D6" s="171">
        <v>0</v>
      </c>
      <c r="E6" s="171">
        <v>0</v>
      </c>
      <c r="F6" s="171">
        <v>0</v>
      </c>
      <c r="G6" s="171">
        <v>0</v>
      </c>
      <c r="H6" s="171">
        <v>0</v>
      </c>
      <c r="I6" s="171">
        <v>0</v>
      </c>
      <c r="J6" s="164"/>
      <c r="K6" s="11" t="s">
        <v>956</v>
      </c>
      <c r="L6" s="11" t="s">
        <v>911</v>
      </c>
    </row>
    <row r="7" spans="1:12">
      <c r="A7" s="11" t="s">
        <v>438</v>
      </c>
      <c r="B7" s="170" t="s">
        <v>960</v>
      </c>
      <c r="C7" s="169">
        <v>1</v>
      </c>
      <c r="D7" s="169">
        <v>1</v>
      </c>
      <c r="E7" s="169">
        <v>1</v>
      </c>
      <c r="F7" s="169">
        <v>1</v>
      </c>
      <c r="G7" s="169">
        <v>1</v>
      </c>
      <c r="H7" s="169">
        <v>1</v>
      </c>
      <c r="I7" s="169">
        <v>1</v>
      </c>
      <c r="J7" s="164"/>
      <c r="K7" s="11" t="s">
        <v>953</v>
      </c>
      <c r="L7" s="11" t="s">
        <v>1055</v>
      </c>
    </row>
    <row r="8" spans="1:12">
      <c r="A8" s="11" t="s">
        <v>439</v>
      </c>
      <c r="B8" s="170" t="s">
        <v>964</v>
      </c>
      <c r="C8" s="169">
        <v>1</v>
      </c>
      <c r="D8" s="169">
        <v>1</v>
      </c>
      <c r="E8" s="169">
        <v>1</v>
      </c>
      <c r="F8" s="169">
        <v>1</v>
      </c>
      <c r="G8" s="169">
        <v>1</v>
      </c>
      <c r="H8" s="169">
        <v>1</v>
      </c>
      <c r="I8" s="169">
        <v>1</v>
      </c>
      <c r="J8" s="164"/>
      <c r="K8" s="11" t="s">
        <v>953</v>
      </c>
      <c r="L8" s="11" t="s">
        <v>1055</v>
      </c>
    </row>
    <row r="9" spans="1:12">
      <c r="A9" s="11" t="s">
        <v>440</v>
      </c>
      <c r="B9" s="170" t="s">
        <v>961</v>
      </c>
      <c r="C9" s="169">
        <v>1</v>
      </c>
      <c r="D9" s="169">
        <v>1</v>
      </c>
      <c r="E9" s="169">
        <v>1</v>
      </c>
      <c r="F9" s="169">
        <v>1</v>
      </c>
      <c r="G9" s="169">
        <v>1</v>
      </c>
      <c r="H9" s="169">
        <v>1</v>
      </c>
      <c r="I9" s="169">
        <v>1</v>
      </c>
      <c r="J9" s="164"/>
      <c r="K9" s="11" t="s">
        <v>953</v>
      </c>
      <c r="L9" s="11" t="s">
        <v>1055</v>
      </c>
    </row>
    <row r="10" spans="1:12">
      <c r="A10" s="11" t="s">
        <v>441</v>
      </c>
      <c r="B10" s="170" t="s">
        <v>965</v>
      </c>
      <c r="C10" s="169">
        <v>3</v>
      </c>
      <c r="D10" s="169">
        <v>3</v>
      </c>
      <c r="E10" s="169">
        <v>3</v>
      </c>
      <c r="F10" s="169">
        <v>3</v>
      </c>
      <c r="G10" s="169">
        <v>3</v>
      </c>
      <c r="H10" s="169">
        <v>3</v>
      </c>
      <c r="I10" s="169">
        <v>3</v>
      </c>
      <c r="J10" s="164"/>
      <c r="K10" s="11" t="s">
        <v>953</v>
      </c>
      <c r="L10" s="11" t="s">
        <v>1055</v>
      </c>
    </row>
    <row r="11" spans="1:12">
      <c r="A11" s="11" t="s">
        <v>442</v>
      </c>
      <c r="B11" s="170" t="s">
        <v>966</v>
      </c>
      <c r="C11" s="169">
        <v>2</v>
      </c>
      <c r="D11" s="169">
        <v>2</v>
      </c>
      <c r="E11" s="169">
        <v>2</v>
      </c>
      <c r="F11" s="169">
        <v>2</v>
      </c>
      <c r="G11" s="169">
        <v>2</v>
      </c>
      <c r="H11" s="169">
        <v>2</v>
      </c>
      <c r="I11" s="169">
        <v>2</v>
      </c>
      <c r="J11" s="164"/>
      <c r="K11" s="11" t="s">
        <v>953</v>
      </c>
      <c r="L11" s="11" t="s">
        <v>1055</v>
      </c>
    </row>
    <row r="12" spans="1:12">
      <c r="A12" s="11" t="s">
        <v>443</v>
      </c>
      <c r="B12" s="170" t="s">
        <v>967</v>
      </c>
      <c r="C12" s="171">
        <v>241.05</v>
      </c>
      <c r="D12" s="171">
        <v>241.05</v>
      </c>
      <c r="E12" s="171">
        <v>241.05</v>
      </c>
      <c r="F12" s="171">
        <v>241.05</v>
      </c>
      <c r="G12" s="171">
        <v>241.05</v>
      </c>
      <c r="H12" s="171">
        <v>241.05</v>
      </c>
      <c r="I12" s="171">
        <v>241.05</v>
      </c>
      <c r="J12" s="164"/>
      <c r="K12" s="11" t="s">
        <v>956</v>
      </c>
      <c r="L12" s="11" t="s">
        <v>1058</v>
      </c>
    </row>
    <row r="13" spans="1:12">
      <c r="A13" s="11" t="s">
        <v>444</v>
      </c>
      <c r="B13" s="170" t="s">
        <v>968</v>
      </c>
      <c r="C13" s="171">
        <v>241.05</v>
      </c>
      <c r="D13" s="171">
        <v>241.05</v>
      </c>
      <c r="E13" s="171">
        <v>241.05</v>
      </c>
      <c r="F13" s="171">
        <v>241.05</v>
      </c>
      <c r="G13" s="171">
        <v>241.05</v>
      </c>
      <c r="H13" s="171">
        <v>241.05</v>
      </c>
      <c r="I13" s="171">
        <v>241.05</v>
      </c>
      <c r="J13" s="164"/>
      <c r="K13" s="11" t="s">
        <v>956</v>
      </c>
      <c r="L13" s="11" t="s">
        <v>1058</v>
      </c>
    </row>
    <row r="14" spans="1:12">
      <c r="A14" s="11" t="s">
        <v>445</v>
      </c>
      <c r="B14" s="170" t="s">
        <v>969</v>
      </c>
      <c r="C14" s="171">
        <v>241.05</v>
      </c>
      <c r="D14" s="171">
        <v>241.05</v>
      </c>
      <c r="E14" s="171">
        <v>241.05</v>
      </c>
      <c r="F14" s="171">
        <v>241.05</v>
      </c>
      <c r="G14" s="171">
        <v>241.05</v>
      </c>
      <c r="H14" s="171">
        <v>241.05</v>
      </c>
      <c r="I14" s="171">
        <v>241.05</v>
      </c>
      <c r="J14" s="164"/>
      <c r="K14" s="11" t="s">
        <v>956</v>
      </c>
      <c r="L14" s="11" t="s">
        <v>1058</v>
      </c>
    </row>
    <row r="15" spans="1:12">
      <c r="A15" s="11" t="s">
        <v>408</v>
      </c>
      <c r="B15" s="11" t="s">
        <v>970</v>
      </c>
      <c r="C15" s="172">
        <v>7</v>
      </c>
      <c r="D15" s="172">
        <v>7</v>
      </c>
      <c r="E15" s="172">
        <v>7</v>
      </c>
      <c r="F15" s="172">
        <v>7</v>
      </c>
      <c r="G15" s="172">
        <v>7</v>
      </c>
      <c r="H15" s="172">
        <v>7</v>
      </c>
      <c r="I15" s="172">
        <v>7</v>
      </c>
      <c r="J15" s="164"/>
      <c r="K15" s="11" t="s">
        <v>953</v>
      </c>
      <c r="L15" s="11" t="s">
        <v>1055</v>
      </c>
    </row>
    <row r="16" spans="1:12">
      <c r="A16" s="11" t="s">
        <v>424</v>
      </c>
      <c r="B16" s="11" t="s">
        <v>971</v>
      </c>
      <c r="C16" s="172">
        <v>4</v>
      </c>
      <c r="D16" s="172">
        <v>4</v>
      </c>
      <c r="E16" s="172">
        <v>4</v>
      </c>
      <c r="F16" s="172">
        <v>4</v>
      </c>
      <c r="G16" s="172">
        <v>4</v>
      </c>
      <c r="H16" s="172">
        <v>4</v>
      </c>
      <c r="I16" s="172">
        <v>4</v>
      </c>
      <c r="J16" s="164"/>
      <c r="K16" s="11" t="s">
        <v>953</v>
      </c>
      <c r="L16" s="11" t="s">
        <v>1055</v>
      </c>
    </row>
    <row r="17" spans="1:12">
      <c r="A17" s="11" t="s">
        <v>423</v>
      </c>
      <c r="B17" s="11" t="s">
        <v>972</v>
      </c>
      <c r="C17" s="172">
        <v>4</v>
      </c>
      <c r="D17" s="172">
        <v>4</v>
      </c>
      <c r="E17" s="172">
        <v>4</v>
      </c>
      <c r="F17" s="172">
        <v>4</v>
      </c>
      <c r="G17" s="172">
        <v>4</v>
      </c>
      <c r="H17" s="172">
        <v>4</v>
      </c>
      <c r="I17" s="172">
        <v>4</v>
      </c>
      <c r="J17" s="164"/>
      <c r="K17" s="11" t="s">
        <v>953</v>
      </c>
      <c r="L17" s="11" t="s">
        <v>1055</v>
      </c>
    </row>
    <row r="18" spans="1:12">
      <c r="A18" s="11" t="s">
        <v>446</v>
      </c>
      <c r="B18" s="110" t="s">
        <v>973</v>
      </c>
      <c r="C18" s="169">
        <v>37</v>
      </c>
      <c r="D18" s="169">
        <v>37</v>
      </c>
      <c r="E18" s="169">
        <v>37</v>
      </c>
      <c r="F18" s="169">
        <v>37</v>
      </c>
      <c r="G18" s="169">
        <v>37</v>
      </c>
      <c r="H18" s="169">
        <v>37</v>
      </c>
      <c r="I18" s="169">
        <v>37</v>
      </c>
      <c r="J18" s="173">
        <v>9500</v>
      </c>
      <c r="K18" s="11" t="s">
        <v>1060</v>
      </c>
      <c r="L18" s="11" t="s">
        <v>891</v>
      </c>
    </row>
    <row r="19" spans="1:12">
      <c r="A19" s="11" t="s">
        <v>447</v>
      </c>
      <c r="B19" s="170" t="s">
        <v>974</v>
      </c>
      <c r="C19" s="169">
        <v>1</v>
      </c>
      <c r="D19" s="169">
        <v>1</v>
      </c>
      <c r="E19" s="169">
        <v>1</v>
      </c>
      <c r="F19" s="169">
        <v>1</v>
      </c>
      <c r="G19" s="169">
        <v>1</v>
      </c>
      <c r="H19" s="169">
        <v>1</v>
      </c>
      <c r="I19" s="169">
        <v>1</v>
      </c>
      <c r="J19" s="164"/>
      <c r="K19" s="11" t="s">
        <v>953</v>
      </c>
      <c r="L19" s="11" t="s">
        <v>1055</v>
      </c>
    </row>
    <row r="20" spans="1:12">
      <c r="A20" s="11" t="s">
        <v>448</v>
      </c>
      <c r="B20" s="170" t="s">
        <v>975</v>
      </c>
      <c r="C20" s="169">
        <v>1</v>
      </c>
      <c r="D20" s="169">
        <v>1</v>
      </c>
      <c r="E20" s="169">
        <v>1</v>
      </c>
      <c r="F20" s="169">
        <v>1</v>
      </c>
      <c r="G20" s="169">
        <v>1</v>
      </c>
      <c r="H20" s="169">
        <v>1</v>
      </c>
      <c r="I20" s="169">
        <v>1</v>
      </c>
      <c r="J20" s="164"/>
      <c r="K20" s="11" t="s">
        <v>953</v>
      </c>
      <c r="L20" s="11" t="s">
        <v>1055</v>
      </c>
    </row>
    <row r="21" spans="1:12">
      <c r="A21" s="11" t="s">
        <v>449</v>
      </c>
      <c r="B21" s="170" t="s">
        <v>976</v>
      </c>
      <c r="C21" s="169">
        <v>2</v>
      </c>
      <c r="D21" s="169">
        <v>2</v>
      </c>
      <c r="E21" s="169">
        <v>2</v>
      </c>
      <c r="F21" s="169">
        <v>2</v>
      </c>
      <c r="G21" s="169">
        <v>2</v>
      </c>
      <c r="H21" s="169">
        <v>2</v>
      </c>
      <c r="I21" s="169">
        <v>2</v>
      </c>
      <c r="J21" s="164"/>
      <c r="K21" s="11" t="s">
        <v>953</v>
      </c>
      <c r="L21" s="11" t="s">
        <v>1055</v>
      </c>
    </row>
    <row r="22" spans="1:12">
      <c r="A22" s="11" t="s">
        <v>450</v>
      </c>
      <c r="B22" s="170" t="s">
        <v>977</v>
      </c>
      <c r="C22" s="169">
        <v>2</v>
      </c>
      <c r="D22" s="169">
        <v>2</v>
      </c>
      <c r="E22" s="169">
        <v>2</v>
      </c>
      <c r="F22" s="169">
        <v>2</v>
      </c>
      <c r="G22" s="169">
        <v>2</v>
      </c>
      <c r="H22" s="169">
        <v>2</v>
      </c>
      <c r="I22" s="169">
        <v>2</v>
      </c>
      <c r="J22" s="164"/>
      <c r="K22" s="11" t="s">
        <v>953</v>
      </c>
      <c r="L22" s="11" t="s">
        <v>1055</v>
      </c>
    </row>
    <row r="23" spans="1:12">
      <c r="A23" s="11" t="s">
        <v>451</v>
      </c>
      <c r="B23" s="110" t="s">
        <v>978</v>
      </c>
      <c r="C23" s="174">
        <v>75</v>
      </c>
      <c r="D23" s="174">
        <v>75</v>
      </c>
      <c r="E23" s="174">
        <v>75</v>
      </c>
      <c r="F23" s="174">
        <v>75</v>
      </c>
      <c r="G23" s="174">
        <v>75</v>
      </c>
      <c r="H23" s="174">
        <v>75</v>
      </c>
      <c r="I23" s="174">
        <v>75</v>
      </c>
      <c r="J23" s="175"/>
      <c r="K23" s="11" t="s">
        <v>956</v>
      </c>
      <c r="L23" s="11" t="s">
        <v>1058</v>
      </c>
    </row>
    <row r="24" spans="1:12">
      <c r="A24" s="11" t="s">
        <v>452</v>
      </c>
      <c r="B24" s="110" t="s">
        <v>979</v>
      </c>
      <c r="C24" s="174">
        <v>150</v>
      </c>
      <c r="D24" s="174">
        <v>150</v>
      </c>
      <c r="E24" s="174">
        <v>150</v>
      </c>
      <c r="F24" s="174">
        <v>150</v>
      </c>
      <c r="G24" s="174">
        <v>150</v>
      </c>
      <c r="H24" s="174">
        <v>150</v>
      </c>
      <c r="I24" s="174">
        <v>150</v>
      </c>
      <c r="J24" s="175"/>
      <c r="K24" s="11" t="s">
        <v>956</v>
      </c>
      <c r="L24" s="11" t="s">
        <v>1058</v>
      </c>
    </row>
    <row r="25" spans="1:12">
      <c r="A25" s="11" t="s">
        <v>832</v>
      </c>
      <c r="B25" s="170" t="s">
        <v>980</v>
      </c>
      <c r="C25" s="172">
        <v>1</v>
      </c>
      <c r="D25" s="172">
        <v>1</v>
      </c>
      <c r="E25" s="172">
        <v>1</v>
      </c>
      <c r="F25" s="172">
        <v>1</v>
      </c>
      <c r="G25" s="172">
        <v>1</v>
      </c>
      <c r="H25" s="172">
        <v>1</v>
      </c>
      <c r="I25" s="172">
        <v>1</v>
      </c>
      <c r="J25" s="164"/>
      <c r="K25" s="11" t="s">
        <v>953</v>
      </c>
      <c r="L25" s="11" t="s">
        <v>1055</v>
      </c>
    </row>
    <row r="26" spans="1:12">
      <c r="A26" s="11" t="s">
        <v>453</v>
      </c>
      <c r="B26" s="170" t="s">
        <v>981</v>
      </c>
      <c r="C26" s="172">
        <v>1</v>
      </c>
      <c r="D26" s="172">
        <v>1</v>
      </c>
      <c r="E26" s="172">
        <v>1</v>
      </c>
      <c r="F26" s="172">
        <v>1</v>
      </c>
      <c r="G26" s="172">
        <v>1</v>
      </c>
      <c r="H26" s="172">
        <v>1</v>
      </c>
      <c r="I26" s="172">
        <v>1</v>
      </c>
      <c r="J26" s="164"/>
      <c r="K26" s="11" t="s">
        <v>953</v>
      </c>
      <c r="L26" s="11" t="s">
        <v>1055</v>
      </c>
    </row>
    <row r="27" spans="1:12">
      <c r="A27" s="11" t="s">
        <v>454</v>
      </c>
      <c r="B27" s="170" t="s">
        <v>982</v>
      </c>
      <c r="C27" s="172">
        <v>1</v>
      </c>
      <c r="D27" s="172">
        <v>1</v>
      </c>
      <c r="E27" s="172">
        <v>1</v>
      </c>
      <c r="F27" s="172">
        <v>1</v>
      </c>
      <c r="G27" s="172">
        <v>1</v>
      </c>
      <c r="H27" s="172">
        <v>1</v>
      </c>
      <c r="I27" s="172">
        <v>1</v>
      </c>
      <c r="J27" s="164"/>
      <c r="K27" s="11" t="s">
        <v>953</v>
      </c>
      <c r="L27" s="11" t="s">
        <v>1055</v>
      </c>
    </row>
    <row r="28" spans="1:12">
      <c r="A28" s="11" t="s">
        <v>455</v>
      </c>
      <c r="B28" s="170" t="s">
        <v>983</v>
      </c>
      <c r="C28" s="169">
        <v>0.5</v>
      </c>
      <c r="D28" s="169">
        <v>0.5</v>
      </c>
      <c r="E28" s="169">
        <v>0.5</v>
      </c>
      <c r="F28" s="169">
        <v>0.5</v>
      </c>
      <c r="G28" s="169">
        <v>0.5</v>
      </c>
      <c r="H28" s="169">
        <v>0.5</v>
      </c>
      <c r="I28" s="169">
        <v>0.5</v>
      </c>
      <c r="J28" s="164"/>
      <c r="K28" s="11" t="s">
        <v>953</v>
      </c>
      <c r="L28" s="11" t="s">
        <v>1055</v>
      </c>
    </row>
    <row r="29" spans="1:12">
      <c r="A29" s="11" t="s">
        <v>381</v>
      </c>
      <c r="B29" s="170" t="s">
        <v>984</v>
      </c>
      <c r="C29" s="169">
        <v>4</v>
      </c>
      <c r="D29" s="169">
        <v>4</v>
      </c>
      <c r="E29" s="169">
        <v>4</v>
      </c>
      <c r="F29" s="169">
        <v>4</v>
      </c>
      <c r="G29" s="169">
        <v>4</v>
      </c>
      <c r="H29" s="169">
        <v>4</v>
      </c>
      <c r="I29" s="169">
        <v>4</v>
      </c>
      <c r="J29" s="164"/>
      <c r="K29" s="11" t="s">
        <v>953</v>
      </c>
      <c r="L29" s="11" t="s">
        <v>1055</v>
      </c>
    </row>
    <row r="30" spans="1:12">
      <c r="A30" s="11" t="s">
        <v>383</v>
      </c>
      <c r="B30" s="170" t="s">
        <v>985</v>
      </c>
      <c r="C30" s="169">
        <v>2.5</v>
      </c>
      <c r="D30" s="169">
        <v>2.5</v>
      </c>
      <c r="E30" s="169">
        <v>2.5</v>
      </c>
      <c r="F30" s="169">
        <v>2.5</v>
      </c>
      <c r="G30" s="169">
        <v>2.5</v>
      </c>
      <c r="H30" s="169">
        <v>2.5</v>
      </c>
      <c r="I30" s="169">
        <v>2.5</v>
      </c>
      <c r="J30" s="164"/>
      <c r="K30" s="11" t="s">
        <v>953</v>
      </c>
      <c r="L30" s="11" t="s">
        <v>1055</v>
      </c>
    </row>
    <row r="31" spans="1:12">
      <c r="A31" s="11" t="s">
        <v>382</v>
      </c>
      <c r="B31" s="170" t="s">
        <v>986</v>
      </c>
      <c r="C31" s="169">
        <v>2</v>
      </c>
      <c r="D31" s="169">
        <v>2</v>
      </c>
      <c r="E31" s="169">
        <v>2</v>
      </c>
      <c r="F31" s="169">
        <v>2</v>
      </c>
      <c r="G31" s="169">
        <v>2</v>
      </c>
      <c r="H31" s="169">
        <v>2</v>
      </c>
      <c r="I31" s="169">
        <v>2</v>
      </c>
      <c r="J31" s="164"/>
      <c r="K31" s="11" t="s">
        <v>953</v>
      </c>
      <c r="L31" s="11" t="s">
        <v>1055</v>
      </c>
    </row>
    <row r="32" spans="1:12">
      <c r="A32" s="11" t="s">
        <v>456</v>
      </c>
      <c r="B32" s="110" t="s">
        <v>987</v>
      </c>
      <c r="C32" s="169">
        <v>1</v>
      </c>
      <c r="D32" s="169">
        <v>1</v>
      </c>
      <c r="E32" s="169">
        <v>1</v>
      </c>
      <c r="F32" s="169">
        <v>1</v>
      </c>
      <c r="G32" s="169">
        <v>1</v>
      </c>
      <c r="H32" s="169">
        <v>1</v>
      </c>
      <c r="I32" s="169">
        <v>1</v>
      </c>
      <c r="J32" s="173">
        <v>350</v>
      </c>
      <c r="K32" s="11" t="s">
        <v>1059</v>
      </c>
      <c r="L32" s="11" t="s">
        <v>1058</v>
      </c>
    </row>
    <row r="33" spans="1:12">
      <c r="A33" s="11" t="s">
        <v>458</v>
      </c>
      <c r="B33" s="110" t="s">
        <v>988</v>
      </c>
      <c r="C33" s="176">
        <v>3</v>
      </c>
      <c r="D33" s="176">
        <v>3</v>
      </c>
      <c r="E33" s="176">
        <v>3</v>
      </c>
      <c r="F33" s="176">
        <v>3</v>
      </c>
      <c r="G33" s="176">
        <v>3</v>
      </c>
      <c r="H33" s="176">
        <v>3</v>
      </c>
      <c r="I33" s="176">
        <v>3</v>
      </c>
      <c r="J33" s="173">
        <v>350</v>
      </c>
      <c r="K33" s="11" t="s">
        <v>1059</v>
      </c>
      <c r="L33" s="11" t="s">
        <v>1058</v>
      </c>
    </row>
    <row r="34" spans="1:12">
      <c r="A34" s="11" t="s">
        <v>457</v>
      </c>
      <c r="B34" s="110" t="s">
        <v>989</v>
      </c>
      <c r="C34" s="176">
        <v>2</v>
      </c>
      <c r="D34" s="176">
        <v>2</v>
      </c>
      <c r="E34" s="176">
        <v>2</v>
      </c>
      <c r="F34" s="176">
        <v>2</v>
      </c>
      <c r="G34" s="176">
        <v>2</v>
      </c>
      <c r="H34" s="176">
        <v>2</v>
      </c>
      <c r="I34" s="176">
        <v>2</v>
      </c>
      <c r="J34" s="173">
        <v>350</v>
      </c>
      <c r="K34" s="11" t="s">
        <v>1059</v>
      </c>
      <c r="L34" s="11" t="s">
        <v>1058</v>
      </c>
    </row>
    <row r="35" spans="1:12">
      <c r="A35" s="11" t="s">
        <v>396</v>
      </c>
      <c r="B35" s="11" t="s">
        <v>990</v>
      </c>
      <c r="C35" s="172">
        <v>3</v>
      </c>
      <c r="D35" s="172">
        <v>3</v>
      </c>
      <c r="E35" s="172">
        <v>3</v>
      </c>
      <c r="F35" s="172">
        <v>3</v>
      </c>
      <c r="G35" s="172">
        <v>3</v>
      </c>
      <c r="H35" s="172">
        <v>3</v>
      </c>
      <c r="I35" s="172">
        <v>3</v>
      </c>
      <c r="J35" s="164"/>
      <c r="K35" s="11" t="s">
        <v>953</v>
      </c>
      <c r="L35" s="11" t="s">
        <v>1055</v>
      </c>
    </row>
    <row r="36" spans="1:12">
      <c r="A36" s="11" t="s">
        <v>395</v>
      </c>
      <c r="B36" s="11" t="s">
        <v>991</v>
      </c>
      <c r="C36" s="172">
        <v>13</v>
      </c>
      <c r="D36" s="172">
        <v>13</v>
      </c>
      <c r="E36" s="172">
        <v>13</v>
      </c>
      <c r="F36" s="172">
        <v>13</v>
      </c>
      <c r="G36" s="172">
        <v>13</v>
      </c>
      <c r="H36" s="172">
        <v>13</v>
      </c>
      <c r="I36" s="172">
        <v>13</v>
      </c>
      <c r="J36" s="164"/>
      <c r="K36" s="11" t="s">
        <v>953</v>
      </c>
      <c r="L36" s="11" t="s">
        <v>1055</v>
      </c>
    </row>
    <row r="37" spans="1:12">
      <c r="A37" s="11" t="s">
        <v>394</v>
      </c>
      <c r="B37" s="11" t="s">
        <v>992</v>
      </c>
      <c r="C37" s="172">
        <v>6.5</v>
      </c>
      <c r="D37" s="172">
        <v>6.5</v>
      </c>
      <c r="E37" s="172">
        <v>6.5</v>
      </c>
      <c r="F37" s="172">
        <v>6.5</v>
      </c>
      <c r="G37" s="172">
        <v>6.5</v>
      </c>
      <c r="H37" s="172">
        <v>6.5</v>
      </c>
      <c r="I37" s="172">
        <v>6.5</v>
      </c>
      <c r="J37" s="164"/>
      <c r="K37" s="11" t="s">
        <v>953</v>
      </c>
      <c r="L37" s="11" t="s">
        <v>1055</v>
      </c>
    </row>
    <row r="38" spans="1:12">
      <c r="A38" s="11" t="s">
        <v>459</v>
      </c>
      <c r="B38" s="110" t="s">
        <v>993</v>
      </c>
      <c r="C38" s="169"/>
      <c r="D38" s="169"/>
      <c r="E38" s="169"/>
      <c r="F38" s="169"/>
      <c r="G38" s="169"/>
      <c r="H38" s="169"/>
      <c r="I38" s="169"/>
      <c r="J38" s="173">
        <v>288</v>
      </c>
      <c r="K38" s="11" t="s">
        <v>956</v>
      </c>
      <c r="L38" s="11" t="s">
        <v>1058</v>
      </c>
    </row>
    <row r="39" spans="1:12">
      <c r="A39" s="11" t="s">
        <v>460</v>
      </c>
      <c r="B39" s="110" t="s">
        <v>994</v>
      </c>
      <c r="C39" s="176"/>
      <c r="D39" s="176"/>
      <c r="E39" s="176"/>
      <c r="F39" s="176"/>
      <c r="G39" s="176"/>
      <c r="H39" s="176"/>
      <c r="I39" s="176"/>
      <c r="J39" s="173">
        <v>288</v>
      </c>
      <c r="K39" s="11" t="s">
        <v>956</v>
      </c>
      <c r="L39" s="11" t="s">
        <v>1058</v>
      </c>
    </row>
    <row r="40" spans="1:12">
      <c r="A40" s="11" t="s">
        <v>461</v>
      </c>
      <c r="B40" s="110" t="s">
        <v>995</v>
      </c>
      <c r="C40" s="176"/>
      <c r="D40" s="176"/>
      <c r="E40" s="176"/>
      <c r="F40" s="176"/>
      <c r="G40" s="176"/>
      <c r="H40" s="176"/>
      <c r="I40" s="176"/>
      <c r="J40" s="173">
        <v>288</v>
      </c>
      <c r="K40" s="11" t="s">
        <v>956</v>
      </c>
      <c r="L40" s="11" t="s">
        <v>1058</v>
      </c>
    </row>
    <row r="41" spans="1:12">
      <c r="A41" s="11" t="s">
        <v>829</v>
      </c>
      <c r="B41" s="170" t="s">
        <v>996</v>
      </c>
      <c r="C41" s="169">
        <v>1</v>
      </c>
      <c r="D41" s="169">
        <v>1</v>
      </c>
      <c r="E41" s="169">
        <v>1</v>
      </c>
      <c r="F41" s="169">
        <v>1</v>
      </c>
      <c r="G41" s="169">
        <v>1</v>
      </c>
      <c r="H41" s="169">
        <v>1</v>
      </c>
      <c r="I41" s="169">
        <v>1</v>
      </c>
      <c r="J41" s="173"/>
      <c r="K41" s="11" t="s">
        <v>953</v>
      </c>
      <c r="L41" s="11" t="s">
        <v>1055</v>
      </c>
    </row>
    <row r="42" spans="1:12">
      <c r="A42" s="11" t="s">
        <v>462</v>
      </c>
      <c r="B42" s="170" t="s">
        <v>997</v>
      </c>
      <c r="C42" s="169">
        <v>1</v>
      </c>
      <c r="D42" s="169">
        <v>1</v>
      </c>
      <c r="E42" s="169">
        <v>1</v>
      </c>
      <c r="F42" s="169">
        <v>1</v>
      </c>
      <c r="G42" s="169">
        <v>1</v>
      </c>
      <c r="H42" s="169">
        <v>1</v>
      </c>
      <c r="I42" s="169">
        <v>1</v>
      </c>
      <c r="J42" s="164"/>
      <c r="K42" s="11" t="s">
        <v>953</v>
      </c>
      <c r="L42" s="11" t="s">
        <v>1055</v>
      </c>
    </row>
    <row r="43" spans="1:12">
      <c r="A43" s="11" t="s">
        <v>463</v>
      </c>
      <c r="B43" s="170" t="s">
        <v>998</v>
      </c>
      <c r="C43" s="169">
        <v>1</v>
      </c>
      <c r="D43" s="169">
        <v>1</v>
      </c>
      <c r="E43" s="169">
        <v>1</v>
      </c>
      <c r="F43" s="169">
        <v>1</v>
      </c>
      <c r="G43" s="169">
        <v>1</v>
      </c>
      <c r="H43" s="169">
        <v>1</v>
      </c>
      <c r="I43" s="169">
        <v>1</v>
      </c>
      <c r="J43" s="164"/>
      <c r="K43" s="11" t="s">
        <v>953</v>
      </c>
      <c r="L43" s="11" t="s">
        <v>1055</v>
      </c>
    </row>
    <row r="44" spans="1:12">
      <c r="A44" s="11" t="s">
        <v>464</v>
      </c>
      <c r="B44" s="110" t="s">
        <v>999</v>
      </c>
      <c r="C44" s="169">
        <v>1</v>
      </c>
      <c r="D44" s="169">
        <v>1</v>
      </c>
      <c r="E44" s="169">
        <v>1</v>
      </c>
      <c r="F44" s="169">
        <v>1</v>
      </c>
      <c r="G44" s="169">
        <v>1</v>
      </c>
      <c r="H44" s="169">
        <v>1</v>
      </c>
      <c r="I44" s="169">
        <v>1</v>
      </c>
      <c r="J44" s="164"/>
      <c r="K44" s="11" t="s">
        <v>953</v>
      </c>
      <c r="L44" s="11" t="s">
        <v>1055</v>
      </c>
    </row>
    <row r="45" spans="1:12">
      <c r="A45" s="11" t="s">
        <v>465</v>
      </c>
      <c r="B45" s="110" t="s">
        <v>1000</v>
      </c>
      <c r="C45" s="169">
        <v>0.25</v>
      </c>
      <c r="D45" s="169">
        <v>0.25</v>
      </c>
      <c r="E45" s="169">
        <v>0.25</v>
      </c>
      <c r="F45" s="169">
        <v>0.25</v>
      </c>
      <c r="G45" s="169">
        <v>0.25</v>
      </c>
      <c r="H45" s="169">
        <v>0.25</v>
      </c>
      <c r="I45" s="169">
        <v>0.25</v>
      </c>
      <c r="J45" s="164"/>
      <c r="K45" s="11" t="s">
        <v>953</v>
      </c>
      <c r="L45" s="11" t="s">
        <v>1055</v>
      </c>
    </row>
    <row r="46" spans="1:12">
      <c r="A46" s="11" t="s">
        <v>466</v>
      </c>
      <c r="B46" s="110" t="s">
        <v>1001</v>
      </c>
      <c r="C46" s="171">
        <v>475</v>
      </c>
      <c r="D46" s="171">
        <v>475</v>
      </c>
      <c r="E46" s="171">
        <v>475</v>
      </c>
      <c r="F46" s="171">
        <v>475</v>
      </c>
      <c r="G46" s="171">
        <v>475</v>
      </c>
      <c r="H46" s="171">
        <v>475</v>
      </c>
      <c r="I46" s="171">
        <v>475</v>
      </c>
      <c r="J46" s="164"/>
      <c r="K46" s="11" t="s">
        <v>956</v>
      </c>
      <c r="L46" s="11" t="s">
        <v>1058</v>
      </c>
    </row>
    <row r="47" spans="1:12">
      <c r="A47" s="11" t="s">
        <v>112</v>
      </c>
      <c r="B47" s="110" t="s">
        <v>1002</v>
      </c>
      <c r="C47" s="169"/>
      <c r="D47" s="169"/>
      <c r="E47" s="169"/>
      <c r="F47" s="169"/>
      <c r="G47" s="169"/>
      <c r="H47" s="169"/>
      <c r="I47" s="169"/>
      <c r="J47" s="173">
        <v>6000</v>
      </c>
      <c r="K47" s="11" t="s">
        <v>1057</v>
      </c>
      <c r="L47" s="11" t="s">
        <v>1058</v>
      </c>
    </row>
    <row r="48" spans="1:12">
      <c r="A48" s="11" t="s">
        <v>467</v>
      </c>
      <c r="B48" s="170" t="s">
        <v>1003</v>
      </c>
      <c r="C48" s="171">
        <v>329.01</v>
      </c>
      <c r="D48" s="171">
        <v>329.01</v>
      </c>
      <c r="E48" s="171">
        <v>329.01</v>
      </c>
      <c r="F48" s="171">
        <v>329.01</v>
      </c>
      <c r="G48" s="171">
        <v>329.01</v>
      </c>
      <c r="H48" s="171">
        <v>329.01</v>
      </c>
      <c r="I48" s="171">
        <v>329.01</v>
      </c>
      <c r="J48" s="164"/>
      <c r="K48" s="11" t="s">
        <v>956</v>
      </c>
      <c r="L48" s="11" t="s">
        <v>1058</v>
      </c>
    </row>
    <row r="49" spans="1:12">
      <c r="A49" s="11" t="s">
        <v>468</v>
      </c>
      <c r="B49" s="170" t="s">
        <v>1004</v>
      </c>
      <c r="C49" s="171">
        <v>316.70999999999998</v>
      </c>
      <c r="D49" s="171">
        <v>316.70999999999998</v>
      </c>
      <c r="E49" s="171">
        <v>316.70999999999998</v>
      </c>
      <c r="F49" s="171">
        <v>316.70999999999998</v>
      </c>
      <c r="G49" s="171">
        <v>316.70999999999998</v>
      </c>
      <c r="H49" s="171">
        <v>316.70999999999998</v>
      </c>
      <c r="I49" s="171">
        <v>316.70999999999998</v>
      </c>
      <c r="J49" s="164"/>
      <c r="K49" s="11" t="s">
        <v>956</v>
      </c>
      <c r="L49" s="11" t="s">
        <v>1058</v>
      </c>
    </row>
    <row r="50" spans="1:12">
      <c r="A50" s="11" t="s">
        <v>469</v>
      </c>
      <c r="B50" s="170" t="s">
        <v>1005</v>
      </c>
      <c r="C50" s="171">
        <v>288.16000000000003</v>
      </c>
      <c r="D50" s="171">
        <v>288.16000000000003</v>
      </c>
      <c r="E50" s="171">
        <v>288.16000000000003</v>
      </c>
      <c r="F50" s="171">
        <v>288.16000000000003</v>
      </c>
      <c r="G50" s="171">
        <v>288.16000000000003</v>
      </c>
      <c r="H50" s="171">
        <v>288.16000000000003</v>
      </c>
      <c r="I50" s="171">
        <v>288.16000000000003</v>
      </c>
      <c r="J50" s="164"/>
      <c r="K50" s="11" t="s">
        <v>956</v>
      </c>
      <c r="L50" s="11" t="s">
        <v>1058</v>
      </c>
    </row>
    <row r="51" spans="1:12">
      <c r="A51" s="11" t="s">
        <v>470</v>
      </c>
      <c r="B51" s="170" t="s">
        <v>1006</v>
      </c>
      <c r="C51" s="169">
        <v>1</v>
      </c>
      <c r="D51" s="169">
        <v>1</v>
      </c>
      <c r="E51" s="169">
        <v>1</v>
      </c>
      <c r="F51" s="169">
        <v>1</v>
      </c>
      <c r="G51" s="169">
        <v>1</v>
      </c>
      <c r="H51" s="169">
        <v>1</v>
      </c>
      <c r="I51" s="169">
        <v>1</v>
      </c>
      <c r="J51" s="164"/>
      <c r="K51" s="11" t="s">
        <v>953</v>
      </c>
      <c r="L51" s="11" t="s">
        <v>1055</v>
      </c>
    </row>
    <row r="52" spans="1:12">
      <c r="A52" s="11" t="s">
        <v>471</v>
      </c>
      <c r="B52" s="170" t="s">
        <v>1007</v>
      </c>
      <c r="C52" s="169">
        <v>1</v>
      </c>
      <c r="D52" s="169">
        <v>1</v>
      </c>
      <c r="E52" s="169">
        <v>1</v>
      </c>
      <c r="F52" s="169">
        <v>1</v>
      </c>
      <c r="G52" s="169">
        <v>1</v>
      </c>
      <c r="H52" s="169">
        <v>1</v>
      </c>
      <c r="I52" s="169">
        <v>1</v>
      </c>
      <c r="J52" s="164"/>
      <c r="K52" s="11" t="s">
        <v>953</v>
      </c>
      <c r="L52" s="11" t="s">
        <v>1055</v>
      </c>
    </row>
    <row r="53" spans="1:12">
      <c r="A53" s="11" t="s">
        <v>472</v>
      </c>
      <c r="B53" s="170" t="s">
        <v>1008</v>
      </c>
      <c r="C53" s="169">
        <v>1</v>
      </c>
      <c r="D53" s="169">
        <v>1</v>
      </c>
      <c r="E53" s="169">
        <v>1</v>
      </c>
      <c r="F53" s="169">
        <v>1</v>
      </c>
      <c r="G53" s="169">
        <v>1</v>
      </c>
      <c r="H53" s="169">
        <v>1</v>
      </c>
      <c r="I53" s="169">
        <v>1</v>
      </c>
      <c r="J53" s="164"/>
      <c r="K53" s="11" t="s">
        <v>953</v>
      </c>
      <c r="L53" s="11" t="s">
        <v>1055</v>
      </c>
    </row>
    <row r="54" spans="1:12">
      <c r="A54" s="11" t="s">
        <v>473</v>
      </c>
      <c r="B54" s="170" t="s">
        <v>1009</v>
      </c>
      <c r="C54" s="169">
        <v>1</v>
      </c>
      <c r="D54" s="169">
        <v>1</v>
      </c>
      <c r="E54" s="169">
        <v>1</v>
      </c>
      <c r="F54" s="169">
        <v>1</v>
      </c>
      <c r="G54" s="169">
        <v>1</v>
      </c>
      <c r="H54" s="169">
        <v>1</v>
      </c>
      <c r="I54" s="169">
        <v>1</v>
      </c>
      <c r="J54" s="164"/>
      <c r="K54" s="11" t="s">
        <v>953</v>
      </c>
      <c r="L54" s="11" t="s">
        <v>1055</v>
      </c>
    </row>
    <row r="55" spans="1:12">
      <c r="A55" s="11" t="s">
        <v>474</v>
      </c>
      <c r="B55" s="170" t="s">
        <v>1010</v>
      </c>
      <c r="C55" s="169">
        <v>1</v>
      </c>
      <c r="D55" s="169">
        <v>1</v>
      </c>
      <c r="E55" s="169">
        <v>1</v>
      </c>
      <c r="F55" s="169">
        <v>1</v>
      </c>
      <c r="G55" s="169">
        <v>1</v>
      </c>
      <c r="H55" s="169">
        <v>1</v>
      </c>
      <c r="I55" s="169">
        <v>1</v>
      </c>
      <c r="J55" s="164"/>
      <c r="K55" s="11" t="s">
        <v>953</v>
      </c>
      <c r="L55" s="11" t="s">
        <v>1055</v>
      </c>
    </row>
    <row r="56" spans="1:12">
      <c r="A56" s="11" t="s">
        <v>475</v>
      </c>
      <c r="B56" s="170" t="s">
        <v>1011</v>
      </c>
      <c r="C56" s="171">
        <v>49.73</v>
      </c>
      <c r="D56" s="171">
        <v>49.73</v>
      </c>
      <c r="E56" s="171">
        <v>49.73</v>
      </c>
      <c r="F56" s="171">
        <v>49.73</v>
      </c>
      <c r="G56" s="171">
        <v>49.73</v>
      </c>
      <c r="H56" s="171">
        <v>49.73</v>
      </c>
      <c r="I56" s="171">
        <v>49.73</v>
      </c>
      <c r="J56" s="164"/>
      <c r="K56" s="11" t="s">
        <v>956</v>
      </c>
      <c r="L56" s="11" t="s">
        <v>1058</v>
      </c>
    </row>
    <row r="57" spans="1:12">
      <c r="A57" s="11" t="s">
        <v>476</v>
      </c>
      <c r="B57" s="170" t="s">
        <v>1012</v>
      </c>
      <c r="C57" s="171">
        <v>49.73</v>
      </c>
      <c r="D57" s="171">
        <v>49.73</v>
      </c>
      <c r="E57" s="171">
        <v>49.73</v>
      </c>
      <c r="F57" s="171">
        <v>49.73</v>
      </c>
      <c r="G57" s="171">
        <v>49.73</v>
      </c>
      <c r="H57" s="171">
        <v>49.73</v>
      </c>
      <c r="I57" s="171">
        <v>49.73</v>
      </c>
      <c r="J57" s="164"/>
      <c r="K57" s="11" t="s">
        <v>956</v>
      </c>
      <c r="L57" s="11" t="s">
        <v>1058</v>
      </c>
    </row>
    <row r="58" spans="1:12">
      <c r="A58" s="11" t="s">
        <v>477</v>
      </c>
      <c r="B58" s="170" t="s">
        <v>1013</v>
      </c>
      <c r="C58" s="171">
        <v>49.73</v>
      </c>
      <c r="D58" s="171">
        <v>49.73</v>
      </c>
      <c r="E58" s="171">
        <v>49.73</v>
      </c>
      <c r="F58" s="171">
        <v>49.73</v>
      </c>
      <c r="G58" s="171">
        <v>49.73</v>
      </c>
      <c r="H58" s="171">
        <v>49.73</v>
      </c>
      <c r="I58" s="171">
        <v>49.73</v>
      </c>
      <c r="J58" s="164"/>
      <c r="K58" s="11" t="s">
        <v>956</v>
      </c>
      <c r="L58" s="11" t="s">
        <v>1058</v>
      </c>
    </row>
    <row r="59" spans="1:12">
      <c r="A59" s="11" t="s">
        <v>478</v>
      </c>
      <c r="B59" s="170" t="s">
        <v>1014</v>
      </c>
      <c r="C59" s="169">
        <v>1</v>
      </c>
      <c r="D59" s="169">
        <v>1</v>
      </c>
      <c r="E59" s="169">
        <v>1</v>
      </c>
      <c r="F59" s="169">
        <v>1</v>
      </c>
      <c r="G59" s="169">
        <v>1</v>
      </c>
      <c r="H59" s="169">
        <v>1</v>
      </c>
      <c r="I59" s="169">
        <v>1</v>
      </c>
      <c r="J59" s="164"/>
      <c r="K59" s="11" t="s">
        <v>953</v>
      </c>
      <c r="L59" s="11" t="s">
        <v>1055</v>
      </c>
    </row>
    <row r="60" spans="1:12">
      <c r="A60" s="11" t="s">
        <v>479</v>
      </c>
      <c r="B60" s="170" t="s">
        <v>1015</v>
      </c>
      <c r="C60" s="169">
        <v>1</v>
      </c>
      <c r="D60" s="169">
        <v>1</v>
      </c>
      <c r="E60" s="169">
        <v>1</v>
      </c>
      <c r="F60" s="169">
        <v>1</v>
      </c>
      <c r="G60" s="169">
        <v>1</v>
      </c>
      <c r="H60" s="169">
        <v>1</v>
      </c>
      <c r="I60" s="169">
        <v>1</v>
      </c>
      <c r="J60" s="164"/>
      <c r="K60" s="11" t="s">
        <v>953</v>
      </c>
      <c r="L60" s="11" t="s">
        <v>1055</v>
      </c>
    </row>
    <row r="61" spans="1:12">
      <c r="A61" s="11" t="s">
        <v>841</v>
      </c>
      <c r="B61" s="170" t="s">
        <v>1016</v>
      </c>
      <c r="C61" s="169">
        <v>1</v>
      </c>
      <c r="D61" s="169">
        <v>1</v>
      </c>
      <c r="E61" s="169">
        <v>1</v>
      </c>
      <c r="F61" s="169">
        <v>1</v>
      </c>
      <c r="G61" s="169">
        <v>1</v>
      </c>
      <c r="H61" s="169">
        <v>1</v>
      </c>
      <c r="I61" s="169">
        <v>1</v>
      </c>
      <c r="J61" s="164"/>
      <c r="K61" s="11" t="s">
        <v>953</v>
      </c>
      <c r="L61" s="11" t="s">
        <v>1055</v>
      </c>
    </row>
    <row r="62" spans="1:12">
      <c r="A62" s="11" t="s">
        <v>790</v>
      </c>
      <c r="B62" s="170" t="s">
        <v>1017</v>
      </c>
      <c r="C62" s="169">
        <f>ES_Detail!$H$2/750</f>
        <v>0.48</v>
      </c>
      <c r="D62" s="169">
        <f>ES_Detail!$H$2/750</f>
        <v>0.48</v>
      </c>
      <c r="E62" s="169">
        <f>ES_Detail!$H$2/750</f>
        <v>0.48</v>
      </c>
      <c r="F62" s="169">
        <f>ES_Detail!$H$2/750</f>
        <v>0.48</v>
      </c>
      <c r="G62" s="169">
        <f>ES_Detail!$H$2/750</f>
        <v>0.48</v>
      </c>
      <c r="H62" s="169">
        <f>ES_Detail!$H$2/750</f>
        <v>0.48</v>
      </c>
      <c r="I62" s="169">
        <f>ES_Detail!$H$2/750</f>
        <v>0.48</v>
      </c>
      <c r="J62" s="164"/>
      <c r="K62" s="11" t="s">
        <v>953</v>
      </c>
      <c r="L62" s="11" t="s">
        <v>1055</v>
      </c>
    </row>
    <row r="63" spans="1:12">
      <c r="A63" s="11" t="s">
        <v>481</v>
      </c>
      <c r="B63" s="170" t="s">
        <v>1018</v>
      </c>
      <c r="C63" s="169">
        <f>HS_Detail!$H$2/750</f>
        <v>1.3333333333333333</v>
      </c>
      <c r="D63" s="169">
        <f>HS_Detail!$H$2/750</f>
        <v>1.3333333333333333</v>
      </c>
      <c r="E63" s="169">
        <f>HS_Detail!$H$2/750</f>
        <v>1.3333333333333333</v>
      </c>
      <c r="F63" s="169">
        <f>HS_Detail!$H$2/750</f>
        <v>1.3333333333333333</v>
      </c>
      <c r="G63" s="169">
        <f>HS_Detail!$H$2/750</f>
        <v>1.3333333333333333</v>
      </c>
      <c r="H63" s="169">
        <f>HS_Detail!$H$2/750</f>
        <v>1.3333333333333333</v>
      </c>
      <c r="I63" s="169">
        <f>HS_Detail!$H$2/750</f>
        <v>1.3333333333333333</v>
      </c>
      <c r="J63" s="164"/>
      <c r="K63" s="11" t="s">
        <v>953</v>
      </c>
      <c r="L63" s="11" t="s">
        <v>1055</v>
      </c>
    </row>
    <row r="64" spans="1:12">
      <c r="A64" s="11" t="s">
        <v>482</v>
      </c>
      <c r="B64" s="170" t="s">
        <v>1019</v>
      </c>
      <c r="C64" s="169">
        <f>MS_Detail!$H$2/750</f>
        <v>0.66666666666666663</v>
      </c>
      <c r="D64" s="169">
        <f>MS_Detail!$H$2/750</f>
        <v>0.66666666666666663</v>
      </c>
      <c r="E64" s="169">
        <f>MS_Detail!$H$2/750</f>
        <v>0.66666666666666663</v>
      </c>
      <c r="F64" s="169">
        <f>MS_Detail!$H$2/750</f>
        <v>0.66666666666666663</v>
      </c>
      <c r="G64" s="169">
        <f>MS_Detail!$H$2/750</f>
        <v>0.66666666666666663</v>
      </c>
      <c r="H64" s="169">
        <f>MS_Detail!$H$2/750</f>
        <v>0.66666666666666663</v>
      </c>
      <c r="I64" s="169">
        <f>MS_Detail!$H$2/750</f>
        <v>0.66666666666666663</v>
      </c>
      <c r="J64" s="164"/>
      <c r="K64" s="11" t="s">
        <v>953</v>
      </c>
      <c r="L64" s="11" t="s">
        <v>1055</v>
      </c>
    </row>
    <row r="65" spans="1:12">
      <c r="A65" s="11" t="s">
        <v>483</v>
      </c>
      <c r="B65" s="170" t="s">
        <v>1020</v>
      </c>
      <c r="C65" s="169">
        <v>2</v>
      </c>
      <c r="D65" s="169">
        <v>2</v>
      </c>
      <c r="E65" s="169">
        <v>2</v>
      </c>
      <c r="F65" s="169">
        <v>2</v>
      </c>
      <c r="G65" s="169">
        <v>2</v>
      </c>
      <c r="H65" s="169">
        <v>2</v>
      </c>
      <c r="I65" s="169">
        <v>2</v>
      </c>
      <c r="J65" s="164"/>
      <c r="K65" s="11" t="s">
        <v>953</v>
      </c>
      <c r="L65" s="11" t="s">
        <v>1055</v>
      </c>
    </row>
    <row r="66" spans="1:12">
      <c r="A66" s="11" t="s">
        <v>484</v>
      </c>
      <c r="B66" s="177" t="s">
        <v>1021</v>
      </c>
      <c r="C66" s="169">
        <v>1</v>
      </c>
      <c r="D66" s="169">
        <v>1</v>
      </c>
      <c r="E66" s="169">
        <v>1</v>
      </c>
      <c r="F66" s="169">
        <v>1</v>
      </c>
      <c r="G66" s="169">
        <v>1</v>
      </c>
      <c r="H66" s="169">
        <v>1</v>
      </c>
      <c r="I66" s="169">
        <v>1</v>
      </c>
      <c r="J66" s="164"/>
      <c r="K66" s="11" t="s">
        <v>953</v>
      </c>
      <c r="L66" s="11" t="s">
        <v>1055</v>
      </c>
    </row>
    <row r="67" spans="1:12">
      <c r="A67" s="11" t="s">
        <v>486</v>
      </c>
      <c r="B67" s="110" t="s">
        <v>1022</v>
      </c>
      <c r="C67" s="169">
        <v>5</v>
      </c>
      <c r="D67" s="169">
        <v>5</v>
      </c>
      <c r="E67" s="169">
        <v>5</v>
      </c>
      <c r="F67" s="169">
        <v>5</v>
      </c>
      <c r="G67" s="169">
        <v>5</v>
      </c>
      <c r="H67" s="169">
        <v>5</v>
      </c>
      <c r="I67" s="169">
        <v>5</v>
      </c>
      <c r="J67" s="173">
        <v>111</v>
      </c>
      <c r="K67" s="11" t="s">
        <v>1059</v>
      </c>
      <c r="L67" s="11" t="s">
        <v>1058</v>
      </c>
    </row>
    <row r="68" spans="1:12">
      <c r="A68" s="11" t="s">
        <v>485</v>
      </c>
      <c r="B68" s="110" t="s">
        <v>1023</v>
      </c>
      <c r="C68" s="169">
        <v>9</v>
      </c>
      <c r="D68" s="169">
        <v>9</v>
      </c>
      <c r="E68" s="169">
        <v>9</v>
      </c>
      <c r="F68" s="169">
        <v>9</v>
      </c>
      <c r="G68" s="169">
        <v>9</v>
      </c>
      <c r="H68" s="169">
        <v>9</v>
      </c>
      <c r="I68" s="169">
        <v>9</v>
      </c>
      <c r="J68" s="173">
        <v>111</v>
      </c>
      <c r="K68" s="11" t="s">
        <v>1059</v>
      </c>
      <c r="L68" s="11" t="s">
        <v>1058</v>
      </c>
    </row>
    <row r="69" spans="1:12">
      <c r="A69" s="11" t="s">
        <v>487</v>
      </c>
      <c r="B69" s="110" t="s">
        <v>1024</v>
      </c>
      <c r="C69" s="176">
        <v>5</v>
      </c>
      <c r="D69" s="176">
        <v>5</v>
      </c>
      <c r="E69" s="176">
        <v>5</v>
      </c>
      <c r="F69" s="176">
        <v>5</v>
      </c>
      <c r="G69" s="176">
        <v>5</v>
      </c>
      <c r="H69" s="176">
        <v>5</v>
      </c>
      <c r="I69" s="176">
        <v>5</v>
      </c>
      <c r="J69" s="173">
        <v>117</v>
      </c>
      <c r="K69" s="11" t="s">
        <v>1059</v>
      </c>
      <c r="L69" s="11" t="s">
        <v>1058</v>
      </c>
    </row>
    <row r="70" spans="1:12">
      <c r="A70" s="11" t="s">
        <v>488</v>
      </c>
      <c r="B70" s="110" t="s">
        <v>1025</v>
      </c>
      <c r="C70" s="169">
        <v>5</v>
      </c>
      <c r="D70" s="169">
        <v>5</v>
      </c>
      <c r="E70" s="169">
        <v>5</v>
      </c>
      <c r="F70" s="169">
        <v>5</v>
      </c>
      <c r="G70" s="169">
        <v>5</v>
      </c>
      <c r="H70" s="169">
        <v>5</v>
      </c>
      <c r="I70" s="169">
        <v>5</v>
      </c>
      <c r="J70" s="164"/>
      <c r="K70" s="11" t="s">
        <v>953</v>
      </c>
      <c r="L70" s="11" t="s">
        <v>1055</v>
      </c>
    </row>
    <row r="71" spans="1:12">
      <c r="A71" s="11" t="s">
        <v>489</v>
      </c>
      <c r="B71" s="170" t="s">
        <v>1026</v>
      </c>
      <c r="C71" s="169">
        <v>9</v>
      </c>
      <c r="D71" s="169">
        <v>9</v>
      </c>
      <c r="E71" s="169">
        <v>9</v>
      </c>
      <c r="F71" s="169">
        <v>9</v>
      </c>
      <c r="G71" s="169">
        <v>9</v>
      </c>
      <c r="H71" s="169">
        <v>9</v>
      </c>
      <c r="I71" s="169">
        <v>9</v>
      </c>
      <c r="J71" s="164"/>
      <c r="K71" s="11" t="s">
        <v>953</v>
      </c>
      <c r="L71" s="11" t="s">
        <v>1055</v>
      </c>
    </row>
    <row r="72" spans="1:12">
      <c r="A72" s="11" t="s">
        <v>490</v>
      </c>
      <c r="B72" s="170" t="s">
        <v>1027</v>
      </c>
      <c r="C72" s="178">
        <v>5</v>
      </c>
      <c r="D72" s="178">
        <v>5</v>
      </c>
      <c r="E72" s="178">
        <v>5</v>
      </c>
      <c r="F72" s="178">
        <v>5</v>
      </c>
      <c r="G72" s="178">
        <v>5</v>
      </c>
      <c r="H72" s="178">
        <v>5</v>
      </c>
      <c r="I72" s="178">
        <v>5</v>
      </c>
      <c r="J72" s="179"/>
      <c r="K72" s="11" t="s">
        <v>953</v>
      </c>
      <c r="L72" s="11" t="s">
        <v>1055</v>
      </c>
    </row>
    <row r="73" spans="1:12">
      <c r="A73" s="11" t="s">
        <v>491</v>
      </c>
      <c r="B73" s="180" t="s">
        <v>1028</v>
      </c>
      <c r="C73" s="176"/>
      <c r="D73" s="176"/>
      <c r="E73" s="176"/>
      <c r="F73" s="176"/>
      <c r="G73" s="176"/>
      <c r="H73" s="176"/>
      <c r="I73" s="176"/>
      <c r="J73" s="173">
        <v>5250</v>
      </c>
      <c r="K73" s="11" t="s">
        <v>1056</v>
      </c>
      <c r="L73" s="11" t="s">
        <v>1058</v>
      </c>
    </row>
    <row r="74" spans="1:12">
      <c r="A74" s="11" t="s">
        <v>492</v>
      </c>
      <c r="B74" s="180" t="s">
        <v>1029</v>
      </c>
      <c r="C74" s="176"/>
      <c r="D74" s="176"/>
      <c r="E74" s="176"/>
      <c r="F74" s="176"/>
      <c r="G74" s="176"/>
      <c r="H74" s="176"/>
      <c r="I74" s="176"/>
      <c r="J74" s="173">
        <v>5250</v>
      </c>
      <c r="K74" s="11" t="s">
        <v>1056</v>
      </c>
      <c r="L74" s="11" t="s">
        <v>1058</v>
      </c>
    </row>
    <row r="75" spans="1:12">
      <c r="A75" s="11" t="s">
        <v>409</v>
      </c>
      <c r="B75" s="11" t="s">
        <v>1030</v>
      </c>
      <c r="C75" s="172"/>
      <c r="D75" s="172"/>
      <c r="E75" s="172"/>
      <c r="F75" s="172"/>
      <c r="G75" s="172"/>
      <c r="H75" s="172"/>
      <c r="I75" s="172"/>
      <c r="J75" s="181">
        <v>24</v>
      </c>
      <c r="K75" s="11" t="s">
        <v>956</v>
      </c>
      <c r="L75" s="11" t="s">
        <v>1058</v>
      </c>
    </row>
    <row r="76" spans="1:12">
      <c r="A76" s="11" t="s">
        <v>411</v>
      </c>
      <c r="B76" s="11" t="s">
        <v>1031</v>
      </c>
      <c r="C76" s="172"/>
      <c r="D76" s="172"/>
      <c r="E76" s="172"/>
      <c r="F76" s="172"/>
      <c r="G76" s="172"/>
      <c r="H76" s="172"/>
      <c r="I76" s="172"/>
      <c r="J76" s="181">
        <v>24</v>
      </c>
      <c r="K76" s="11" t="s">
        <v>956</v>
      </c>
      <c r="L76" s="11" t="s">
        <v>1058</v>
      </c>
    </row>
    <row r="77" spans="1:12">
      <c r="A77" s="11" t="s">
        <v>410</v>
      </c>
      <c r="B77" s="11" t="s">
        <v>1032</v>
      </c>
      <c r="C77" s="172"/>
      <c r="D77" s="172"/>
      <c r="E77" s="172"/>
      <c r="F77" s="172"/>
      <c r="G77" s="172"/>
      <c r="H77" s="172"/>
      <c r="I77" s="172"/>
      <c r="J77" s="181">
        <v>24</v>
      </c>
      <c r="K77" s="11" t="s">
        <v>956</v>
      </c>
      <c r="L77" s="11" t="s">
        <v>1058</v>
      </c>
    </row>
    <row r="78" spans="1:12">
      <c r="A78" s="11" t="s">
        <v>493</v>
      </c>
      <c r="B78" s="110" t="s">
        <v>1033</v>
      </c>
      <c r="C78" s="169">
        <v>1.5</v>
      </c>
      <c r="D78" s="169">
        <v>1.5</v>
      </c>
      <c r="E78" s="169">
        <v>1.5</v>
      </c>
      <c r="F78" s="169">
        <v>1.5</v>
      </c>
      <c r="G78" s="169">
        <v>1.5</v>
      </c>
      <c r="H78" s="169">
        <v>1.5</v>
      </c>
      <c r="I78" s="169">
        <v>1.5</v>
      </c>
      <c r="J78" s="164"/>
      <c r="K78" s="11" t="s">
        <v>953</v>
      </c>
      <c r="L78" s="11" t="s">
        <v>1055</v>
      </c>
    </row>
    <row r="79" spans="1:12">
      <c r="A79" s="11" t="s">
        <v>494</v>
      </c>
      <c r="B79" s="110" t="s">
        <v>1034</v>
      </c>
      <c r="C79" s="171">
        <v>64</v>
      </c>
      <c r="D79" s="171">
        <v>64</v>
      </c>
      <c r="E79" s="171">
        <v>64</v>
      </c>
      <c r="F79" s="171">
        <v>64</v>
      </c>
      <c r="G79" s="171">
        <v>64</v>
      </c>
      <c r="H79" s="171">
        <v>64</v>
      </c>
      <c r="I79" s="171">
        <v>64</v>
      </c>
      <c r="J79" s="164"/>
      <c r="K79" s="11" t="s">
        <v>956</v>
      </c>
      <c r="L79" s="11" t="s">
        <v>1058</v>
      </c>
    </row>
    <row r="80" spans="1:12">
      <c r="A80" s="11" t="s">
        <v>495</v>
      </c>
      <c r="B80" s="110" t="s">
        <v>1035</v>
      </c>
      <c r="C80" s="171">
        <v>42</v>
      </c>
      <c r="D80" s="171">
        <v>42</v>
      </c>
      <c r="E80" s="171">
        <v>42</v>
      </c>
      <c r="F80" s="171">
        <v>42</v>
      </c>
      <c r="G80" s="171">
        <v>42</v>
      </c>
      <c r="H80" s="171">
        <v>42</v>
      </c>
      <c r="I80" s="171">
        <v>42</v>
      </c>
      <c r="J80" s="164"/>
      <c r="K80" s="11" t="s">
        <v>956</v>
      </c>
      <c r="L80" s="11" t="s">
        <v>1058</v>
      </c>
    </row>
    <row r="81" spans="1:12">
      <c r="A81" s="11" t="s">
        <v>498</v>
      </c>
      <c r="B81" s="180" t="s">
        <v>1036</v>
      </c>
      <c r="C81" s="169">
        <v>25.717391304347828</v>
      </c>
      <c r="D81" s="169">
        <v>25.717391304347828</v>
      </c>
      <c r="E81" s="169">
        <v>25.7173913043478</v>
      </c>
      <c r="F81" s="169">
        <v>25.7173913043478</v>
      </c>
      <c r="G81" s="169">
        <v>25.7173913043478</v>
      </c>
      <c r="H81" s="169">
        <v>25.7173913043478</v>
      </c>
      <c r="I81" s="169">
        <v>25.7173913043478</v>
      </c>
      <c r="J81" s="173">
        <v>333</v>
      </c>
      <c r="K81" s="11" t="s">
        <v>1059</v>
      </c>
      <c r="L81" s="11" t="s">
        <v>1058</v>
      </c>
    </row>
    <row r="82" spans="1:12">
      <c r="A82" s="11" t="s">
        <v>496</v>
      </c>
      <c r="B82" s="180" t="s">
        <v>1037</v>
      </c>
      <c r="C82" s="176">
        <v>65.75</v>
      </c>
      <c r="D82" s="176">
        <v>65.75</v>
      </c>
      <c r="E82" s="176">
        <v>65.75</v>
      </c>
      <c r="F82" s="176">
        <v>65.75</v>
      </c>
      <c r="G82" s="176">
        <v>65.75</v>
      </c>
      <c r="H82" s="176">
        <v>65.75</v>
      </c>
      <c r="I82" s="176">
        <v>65.75</v>
      </c>
      <c r="J82" s="173">
        <v>333</v>
      </c>
      <c r="K82" s="11" t="s">
        <v>1059</v>
      </c>
      <c r="L82" s="11" t="s">
        <v>1058</v>
      </c>
    </row>
    <row r="83" spans="1:12">
      <c r="A83" s="11" t="s">
        <v>497</v>
      </c>
      <c r="B83" s="180" t="s">
        <v>1038</v>
      </c>
      <c r="C83" s="176">
        <v>32.5</v>
      </c>
      <c r="D83" s="176">
        <v>32.5</v>
      </c>
      <c r="E83" s="176">
        <v>32.5</v>
      </c>
      <c r="F83" s="176">
        <v>32.5</v>
      </c>
      <c r="G83" s="176">
        <v>32.5</v>
      </c>
      <c r="H83" s="176">
        <v>32.5</v>
      </c>
      <c r="I83" s="176">
        <v>32.5</v>
      </c>
      <c r="J83" s="173">
        <v>333</v>
      </c>
      <c r="K83" s="11" t="s">
        <v>1059</v>
      </c>
      <c r="L83" s="11" t="s">
        <v>1058</v>
      </c>
    </row>
    <row r="84" spans="1:12">
      <c r="A84" s="11" t="s">
        <v>16</v>
      </c>
      <c r="B84" s="182" t="s">
        <v>1039</v>
      </c>
      <c r="C84" s="172"/>
      <c r="D84" s="172"/>
      <c r="E84" s="172"/>
      <c r="F84" s="172"/>
      <c r="G84" s="172"/>
      <c r="H84" s="172"/>
      <c r="I84" s="172"/>
      <c r="J84" s="181">
        <v>222</v>
      </c>
      <c r="K84" s="11" t="s">
        <v>956</v>
      </c>
      <c r="L84" s="11" t="s">
        <v>1058</v>
      </c>
    </row>
    <row r="85" spans="1:12">
      <c r="A85" s="11" t="s">
        <v>19</v>
      </c>
      <c r="B85" s="182" t="s">
        <v>1040</v>
      </c>
      <c r="C85" s="172"/>
      <c r="D85" s="172"/>
      <c r="E85" s="172"/>
      <c r="F85" s="172"/>
      <c r="G85" s="172"/>
      <c r="H85" s="172"/>
      <c r="I85" s="172"/>
      <c r="J85" s="181">
        <v>461</v>
      </c>
      <c r="K85" s="11" t="s">
        <v>956</v>
      </c>
      <c r="L85" s="11" t="s">
        <v>1058</v>
      </c>
    </row>
    <row r="86" spans="1:12">
      <c r="A86" s="11" t="s">
        <v>18</v>
      </c>
      <c r="B86" s="182" t="s">
        <v>1041</v>
      </c>
      <c r="C86" s="172"/>
      <c r="D86" s="172"/>
      <c r="E86" s="172"/>
      <c r="F86" s="172"/>
      <c r="G86" s="172"/>
      <c r="H86" s="172"/>
      <c r="I86" s="172"/>
      <c r="J86" s="181">
        <v>461</v>
      </c>
      <c r="K86" s="11" t="s">
        <v>956</v>
      </c>
      <c r="L86" s="11" t="s">
        <v>1058</v>
      </c>
    </row>
    <row r="87" spans="1:12">
      <c r="A87" s="11" t="s">
        <v>499</v>
      </c>
      <c r="B87" s="170" t="s">
        <v>1042</v>
      </c>
      <c r="C87" s="169">
        <v>1</v>
      </c>
      <c r="D87" s="169">
        <v>1</v>
      </c>
      <c r="E87" s="169">
        <v>1</v>
      </c>
      <c r="F87" s="169">
        <v>1</v>
      </c>
      <c r="G87" s="169">
        <v>1</v>
      </c>
      <c r="H87" s="169">
        <v>1</v>
      </c>
      <c r="I87" s="169">
        <v>1</v>
      </c>
      <c r="J87" s="164"/>
      <c r="K87" s="11" t="s">
        <v>953</v>
      </c>
      <c r="L87" s="11" t="s">
        <v>1055</v>
      </c>
    </row>
    <row r="88" spans="1:12">
      <c r="A88" s="11" t="s">
        <v>500</v>
      </c>
      <c r="B88" s="170" t="s">
        <v>1043</v>
      </c>
      <c r="C88" s="169">
        <v>1</v>
      </c>
      <c r="D88" s="169">
        <v>1</v>
      </c>
      <c r="E88" s="169">
        <v>1</v>
      </c>
      <c r="F88" s="169">
        <v>1</v>
      </c>
      <c r="G88" s="169">
        <v>1</v>
      </c>
      <c r="H88" s="169">
        <v>1</v>
      </c>
      <c r="I88" s="169">
        <v>1</v>
      </c>
      <c r="J88" s="164"/>
      <c r="K88" s="11" t="s">
        <v>953</v>
      </c>
      <c r="L88" s="11" t="s">
        <v>1055</v>
      </c>
    </row>
    <row r="89" spans="1:12">
      <c r="A89" s="11" t="s">
        <v>833</v>
      </c>
      <c r="B89" s="110" t="s">
        <v>1044</v>
      </c>
      <c r="C89" s="172">
        <v>1</v>
      </c>
      <c r="D89" s="172">
        <v>1</v>
      </c>
      <c r="E89" s="172">
        <v>1</v>
      </c>
      <c r="F89" s="172">
        <v>1</v>
      </c>
      <c r="G89" s="172">
        <v>1</v>
      </c>
      <c r="H89" s="172">
        <v>1</v>
      </c>
      <c r="I89" s="172">
        <v>1</v>
      </c>
      <c r="J89" s="164"/>
      <c r="K89" s="11" t="s">
        <v>953</v>
      </c>
      <c r="L89" s="11" t="s">
        <v>1055</v>
      </c>
    </row>
    <row r="90" spans="1:12">
      <c r="A90" s="11" t="s">
        <v>834</v>
      </c>
      <c r="B90" s="110" t="s">
        <v>1045</v>
      </c>
      <c r="C90" s="172">
        <v>1.5</v>
      </c>
      <c r="D90" s="172">
        <v>1.5</v>
      </c>
      <c r="E90" s="172">
        <v>1.5</v>
      </c>
      <c r="F90" s="172">
        <v>1.5</v>
      </c>
      <c r="G90" s="172">
        <v>1.5</v>
      </c>
      <c r="H90" s="172">
        <v>1.5</v>
      </c>
      <c r="I90" s="172">
        <v>1.5</v>
      </c>
      <c r="J90" s="164"/>
      <c r="K90" s="11" t="s">
        <v>953</v>
      </c>
      <c r="L90" s="11" t="s">
        <v>1055</v>
      </c>
    </row>
    <row r="91" spans="1:12">
      <c r="A91" s="11" t="s">
        <v>835</v>
      </c>
      <c r="B91" s="170" t="s">
        <v>1046</v>
      </c>
      <c r="C91" s="172">
        <v>0.5</v>
      </c>
      <c r="D91" s="172">
        <v>0.5</v>
      </c>
      <c r="E91" s="172">
        <v>0.5</v>
      </c>
      <c r="F91" s="172">
        <v>0.5</v>
      </c>
      <c r="G91" s="172">
        <v>0.5</v>
      </c>
      <c r="H91" s="172">
        <v>0.5</v>
      </c>
      <c r="I91" s="172">
        <v>0.5</v>
      </c>
      <c r="J91" s="183"/>
      <c r="K91" s="11" t="s">
        <v>953</v>
      </c>
      <c r="L91" s="11" t="s">
        <v>1055</v>
      </c>
    </row>
    <row r="92" spans="1:12">
      <c r="A92" s="11" t="s">
        <v>836</v>
      </c>
      <c r="B92" s="110" t="s">
        <v>1047</v>
      </c>
      <c r="C92" s="172">
        <v>12</v>
      </c>
      <c r="D92" s="172">
        <v>12</v>
      </c>
      <c r="E92" s="172">
        <v>12</v>
      </c>
      <c r="F92" s="172">
        <v>12</v>
      </c>
      <c r="G92" s="172">
        <v>12</v>
      </c>
      <c r="H92" s="172">
        <v>12</v>
      </c>
      <c r="I92" s="172">
        <v>12</v>
      </c>
      <c r="J92" s="173">
        <v>4015</v>
      </c>
      <c r="K92" s="11" t="s">
        <v>1060</v>
      </c>
      <c r="L92" s="11" t="s">
        <v>892</v>
      </c>
    </row>
    <row r="93" spans="1:12">
      <c r="A93" s="11" t="s">
        <v>837</v>
      </c>
      <c r="B93" s="170" t="s">
        <v>1048</v>
      </c>
      <c r="C93" s="172">
        <v>0.5</v>
      </c>
      <c r="D93" s="172">
        <v>0.5</v>
      </c>
      <c r="E93" s="172">
        <v>0.5</v>
      </c>
      <c r="F93" s="172">
        <v>0.5</v>
      </c>
      <c r="G93" s="172">
        <v>0.5</v>
      </c>
      <c r="H93" s="172">
        <v>0.5</v>
      </c>
      <c r="I93" s="172">
        <v>0.5</v>
      </c>
      <c r="J93" s="164"/>
      <c r="K93" s="11" t="s">
        <v>953</v>
      </c>
      <c r="L93" s="11" t="s">
        <v>1055</v>
      </c>
    </row>
    <row r="94" spans="1:12">
      <c r="A94" s="11" t="s">
        <v>838</v>
      </c>
      <c r="B94" s="170" t="s">
        <v>1049</v>
      </c>
      <c r="C94" s="172">
        <v>0.5</v>
      </c>
      <c r="D94" s="172">
        <v>0.5</v>
      </c>
      <c r="E94" s="172">
        <v>0.5</v>
      </c>
      <c r="F94" s="172">
        <v>0.5</v>
      </c>
      <c r="G94" s="172">
        <v>0.5</v>
      </c>
      <c r="H94" s="172">
        <v>0.5</v>
      </c>
      <c r="I94" s="172">
        <v>0.5</v>
      </c>
      <c r="J94" s="164"/>
      <c r="K94" s="11" t="s">
        <v>953</v>
      </c>
      <c r="L94" s="11" t="s">
        <v>1055</v>
      </c>
    </row>
    <row r="95" spans="1:12">
      <c r="A95" s="11" t="s">
        <v>839</v>
      </c>
      <c r="B95" s="170" t="s">
        <v>1050</v>
      </c>
      <c r="C95" s="11">
        <v>0.25</v>
      </c>
      <c r="D95" s="11">
        <v>0.25</v>
      </c>
      <c r="E95" s="11">
        <v>0.25</v>
      </c>
      <c r="F95" s="11">
        <v>0.25</v>
      </c>
      <c r="G95" s="11">
        <v>0.25</v>
      </c>
      <c r="H95" s="11">
        <v>0.25</v>
      </c>
      <c r="I95" s="11">
        <v>0.25</v>
      </c>
      <c r="J95" s="164"/>
      <c r="K95" s="11" t="s">
        <v>953</v>
      </c>
      <c r="L95" s="11" t="s">
        <v>1055</v>
      </c>
    </row>
    <row r="96" spans="1:12">
      <c r="A96" s="11" t="s">
        <v>840</v>
      </c>
      <c r="B96" s="170" t="s">
        <v>1051</v>
      </c>
      <c r="C96" s="172">
        <v>1</v>
      </c>
      <c r="D96" s="172">
        <v>1</v>
      </c>
      <c r="E96" s="172">
        <v>1</v>
      </c>
      <c r="F96" s="172">
        <v>1</v>
      </c>
      <c r="G96" s="172">
        <v>1</v>
      </c>
      <c r="H96" s="172">
        <v>1</v>
      </c>
      <c r="I96" s="172">
        <v>1</v>
      </c>
      <c r="J96" s="164"/>
      <c r="K96" s="11" t="s">
        <v>953</v>
      </c>
      <c r="L96" s="11" t="s">
        <v>1055</v>
      </c>
    </row>
    <row r="97" spans="1:12">
      <c r="A97" s="11" t="s">
        <v>480</v>
      </c>
      <c r="B97" s="170" t="s">
        <v>1052</v>
      </c>
      <c r="C97" s="169">
        <v>0.5</v>
      </c>
      <c r="D97" s="169">
        <v>0.5</v>
      </c>
      <c r="E97" s="169">
        <v>0.5</v>
      </c>
      <c r="F97" s="169">
        <v>0.5</v>
      </c>
      <c r="G97" s="169">
        <v>0.5</v>
      </c>
      <c r="H97" s="169">
        <v>0.5</v>
      </c>
      <c r="I97" s="169">
        <v>0.5</v>
      </c>
      <c r="J97" s="164"/>
      <c r="K97" s="11" t="s">
        <v>953</v>
      </c>
      <c r="L97" s="11" t="s">
        <v>1055</v>
      </c>
    </row>
    <row r="98" spans="1:12">
      <c r="A98" s="11" t="s">
        <v>842</v>
      </c>
      <c r="B98" s="170" t="s">
        <v>1053</v>
      </c>
      <c r="C98" s="172">
        <v>0.5</v>
      </c>
      <c r="D98" s="172">
        <v>0.5</v>
      </c>
      <c r="E98" s="172">
        <v>0.5</v>
      </c>
      <c r="F98" s="172">
        <v>0.5</v>
      </c>
      <c r="G98" s="172">
        <v>0.5</v>
      </c>
      <c r="H98" s="172">
        <v>0.5</v>
      </c>
      <c r="I98" s="172">
        <v>0.5</v>
      </c>
      <c r="J98" s="164"/>
      <c r="K98" s="11" t="s">
        <v>953</v>
      </c>
      <c r="L98" s="11" t="s">
        <v>1055</v>
      </c>
    </row>
    <row r="99" spans="1:12">
      <c r="A99" s="11" t="s">
        <v>850</v>
      </c>
      <c r="B99" s="110" t="s">
        <v>1054</v>
      </c>
      <c r="C99" s="169">
        <v>1</v>
      </c>
      <c r="D99" s="169">
        <v>1</v>
      </c>
      <c r="E99" s="169">
        <v>1</v>
      </c>
      <c r="F99" s="169">
        <v>1</v>
      </c>
      <c r="G99" s="169">
        <v>1</v>
      </c>
      <c r="H99" s="169">
        <v>1</v>
      </c>
      <c r="I99" s="169">
        <v>1</v>
      </c>
      <c r="J99" s="164"/>
      <c r="K99" s="11" t="s">
        <v>953</v>
      </c>
      <c r="L99" s="11" t="s">
        <v>1055</v>
      </c>
    </row>
  </sheetData>
  <sheetProtection sheet="1" objects="1" scenarios="1"/>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0"/>
  <sheetViews>
    <sheetView topLeftCell="C1" workbookViewId="0">
      <selection activeCell="C1" sqref="C1"/>
    </sheetView>
  </sheetViews>
  <sheetFormatPr defaultColWidth="9.140625" defaultRowHeight="15.75" outlineLevelCol="1"/>
  <cols>
    <col min="1" max="1" width="52.85546875" style="52" hidden="1" customWidth="1" outlineLevel="1"/>
    <col min="2" max="2" width="9.140625" style="52" hidden="1" customWidth="1" outlineLevel="1"/>
    <col min="3" max="3" width="48.140625" style="52" customWidth="1" collapsed="1"/>
    <col min="4" max="4" width="15.42578125" style="52" bestFit="1" customWidth="1"/>
    <col min="5" max="5" width="50" style="52" bestFit="1" customWidth="1"/>
    <col min="6" max="16384" width="9.140625" style="52"/>
  </cols>
  <sheetData>
    <row r="1" spans="1:7" ht="16.5" thickBot="1">
      <c r="A1" s="127" t="s">
        <v>763</v>
      </c>
      <c r="B1" s="127" t="s">
        <v>889</v>
      </c>
      <c r="C1" s="41"/>
      <c r="D1" s="133" t="str">
        <f>Years!A4</f>
        <v>Base Year</v>
      </c>
      <c r="E1" s="89"/>
    </row>
    <row r="2" spans="1:7">
      <c r="A2" s="52" t="s">
        <v>923</v>
      </c>
      <c r="B2" s="52">
        <f ca="1">MATCH(D2,INDIRECT(A1&amp;B1),0)</f>
        <v>12</v>
      </c>
      <c r="C2" s="11"/>
      <c r="D2" s="89" t="str">
        <f>Years!A7</f>
        <v>2024-25</v>
      </c>
      <c r="E2" s="89"/>
    </row>
    <row r="3" spans="1:7">
      <c r="C3" s="17" t="s">
        <v>218</v>
      </c>
      <c r="D3" s="80"/>
      <c r="E3" s="11"/>
    </row>
    <row r="4" spans="1:7">
      <c r="A4" s="52" t="s">
        <v>765</v>
      </c>
      <c r="C4" s="10" t="s">
        <v>219</v>
      </c>
      <c r="D4" s="45">
        <f ca="1">VLOOKUP(A4, INDIRECT($A$1 &amp; $A$2), $B$2, 0)</f>
        <v>958485219</v>
      </c>
      <c r="E4" s="10" t="s">
        <v>232</v>
      </c>
      <c r="F4" s="44"/>
      <c r="G4" s="44"/>
    </row>
    <row r="5" spans="1:7">
      <c r="A5" s="52" t="s">
        <v>764</v>
      </c>
      <c r="C5" s="10" t="s">
        <v>220</v>
      </c>
      <c r="D5" s="45">
        <f ca="1">VLOOKUP(A5, INDIRECT($A$1 &amp; $A$2), $B$2, 0)</f>
        <v>199635727</v>
      </c>
      <c r="E5" s="10" t="s">
        <v>233</v>
      </c>
      <c r="F5" s="44"/>
      <c r="G5" s="44"/>
    </row>
    <row r="6" spans="1:7">
      <c r="C6" s="17" t="s">
        <v>221</v>
      </c>
      <c r="D6" s="80"/>
      <c r="E6" s="80"/>
      <c r="F6" s="128"/>
    </row>
    <row r="7" spans="1:7">
      <c r="A7" s="52" t="s">
        <v>766</v>
      </c>
      <c r="C7" s="11" t="s">
        <v>222</v>
      </c>
      <c r="D7" s="45">
        <f ca="1">VLOOKUP(A7, INDIRECT($A$1 &amp; $A$2), $B$2, 0)</f>
        <v>2486370672</v>
      </c>
      <c r="E7" s="130" t="s">
        <v>234</v>
      </c>
      <c r="F7" s="44"/>
      <c r="G7" s="44"/>
    </row>
    <row r="8" spans="1:7">
      <c r="A8" s="52" t="s">
        <v>767</v>
      </c>
      <c r="C8" s="11" t="s">
        <v>223</v>
      </c>
      <c r="D8" s="45">
        <f ca="1">VLOOKUP(A8, INDIRECT($A$1 &amp; $A$2), $B$2, 0)</f>
        <v>170678852</v>
      </c>
      <c r="E8" s="130" t="s">
        <v>234</v>
      </c>
      <c r="F8" s="44"/>
      <c r="G8" s="44"/>
    </row>
    <row r="9" spans="1:7">
      <c r="C9" s="17" t="s">
        <v>224</v>
      </c>
      <c r="D9" s="45"/>
      <c r="E9" s="45"/>
    </row>
    <row r="10" spans="1:7">
      <c r="C10" s="11" t="s">
        <v>219</v>
      </c>
      <c r="D10" s="130">
        <f ca="1">+D4+D7</f>
        <v>3444855891</v>
      </c>
      <c r="E10" s="45" t="s">
        <v>768</v>
      </c>
    </row>
    <row r="11" spans="1:7">
      <c r="C11" s="10" t="s">
        <v>220</v>
      </c>
      <c r="D11" s="130">
        <f ca="1">+D5+D8</f>
        <v>370314579</v>
      </c>
      <c r="E11" s="45" t="s">
        <v>768</v>
      </c>
    </row>
    <row r="12" spans="1:7">
      <c r="A12" s="52" t="s">
        <v>225</v>
      </c>
      <c r="C12" s="17" t="s">
        <v>225</v>
      </c>
      <c r="D12" s="45">
        <f ca="1">VLOOKUP(A12, INDIRECT($A$1 &amp; $A$2), $B$2, 0)</f>
        <v>11136730</v>
      </c>
      <c r="E12" s="45"/>
    </row>
    <row r="13" spans="1:7">
      <c r="C13" s="10"/>
      <c r="D13" s="11"/>
      <c r="E13" s="11"/>
    </row>
    <row r="14" spans="1:7">
      <c r="C14" s="131" t="s">
        <v>227</v>
      </c>
      <c r="D14" s="58"/>
      <c r="E14" s="11"/>
    </row>
    <row r="15" spans="1:7">
      <c r="C15" s="17" t="s">
        <v>228</v>
      </c>
      <c r="D15" s="11"/>
      <c r="E15" s="11"/>
    </row>
    <row r="16" spans="1:7">
      <c r="A16" s="52" t="s">
        <v>769</v>
      </c>
      <c r="C16" s="11" t="s">
        <v>725</v>
      </c>
      <c r="D16" s="45">
        <f ca="1">VLOOKUP(A16, INDIRECT($A$1 &amp; $A$2), $B$2, 0)</f>
        <v>10313797</v>
      </c>
      <c r="E16" s="45"/>
    </row>
    <row r="17" spans="1:5">
      <c r="A17" s="52" t="s">
        <v>770</v>
      </c>
      <c r="C17" s="11" t="s">
        <v>726</v>
      </c>
      <c r="D17" s="45">
        <f ca="1">VLOOKUP(A17, INDIRECT($A$1 &amp; $A$2), $B$2, 0)</f>
        <v>6595699</v>
      </c>
      <c r="E17" s="11"/>
    </row>
    <row r="18" spans="1:5">
      <c r="C18" s="17" t="s">
        <v>229</v>
      </c>
      <c r="D18" s="45"/>
      <c r="E18" s="11"/>
    </row>
    <row r="19" spans="1:5">
      <c r="A19" s="52" t="s">
        <v>772</v>
      </c>
      <c r="C19" s="11" t="s">
        <v>723</v>
      </c>
      <c r="D19" s="45">
        <f ca="1">VLOOKUP(A19, INDIRECT($A$1 &amp; $A$2), $B$2, 0)</f>
        <v>24768497</v>
      </c>
      <c r="E19" s="11"/>
    </row>
    <row r="20" spans="1:5">
      <c r="A20" s="52" t="s">
        <v>771</v>
      </c>
      <c r="C20" s="11" t="s">
        <v>724</v>
      </c>
      <c r="D20" s="45">
        <f ca="1">VLOOKUP(A20, INDIRECT($A$1 &amp; $A$2), $B$2, 0)</f>
        <v>794311435</v>
      </c>
      <c r="E20" s="11"/>
    </row>
    <row r="21" spans="1:5">
      <c r="A21" s="129" t="s">
        <v>727</v>
      </c>
      <c r="C21" s="39" t="s">
        <v>727</v>
      </c>
      <c r="D21" s="45">
        <f ca="1">VLOOKUP(A21, INDIRECT($A$1 &amp; $A$2), $B$2, 0)</f>
        <v>7637075</v>
      </c>
      <c r="E21" s="11"/>
    </row>
    <row r="22" spans="1:5">
      <c r="A22" s="129" t="s">
        <v>731</v>
      </c>
      <c r="C22" s="39" t="s">
        <v>731</v>
      </c>
      <c r="D22" s="45">
        <f ca="1">VLOOKUP(A22, INDIRECT($A$1 &amp; $A$2), $B$2, 0)</f>
        <v>24435287</v>
      </c>
      <c r="E22" s="11"/>
    </row>
    <row r="23" spans="1:5">
      <c r="C23" s="11" t="s">
        <v>230</v>
      </c>
      <c r="D23" s="45">
        <f ca="1">SUM(D16:D22)</f>
        <v>868061790</v>
      </c>
      <c r="E23" s="45" t="s">
        <v>768</v>
      </c>
    </row>
    <row r="24" spans="1:5">
      <c r="C24" s="11"/>
      <c r="D24" s="11"/>
      <c r="E24" s="11"/>
    </row>
    <row r="25" spans="1:5">
      <c r="C25" s="11"/>
      <c r="D25" s="58" t="str">
        <f>+Years!A7</f>
        <v>2024-25</v>
      </c>
      <c r="E25" s="11"/>
    </row>
    <row r="26" spans="1:5">
      <c r="C26" s="10" t="s">
        <v>231</v>
      </c>
      <c r="D26" s="45">
        <f>PayrollBenefits!D13</f>
        <v>3131402384.3699999</v>
      </c>
      <c r="E26" s="45" t="s">
        <v>950</v>
      </c>
    </row>
    <row r="27" spans="1:5">
      <c r="C27" s="10"/>
      <c r="D27" s="45"/>
      <c r="E27" s="11"/>
    </row>
    <row r="28" spans="1:5">
      <c r="C28" s="11"/>
      <c r="D28" s="45">
        <f>+D26*0.065</f>
        <v>203541154.98405001</v>
      </c>
      <c r="E28" s="45" t="s">
        <v>768</v>
      </c>
    </row>
    <row r="29" spans="1:5">
      <c r="C29" s="11"/>
      <c r="D29" s="45">
        <f>+D28*2</f>
        <v>407082309.96810001</v>
      </c>
      <c r="E29" s="45" t="s">
        <v>768</v>
      </c>
    </row>
    <row r="30" spans="1:5">
      <c r="D30" s="44"/>
    </row>
  </sheetData>
  <sheetProtection sheet="1" objects="1" scenarios="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9"/>
  <sheetViews>
    <sheetView workbookViewId="0"/>
  </sheetViews>
  <sheetFormatPr defaultColWidth="9.140625" defaultRowHeight="15.75"/>
  <cols>
    <col min="1" max="1" width="40.140625" style="11" bestFit="1" customWidth="1"/>
    <col min="2" max="8" width="15.7109375" style="11" customWidth="1"/>
    <col min="9" max="16384" width="9.140625" style="11"/>
  </cols>
  <sheetData>
    <row r="1" spans="1:8">
      <c r="B1" s="151" t="str">
        <f>Years!A4</f>
        <v>Base Year</v>
      </c>
      <c r="C1" s="151" t="str">
        <f>Years!B4</f>
        <v>Base+1</v>
      </c>
      <c r="D1" s="151" t="str">
        <f>Years!C4</f>
        <v>Base+2</v>
      </c>
      <c r="E1" s="151" t="str">
        <f>Years!D4</f>
        <v>Base+3</v>
      </c>
      <c r="F1" s="151" t="str">
        <f>Years!E4</f>
        <v>Base+4</v>
      </c>
      <c r="G1" s="151" t="str">
        <f>Years!F4</f>
        <v>Base+5</v>
      </c>
      <c r="H1" s="151" t="str">
        <f>Years!G4</f>
        <v>Base+6</v>
      </c>
    </row>
    <row r="2" spans="1:8" ht="16.5" thickBot="1">
      <c r="A2" s="225" t="s">
        <v>221</v>
      </c>
      <c r="B2" s="152" t="str">
        <f>Years!A7</f>
        <v>2024-25</v>
      </c>
      <c r="C2" s="152" t="str">
        <f>Years!B7</f>
        <v>2025-26</v>
      </c>
      <c r="D2" s="152" t="str">
        <f>Years!C7</f>
        <v>2026-27</v>
      </c>
      <c r="E2" s="152" t="str">
        <f>Years!D7</f>
        <v>2027-28</v>
      </c>
      <c r="F2" s="152" t="str">
        <f>Years!E7</f>
        <v>2028-29</v>
      </c>
      <c r="G2" s="152" t="str">
        <f>Years!F7</f>
        <v>2029-30</v>
      </c>
      <c r="H2" s="152" t="str">
        <f>Years!G7</f>
        <v>2030-31</v>
      </c>
    </row>
    <row r="3" spans="1:8">
      <c r="A3" s="226" t="s">
        <v>222</v>
      </c>
      <c r="B3" s="227">
        <f ca="1">LocalAndFedRevenues!D7</f>
        <v>2486370672</v>
      </c>
      <c r="C3" s="227">
        <v>2587618807</v>
      </c>
      <c r="D3" s="227">
        <v>2685337642</v>
      </c>
      <c r="E3" s="227">
        <v>2788713295</v>
      </c>
      <c r="F3" s="227">
        <v>2893109855</v>
      </c>
      <c r="G3" s="227">
        <f ca="1">F3*(1+G6)</f>
        <v>3004796172.703433</v>
      </c>
      <c r="H3" s="227">
        <f ca="1">G3*(1+H6)</f>
        <v>3119203759.0597878</v>
      </c>
    </row>
    <row r="4" spans="1:8" ht="16.5" thickBot="1">
      <c r="A4" s="228" t="s">
        <v>223</v>
      </c>
      <c r="B4" s="229">
        <f ca="1">LocalAndFedRevenues!D8</f>
        <v>170678852</v>
      </c>
      <c r="C4" s="229">
        <v>160644112</v>
      </c>
      <c r="D4" s="229">
        <v>180308152</v>
      </c>
      <c r="E4" s="229">
        <v>186102022</v>
      </c>
      <c r="F4" s="229">
        <v>193159013</v>
      </c>
      <c r="G4" s="229">
        <f ca="1">F4*(1+G7)</f>
        <v>199613785.32654256</v>
      </c>
      <c r="H4" s="229">
        <f ca="1">G4*(1+H7)</f>
        <v>210885852.36456439</v>
      </c>
    </row>
    <row r="5" spans="1:8" ht="16.5" thickTop="1">
      <c r="A5" s="230" t="s">
        <v>675</v>
      </c>
      <c r="B5" s="227">
        <f t="shared" ref="B5:H5" ca="1" si="0">SUM(B3:B4)</f>
        <v>2657049524</v>
      </c>
      <c r="C5" s="227">
        <f t="shared" si="0"/>
        <v>2748262919</v>
      </c>
      <c r="D5" s="227">
        <f t="shared" si="0"/>
        <v>2865645794</v>
      </c>
      <c r="E5" s="227">
        <f t="shared" si="0"/>
        <v>2974815317</v>
      </c>
      <c r="F5" s="227">
        <f t="shared" si="0"/>
        <v>3086268868</v>
      </c>
      <c r="G5" s="227">
        <f t="shared" ca="1" si="0"/>
        <v>3204409958.0299754</v>
      </c>
      <c r="H5" s="227">
        <f t="shared" ca="1" si="0"/>
        <v>3330089611.4243522</v>
      </c>
    </row>
    <row r="6" spans="1:8">
      <c r="A6" s="226" t="s">
        <v>664</v>
      </c>
      <c r="B6" s="231"/>
      <c r="C6" s="231">
        <f t="shared" ref="C6:F7" ca="1" si="1">C3/B3-1</f>
        <v>4.0721255338230566E-2</v>
      </c>
      <c r="D6" s="231">
        <f t="shared" si="1"/>
        <v>3.7763999371024815E-2</v>
      </c>
      <c r="E6" s="231">
        <f t="shared" si="1"/>
        <v>3.8496333341161204E-2</v>
      </c>
      <c r="F6" s="231">
        <f t="shared" si="1"/>
        <v>3.7435386487085998E-2</v>
      </c>
      <c r="G6" s="231">
        <f ca="1">AVERAGE(C6:F6)</f>
        <v>3.8604243634375646E-2</v>
      </c>
      <c r="H6" s="231">
        <f ca="1">AVERAGE(D6:G6)</f>
        <v>3.8074990708411915E-2</v>
      </c>
    </row>
    <row r="7" spans="1:8">
      <c r="A7" s="226" t="s">
        <v>665</v>
      </c>
      <c r="B7" s="231"/>
      <c r="C7" s="231">
        <f t="shared" ca="1" si="1"/>
        <v>-5.879310695152784E-2</v>
      </c>
      <c r="D7" s="231">
        <f t="shared" si="1"/>
        <v>0.12240747423098841</v>
      </c>
      <c r="E7" s="231">
        <f t="shared" si="1"/>
        <v>3.2133156131509688E-2</v>
      </c>
      <c r="F7" s="231">
        <f t="shared" si="1"/>
        <v>3.7920012497231204E-2</v>
      </c>
      <c r="G7" s="231">
        <f ca="1">AVERAGE(C7:F7)</f>
        <v>3.3416883977050366E-2</v>
      </c>
      <c r="H7" s="231">
        <f ca="1">AVERAGE(D7:G7)</f>
        <v>5.6469381709194917E-2</v>
      </c>
    </row>
    <row r="8" spans="1:8">
      <c r="A8" s="226"/>
      <c r="B8" s="231"/>
      <c r="C8" s="231"/>
      <c r="D8" s="231"/>
      <c r="E8" s="231"/>
      <c r="F8" s="231"/>
    </row>
    <row r="9" spans="1:8">
      <c r="A9" s="232" t="s">
        <v>218</v>
      </c>
      <c r="B9" s="227">
        <f ca="1">+LocalAndFedRevenues!D4+LocalAndFedRevenues!D5</f>
        <v>1158120946</v>
      </c>
      <c r="C9" s="227">
        <f t="shared" ref="C9:H9" ca="1" si="2">B9*(1+C10)</f>
        <v>1236242928.4452004</v>
      </c>
      <c r="D9" s="227">
        <f t="shared" ca="1" si="2"/>
        <v>1322877224.4194498</v>
      </c>
      <c r="E9" s="227">
        <f t="shared" ca="1" si="2"/>
        <v>1411112936.3625567</v>
      </c>
      <c r="F9" s="227">
        <f t="shared" ca="1" si="2"/>
        <v>1502130236.4410532</v>
      </c>
      <c r="G9" s="227">
        <f t="shared" ca="1" si="2"/>
        <v>1598933754.3979707</v>
      </c>
      <c r="H9" s="227">
        <f t="shared" ca="1" si="2"/>
        <v>1711142223.1613929</v>
      </c>
    </row>
    <row r="10" spans="1:8">
      <c r="A10" s="226" t="s">
        <v>666</v>
      </c>
      <c r="B10" s="231"/>
      <c r="C10" s="231">
        <f>'Raw Data'!M23</f>
        <v>6.7455806507104255E-2</v>
      </c>
      <c r="D10" s="231">
        <f>'Raw Data'!N23</f>
        <v>7.0078698919805005E-2</v>
      </c>
      <c r="E10" s="231">
        <f>'Raw Data'!O23</f>
        <v>6.669984962650588E-2</v>
      </c>
      <c r="F10" s="231">
        <f>'Raw Data'!P23</f>
        <v>6.4500365444251972E-2</v>
      </c>
      <c r="G10" s="231">
        <f>'Raw Data'!Q23</f>
        <v>6.4444157775740418E-2</v>
      </c>
      <c r="H10" s="231">
        <f>'Raw Data'!R23</f>
        <v>7.0177059215108528E-2</v>
      </c>
    </row>
    <row r="11" spans="1:8">
      <c r="A11" s="226"/>
      <c r="B11" s="231"/>
      <c r="C11" s="231"/>
      <c r="D11" s="231"/>
      <c r="E11" s="231"/>
      <c r="F11" s="231"/>
    </row>
    <row r="12" spans="1:8">
      <c r="A12" s="232" t="s">
        <v>225</v>
      </c>
      <c r="B12" s="227">
        <f ca="1">LocalAndFedRevenues!D12</f>
        <v>11136730</v>
      </c>
      <c r="C12" s="227">
        <f t="shared" ref="C12:H12" ca="1" si="3">B12*(1+C13)</f>
        <v>11611891.685445422</v>
      </c>
      <c r="D12" s="227">
        <f t="shared" ca="1" si="3"/>
        <v>12107326.703127088</v>
      </c>
      <c r="E12" s="227">
        <f t="shared" ca="1" si="3"/>
        <v>12623900.038612122</v>
      </c>
      <c r="F12" s="227">
        <f t="shared" ca="1" si="3"/>
        <v>13162513.583094342</v>
      </c>
      <c r="G12" s="227">
        <f t="shared" ca="1" si="3"/>
        <v>13724107.708016234</v>
      </c>
      <c r="H12" s="227">
        <f t="shared" ca="1" si="3"/>
        <v>14309662.906874022</v>
      </c>
    </row>
    <row r="13" spans="1:8">
      <c r="A13" s="226" t="s">
        <v>671</v>
      </c>
      <c r="B13" s="231"/>
      <c r="C13" s="231">
        <f>GrowthFactors!D19</f>
        <v>4.2666176287422079E-2</v>
      </c>
      <c r="D13" s="231">
        <f>GrowthFactors!E19</f>
        <v>4.2666176287422079E-2</v>
      </c>
      <c r="E13" s="231">
        <f>GrowthFactors!F19</f>
        <v>4.2666176287422079E-2</v>
      </c>
      <c r="F13" s="231">
        <f>GrowthFactors!G19</f>
        <v>4.2666176287422079E-2</v>
      </c>
      <c r="G13" s="231">
        <f>GrowthFactors!H19</f>
        <v>4.2666176287422079E-2</v>
      </c>
      <c r="H13" s="231">
        <f>GrowthFactors!I19</f>
        <v>4.2666176287422079E-2</v>
      </c>
    </row>
    <row r="14" spans="1:8">
      <c r="A14" s="226" t="s">
        <v>667</v>
      </c>
      <c r="B14" s="231">
        <v>0.95250000000000001</v>
      </c>
      <c r="C14" s="231">
        <v>0.95250000000000001</v>
      </c>
      <c r="D14" s="231">
        <v>0.95250000000000001</v>
      </c>
      <c r="E14" s="231">
        <v>0.95250000000000001</v>
      </c>
      <c r="F14" s="231">
        <v>0.95250000000000001</v>
      </c>
      <c r="G14" s="231">
        <v>0.95250000000000001</v>
      </c>
      <c r="H14" s="231">
        <v>0.95250000000000001</v>
      </c>
    </row>
    <row r="15" spans="1:8">
      <c r="A15" s="226" t="s">
        <v>668</v>
      </c>
      <c r="B15" s="231">
        <v>4.7499999999999987E-2</v>
      </c>
      <c r="C15" s="231">
        <v>4.7499999999999987E-2</v>
      </c>
      <c r="D15" s="231">
        <v>4.7499999999999987E-2</v>
      </c>
      <c r="E15" s="231">
        <v>4.7499999999999987E-2</v>
      </c>
      <c r="F15" s="231">
        <v>4.7499999999999987E-2</v>
      </c>
      <c r="G15" s="231">
        <v>4.7499999999999987E-2</v>
      </c>
      <c r="H15" s="231">
        <v>4.7499999999999987E-2</v>
      </c>
    </row>
    <row r="16" spans="1:8">
      <c r="A16" s="226"/>
      <c r="B16" s="231"/>
      <c r="C16" s="231"/>
      <c r="D16" s="231"/>
      <c r="E16" s="231"/>
      <c r="F16" s="231"/>
    </row>
    <row r="17" spans="1:8">
      <c r="A17" s="226" t="s">
        <v>669</v>
      </c>
      <c r="B17" s="227">
        <f ca="1">LocalAndFedRevenues!D23</f>
        <v>868061790</v>
      </c>
      <c r="C17" s="227">
        <f t="shared" ref="C17:H17" ca="1" si="4">B17*(1+C18)</f>
        <v>922770675.48691106</v>
      </c>
      <c r="D17" s="227">
        <f t="shared" ca="1" si="4"/>
        <v>988896806.58644712</v>
      </c>
      <c r="E17" s="227">
        <f t="shared" ca="1" si="4"/>
        <v>1067288060.5785795</v>
      </c>
      <c r="F17" s="227">
        <f t="shared" ca="1" si="4"/>
        <v>1156684634.9881868</v>
      </c>
      <c r="G17" s="227">
        <f t="shared" ca="1" si="4"/>
        <v>1262840747.0799465</v>
      </c>
      <c r="H17" s="227">
        <f t="shared" ca="1" si="4"/>
        <v>1389658322.812052</v>
      </c>
    </row>
    <row r="18" spans="1:8">
      <c r="A18" s="226" t="s">
        <v>670</v>
      </c>
      <c r="B18" s="231"/>
      <c r="C18" s="231">
        <f>'Raw Data'!M53</f>
        <v>6.3024183436194259E-2</v>
      </c>
      <c r="D18" s="231">
        <f>'Raw Data'!N53</f>
        <v>7.1660416673561628E-2</v>
      </c>
      <c r="E18" s="231">
        <f>'Raw Data'!O53</f>
        <v>7.9271419899442891E-2</v>
      </c>
      <c r="F18" s="231">
        <f>'Raw Data'!P53</f>
        <v>8.3760493264719224E-2</v>
      </c>
      <c r="G18" s="231">
        <f>'Raw Data'!Q53</f>
        <v>9.1776192819267272E-2</v>
      </c>
      <c r="H18" s="231">
        <f>'Raw Data'!R53</f>
        <v>0.1004224610469249</v>
      </c>
    </row>
    <row r="20" spans="1:8" ht="16.5" thickBot="1">
      <c r="A20" s="233" t="s">
        <v>1068</v>
      </c>
      <c r="B20" s="41"/>
      <c r="C20" s="234"/>
      <c r="D20" s="234"/>
      <c r="E20" s="234"/>
      <c r="F20" s="234"/>
      <c r="G20" s="234"/>
      <c r="H20" s="234"/>
    </row>
    <row r="21" spans="1:8">
      <c r="A21" s="11" t="s">
        <v>886</v>
      </c>
      <c r="B21" s="11" t="s">
        <v>914</v>
      </c>
      <c r="F21" s="137"/>
    </row>
    <row r="22" spans="1:8">
      <c r="B22" s="11" t="s">
        <v>912</v>
      </c>
    </row>
    <row r="23" spans="1:8">
      <c r="A23" s="235"/>
      <c r="B23" s="235" t="s">
        <v>913</v>
      </c>
      <c r="C23" s="235"/>
      <c r="D23" s="235"/>
      <c r="E23" s="235"/>
      <c r="F23" s="235"/>
      <c r="G23" s="235"/>
      <c r="H23" s="235"/>
    </row>
    <row r="24" spans="1:8">
      <c r="A24" s="11" t="s">
        <v>1069</v>
      </c>
      <c r="B24" s="11" t="s">
        <v>914</v>
      </c>
    </row>
    <row r="25" spans="1:8">
      <c r="A25" s="235"/>
      <c r="B25" s="235" t="s">
        <v>1072</v>
      </c>
      <c r="C25" s="235"/>
      <c r="D25" s="235"/>
      <c r="E25" s="235"/>
      <c r="F25" s="235"/>
      <c r="G25" s="235"/>
      <c r="H25" s="235"/>
    </row>
    <row r="26" spans="1:8">
      <c r="A26" s="11" t="s">
        <v>1070</v>
      </c>
      <c r="B26" s="11" t="s">
        <v>914</v>
      </c>
    </row>
    <row r="27" spans="1:8">
      <c r="A27" s="235"/>
      <c r="B27" s="235" t="s">
        <v>1072</v>
      </c>
      <c r="C27" s="235"/>
      <c r="D27" s="235"/>
      <c r="E27" s="235"/>
      <c r="F27" s="235"/>
      <c r="G27" s="235"/>
      <c r="H27" s="235"/>
    </row>
    <row r="28" spans="1:8">
      <c r="A28" s="11" t="s">
        <v>1071</v>
      </c>
      <c r="B28" s="11" t="s">
        <v>914</v>
      </c>
    </row>
    <row r="29" spans="1:8">
      <c r="A29" s="235"/>
      <c r="B29" s="235" t="s">
        <v>1072</v>
      </c>
      <c r="C29" s="235"/>
      <c r="D29" s="235"/>
      <c r="E29" s="235"/>
      <c r="F29" s="235"/>
      <c r="G29" s="235"/>
      <c r="H29" s="235"/>
    </row>
  </sheetData>
  <sheetProtection sheet="1" objects="1" scenarios="1"/>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2"/>
  <sheetViews>
    <sheetView workbookViewId="0"/>
  </sheetViews>
  <sheetFormatPr defaultRowHeight="15.75"/>
  <cols>
    <col min="1" max="1" width="48.28515625" style="11" bestFit="1" customWidth="1"/>
    <col min="2" max="2" width="12.7109375" style="136" customWidth="1"/>
    <col min="3" max="9" width="12.7109375" style="11" customWidth="1"/>
    <col min="10" max="10" width="30.5703125" style="11" bestFit="1" customWidth="1"/>
    <col min="11" max="16384" width="9.140625" style="11"/>
  </cols>
  <sheetData>
    <row r="1" spans="1:13">
      <c r="B1" s="11">
        <f>C1-1</f>
        <v>2023</v>
      </c>
      <c r="C1" s="11">
        <v>2024</v>
      </c>
      <c r="D1" s="11">
        <f>C1+1</f>
        <v>2025</v>
      </c>
      <c r="E1" s="11">
        <f t="shared" ref="E1:I1" si="0">D1+1</f>
        <v>2026</v>
      </c>
      <c r="F1" s="11">
        <f t="shared" si="0"/>
        <v>2027</v>
      </c>
      <c r="G1" s="11">
        <f t="shared" si="0"/>
        <v>2028</v>
      </c>
      <c r="H1" s="11">
        <f t="shared" si="0"/>
        <v>2029</v>
      </c>
      <c r="I1" s="11">
        <f t="shared" si="0"/>
        <v>2030</v>
      </c>
    </row>
    <row r="2" spans="1:13">
      <c r="A2" s="134" t="s">
        <v>253</v>
      </c>
      <c r="B2" s="142"/>
      <c r="C2" s="132" t="str">
        <f>Years!A4</f>
        <v>Base Year</v>
      </c>
      <c r="D2" s="132" t="str">
        <f>Years!B4</f>
        <v>Base+1</v>
      </c>
      <c r="E2" s="132" t="str">
        <f>Years!C4</f>
        <v>Base+2</v>
      </c>
      <c r="F2" s="132" t="str">
        <f>Years!D4</f>
        <v>Base+3</v>
      </c>
      <c r="G2" s="132" t="str">
        <f>Years!E4</f>
        <v>Base+4</v>
      </c>
      <c r="H2" s="132" t="str">
        <f>Years!F4</f>
        <v>Base+5</v>
      </c>
      <c r="I2" s="132" t="str">
        <f>Years!G4</f>
        <v>Base+6</v>
      </c>
    </row>
    <row r="3" spans="1:13" ht="16.5" thickBot="1">
      <c r="A3" s="135"/>
      <c r="B3" s="143"/>
      <c r="C3" s="96" t="str">
        <f>Years!A7</f>
        <v>2024-25</v>
      </c>
      <c r="D3" s="96" t="str">
        <f>Years!B7</f>
        <v>2025-26</v>
      </c>
      <c r="E3" s="96" t="str">
        <f>Years!C7</f>
        <v>2026-27</v>
      </c>
      <c r="F3" s="96" t="str">
        <f>Years!D7</f>
        <v>2027-28</v>
      </c>
      <c r="G3" s="96" t="str">
        <f>Years!E7</f>
        <v>2028-29</v>
      </c>
      <c r="H3" s="96" t="str">
        <f>Years!F7</f>
        <v>2029-30</v>
      </c>
      <c r="I3" s="96" t="str">
        <f>Years!G7</f>
        <v>2030-31</v>
      </c>
      <c r="J3" s="40" t="s">
        <v>226</v>
      </c>
    </row>
    <row r="4" spans="1:13">
      <c r="A4" s="11" t="s">
        <v>738</v>
      </c>
      <c r="B4" s="136">
        <v>323.89999999999998</v>
      </c>
      <c r="C4" s="136">
        <v>333</v>
      </c>
      <c r="D4" s="136">
        <v>342.1</v>
      </c>
      <c r="E4" s="136">
        <v>349.9</v>
      </c>
      <c r="F4" s="136">
        <v>359.5</v>
      </c>
      <c r="G4" s="136">
        <v>368.1</v>
      </c>
      <c r="H4" s="136">
        <v>376.5</v>
      </c>
      <c r="I4" s="136">
        <v>385.2</v>
      </c>
      <c r="J4" s="11" t="s">
        <v>254</v>
      </c>
      <c r="K4" s="11" t="s">
        <v>903</v>
      </c>
    </row>
    <row r="5" spans="1:13">
      <c r="A5" s="11" t="s">
        <v>255</v>
      </c>
      <c r="B5" s="144">
        <v>122.4</v>
      </c>
      <c r="C5" s="144">
        <v>125.4</v>
      </c>
      <c r="D5" s="144">
        <v>129</v>
      </c>
      <c r="E5" s="144">
        <v>132.6</v>
      </c>
      <c r="F5" s="144">
        <v>135.9</v>
      </c>
      <c r="G5" s="144">
        <v>139.1</v>
      </c>
      <c r="H5" s="144">
        <v>142.19999999999999</v>
      </c>
      <c r="I5" s="144">
        <v>145.4</v>
      </c>
      <c r="J5" s="11" t="s">
        <v>254</v>
      </c>
      <c r="K5" s="11" t="s">
        <v>903</v>
      </c>
    </row>
    <row r="6" spans="1:13">
      <c r="A6" s="10" t="s">
        <v>257</v>
      </c>
      <c r="B6" s="145"/>
      <c r="C6" s="46">
        <v>0</v>
      </c>
      <c r="D6" s="46">
        <v>0</v>
      </c>
      <c r="E6" s="46">
        <v>0</v>
      </c>
      <c r="F6" s="46">
        <v>0</v>
      </c>
      <c r="G6" s="46">
        <v>0</v>
      </c>
      <c r="H6" s="46">
        <v>0</v>
      </c>
      <c r="I6" s="46">
        <v>0</v>
      </c>
    </row>
    <row r="7" spans="1:13">
      <c r="A7" s="10"/>
      <c r="B7" s="145"/>
      <c r="C7" s="46"/>
      <c r="D7" s="46"/>
      <c r="E7" s="137"/>
      <c r="F7" s="46"/>
      <c r="G7" s="46"/>
      <c r="H7" s="46"/>
      <c r="I7" s="46"/>
    </row>
    <row r="8" spans="1:13">
      <c r="A8" s="11" t="s">
        <v>814</v>
      </c>
      <c r="C8" s="46">
        <f>(C4/B4)-1</f>
        <v>2.8095091077493084E-2</v>
      </c>
      <c r="D8" s="46">
        <f t="shared" ref="D8:I8" si="1">+D4/C4-1</f>
        <v>2.7327327327327344E-2</v>
      </c>
      <c r="E8" s="46">
        <f t="shared" si="1"/>
        <v>2.2800350774627276E-2</v>
      </c>
      <c r="F8" s="46">
        <f t="shared" si="1"/>
        <v>2.7436410402972289E-2</v>
      </c>
      <c r="G8" s="46">
        <f t="shared" si="1"/>
        <v>2.3922114047288057E-2</v>
      </c>
      <c r="H8" s="46">
        <f t="shared" si="1"/>
        <v>2.281988590057038E-2</v>
      </c>
      <c r="I8" s="46">
        <f t="shared" si="1"/>
        <v>2.3107569721115606E-2</v>
      </c>
    </row>
    <row r="9" spans="1:13">
      <c r="A9" s="11" t="s">
        <v>256</v>
      </c>
      <c r="C9" s="46">
        <f>(C5/B5)-1</f>
        <v>2.450980392156854E-2</v>
      </c>
      <c r="D9" s="46">
        <f t="shared" ref="D9:I9" si="2">+D5/C5-1</f>
        <v>2.8708133971291794E-2</v>
      </c>
      <c r="E9" s="46">
        <f t="shared" si="2"/>
        <v>2.7906976744185963E-2</v>
      </c>
      <c r="F9" s="46">
        <f t="shared" si="2"/>
        <v>2.4886877828054432E-2</v>
      </c>
      <c r="G9" s="46">
        <f t="shared" si="2"/>
        <v>2.3546725533480473E-2</v>
      </c>
      <c r="H9" s="46">
        <f t="shared" si="2"/>
        <v>2.2286125089863384E-2</v>
      </c>
      <c r="I9" s="46">
        <f t="shared" si="2"/>
        <v>2.2503516174402272E-2</v>
      </c>
    </row>
    <row r="10" spans="1:13">
      <c r="A10" s="11" t="s">
        <v>815</v>
      </c>
      <c r="C10" s="146">
        <v>3.09E-2</v>
      </c>
      <c r="D10" s="146">
        <v>3.5999999999999997E-2</v>
      </c>
      <c r="E10" s="146">
        <v>2.98E-2</v>
      </c>
      <c r="F10" s="146">
        <v>2.9600000000000001E-2</v>
      </c>
      <c r="G10" s="146">
        <v>3.0200000000000001E-2</v>
      </c>
      <c r="H10" s="146">
        <v>3.04E-2</v>
      </c>
      <c r="I10" s="146">
        <v>3.0499999999999999E-2</v>
      </c>
      <c r="J10" s="11" t="s">
        <v>926</v>
      </c>
    </row>
    <row r="11" spans="1:13">
      <c r="A11" s="10" t="s">
        <v>258</v>
      </c>
      <c r="B11" s="145"/>
      <c r="C11" s="46">
        <f>+C9</f>
        <v>2.450980392156854E-2</v>
      </c>
      <c r="D11" s="46">
        <f t="shared" ref="D11:I11" si="3">+D9</f>
        <v>2.8708133971291794E-2</v>
      </c>
      <c r="E11" s="46">
        <f t="shared" si="3"/>
        <v>2.7906976744185963E-2</v>
      </c>
      <c r="F11" s="46">
        <f t="shared" si="3"/>
        <v>2.4886877828054432E-2</v>
      </c>
      <c r="G11" s="46">
        <f t="shared" si="3"/>
        <v>2.3546725533480473E-2</v>
      </c>
      <c r="H11" s="46">
        <f t="shared" si="3"/>
        <v>2.2286125089863384E-2</v>
      </c>
      <c r="I11" s="46">
        <f t="shared" si="3"/>
        <v>2.2503516174402272E-2</v>
      </c>
    </row>
    <row r="13" spans="1:13">
      <c r="A13" s="138" t="s">
        <v>541</v>
      </c>
      <c r="B13" s="147">
        <f>VLOOKUP(B1, 'computer cost growth'!$A$5:$R$19, 18, 0)</f>
        <v>-3.8182584491645022E-2</v>
      </c>
      <c r="C13" s="147">
        <f>VLOOKUP(C1, 'computer cost growth'!$A$5:$R$19, 18, 0)</f>
        <v>-4.3418524080574561E-2</v>
      </c>
      <c r="D13" s="147">
        <f>VLOOKUP(D1, 'computer cost growth'!$A$5:$R$19, 18, 0)</f>
        <v>3.6033570752200816E-3</v>
      </c>
      <c r="E13" s="147">
        <f>D13</f>
        <v>3.6033570752200816E-3</v>
      </c>
      <c r="F13" s="147">
        <f>E13</f>
        <v>3.6033570752200816E-3</v>
      </c>
      <c r="G13" s="147">
        <f>F13</f>
        <v>3.6033570752200816E-3</v>
      </c>
      <c r="H13" s="147">
        <f>G13</f>
        <v>3.6033570752200816E-3</v>
      </c>
      <c r="I13" s="147">
        <f>H13</f>
        <v>3.6033570752200816E-3</v>
      </c>
      <c r="J13" s="148" t="s">
        <v>810</v>
      </c>
      <c r="L13" s="140"/>
      <c r="M13" s="140"/>
    </row>
    <row r="14" spans="1:13">
      <c r="A14" s="140" t="s">
        <v>548</v>
      </c>
      <c r="B14" s="149"/>
      <c r="C14" s="147">
        <f>C13</f>
        <v>-4.3418524080574561E-2</v>
      </c>
      <c r="D14" s="147">
        <f t="shared" ref="D14:I14" si="4">(1+C14)*(1+D13)-1</f>
        <v>-3.9971619451295792E-2</v>
      </c>
      <c r="E14" s="147">
        <f t="shared" si="4"/>
        <v>-3.6512294393833522E-2</v>
      </c>
      <c r="F14" s="147">
        <f t="shared" si="4"/>
        <v>-3.3040504152950012E-2</v>
      </c>
      <c r="G14" s="147">
        <f t="shared" si="4"/>
        <v>-2.9556203812138304E-2</v>
      </c>
      <c r="H14" s="147">
        <f t="shared" si="4"/>
        <v>-2.6059348293041351E-2</v>
      </c>
      <c r="I14" s="147">
        <f t="shared" si="4"/>
        <v>-2.2549892354868595E-2</v>
      </c>
      <c r="J14" s="140"/>
      <c r="K14" s="140"/>
      <c r="L14" s="140"/>
      <c r="M14" s="140"/>
    </row>
    <row r="15" spans="1:13">
      <c r="A15" s="138" t="s">
        <v>205</v>
      </c>
      <c r="B15" s="147">
        <f>VLOOKUP(B1, 'textbook cost growth'!$A$5:$R$19, 18, 0)</f>
        <v>-2.6238880813248988E-2</v>
      </c>
      <c r="C15" s="147">
        <f>VLOOKUP(C1, 'textbook cost growth'!$A$5:$R$19, 18, 0)</f>
        <v>7.1974335673871348E-2</v>
      </c>
      <c r="D15" s="147">
        <f>VLOOKUP(D1, 'textbook cost growth'!$A$5:$R$19, 18, 0)</f>
        <v>2.6133477093782886E-2</v>
      </c>
      <c r="E15" s="147">
        <f>D15</f>
        <v>2.6133477093782886E-2</v>
      </c>
      <c r="F15" s="147">
        <f>E15</f>
        <v>2.6133477093782886E-2</v>
      </c>
      <c r="G15" s="147">
        <f>F15</f>
        <v>2.6133477093782886E-2</v>
      </c>
      <c r="H15" s="147">
        <f>G15</f>
        <v>2.6133477093782886E-2</v>
      </c>
      <c r="I15" s="147">
        <f>H15</f>
        <v>2.6133477093782886E-2</v>
      </c>
      <c r="J15" s="148" t="s">
        <v>813</v>
      </c>
    </row>
    <row r="16" spans="1:13">
      <c r="A16" s="140" t="s">
        <v>547</v>
      </c>
      <c r="B16" s="149"/>
      <c r="C16" s="147">
        <f>C15</f>
        <v>7.1974335673871348E-2</v>
      </c>
      <c r="D16" s="147">
        <f t="shared" ref="D16:I16" si="5">(1+C16)*(1+D15)-1</f>
        <v>9.9988752420327565E-2</v>
      </c>
      <c r="E16" s="147">
        <f t="shared" si="5"/>
        <v>0.12873528328512296</v>
      </c>
      <c r="F16" s="147">
        <f t="shared" si="5"/>
        <v>0.15823306095579937</v>
      </c>
      <c r="G16" s="147">
        <f t="shared" si="5"/>
        <v>0.18850171812354977</v>
      </c>
      <c r="H16" s="147">
        <f t="shared" si="5"/>
        <v>0.21956140055005324</v>
      </c>
      <c r="I16" s="147">
        <f t="shared" si="5"/>
        <v>0.25143278047578987</v>
      </c>
    </row>
    <row r="17" spans="1:10">
      <c r="A17" s="138" t="s">
        <v>188</v>
      </c>
      <c r="B17" s="150"/>
      <c r="C17" s="147">
        <f>'centralized sped expenditures'!G2</f>
        <v>5.4022496880633902E-2</v>
      </c>
      <c r="D17" s="147">
        <f t="shared" ref="D17:I17" si="6">C17</f>
        <v>5.4022496880633902E-2</v>
      </c>
      <c r="E17" s="147">
        <f t="shared" si="6"/>
        <v>5.4022496880633902E-2</v>
      </c>
      <c r="F17" s="147">
        <f t="shared" si="6"/>
        <v>5.4022496880633902E-2</v>
      </c>
      <c r="G17" s="147">
        <f t="shared" si="6"/>
        <v>5.4022496880633902E-2</v>
      </c>
      <c r="H17" s="147">
        <f t="shared" si="6"/>
        <v>5.4022496880633902E-2</v>
      </c>
      <c r="I17" s="147">
        <f t="shared" si="6"/>
        <v>5.4022496880633902E-2</v>
      </c>
      <c r="J17" s="11" t="s">
        <v>728</v>
      </c>
    </row>
    <row r="18" spans="1:10">
      <c r="A18" s="140" t="s">
        <v>568</v>
      </c>
      <c r="B18" s="149"/>
      <c r="C18" s="147">
        <f>C17</f>
        <v>5.4022496880633902E-2</v>
      </c>
      <c r="D18" s="147">
        <f t="shared" ref="D18:I18" si="7">(1+C18)*(1+D17)-1</f>
        <v>0.11096342393048597</v>
      </c>
      <c r="E18" s="147">
        <f t="shared" si="7"/>
        <v>0.1709804420342691</v>
      </c>
      <c r="F18" s="147">
        <f t="shared" si="7"/>
        <v>0.23423972931134873</v>
      </c>
      <c r="G18" s="147">
        <f t="shared" si="7"/>
        <v>0.30091644123802563</v>
      </c>
      <c r="H18" s="147">
        <f t="shared" si="7"/>
        <v>0.37119519562677228</v>
      </c>
      <c r="I18" s="147">
        <f t="shared" si="7"/>
        <v>0.44527058380525997</v>
      </c>
    </row>
    <row r="19" spans="1:10">
      <c r="A19" s="138" t="s">
        <v>571</v>
      </c>
      <c r="B19" s="150"/>
      <c r="C19" s="147">
        <f>'Food service'!L2</f>
        <v>4.2666176287422079E-2</v>
      </c>
      <c r="D19" s="147">
        <f t="shared" ref="D19:I19" si="8">C19</f>
        <v>4.2666176287422079E-2</v>
      </c>
      <c r="E19" s="147">
        <f t="shared" si="8"/>
        <v>4.2666176287422079E-2</v>
      </c>
      <c r="F19" s="147">
        <f t="shared" si="8"/>
        <v>4.2666176287422079E-2</v>
      </c>
      <c r="G19" s="147">
        <f t="shared" si="8"/>
        <v>4.2666176287422079E-2</v>
      </c>
      <c r="H19" s="147">
        <f t="shared" si="8"/>
        <v>4.2666176287422079E-2</v>
      </c>
      <c r="I19" s="147">
        <f t="shared" si="8"/>
        <v>4.2666176287422079E-2</v>
      </c>
      <c r="J19" s="11" t="s">
        <v>729</v>
      </c>
    </row>
    <row r="20" spans="1:10">
      <c r="A20" s="140" t="s">
        <v>567</v>
      </c>
      <c r="B20" s="149"/>
      <c r="C20" s="147">
        <f>C19</f>
        <v>4.2666176287422079E-2</v>
      </c>
      <c r="D20" s="147">
        <f t="shared" ref="D20:I20" si="9">(1+C20)*(1+D19)-1</f>
        <v>8.7152755173833585E-2</v>
      </c>
      <c r="E20" s="147">
        <f t="shared" si="9"/>
        <v>0.13353740627743704</v>
      </c>
      <c r="F20" s="147">
        <f t="shared" si="9"/>
        <v>0.18190111308205736</v>
      </c>
      <c r="G20" s="147">
        <f t="shared" si="9"/>
        <v>0.23232831432711687</v>
      </c>
      <c r="H20" s="147">
        <f t="shared" si="9"/>
        <v>0.28490705143017925</v>
      </c>
      <c r="I20" s="147">
        <f t="shared" si="9"/>
        <v>0.33972912219945095</v>
      </c>
    </row>
    <row r="22" spans="1:10">
      <c r="E22" s="141"/>
    </row>
  </sheetData>
  <sheetProtection sheet="1" objects="1" scenarios="1"/>
  <hyperlinks>
    <hyperlink ref="J13" location="'computer cost growth'!A1" display="BLS PERSONAL COMPUTER GROWTH RATE" xr:uid="{B552220D-60ED-458F-AF42-05F30222C07D}"/>
    <hyperlink ref="J15" location="'textbook cost growth'!A1" display="BLS EDUCATIONAL BOOK AND SUPPLY COST GROWTH INDEX" xr:uid="{533520B7-59AA-435C-B71C-92E0BB047406}"/>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3"/>
  <sheetViews>
    <sheetView workbookViewId="0"/>
  </sheetViews>
  <sheetFormatPr defaultColWidth="9.140625" defaultRowHeight="15"/>
  <cols>
    <col min="1" max="1" width="21" style="195" bestFit="1" customWidth="1"/>
    <col min="2" max="2" width="11.85546875" style="195" bestFit="1" customWidth="1"/>
    <col min="3" max="3" width="20.42578125" style="195" bestFit="1" customWidth="1"/>
    <col min="4" max="4" width="26.7109375" style="195" customWidth="1"/>
    <col min="5" max="5" width="20.140625" style="195" bestFit="1" customWidth="1"/>
    <col min="6" max="7" width="14.7109375" style="195" bestFit="1" customWidth="1"/>
    <col min="8" max="8" width="14.7109375" style="195" customWidth="1"/>
    <col min="9" max="9" width="14.28515625" bestFit="1" customWidth="1"/>
    <col min="10" max="10" width="9.85546875" bestFit="1" customWidth="1"/>
  </cols>
  <sheetData>
    <row r="1" spans="1:10">
      <c r="A1" s="184"/>
      <c r="B1" s="184"/>
      <c r="C1" s="185" t="s">
        <v>531</v>
      </c>
      <c r="D1" s="185"/>
      <c r="E1" s="184"/>
      <c r="F1" s="184"/>
      <c r="G1"/>
      <c r="H1"/>
    </row>
    <row r="2" spans="1:10" ht="15.75" thickBot="1">
      <c r="A2" s="186" t="s">
        <v>532</v>
      </c>
      <c r="B2" s="186" t="s">
        <v>384</v>
      </c>
      <c r="C2" s="187" t="s">
        <v>533</v>
      </c>
      <c r="D2" s="187" t="s">
        <v>535</v>
      </c>
      <c r="E2" s="187" t="s">
        <v>534</v>
      </c>
      <c r="F2" s="187" t="s">
        <v>536</v>
      </c>
      <c r="G2"/>
      <c r="H2" s="188" t="s">
        <v>846</v>
      </c>
    </row>
    <row r="3" spans="1:10" ht="15.75" thickBot="1">
      <c r="A3" s="184" t="s">
        <v>374</v>
      </c>
      <c r="B3" s="189">
        <v>360</v>
      </c>
      <c r="C3" s="190">
        <v>1</v>
      </c>
      <c r="D3" s="191">
        <f ca="1">Staffing_ClassSize_Report!P34</f>
        <v>41</v>
      </c>
      <c r="E3">
        <f>ROUNDUP(B3/C3,0)</f>
        <v>360</v>
      </c>
      <c r="F3" s="192">
        <f ca="1">SUM(D3:E3)</f>
        <v>401</v>
      </c>
      <c r="G3"/>
      <c r="H3" s="193" t="s">
        <v>843</v>
      </c>
      <c r="I3" s="194">
        <v>425</v>
      </c>
      <c r="J3" t="s">
        <v>906</v>
      </c>
    </row>
    <row r="4" spans="1:10" ht="15.75" thickBot="1">
      <c r="A4" s="184" t="s">
        <v>375</v>
      </c>
      <c r="B4" s="189">
        <v>500</v>
      </c>
      <c r="C4" s="190">
        <v>1</v>
      </c>
      <c r="D4" s="191">
        <f ca="1">Staffing_ClassSize_Report!Q34</f>
        <v>54</v>
      </c>
      <c r="E4">
        <f>ROUNDUP(B4/C4,0)</f>
        <v>500</v>
      </c>
      <c r="F4" s="192">
        <f ca="1">SUM(D4:E4)</f>
        <v>554</v>
      </c>
      <c r="G4"/>
      <c r="H4" s="193" t="s">
        <v>844</v>
      </c>
      <c r="I4" s="194">
        <v>530</v>
      </c>
      <c r="J4" t="s">
        <v>907</v>
      </c>
    </row>
    <row r="5" spans="1:10">
      <c r="A5" s="184" t="s">
        <v>376</v>
      </c>
      <c r="B5" s="189">
        <v>1000</v>
      </c>
      <c r="C5" s="190">
        <v>1</v>
      </c>
      <c r="D5" s="191">
        <f ca="1">Staffing_ClassSize_Report!R34</f>
        <v>96</v>
      </c>
      <c r="E5">
        <f>ROUNDUP(B5/C5,0)</f>
        <v>1000</v>
      </c>
      <c r="F5" s="192">
        <f ca="1">SUM(D5:E5)</f>
        <v>1096</v>
      </c>
      <c r="G5"/>
      <c r="H5"/>
    </row>
    <row r="6" spans="1:10" ht="15.75" thickBot="1">
      <c r="A6" s="184"/>
      <c r="B6" s="184"/>
      <c r="C6" s="184"/>
      <c r="D6" s="184"/>
      <c r="F6" s="189"/>
      <c r="G6" s="189"/>
      <c r="H6" s="184"/>
      <c r="I6" s="196" t="s">
        <v>847</v>
      </c>
    </row>
    <row r="7" spans="1:10" ht="15.75" thickBot="1">
      <c r="A7" s="185" t="s">
        <v>537</v>
      </c>
      <c r="B7" s="185"/>
      <c r="E7" s="185" t="s">
        <v>538</v>
      </c>
      <c r="F7" s="197">
        <f ca="1">(Enrollment!C4*AVERAGE(I3:I4)+SUM(Staffing_ClassSize_Report!P35:R35)*I7)/(Enrollment!C4+SUM(Staffing_ClassSize_Report!P35:R35))</f>
        <v>531.87678895801355</v>
      </c>
      <c r="G7" s="189"/>
      <c r="H7" s="193" t="s">
        <v>845</v>
      </c>
      <c r="I7" s="194">
        <v>1060</v>
      </c>
      <c r="J7" t="s">
        <v>907</v>
      </c>
    </row>
    <row r="8" spans="1:10">
      <c r="A8" s="185" t="s">
        <v>539</v>
      </c>
      <c r="B8" s="185"/>
      <c r="E8" s="185" t="s">
        <v>540</v>
      </c>
      <c r="F8" s="197">
        <v>530</v>
      </c>
      <c r="G8" s="189"/>
      <c r="H8" s="189"/>
    </row>
    <row r="10" spans="1:10">
      <c r="A10" s="198" t="s">
        <v>0</v>
      </c>
      <c r="B10" s="199"/>
      <c r="C10" s="199"/>
      <c r="D10" s="199"/>
      <c r="E10" s="199"/>
      <c r="F10" s="199"/>
      <c r="G10" s="199"/>
      <c r="H10" s="199"/>
      <c r="I10" s="200"/>
    </row>
    <row r="11" spans="1:10" s="201" customFormat="1" ht="75" customHeight="1">
      <c r="A11" s="877" t="s">
        <v>909</v>
      </c>
      <c r="B11" s="877"/>
      <c r="C11" s="877"/>
      <c r="D11" s="877"/>
      <c r="E11" s="877"/>
      <c r="F11" s="877"/>
      <c r="G11" s="877"/>
      <c r="H11" s="877"/>
      <c r="I11" s="877"/>
    </row>
    <row r="12" spans="1:10" ht="75" customHeight="1">
      <c r="A12" s="877" t="s">
        <v>910</v>
      </c>
      <c r="B12" s="877"/>
      <c r="C12" s="877"/>
      <c r="D12" s="877"/>
      <c r="E12" s="877"/>
      <c r="F12" s="877"/>
      <c r="G12" s="877"/>
      <c r="H12" s="877"/>
      <c r="I12" s="877"/>
    </row>
    <row r="13" spans="1:10" ht="45" customHeight="1">
      <c r="A13" s="877" t="s">
        <v>908</v>
      </c>
      <c r="B13" s="877"/>
      <c r="C13" s="877"/>
      <c r="D13" s="877"/>
      <c r="E13" s="877"/>
      <c r="F13" s="877"/>
      <c r="G13" s="877"/>
      <c r="H13" s="877"/>
      <c r="I13" s="877"/>
    </row>
  </sheetData>
  <sheetProtection sheet="1" objects="1" scenarios="1"/>
  <mergeCells count="3">
    <mergeCell ref="A13:I13"/>
    <mergeCell ref="A11:I11"/>
    <mergeCell ref="A12:I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188"/>
  <sheetViews>
    <sheetView zoomScaleNormal="100" workbookViewId="0">
      <pane xSplit="7" ySplit="7" topLeftCell="H8" activePane="bottomRight" state="frozen"/>
      <selection activeCell="H31" sqref="H31"/>
      <selection pane="topRight" activeCell="H31" sqref="H31"/>
      <selection pane="bottomLeft" activeCell="H31" sqref="H31"/>
      <selection pane="bottomRight" activeCell="H8" sqref="H8"/>
    </sheetView>
  </sheetViews>
  <sheetFormatPr defaultColWidth="9.140625" defaultRowHeight="15.75" outlineLevelRow="1" outlineLevelCol="1"/>
  <cols>
    <col min="1" max="1" width="20.85546875" style="11" hidden="1" customWidth="1" outlineLevel="1"/>
    <col min="2" max="2" width="4.42578125" style="11" hidden="1" customWidth="1" outlineLevel="1"/>
    <col min="3" max="3" width="79.5703125" style="39" bestFit="1" customWidth="1" collapsed="1"/>
    <col min="4" max="14" width="12.7109375" style="11" customWidth="1"/>
    <col min="15" max="16384" width="9.140625" style="11"/>
  </cols>
  <sheetData>
    <row r="1" spans="1:14">
      <c r="A1" s="10"/>
      <c r="B1" s="10">
        <v>1</v>
      </c>
      <c r="C1" s="17" t="s">
        <v>277</v>
      </c>
      <c r="D1" s="10" t="s">
        <v>0</v>
      </c>
      <c r="E1" s="10"/>
      <c r="F1" s="10"/>
      <c r="G1" s="10"/>
      <c r="H1" s="10"/>
      <c r="I1" s="10"/>
      <c r="J1" s="10"/>
      <c r="K1" s="10"/>
      <c r="L1" s="10"/>
      <c r="M1" s="10"/>
      <c r="N1" s="10"/>
    </row>
    <row r="2" spans="1:14">
      <c r="A2" s="10"/>
      <c r="B2" s="10">
        <v>2</v>
      </c>
      <c r="C2" s="17"/>
      <c r="D2" s="10" t="s">
        <v>1</v>
      </c>
      <c r="E2" s="10"/>
      <c r="F2" s="10"/>
      <c r="G2" s="10"/>
      <c r="H2" s="10"/>
      <c r="I2" s="10"/>
      <c r="J2" s="10"/>
      <c r="K2" s="10"/>
      <c r="L2" s="10"/>
      <c r="M2" s="10"/>
      <c r="N2" s="10"/>
    </row>
    <row r="3" spans="1:14" ht="16.5" thickBot="1">
      <c r="A3" s="10"/>
      <c r="B3" s="10">
        <v>3</v>
      </c>
      <c r="C3" s="17"/>
      <c r="D3" s="12"/>
      <c r="E3" s="12"/>
      <c r="F3" s="12"/>
      <c r="G3" s="12"/>
      <c r="H3" s="222"/>
      <c r="I3" s="222"/>
      <c r="J3" s="222"/>
      <c r="K3" s="222"/>
      <c r="L3" s="222"/>
      <c r="M3" s="222"/>
      <c r="N3" s="222"/>
    </row>
    <row r="4" spans="1:14" s="39" customFormat="1" ht="16.5" thickBot="1">
      <c r="A4" s="17"/>
      <c r="B4" s="17">
        <v>4</v>
      </c>
      <c r="C4" s="252" t="s">
        <v>2</v>
      </c>
      <c r="D4" s="253"/>
      <c r="E4" s="254"/>
      <c r="F4" s="254"/>
      <c r="G4" s="255"/>
      <c r="H4" s="256" t="s">
        <v>3</v>
      </c>
      <c r="I4" s="256"/>
      <c r="J4" s="256"/>
      <c r="K4" s="256"/>
      <c r="L4" s="256"/>
      <c r="M4" s="256"/>
      <c r="N4" s="257"/>
    </row>
    <row r="5" spans="1:14" s="39" customFormat="1">
      <c r="A5" s="17"/>
      <c r="B5" s="17">
        <v>5</v>
      </c>
      <c r="C5" s="240"/>
      <c r="D5" s="241" t="s">
        <v>4</v>
      </c>
      <c r="E5" s="19" t="s">
        <v>936</v>
      </c>
      <c r="F5" s="19" t="s">
        <v>5</v>
      </c>
      <c r="G5" s="258" t="s">
        <v>129</v>
      </c>
      <c r="H5" s="19" t="s">
        <v>4</v>
      </c>
      <c r="I5" s="19" t="s">
        <v>936</v>
      </c>
      <c r="J5" s="19" t="s">
        <v>936</v>
      </c>
      <c r="K5" s="243" t="s">
        <v>5</v>
      </c>
      <c r="L5" s="243" t="s">
        <v>5</v>
      </c>
      <c r="M5" s="19" t="s">
        <v>936</v>
      </c>
      <c r="N5" s="258" t="s">
        <v>936</v>
      </c>
    </row>
    <row r="6" spans="1:14" s="39" customFormat="1" ht="16.5" thickBot="1">
      <c r="A6" s="17" t="s">
        <v>6</v>
      </c>
      <c r="B6" s="17">
        <v>6</v>
      </c>
      <c r="C6" s="240"/>
      <c r="D6" s="244" t="str">
        <f>H6</f>
        <v>2024-25</v>
      </c>
      <c r="E6" s="16" t="s">
        <v>8</v>
      </c>
      <c r="F6" s="16" t="s">
        <v>9</v>
      </c>
      <c r="G6" s="245" t="s">
        <v>128</v>
      </c>
      <c r="H6" s="16" t="str">
        <f>Years!A7</f>
        <v>2024-25</v>
      </c>
      <c r="I6" s="16" t="str">
        <f>Years!B7</f>
        <v>2025-26</v>
      </c>
      <c r="J6" s="16" t="str">
        <f>Years!C7</f>
        <v>2026-27</v>
      </c>
      <c r="K6" s="16" t="str">
        <f>Years!D7</f>
        <v>2027-28</v>
      </c>
      <c r="L6" s="16" t="str">
        <f>Years!E7</f>
        <v>2028-29</v>
      </c>
      <c r="M6" s="16" t="str">
        <f>Years!F7</f>
        <v>2029-30</v>
      </c>
      <c r="N6" s="245" t="str">
        <f>Years!G7</f>
        <v>2030-31</v>
      </c>
    </row>
    <row r="7" spans="1:14" ht="16.5" hidden="1" outlineLevel="1" thickBot="1">
      <c r="A7" s="10"/>
      <c r="B7" s="10">
        <v>7</v>
      </c>
      <c r="C7" s="240"/>
      <c r="D7" s="259"/>
      <c r="E7" s="12"/>
      <c r="F7" s="12"/>
      <c r="G7" s="260"/>
      <c r="H7" s="12" t="str">
        <f t="shared" ref="H7:N7" si="0">CHAR(64+MATCH(H$5, $A$5:$G$5, FALSE))</f>
        <v>D</v>
      </c>
      <c r="I7" s="12" t="str">
        <f t="shared" si="0"/>
        <v>E</v>
      </c>
      <c r="J7" s="12" t="str">
        <f t="shared" si="0"/>
        <v>E</v>
      </c>
      <c r="K7" s="12" t="str">
        <f t="shared" si="0"/>
        <v>F</v>
      </c>
      <c r="L7" s="12" t="str">
        <f t="shared" si="0"/>
        <v>F</v>
      </c>
      <c r="M7" s="12" t="str">
        <f t="shared" si="0"/>
        <v>E</v>
      </c>
      <c r="N7" s="260" t="str">
        <f t="shared" si="0"/>
        <v>E</v>
      </c>
    </row>
    <row r="8" spans="1:14" collapsed="1">
      <c r="A8" s="10"/>
      <c r="B8" s="10">
        <v>8</v>
      </c>
      <c r="C8" s="261" t="s">
        <v>10</v>
      </c>
      <c r="D8" s="259"/>
      <c r="E8" s="12"/>
      <c r="F8" s="12"/>
      <c r="G8" s="260"/>
      <c r="H8" s="12"/>
      <c r="I8" s="12"/>
      <c r="J8" s="12"/>
      <c r="K8" s="12"/>
      <c r="L8" s="12"/>
      <c r="M8" s="12"/>
      <c r="N8" s="260"/>
    </row>
    <row r="9" spans="1:14">
      <c r="A9" s="10"/>
      <c r="B9" s="10">
        <v>9</v>
      </c>
      <c r="C9" s="262"/>
      <c r="D9" s="259"/>
      <c r="E9" s="12"/>
      <c r="F9" s="12"/>
      <c r="G9" s="260"/>
      <c r="H9" s="12"/>
      <c r="I9" s="12"/>
      <c r="J9" s="12"/>
      <c r="K9" s="12"/>
      <c r="L9" s="12"/>
      <c r="M9" s="12"/>
      <c r="N9" s="260"/>
    </row>
    <row r="10" spans="1:14">
      <c r="A10" s="10"/>
      <c r="B10" s="10">
        <v>10</v>
      </c>
      <c r="C10" s="262" t="s">
        <v>11</v>
      </c>
      <c r="D10" s="259"/>
      <c r="E10" s="12"/>
      <c r="F10" s="12"/>
      <c r="G10" s="260"/>
      <c r="H10" s="12"/>
      <c r="I10" s="12"/>
      <c r="J10" s="12"/>
      <c r="K10" s="12"/>
      <c r="L10" s="12"/>
      <c r="M10" s="12"/>
      <c r="N10" s="260"/>
    </row>
    <row r="11" spans="1:14">
      <c r="A11" s="10"/>
      <c r="B11" s="10">
        <v>11</v>
      </c>
      <c r="C11" s="262"/>
      <c r="D11" s="259"/>
      <c r="E11" s="12"/>
      <c r="F11" s="12"/>
      <c r="G11" s="260"/>
      <c r="H11" s="12"/>
      <c r="I11" s="12"/>
      <c r="J11" s="12"/>
      <c r="K11" s="12"/>
      <c r="L11" s="12"/>
      <c r="M11" s="12"/>
      <c r="N11" s="260"/>
    </row>
    <row r="12" spans="1:14">
      <c r="A12" s="10"/>
      <c r="B12" s="10">
        <v>12</v>
      </c>
      <c r="C12" s="262" t="s">
        <v>12</v>
      </c>
      <c r="D12" s="259"/>
      <c r="E12" s="12"/>
      <c r="F12" s="12"/>
      <c r="G12" s="260"/>
      <c r="H12" s="12"/>
      <c r="I12" s="12"/>
      <c r="J12" s="12"/>
      <c r="K12" s="12"/>
      <c r="L12" s="12"/>
      <c r="M12" s="12"/>
      <c r="N12" s="260"/>
    </row>
    <row r="13" spans="1:14">
      <c r="A13" s="10" t="s">
        <v>13</v>
      </c>
      <c r="B13" s="10">
        <v>13</v>
      </c>
      <c r="C13" s="262" t="s">
        <v>1073</v>
      </c>
      <c r="D13" s="263">
        <v>20</v>
      </c>
      <c r="E13" s="264">
        <v>20</v>
      </c>
      <c r="F13" s="264">
        <v>20</v>
      </c>
      <c r="G13" s="265">
        <v>20</v>
      </c>
      <c r="H13" s="264">
        <f t="shared" ref="H13:N14" ca="1" si="1">INDIRECT(H$7 &amp; $B13)</f>
        <v>20</v>
      </c>
      <c r="I13" s="264">
        <f t="shared" ca="1" si="1"/>
        <v>20</v>
      </c>
      <c r="J13" s="264">
        <f t="shared" ca="1" si="1"/>
        <v>20</v>
      </c>
      <c r="K13" s="264">
        <f t="shared" ca="1" si="1"/>
        <v>20</v>
      </c>
      <c r="L13" s="264">
        <f t="shared" ca="1" si="1"/>
        <v>20</v>
      </c>
      <c r="M13" s="264">
        <f t="shared" ca="1" si="1"/>
        <v>20</v>
      </c>
      <c r="N13" s="265">
        <f t="shared" ca="1" si="1"/>
        <v>20</v>
      </c>
    </row>
    <row r="14" spans="1:14">
      <c r="A14" s="10" t="s">
        <v>14</v>
      </c>
      <c r="B14" s="10">
        <v>14</v>
      </c>
      <c r="C14" s="262" t="s">
        <v>1074</v>
      </c>
      <c r="D14" s="266">
        <v>21</v>
      </c>
      <c r="E14" s="145">
        <v>21</v>
      </c>
      <c r="F14" s="145">
        <v>20</v>
      </c>
      <c r="G14" s="267">
        <v>21</v>
      </c>
      <c r="H14" s="264">
        <f t="shared" ca="1" si="1"/>
        <v>21</v>
      </c>
      <c r="I14" s="264">
        <f t="shared" ca="1" si="1"/>
        <v>21</v>
      </c>
      <c r="J14" s="264">
        <f t="shared" ca="1" si="1"/>
        <v>21</v>
      </c>
      <c r="K14" s="264">
        <f t="shared" ca="1" si="1"/>
        <v>20</v>
      </c>
      <c r="L14" s="264">
        <f t="shared" ca="1" si="1"/>
        <v>20</v>
      </c>
      <c r="M14" s="264">
        <f t="shared" ca="1" si="1"/>
        <v>21</v>
      </c>
      <c r="N14" s="265">
        <f t="shared" ca="1" si="1"/>
        <v>21</v>
      </c>
    </row>
    <row r="15" spans="1:14">
      <c r="A15" s="10"/>
      <c r="B15" s="10">
        <v>15</v>
      </c>
      <c r="C15" s="262"/>
      <c r="D15" s="60"/>
      <c r="E15" s="10"/>
      <c r="F15" s="12"/>
      <c r="G15" s="268"/>
      <c r="H15" s="26"/>
      <c r="I15" s="26"/>
      <c r="J15" s="26"/>
      <c r="K15" s="26"/>
      <c r="L15" s="26"/>
      <c r="M15" s="26"/>
      <c r="N15" s="269"/>
    </row>
    <row r="16" spans="1:14">
      <c r="A16" s="10"/>
      <c r="B16" s="10">
        <v>16</v>
      </c>
      <c r="C16" s="262" t="s">
        <v>15</v>
      </c>
      <c r="D16" s="60"/>
      <c r="E16" s="10"/>
      <c r="F16" s="12"/>
      <c r="G16" s="268"/>
      <c r="H16" s="26"/>
      <c r="I16" s="26"/>
      <c r="J16" s="26"/>
      <c r="K16" s="26"/>
      <c r="L16" s="26"/>
      <c r="M16" s="26"/>
      <c r="N16" s="269"/>
    </row>
    <row r="17" spans="1:14">
      <c r="A17" s="10" t="s">
        <v>16</v>
      </c>
      <c r="B17" s="10">
        <v>17</v>
      </c>
      <c r="C17" s="262" t="s">
        <v>1075</v>
      </c>
      <c r="D17" s="270">
        <v>0.1</v>
      </c>
      <c r="E17" s="271">
        <v>0.1</v>
      </c>
      <c r="F17" s="271">
        <v>0.2</v>
      </c>
      <c r="G17" s="272">
        <v>0.1</v>
      </c>
      <c r="H17" s="236">
        <f t="shared" ref="H17:N17" ca="1" si="2">INDIRECT(H$7 &amp; $B17)</f>
        <v>0.1</v>
      </c>
      <c r="I17" s="236">
        <f t="shared" ca="1" si="2"/>
        <v>0.1</v>
      </c>
      <c r="J17" s="236">
        <f t="shared" ca="1" si="2"/>
        <v>0.1</v>
      </c>
      <c r="K17" s="236">
        <f t="shared" ca="1" si="2"/>
        <v>0.2</v>
      </c>
      <c r="L17" s="236">
        <f t="shared" ca="1" si="2"/>
        <v>0.2</v>
      </c>
      <c r="M17" s="236">
        <f t="shared" ca="1" si="2"/>
        <v>0.1</v>
      </c>
      <c r="N17" s="246">
        <f t="shared" ca="1" si="2"/>
        <v>0.1</v>
      </c>
    </row>
    <row r="18" spans="1:14">
      <c r="A18" s="10"/>
      <c r="B18" s="10">
        <v>18</v>
      </c>
      <c r="C18" s="262"/>
      <c r="D18" s="60"/>
      <c r="E18" s="10"/>
      <c r="F18" s="12"/>
      <c r="G18" s="268"/>
      <c r="H18" s="236"/>
      <c r="I18" s="236"/>
      <c r="J18" s="236"/>
      <c r="K18" s="236"/>
      <c r="L18" s="236"/>
      <c r="M18" s="236"/>
      <c r="N18" s="246"/>
    </row>
    <row r="19" spans="1:14">
      <c r="A19" s="10"/>
      <c r="B19" s="10">
        <v>19</v>
      </c>
      <c r="C19" s="262" t="s">
        <v>17</v>
      </c>
      <c r="D19" s="60"/>
      <c r="E19" s="10"/>
      <c r="F19" s="12"/>
      <c r="G19" s="268"/>
      <c r="H19" s="236"/>
      <c r="I19" s="236"/>
      <c r="J19" s="236"/>
      <c r="K19" s="236"/>
      <c r="L19" s="236"/>
      <c r="M19" s="236"/>
      <c r="N19" s="246"/>
    </row>
    <row r="20" spans="1:14">
      <c r="A20" s="10" t="s">
        <v>18</v>
      </c>
      <c r="B20" s="10">
        <v>20</v>
      </c>
      <c r="C20" s="262" t="s">
        <v>1076</v>
      </c>
      <c r="D20" s="270">
        <v>0.2</v>
      </c>
      <c r="E20" s="271">
        <v>0.25</v>
      </c>
      <c r="F20" s="271">
        <v>0.25</v>
      </c>
      <c r="G20" s="272">
        <v>0.25</v>
      </c>
      <c r="H20" s="236">
        <f t="shared" ref="H20:N21" ca="1" si="3">INDIRECT(H$7 &amp; $B20)</f>
        <v>0.2</v>
      </c>
      <c r="I20" s="236">
        <f t="shared" ca="1" si="3"/>
        <v>0.25</v>
      </c>
      <c r="J20" s="236">
        <f t="shared" ca="1" si="3"/>
        <v>0.25</v>
      </c>
      <c r="K20" s="236">
        <f t="shared" ca="1" si="3"/>
        <v>0.25</v>
      </c>
      <c r="L20" s="236">
        <f t="shared" ca="1" si="3"/>
        <v>0.25</v>
      </c>
      <c r="M20" s="236">
        <f t="shared" ca="1" si="3"/>
        <v>0.25</v>
      </c>
      <c r="N20" s="246">
        <f t="shared" ca="1" si="3"/>
        <v>0.25</v>
      </c>
    </row>
    <row r="21" spans="1:14">
      <c r="A21" s="10" t="s">
        <v>19</v>
      </c>
      <c r="B21" s="10">
        <v>21</v>
      </c>
      <c r="C21" s="262" t="s">
        <v>1077</v>
      </c>
      <c r="D21" s="270">
        <v>0.2</v>
      </c>
      <c r="E21" s="271">
        <v>0.25</v>
      </c>
      <c r="F21" s="271">
        <v>0.25</v>
      </c>
      <c r="G21" s="272">
        <v>0.25</v>
      </c>
      <c r="H21" s="236">
        <f t="shared" ca="1" si="3"/>
        <v>0.2</v>
      </c>
      <c r="I21" s="236">
        <f t="shared" ca="1" si="3"/>
        <v>0.25</v>
      </c>
      <c r="J21" s="236">
        <f t="shared" ca="1" si="3"/>
        <v>0.25</v>
      </c>
      <c r="K21" s="236">
        <f t="shared" ca="1" si="3"/>
        <v>0.25</v>
      </c>
      <c r="L21" s="236">
        <f t="shared" ca="1" si="3"/>
        <v>0.25</v>
      </c>
      <c r="M21" s="236">
        <f t="shared" ca="1" si="3"/>
        <v>0.25</v>
      </c>
      <c r="N21" s="246">
        <f t="shared" ca="1" si="3"/>
        <v>0.25</v>
      </c>
    </row>
    <row r="22" spans="1:14">
      <c r="A22" s="10"/>
      <c r="B22" s="10">
        <v>22</v>
      </c>
      <c r="C22" s="262"/>
      <c r="D22" s="60"/>
      <c r="E22" s="10"/>
      <c r="F22" s="12"/>
      <c r="G22" s="268"/>
      <c r="H22" s="26"/>
      <c r="I22" s="26"/>
      <c r="J22" s="26"/>
      <c r="K22" s="26"/>
      <c r="L22" s="26"/>
      <c r="M22" s="26"/>
      <c r="N22" s="269"/>
    </row>
    <row r="23" spans="1:14">
      <c r="A23" s="10"/>
      <c r="B23" s="10">
        <v>23</v>
      </c>
      <c r="C23" s="262" t="s">
        <v>20</v>
      </c>
      <c r="D23" s="60"/>
      <c r="E23" s="10"/>
      <c r="F23" s="12"/>
      <c r="G23" s="268"/>
      <c r="H23" s="26"/>
      <c r="I23" s="26"/>
      <c r="J23" s="26"/>
      <c r="K23" s="26"/>
      <c r="L23" s="26"/>
      <c r="M23" s="26"/>
      <c r="N23" s="269"/>
    </row>
    <row r="24" spans="1:14">
      <c r="A24" s="10"/>
      <c r="B24" s="10">
        <v>24</v>
      </c>
      <c r="C24" s="262"/>
      <c r="D24" s="60"/>
      <c r="E24" s="10"/>
      <c r="F24" s="12"/>
      <c r="G24" s="268"/>
      <c r="H24" s="26"/>
      <c r="I24" s="26"/>
      <c r="J24" s="26"/>
      <c r="K24" s="26"/>
      <c r="L24" s="26"/>
      <c r="M24" s="26"/>
      <c r="N24" s="269"/>
    </row>
    <row r="25" spans="1:14">
      <c r="A25" s="10"/>
      <c r="B25" s="10">
        <v>25</v>
      </c>
      <c r="C25" s="262" t="s">
        <v>21</v>
      </c>
      <c r="D25" s="273"/>
      <c r="E25" s="274"/>
      <c r="F25" s="274"/>
      <c r="G25" s="275"/>
      <c r="H25" s="26"/>
      <c r="I25" s="26"/>
      <c r="J25" s="26"/>
      <c r="K25" s="26"/>
      <c r="L25" s="26"/>
      <c r="M25" s="26"/>
      <c r="N25" s="269"/>
    </row>
    <row r="26" spans="1:14">
      <c r="A26" s="10" t="s">
        <v>22</v>
      </c>
      <c r="B26" s="10">
        <v>26</v>
      </c>
      <c r="C26" s="262" t="s">
        <v>1075</v>
      </c>
      <c r="D26" s="266">
        <v>1</v>
      </c>
      <c r="E26" s="145">
        <v>1</v>
      </c>
      <c r="F26" s="145">
        <v>2</v>
      </c>
      <c r="G26" s="267">
        <v>1</v>
      </c>
      <c r="H26" s="276">
        <f t="shared" ref="H26:N28" ca="1" si="4">INDIRECT(H$7 &amp; $B26)</f>
        <v>1</v>
      </c>
      <c r="I26" s="276">
        <f t="shared" ca="1" si="4"/>
        <v>1</v>
      </c>
      <c r="J26" s="276">
        <f t="shared" ca="1" si="4"/>
        <v>1</v>
      </c>
      <c r="K26" s="276">
        <f t="shared" ca="1" si="4"/>
        <v>2</v>
      </c>
      <c r="L26" s="276">
        <f t="shared" ca="1" si="4"/>
        <v>2</v>
      </c>
      <c r="M26" s="276">
        <f t="shared" ca="1" si="4"/>
        <v>1</v>
      </c>
      <c r="N26" s="277">
        <f t="shared" ca="1" si="4"/>
        <v>1</v>
      </c>
    </row>
    <row r="27" spans="1:14">
      <c r="A27" s="10" t="s">
        <v>23</v>
      </c>
      <c r="B27" s="10">
        <v>27</v>
      </c>
      <c r="C27" s="262" t="s">
        <v>1076</v>
      </c>
      <c r="D27" s="266">
        <v>1</v>
      </c>
      <c r="E27" s="145">
        <v>1</v>
      </c>
      <c r="F27" s="145">
        <v>2</v>
      </c>
      <c r="G27" s="267">
        <v>1</v>
      </c>
      <c r="H27" s="276">
        <f t="shared" ca="1" si="4"/>
        <v>1</v>
      </c>
      <c r="I27" s="276">
        <f t="shared" ca="1" si="4"/>
        <v>1</v>
      </c>
      <c r="J27" s="276">
        <f t="shared" ca="1" si="4"/>
        <v>1</v>
      </c>
      <c r="K27" s="276">
        <f t="shared" ca="1" si="4"/>
        <v>2</v>
      </c>
      <c r="L27" s="276">
        <f t="shared" ca="1" si="4"/>
        <v>2</v>
      </c>
      <c r="M27" s="276">
        <f t="shared" ca="1" si="4"/>
        <v>1</v>
      </c>
      <c r="N27" s="277">
        <f t="shared" ca="1" si="4"/>
        <v>1</v>
      </c>
    </row>
    <row r="28" spans="1:14">
      <c r="A28" s="10" t="s">
        <v>24</v>
      </c>
      <c r="B28" s="10">
        <v>28</v>
      </c>
      <c r="C28" s="262" t="s">
        <v>1077</v>
      </c>
      <c r="D28" s="266">
        <v>1</v>
      </c>
      <c r="E28" s="145">
        <v>1</v>
      </c>
      <c r="F28" s="145">
        <v>2</v>
      </c>
      <c r="G28" s="267">
        <v>1</v>
      </c>
      <c r="H28" s="276">
        <f t="shared" ca="1" si="4"/>
        <v>1</v>
      </c>
      <c r="I28" s="276">
        <f t="shared" ca="1" si="4"/>
        <v>1</v>
      </c>
      <c r="J28" s="276">
        <f t="shared" ca="1" si="4"/>
        <v>1</v>
      </c>
      <c r="K28" s="276">
        <f t="shared" ca="1" si="4"/>
        <v>2</v>
      </c>
      <c r="L28" s="276">
        <f t="shared" ca="1" si="4"/>
        <v>2</v>
      </c>
      <c r="M28" s="276">
        <f t="shared" ca="1" si="4"/>
        <v>1</v>
      </c>
      <c r="N28" s="277">
        <f t="shared" ca="1" si="4"/>
        <v>1</v>
      </c>
    </row>
    <row r="29" spans="1:14">
      <c r="A29" s="10"/>
      <c r="B29" s="10">
        <v>29</v>
      </c>
      <c r="C29" s="262"/>
      <c r="D29" s="278"/>
      <c r="E29" s="279"/>
      <c r="F29" s="145"/>
      <c r="G29" s="280"/>
      <c r="H29" s="276"/>
      <c r="I29" s="276"/>
      <c r="J29" s="276"/>
      <c r="K29" s="276"/>
      <c r="L29" s="276"/>
      <c r="M29" s="276"/>
      <c r="N29" s="277"/>
    </row>
    <row r="30" spans="1:14">
      <c r="A30" s="10"/>
      <c r="B30" s="10">
        <v>30</v>
      </c>
      <c r="C30" s="262" t="s">
        <v>25</v>
      </c>
      <c r="D30" s="273"/>
      <c r="E30" s="274"/>
      <c r="F30" s="274"/>
      <c r="G30" s="275"/>
      <c r="H30" s="276"/>
      <c r="I30" s="276"/>
      <c r="J30" s="276"/>
      <c r="K30" s="276"/>
      <c r="L30" s="276"/>
      <c r="M30" s="276"/>
      <c r="N30" s="277"/>
    </row>
    <row r="31" spans="1:14">
      <c r="A31" s="242" t="s">
        <v>26</v>
      </c>
      <c r="B31" s="10">
        <v>31</v>
      </c>
      <c r="C31" s="262" t="s">
        <v>1075</v>
      </c>
      <c r="D31" s="273">
        <v>3</v>
      </c>
      <c r="E31" s="274">
        <v>3</v>
      </c>
      <c r="F31" s="274">
        <v>4.5</v>
      </c>
      <c r="G31" s="275">
        <v>3</v>
      </c>
      <c r="H31" s="276">
        <f t="shared" ref="H31:N33" ca="1" si="5">INDIRECT(H$7 &amp; $B31)</f>
        <v>3</v>
      </c>
      <c r="I31" s="276">
        <f t="shared" ca="1" si="5"/>
        <v>3</v>
      </c>
      <c r="J31" s="276">
        <f t="shared" ca="1" si="5"/>
        <v>3</v>
      </c>
      <c r="K31" s="276">
        <f t="shared" ca="1" si="5"/>
        <v>4.5</v>
      </c>
      <c r="L31" s="276">
        <f t="shared" ca="1" si="5"/>
        <v>4.5</v>
      </c>
      <c r="M31" s="276">
        <f t="shared" ca="1" si="5"/>
        <v>3</v>
      </c>
      <c r="N31" s="277">
        <f t="shared" ca="1" si="5"/>
        <v>3</v>
      </c>
    </row>
    <row r="32" spans="1:14">
      <c r="A32" s="242" t="s">
        <v>27</v>
      </c>
      <c r="B32" s="10">
        <v>32</v>
      </c>
      <c r="C32" s="262" t="s">
        <v>1076</v>
      </c>
      <c r="D32" s="273">
        <v>0.75</v>
      </c>
      <c r="E32" s="274">
        <v>0.75</v>
      </c>
      <c r="F32" s="274">
        <v>1.5</v>
      </c>
      <c r="G32" s="275">
        <v>0.75</v>
      </c>
      <c r="H32" s="276">
        <f t="shared" ca="1" si="5"/>
        <v>0.75</v>
      </c>
      <c r="I32" s="276">
        <f t="shared" ca="1" si="5"/>
        <v>0.75</v>
      </c>
      <c r="J32" s="276">
        <f t="shared" ca="1" si="5"/>
        <v>0.75</v>
      </c>
      <c r="K32" s="276">
        <f t="shared" ca="1" si="5"/>
        <v>1.5</v>
      </c>
      <c r="L32" s="276">
        <f t="shared" ca="1" si="5"/>
        <v>1.5</v>
      </c>
      <c r="M32" s="276">
        <f t="shared" ca="1" si="5"/>
        <v>0.75</v>
      </c>
      <c r="N32" s="277">
        <f t="shared" ca="1" si="5"/>
        <v>0.75</v>
      </c>
    </row>
    <row r="33" spans="1:14">
      <c r="A33" s="242" t="s">
        <v>28</v>
      </c>
      <c r="B33" s="10">
        <v>33</v>
      </c>
      <c r="C33" s="262" t="s">
        <v>1077</v>
      </c>
      <c r="D33" s="273">
        <v>1.5</v>
      </c>
      <c r="E33" s="274">
        <v>1.5</v>
      </c>
      <c r="F33" s="274">
        <v>3</v>
      </c>
      <c r="G33" s="275">
        <v>1.5</v>
      </c>
      <c r="H33" s="276">
        <f t="shared" ca="1" si="5"/>
        <v>1.5</v>
      </c>
      <c r="I33" s="276">
        <f t="shared" ca="1" si="5"/>
        <v>1.5</v>
      </c>
      <c r="J33" s="276">
        <f t="shared" ca="1" si="5"/>
        <v>1.5</v>
      </c>
      <c r="K33" s="276">
        <f t="shared" ca="1" si="5"/>
        <v>3</v>
      </c>
      <c r="L33" s="276">
        <f t="shared" ca="1" si="5"/>
        <v>3</v>
      </c>
      <c r="M33" s="276">
        <f t="shared" ca="1" si="5"/>
        <v>1.5</v>
      </c>
      <c r="N33" s="277">
        <f t="shared" ca="1" si="5"/>
        <v>1.5</v>
      </c>
    </row>
    <row r="34" spans="1:14">
      <c r="A34" s="10"/>
      <c r="B34" s="10">
        <v>34</v>
      </c>
      <c r="C34" s="262"/>
      <c r="D34" s="273"/>
      <c r="E34" s="274"/>
      <c r="F34" s="274"/>
      <c r="G34" s="275"/>
      <c r="H34" s="26"/>
      <c r="I34" s="26"/>
      <c r="J34" s="26"/>
      <c r="K34" s="26"/>
      <c r="L34" s="26"/>
      <c r="M34" s="26"/>
      <c r="N34" s="269"/>
    </row>
    <row r="35" spans="1:14">
      <c r="A35" s="10"/>
      <c r="B35" s="10">
        <v>35</v>
      </c>
      <c r="C35" s="262" t="s">
        <v>29</v>
      </c>
      <c r="D35" s="60"/>
      <c r="E35" s="10"/>
      <c r="F35" s="10"/>
      <c r="G35" s="268"/>
      <c r="H35" s="26"/>
      <c r="I35" s="26"/>
      <c r="J35" s="26"/>
      <c r="K35" s="26"/>
      <c r="L35" s="26"/>
      <c r="M35" s="26"/>
      <c r="N35" s="269"/>
    </row>
    <row r="36" spans="1:14">
      <c r="A36" s="10" t="s">
        <v>30</v>
      </c>
      <c r="B36" s="10">
        <v>36</v>
      </c>
      <c r="C36" s="262" t="s">
        <v>1075</v>
      </c>
      <c r="D36" s="266">
        <v>2</v>
      </c>
      <c r="E36" s="145">
        <v>2</v>
      </c>
      <c r="F36" s="145">
        <v>6</v>
      </c>
      <c r="G36" s="267">
        <v>2</v>
      </c>
      <c r="H36" s="276">
        <f t="shared" ref="H36:N38" ca="1" si="6">INDIRECT(H$7 &amp; $B36)</f>
        <v>2</v>
      </c>
      <c r="I36" s="276">
        <f t="shared" ca="1" si="6"/>
        <v>2</v>
      </c>
      <c r="J36" s="276">
        <f t="shared" ca="1" si="6"/>
        <v>2</v>
      </c>
      <c r="K36" s="276">
        <f t="shared" ca="1" si="6"/>
        <v>6</v>
      </c>
      <c r="L36" s="276">
        <f t="shared" ca="1" si="6"/>
        <v>6</v>
      </c>
      <c r="M36" s="276">
        <f t="shared" ca="1" si="6"/>
        <v>2</v>
      </c>
      <c r="N36" s="277">
        <f t="shared" ca="1" si="6"/>
        <v>2</v>
      </c>
    </row>
    <row r="37" spans="1:14">
      <c r="A37" s="10" t="s">
        <v>31</v>
      </c>
      <c r="B37" s="10">
        <v>37</v>
      </c>
      <c r="C37" s="262" t="s">
        <v>1076</v>
      </c>
      <c r="D37" s="266">
        <v>2</v>
      </c>
      <c r="E37" s="145">
        <v>2</v>
      </c>
      <c r="F37" s="145">
        <v>4</v>
      </c>
      <c r="G37" s="267">
        <v>2</v>
      </c>
      <c r="H37" s="276">
        <f t="shared" ca="1" si="6"/>
        <v>2</v>
      </c>
      <c r="I37" s="276">
        <f t="shared" ca="1" si="6"/>
        <v>2</v>
      </c>
      <c r="J37" s="276">
        <f t="shared" ca="1" si="6"/>
        <v>2</v>
      </c>
      <c r="K37" s="276">
        <f t="shared" ca="1" si="6"/>
        <v>4</v>
      </c>
      <c r="L37" s="276">
        <f t="shared" ca="1" si="6"/>
        <v>4</v>
      </c>
      <c r="M37" s="276">
        <f t="shared" ca="1" si="6"/>
        <v>2</v>
      </c>
      <c r="N37" s="277">
        <f t="shared" ca="1" si="6"/>
        <v>2</v>
      </c>
    </row>
    <row r="38" spans="1:14">
      <c r="A38" s="10" t="s">
        <v>32</v>
      </c>
      <c r="B38" s="10">
        <v>38</v>
      </c>
      <c r="C38" s="262" t="s">
        <v>1077</v>
      </c>
      <c r="D38" s="266">
        <v>2</v>
      </c>
      <c r="E38" s="145">
        <v>2</v>
      </c>
      <c r="F38" s="145">
        <v>4</v>
      </c>
      <c r="G38" s="267">
        <v>2</v>
      </c>
      <c r="H38" s="276">
        <f t="shared" ca="1" si="6"/>
        <v>2</v>
      </c>
      <c r="I38" s="276">
        <f t="shared" ca="1" si="6"/>
        <v>2</v>
      </c>
      <c r="J38" s="276">
        <f t="shared" ca="1" si="6"/>
        <v>2</v>
      </c>
      <c r="K38" s="276">
        <f t="shared" ca="1" si="6"/>
        <v>4</v>
      </c>
      <c r="L38" s="276">
        <f t="shared" ca="1" si="6"/>
        <v>4</v>
      </c>
      <c r="M38" s="276">
        <f t="shared" ca="1" si="6"/>
        <v>2</v>
      </c>
      <c r="N38" s="277">
        <f t="shared" ca="1" si="6"/>
        <v>2</v>
      </c>
    </row>
    <row r="39" spans="1:14">
      <c r="A39" s="10"/>
      <c r="B39" s="10">
        <v>39</v>
      </c>
      <c r="C39" s="262"/>
      <c r="D39" s="273"/>
      <c r="E39" s="274"/>
      <c r="F39" s="274"/>
      <c r="G39" s="275"/>
      <c r="H39" s="276"/>
      <c r="I39" s="276"/>
      <c r="J39" s="276"/>
      <c r="K39" s="276"/>
      <c r="L39" s="276"/>
      <c r="M39" s="276"/>
      <c r="N39" s="277"/>
    </row>
    <row r="40" spans="1:14">
      <c r="A40" s="10"/>
      <c r="B40" s="10">
        <v>40</v>
      </c>
      <c r="C40" s="262" t="s">
        <v>33</v>
      </c>
      <c r="D40" s="60"/>
      <c r="E40" s="10"/>
      <c r="F40" s="10"/>
      <c r="G40" s="268"/>
      <c r="H40" s="276"/>
      <c r="I40" s="276"/>
      <c r="J40" s="276"/>
      <c r="K40" s="276"/>
      <c r="L40" s="276"/>
      <c r="M40" s="276"/>
      <c r="N40" s="277"/>
    </row>
    <row r="41" spans="1:14">
      <c r="A41" s="10" t="s">
        <v>34</v>
      </c>
      <c r="B41" s="10">
        <v>41</v>
      </c>
      <c r="C41" s="262" t="s">
        <v>1075</v>
      </c>
      <c r="D41" s="266">
        <v>3</v>
      </c>
      <c r="E41" s="145">
        <v>3</v>
      </c>
      <c r="F41" s="145">
        <v>4</v>
      </c>
      <c r="G41" s="267">
        <v>3</v>
      </c>
      <c r="H41" s="276">
        <f t="shared" ref="H41:N43" ca="1" si="7">INDIRECT(H$7 &amp; $B41)</f>
        <v>3</v>
      </c>
      <c r="I41" s="276">
        <f t="shared" ca="1" si="7"/>
        <v>3</v>
      </c>
      <c r="J41" s="276">
        <f t="shared" ca="1" si="7"/>
        <v>3</v>
      </c>
      <c r="K41" s="276">
        <f t="shared" ca="1" si="7"/>
        <v>4</v>
      </c>
      <c r="L41" s="276">
        <f t="shared" ca="1" si="7"/>
        <v>4</v>
      </c>
      <c r="M41" s="276">
        <f t="shared" ca="1" si="7"/>
        <v>3</v>
      </c>
      <c r="N41" s="277">
        <f t="shared" ca="1" si="7"/>
        <v>3</v>
      </c>
    </row>
    <row r="42" spans="1:14">
      <c r="A42" s="10" t="s">
        <v>35</v>
      </c>
      <c r="B42" s="10">
        <v>42</v>
      </c>
      <c r="C42" s="262" t="s">
        <v>1076</v>
      </c>
      <c r="D42" s="266">
        <v>3</v>
      </c>
      <c r="E42" s="145">
        <v>3</v>
      </c>
      <c r="F42" s="145">
        <v>4</v>
      </c>
      <c r="G42" s="267">
        <v>3</v>
      </c>
      <c r="H42" s="276">
        <f t="shared" ca="1" si="7"/>
        <v>3</v>
      </c>
      <c r="I42" s="276">
        <f t="shared" ca="1" si="7"/>
        <v>3</v>
      </c>
      <c r="J42" s="276">
        <f t="shared" ca="1" si="7"/>
        <v>3</v>
      </c>
      <c r="K42" s="276">
        <f t="shared" ca="1" si="7"/>
        <v>4</v>
      </c>
      <c r="L42" s="276">
        <f t="shared" ca="1" si="7"/>
        <v>4</v>
      </c>
      <c r="M42" s="276">
        <f t="shared" ca="1" si="7"/>
        <v>3</v>
      </c>
      <c r="N42" s="277">
        <f t="shared" ca="1" si="7"/>
        <v>3</v>
      </c>
    </row>
    <row r="43" spans="1:14">
      <c r="A43" s="10" t="s">
        <v>36</v>
      </c>
      <c r="B43" s="10">
        <v>43</v>
      </c>
      <c r="C43" s="262" t="s">
        <v>1077</v>
      </c>
      <c r="D43" s="266">
        <v>3</v>
      </c>
      <c r="E43" s="145">
        <v>3</v>
      </c>
      <c r="F43" s="145">
        <v>4</v>
      </c>
      <c r="G43" s="267">
        <v>3</v>
      </c>
      <c r="H43" s="276">
        <f t="shared" ca="1" si="7"/>
        <v>3</v>
      </c>
      <c r="I43" s="276">
        <f t="shared" ca="1" si="7"/>
        <v>3</v>
      </c>
      <c r="J43" s="276">
        <f t="shared" ca="1" si="7"/>
        <v>3</v>
      </c>
      <c r="K43" s="276">
        <f t="shared" ca="1" si="7"/>
        <v>4</v>
      </c>
      <c r="L43" s="276">
        <f t="shared" ca="1" si="7"/>
        <v>4</v>
      </c>
      <c r="M43" s="276">
        <f t="shared" ca="1" si="7"/>
        <v>3</v>
      </c>
      <c r="N43" s="277">
        <f t="shared" ca="1" si="7"/>
        <v>3</v>
      </c>
    </row>
    <row r="44" spans="1:14">
      <c r="A44" s="10"/>
      <c r="B44" s="10">
        <v>44</v>
      </c>
      <c r="C44" s="262"/>
      <c r="D44" s="266"/>
      <c r="E44" s="145"/>
      <c r="F44" s="145"/>
      <c r="G44" s="267"/>
      <c r="H44" s="26"/>
      <c r="I44" s="26"/>
      <c r="J44" s="26"/>
      <c r="K44" s="26"/>
      <c r="L44" s="26"/>
      <c r="M44" s="26"/>
      <c r="N44" s="269"/>
    </row>
    <row r="45" spans="1:14">
      <c r="A45" s="10"/>
      <c r="B45" s="10">
        <v>45</v>
      </c>
      <c r="C45" s="262" t="s">
        <v>37</v>
      </c>
      <c r="D45" s="60"/>
      <c r="E45" s="10"/>
      <c r="F45" s="10"/>
      <c r="G45" s="268"/>
      <c r="H45" s="26"/>
      <c r="I45" s="26"/>
      <c r="J45" s="26"/>
      <c r="K45" s="26"/>
      <c r="L45" s="26"/>
      <c r="M45" s="26"/>
      <c r="N45" s="269"/>
    </row>
    <row r="46" spans="1:14">
      <c r="A46" s="10" t="s">
        <v>38</v>
      </c>
      <c r="B46" s="10">
        <v>46</v>
      </c>
      <c r="C46" s="262" t="s">
        <v>1075</v>
      </c>
      <c r="D46" s="281">
        <v>27.83</v>
      </c>
      <c r="E46" s="130">
        <f>D46*(1+GrowthFactors!$D$9)</f>
        <v>28.628947368421048</v>
      </c>
      <c r="F46" s="130">
        <v>30</v>
      </c>
      <c r="G46" s="251">
        <v>28.628947368421048</v>
      </c>
      <c r="H46" s="237">
        <f t="shared" ref="H46:N48" ca="1" si="8">INDIRECT(H$7 &amp; $B46)</f>
        <v>27.83</v>
      </c>
      <c r="I46" s="237">
        <f t="shared" ca="1" si="8"/>
        <v>28.628947368421048</v>
      </c>
      <c r="J46" s="237">
        <f t="shared" ca="1" si="8"/>
        <v>28.628947368421048</v>
      </c>
      <c r="K46" s="237">
        <f t="shared" ca="1" si="8"/>
        <v>30</v>
      </c>
      <c r="L46" s="237">
        <f t="shared" ca="1" si="8"/>
        <v>30</v>
      </c>
      <c r="M46" s="237">
        <f t="shared" ca="1" si="8"/>
        <v>28.628947368421048</v>
      </c>
      <c r="N46" s="247">
        <f t="shared" ca="1" si="8"/>
        <v>28.628947368421048</v>
      </c>
    </row>
    <row r="47" spans="1:14">
      <c r="A47" s="10" t="s">
        <v>39</v>
      </c>
      <c r="B47" s="10">
        <v>47</v>
      </c>
      <c r="C47" s="262" t="s">
        <v>1076</v>
      </c>
      <c r="D47" s="281">
        <v>27.83</v>
      </c>
      <c r="E47" s="130">
        <f>D47*(1+GrowthFactors!$D$9)</f>
        <v>28.628947368421048</v>
      </c>
      <c r="F47" s="130">
        <v>30</v>
      </c>
      <c r="G47" s="251">
        <v>28.628947368421048</v>
      </c>
      <c r="H47" s="237">
        <f t="shared" ca="1" si="8"/>
        <v>27.83</v>
      </c>
      <c r="I47" s="237">
        <f t="shared" ca="1" si="8"/>
        <v>28.628947368421048</v>
      </c>
      <c r="J47" s="237">
        <f t="shared" ca="1" si="8"/>
        <v>28.628947368421048</v>
      </c>
      <c r="K47" s="237">
        <f t="shared" ca="1" si="8"/>
        <v>30</v>
      </c>
      <c r="L47" s="237">
        <f t="shared" ca="1" si="8"/>
        <v>30</v>
      </c>
      <c r="M47" s="237">
        <f t="shared" ca="1" si="8"/>
        <v>28.628947368421048</v>
      </c>
      <c r="N47" s="247">
        <f t="shared" ca="1" si="8"/>
        <v>28.628947368421048</v>
      </c>
    </row>
    <row r="48" spans="1:14">
      <c r="A48" s="10" t="s">
        <v>40</v>
      </c>
      <c r="B48" s="10">
        <v>48</v>
      </c>
      <c r="C48" s="262" t="s">
        <v>1077</v>
      </c>
      <c r="D48" s="281">
        <v>27.83</v>
      </c>
      <c r="E48" s="130">
        <f>D48*(1+GrowthFactors!$D$9)</f>
        <v>28.628947368421048</v>
      </c>
      <c r="F48" s="130">
        <v>30</v>
      </c>
      <c r="G48" s="251">
        <v>28.628947368421048</v>
      </c>
      <c r="H48" s="237">
        <f t="shared" ca="1" si="8"/>
        <v>27.83</v>
      </c>
      <c r="I48" s="237">
        <f t="shared" ca="1" si="8"/>
        <v>28.628947368421048</v>
      </c>
      <c r="J48" s="237">
        <f t="shared" ca="1" si="8"/>
        <v>28.628947368421048</v>
      </c>
      <c r="K48" s="237">
        <f t="shared" ca="1" si="8"/>
        <v>30</v>
      </c>
      <c r="L48" s="237">
        <f t="shared" ca="1" si="8"/>
        <v>30</v>
      </c>
      <c r="M48" s="237">
        <f t="shared" ca="1" si="8"/>
        <v>28.628947368421048</v>
      </c>
      <c r="N48" s="247">
        <f t="shared" ca="1" si="8"/>
        <v>28.628947368421048</v>
      </c>
    </row>
    <row r="49" spans="1:14">
      <c r="A49" s="10"/>
      <c r="B49" s="10">
        <v>49</v>
      </c>
      <c r="C49" s="262"/>
      <c r="D49" s="273"/>
      <c r="E49" s="274"/>
      <c r="F49" s="274"/>
      <c r="G49" s="275"/>
      <c r="H49" s="237"/>
      <c r="I49" s="237"/>
      <c r="J49" s="237"/>
      <c r="K49" s="237"/>
      <c r="L49" s="237"/>
      <c r="M49" s="237"/>
      <c r="N49" s="247"/>
    </row>
    <row r="50" spans="1:14">
      <c r="A50" s="10"/>
      <c r="B50" s="10">
        <v>50</v>
      </c>
      <c r="C50" s="262" t="s">
        <v>894</v>
      </c>
      <c r="D50" s="273"/>
      <c r="E50" s="274"/>
      <c r="F50" s="274"/>
      <c r="G50" s="275"/>
      <c r="H50" s="237"/>
      <c r="I50" s="237"/>
      <c r="J50" s="237"/>
      <c r="K50" s="237"/>
      <c r="L50" s="237"/>
      <c r="M50" s="237"/>
      <c r="N50" s="247"/>
    </row>
    <row r="51" spans="1:14">
      <c r="A51" s="10" t="s">
        <v>41</v>
      </c>
      <c r="B51" s="10">
        <v>51</v>
      </c>
      <c r="C51" s="262" t="s">
        <v>1075</v>
      </c>
      <c r="D51" s="281">
        <v>118</v>
      </c>
      <c r="E51" s="130">
        <v>118</v>
      </c>
      <c r="F51" s="130">
        <v>118</v>
      </c>
      <c r="G51" s="251">
        <v>118</v>
      </c>
      <c r="H51" s="237">
        <f t="shared" ref="H51:N53" ca="1" si="9">INDIRECT(H$7 &amp; $B51)</f>
        <v>118</v>
      </c>
      <c r="I51" s="237">
        <f t="shared" ca="1" si="9"/>
        <v>118</v>
      </c>
      <c r="J51" s="237">
        <f t="shared" ca="1" si="9"/>
        <v>118</v>
      </c>
      <c r="K51" s="237">
        <f t="shared" ca="1" si="9"/>
        <v>118</v>
      </c>
      <c r="L51" s="237">
        <f t="shared" ca="1" si="9"/>
        <v>118</v>
      </c>
      <c r="M51" s="237">
        <f t="shared" ca="1" si="9"/>
        <v>118</v>
      </c>
      <c r="N51" s="247">
        <f t="shared" ca="1" si="9"/>
        <v>118</v>
      </c>
    </row>
    <row r="52" spans="1:14">
      <c r="A52" s="10" t="s">
        <v>42</v>
      </c>
      <c r="B52" s="10">
        <v>52</v>
      </c>
      <c r="C52" s="262" t="s">
        <v>1076</v>
      </c>
      <c r="D52" s="281">
        <v>99</v>
      </c>
      <c r="E52" s="130">
        <v>99</v>
      </c>
      <c r="F52" s="130">
        <v>99</v>
      </c>
      <c r="G52" s="251">
        <v>99</v>
      </c>
      <c r="H52" s="237">
        <f t="shared" ca="1" si="9"/>
        <v>99</v>
      </c>
      <c r="I52" s="237">
        <f t="shared" ca="1" si="9"/>
        <v>99</v>
      </c>
      <c r="J52" s="237">
        <f t="shared" ca="1" si="9"/>
        <v>99</v>
      </c>
      <c r="K52" s="237">
        <f t="shared" ca="1" si="9"/>
        <v>99</v>
      </c>
      <c r="L52" s="237">
        <f t="shared" ca="1" si="9"/>
        <v>99</v>
      </c>
      <c r="M52" s="237">
        <f t="shared" ca="1" si="9"/>
        <v>99</v>
      </c>
      <c r="N52" s="247">
        <f t="shared" ca="1" si="9"/>
        <v>99</v>
      </c>
    </row>
    <row r="53" spans="1:14">
      <c r="A53" s="10" t="s">
        <v>43</v>
      </c>
      <c r="B53" s="10">
        <v>53</v>
      </c>
      <c r="C53" s="262" t="s">
        <v>1077</v>
      </c>
      <c r="D53" s="281">
        <v>39</v>
      </c>
      <c r="E53" s="130">
        <v>39</v>
      </c>
      <c r="F53" s="130">
        <v>39</v>
      </c>
      <c r="G53" s="251">
        <v>39</v>
      </c>
      <c r="H53" s="237">
        <f t="shared" ca="1" si="9"/>
        <v>39</v>
      </c>
      <c r="I53" s="237">
        <f t="shared" ca="1" si="9"/>
        <v>39</v>
      </c>
      <c r="J53" s="237">
        <f t="shared" ca="1" si="9"/>
        <v>39</v>
      </c>
      <c r="K53" s="237">
        <f t="shared" ca="1" si="9"/>
        <v>39</v>
      </c>
      <c r="L53" s="237">
        <f t="shared" ca="1" si="9"/>
        <v>39</v>
      </c>
      <c r="M53" s="237">
        <f t="shared" ca="1" si="9"/>
        <v>39</v>
      </c>
      <c r="N53" s="247">
        <f t="shared" ca="1" si="9"/>
        <v>39</v>
      </c>
    </row>
    <row r="54" spans="1:14">
      <c r="A54" s="10"/>
      <c r="B54" s="10">
        <v>54</v>
      </c>
      <c r="C54" s="262"/>
      <c r="D54" s="281"/>
      <c r="E54" s="130"/>
      <c r="F54" s="130"/>
      <c r="G54" s="251"/>
      <c r="H54" s="26"/>
      <c r="I54" s="26"/>
      <c r="J54" s="26"/>
      <c r="K54" s="26"/>
      <c r="L54" s="26"/>
      <c r="M54" s="26"/>
      <c r="N54" s="269"/>
    </row>
    <row r="55" spans="1:14">
      <c r="A55" s="10"/>
      <c r="B55" s="10">
        <v>55</v>
      </c>
      <c r="C55" s="262"/>
      <c r="D55" s="60"/>
      <c r="E55" s="10"/>
      <c r="F55" s="12"/>
      <c r="G55" s="268"/>
      <c r="H55" s="26"/>
      <c r="I55" s="26"/>
      <c r="J55" s="26"/>
      <c r="K55" s="26"/>
      <c r="L55" s="26"/>
      <c r="M55" s="26"/>
      <c r="N55" s="269"/>
    </row>
    <row r="56" spans="1:14">
      <c r="A56" s="10"/>
      <c r="B56" s="10">
        <v>56</v>
      </c>
      <c r="C56" s="262" t="s">
        <v>44</v>
      </c>
      <c r="D56" s="282"/>
      <c r="E56" s="283"/>
      <c r="F56" s="283"/>
      <c r="G56" s="284"/>
      <c r="H56" s="26"/>
      <c r="I56" s="26"/>
      <c r="J56" s="26"/>
      <c r="K56" s="26"/>
      <c r="L56" s="26"/>
      <c r="M56" s="26"/>
      <c r="N56" s="269"/>
    </row>
    <row r="57" spans="1:14">
      <c r="A57" s="10"/>
      <c r="B57" s="10">
        <v>57</v>
      </c>
      <c r="C57" s="262"/>
      <c r="D57" s="60"/>
      <c r="E57" s="10"/>
      <c r="F57" s="12"/>
      <c r="G57" s="268"/>
      <c r="H57" s="26"/>
      <c r="I57" s="26"/>
      <c r="J57" s="26"/>
      <c r="K57" s="26"/>
      <c r="L57" s="26"/>
      <c r="M57" s="26"/>
      <c r="N57" s="269"/>
    </row>
    <row r="58" spans="1:14">
      <c r="A58" s="10"/>
      <c r="B58" s="10">
        <v>58</v>
      </c>
      <c r="C58" s="262" t="s">
        <v>45</v>
      </c>
      <c r="D58" s="60"/>
      <c r="E58" s="10"/>
      <c r="F58" s="10"/>
      <c r="G58" s="268"/>
      <c r="H58" s="26"/>
      <c r="I58" s="26"/>
      <c r="J58" s="26"/>
      <c r="K58" s="26"/>
      <c r="L58" s="26"/>
      <c r="M58" s="26"/>
      <c r="N58" s="269"/>
    </row>
    <row r="59" spans="1:14">
      <c r="A59" s="10" t="s">
        <v>46</v>
      </c>
      <c r="B59" s="10">
        <v>59</v>
      </c>
      <c r="C59" s="262" t="s">
        <v>1078</v>
      </c>
      <c r="D59" s="273">
        <v>5</v>
      </c>
      <c r="E59" s="274">
        <v>5</v>
      </c>
      <c r="F59" s="274">
        <v>7</v>
      </c>
      <c r="G59" s="275">
        <v>5</v>
      </c>
      <c r="H59" s="276">
        <f t="shared" ref="H59:N61" ca="1" si="10">INDIRECT(H$7 &amp; $B59)</f>
        <v>5</v>
      </c>
      <c r="I59" s="276">
        <f t="shared" ca="1" si="10"/>
        <v>5</v>
      </c>
      <c r="J59" s="276">
        <f t="shared" ca="1" si="10"/>
        <v>5</v>
      </c>
      <c r="K59" s="276">
        <f t="shared" ca="1" si="10"/>
        <v>7</v>
      </c>
      <c r="L59" s="276">
        <f t="shared" ca="1" si="10"/>
        <v>7</v>
      </c>
      <c r="M59" s="276">
        <f t="shared" ca="1" si="10"/>
        <v>5</v>
      </c>
      <c r="N59" s="277">
        <f t="shared" ca="1" si="10"/>
        <v>5</v>
      </c>
    </row>
    <row r="60" spans="1:14">
      <c r="A60" s="10" t="s">
        <v>47</v>
      </c>
      <c r="B60" s="10">
        <v>60</v>
      </c>
      <c r="C60" s="262" t="s">
        <v>1079</v>
      </c>
      <c r="D60" s="273">
        <v>5</v>
      </c>
      <c r="E60" s="274">
        <v>5</v>
      </c>
      <c r="F60" s="274">
        <v>7</v>
      </c>
      <c r="G60" s="275">
        <v>5</v>
      </c>
      <c r="H60" s="276">
        <f t="shared" ca="1" si="10"/>
        <v>5</v>
      </c>
      <c r="I60" s="276">
        <f t="shared" ca="1" si="10"/>
        <v>5</v>
      </c>
      <c r="J60" s="276">
        <f t="shared" ca="1" si="10"/>
        <v>5</v>
      </c>
      <c r="K60" s="276">
        <f t="shared" ca="1" si="10"/>
        <v>7</v>
      </c>
      <c r="L60" s="276">
        <f t="shared" ca="1" si="10"/>
        <v>7</v>
      </c>
      <c r="M60" s="276">
        <f t="shared" ca="1" si="10"/>
        <v>5</v>
      </c>
      <c r="N60" s="277">
        <f t="shared" ca="1" si="10"/>
        <v>5</v>
      </c>
    </row>
    <row r="61" spans="1:14">
      <c r="A61" s="10" t="s">
        <v>48</v>
      </c>
      <c r="B61" s="10">
        <v>61</v>
      </c>
      <c r="C61" s="262" t="s">
        <v>1080</v>
      </c>
      <c r="D61" s="273">
        <v>5</v>
      </c>
      <c r="E61" s="274">
        <v>5</v>
      </c>
      <c r="F61" s="274">
        <v>7</v>
      </c>
      <c r="G61" s="275">
        <v>5</v>
      </c>
      <c r="H61" s="276">
        <f t="shared" ca="1" si="10"/>
        <v>5</v>
      </c>
      <c r="I61" s="276">
        <f t="shared" ca="1" si="10"/>
        <v>5</v>
      </c>
      <c r="J61" s="276">
        <f t="shared" ca="1" si="10"/>
        <v>5</v>
      </c>
      <c r="K61" s="276">
        <f t="shared" ca="1" si="10"/>
        <v>7</v>
      </c>
      <c r="L61" s="276">
        <f t="shared" ca="1" si="10"/>
        <v>7</v>
      </c>
      <c r="M61" s="276">
        <f t="shared" ca="1" si="10"/>
        <v>5</v>
      </c>
      <c r="N61" s="277">
        <f t="shared" ca="1" si="10"/>
        <v>5</v>
      </c>
    </row>
    <row r="62" spans="1:14">
      <c r="A62" s="10"/>
      <c r="B62" s="10">
        <v>62</v>
      </c>
      <c r="C62" s="262"/>
      <c r="D62" s="273"/>
      <c r="E62" s="274"/>
      <c r="F62" s="274"/>
      <c r="G62" s="275"/>
      <c r="H62" s="26"/>
      <c r="I62" s="26"/>
      <c r="J62" s="26"/>
      <c r="K62" s="26"/>
      <c r="L62" s="26"/>
      <c r="M62" s="26"/>
      <c r="N62" s="269"/>
    </row>
    <row r="63" spans="1:14">
      <c r="A63" s="10"/>
      <c r="B63" s="10">
        <v>63</v>
      </c>
      <c r="C63" s="262" t="s">
        <v>49</v>
      </c>
      <c r="D63" s="273"/>
      <c r="E63" s="274"/>
      <c r="F63" s="274"/>
      <c r="G63" s="275"/>
      <c r="H63" s="26"/>
      <c r="I63" s="26"/>
      <c r="J63" s="26"/>
      <c r="K63" s="26"/>
      <c r="L63" s="26"/>
      <c r="M63" s="26"/>
      <c r="N63" s="269"/>
    </row>
    <row r="64" spans="1:14">
      <c r="A64" s="10" t="s">
        <v>50</v>
      </c>
      <c r="B64" s="10">
        <v>64</v>
      </c>
      <c r="C64" s="262" t="s">
        <v>1078</v>
      </c>
      <c r="D64" s="273">
        <v>1</v>
      </c>
      <c r="E64" s="274">
        <v>1</v>
      </c>
      <c r="F64" s="274">
        <v>2</v>
      </c>
      <c r="G64" s="275">
        <v>1</v>
      </c>
      <c r="H64" s="276">
        <f t="shared" ref="H64:N66" ca="1" si="11">INDIRECT(H$7 &amp; $B64)</f>
        <v>1</v>
      </c>
      <c r="I64" s="276">
        <f t="shared" ca="1" si="11"/>
        <v>1</v>
      </c>
      <c r="J64" s="276">
        <f t="shared" ca="1" si="11"/>
        <v>1</v>
      </c>
      <c r="K64" s="276">
        <f t="shared" ca="1" si="11"/>
        <v>2</v>
      </c>
      <c r="L64" s="276">
        <f t="shared" ca="1" si="11"/>
        <v>2</v>
      </c>
      <c r="M64" s="276">
        <f t="shared" ca="1" si="11"/>
        <v>1</v>
      </c>
      <c r="N64" s="277">
        <f t="shared" ca="1" si="11"/>
        <v>1</v>
      </c>
    </row>
    <row r="65" spans="1:14">
      <c r="A65" s="10" t="s">
        <v>51</v>
      </c>
      <c r="B65" s="10">
        <v>65</v>
      </c>
      <c r="C65" s="262" t="s">
        <v>1079</v>
      </c>
      <c r="D65" s="273">
        <v>1</v>
      </c>
      <c r="E65" s="274">
        <v>1</v>
      </c>
      <c r="F65" s="274">
        <v>2</v>
      </c>
      <c r="G65" s="275">
        <v>1</v>
      </c>
      <c r="H65" s="276">
        <f t="shared" ca="1" si="11"/>
        <v>1</v>
      </c>
      <c r="I65" s="276">
        <f t="shared" ca="1" si="11"/>
        <v>1</v>
      </c>
      <c r="J65" s="276">
        <f t="shared" ca="1" si="11"/>
        <v>1</v>
      </c>
      <c r="K65" s="276">
        <f t="shared" ca="1" si="11"/>
        <v>2</v>
      </c>
      <c r="L65" s="276">
        <f t="shared" ca="1" si="11"/>
        <v>2</v>
      </c>
      <c r="M65" s="276">
        <f t="shared" ca="1" si="11"/>
        <v>1</v>
      </c>
      <c r="N65" s="277">
        <f t="shared" ca="1" si="11"/>
        <v>1</v>
      </c>
    </row>
    <row r="66" spans="1:14">
      <c r="A66" s="10" t="s">
        <v>52</v>
      </c>
      <c r="B66" s="10">
        <v>66</v>
      </c>
      <c r="C66" s="262" t="s">
        <v>1080</v>
      </c>
      <c r="D66" s="273">
        <v>2</v>
      </c>
      <c r="E66" s="274">
        <v>2</v>
      </c>
      <c r="F66" s="274">
        <v>4</v>
      </c>
      <c r="G66" s="275">
        <v>2</v>
      </c>
      <c r="H66" s="276">
        <f t="shared" ca="1" si="11"/>
        <v>2</v>
      </c>
      <c r="I66" s="276">
        <f t="shared" ca="1" si="11"/>
        <v>2</v>
      </c>
      <c r="J66" s="276">
        <f t="shared" ca="1" si="11"/>
        <v>2</v>
      </c>
      <c r="K66" s="276">
        <f t="shared" ca="1" si="11"/>
        <v>4</v>
      </c>
      <c r="L66" s="276">
        <f t="shared" ca="1" si="11"/>
        <v>4</v>
      </c>
      <c r="M66" s="276">
        <f t="shared" ca="1" si="11"/>
        <v>2</v>
      </c>
      <c r="N66" s="277">
        <f t="shared" ca="1" si="11"/>
        <v>2</v>
      </c>
    </row>
    <row r="67" spans="1:14">
      <c r="A67" s="10"/>
      <c r="B67" s="10">
        <v>67</v>
      </c>
      <c r="C67" s="262"/>
      <c r="D67" s="273"/>
      <c r="E67" s="274"/>
      <c r="F67" s="274"/>
      <c r="G67" s="275"/>
      <c r="H67" s="26"/>
      <c r="I67" s="26"/>
      <c r="J67" s="26"/>
      <c r="K67" s="26"/>
      <c r="L67" s="26"/>
      <c r="M67" s="26"/>
      <c r="N67" s="269"/>
    </row>
    <row r="68" spans="1:14">
      <c r="A68" s="10"/>
      <c r="B68" s="10">
        <v>68</v>
      </c>
      <c r="C68" s="262" t="s">
        <v>53</v>
      </c>
      <c r="D68" s="278"/>
      <c r="E68" s="279"/>
      <c r="F68" s="145"/>
      <c r="G68" s="280"/>
      <c r="H68" s="26"/>
      <c r="I68" s="26"/>
      <c r="J68" s="26"/>
      <c r="K68" s="26"/>
      <c r="L68" s="26"/>
      <c r="M68" s="26"/>
      <c r="N68" s="269"/>
    </row>
    <row r="69" spans="1:14">
      <c r="A69" s="10" t="s">
        <v>492</v>
      </c>
      <c r="B69" s="10">
        <v>69</v>
      </c>
      <c r="C69" s="262" t="s">
        <v>1079</v>
      </c>
      <c r="D69" s="270">
        <v>0</v>
      </c>
      <c r="E69" s="271">
        <v>0</v>
      </c>
      <c r="F69" s="271">
        <v>0.05</v>
      </c>
      <c r="G69" s="272">
        <v>0</v>
      </c>
      <c r="H69" s="236">
        <f t="shared" ref="H69:N70" ca="1" si="12">INDIRECT(H$7 &amp; $B69)</f>
        <v>0</v>
      </c>
      <c r="I69" s="236">
        <f t="shared" ca="1" si="12"/>
        <v>0</v>
      </c>
      <c r="J69" s="236">
        <f t="shared" ca="1" si="12"/>
        <v>0</v>
      </c>
      <c r="K69" s="236">
        <f t="shared" ca="1" si="12"/>
        <v>0.05</v>
      </c>
      <c r="L69" s="236">
        <f t="shared" ca="1" si="12"/>
        <v>0.05</v>
      </c>
      <c r="M69" s="236">
        <f t="shared" ca="1" si="12"/>
        <v>0</v>
      </c>
      <c r="N69" s="246">
        <f t="shared" ca="1" si="12"/>
        <v>0</v>
      </c>
    </row>
    <row r="70" spans="1:14">
      <c r="A70" s="10" t="s">
        <v>491</v>
      </c>
      <c r="B70" s="10">
        <v>70</v>
      </c>
      <c r="C70" s="262" t="s">
        <v>1080</v>
      </c>
      <c r="D70" s="270">
        <v>0</v>
      </c>
      <c r="E70" s="271">
        <v>0</v>
      </c>
      <c r="F70" s="271">
        <v>0.05</v>
      </c>
      <c r="G70" s="272">
        <v>0</v>
      </c>
      <c r="H70" s="236">
        <f t="shared" ca="1" si="12"/>
        <v>0</v>
      </c>
      <c r="I70" s="236">
        <f t="shared" ca="1" si="12"/>
        <v>0</v>
      </c>
      <c r="J70" s="236">
        <f t="shared" ca="1" si="12"/>
        <v>0</v>
      </c>
      <c r="K70" s="236">
        <f t="shared" ca="1" si="12"/>
        <v>0.05</v>
      </c>
      <c r="L70" s="236">
        <f t="shared" ca="1" si="12"/>
        <v>0.05</v>
      </c>
      <c r="M70" s="236">
        <f t="shared" ca="1" si="12"/>
        <v>0</v>
      </c>
      <c r="N70" s="246">
        <f t="shared" ca="1" si="12"/>
        <v>0</v>
      </c>
    </row>
    <row r="71" spans="1:14">
      <c r="A71" s="10"/>
      <c r="B71" s="10">
        <v>71</v>
      </c>
      <c r="C71" s="262"/>
      <c r="D71" s="270"/>
      <c r="E71" s="271"/>
      <c r="F71" s="271"/>
      <c r="G71" s="272"/>
      <c r="H71" s="26"/>
      <c r="I71" s="26"/>
      <c r="J71" s="26"/>
      <c r="K71" s="26"/>
      <c r="L71" s="26"/>
      <c r="M71" s="26"/>
      <c r="N71" s="269"/>
    </row>
    <row r="72" spans="1:14">
      <c r="A72" s="10"/>
      <c r="B72" s="10">
        <v>72</v>
      </c>
      <c r="C72" s="262" t="s">
        <v>54</v>
      </c>
      <c r="D72" s="270"/>
      <c r="E72" s="271"/>
      <c r="F72" s="271"/>
      <c r="G72" s="272"/>
      <c r="H72" s="26"/>
      <c r="I72" s="26"/>
      <c r="J72" s="26"/>
      <c r="K72" s="26"/>
      <c r="L72" s="26"/>
      <c r="M72" s="26"/>
      <c r="N72" s="269"/>
    </row>
    <row r="73" spans="1:14">
      <c r="A73" s="10" t="s">
        <v>55</v>
      </c>
      <c r="B73" s="10">
        <v>73</v>
      </c>
      <c r="C73" s="262" t="s">
        <v>1078</v>
      </c>
      <c r="D73" s="281">
        <v>2600</v>
      </c>
      <c r="E73" s="130">
        <v>2600</v>
      </c>
      <c r="F73" s="130">
        <v>8000</v>
      </c>
      <c r="G73" s="251">
        <v>2600</v>
      </c>
      <c r="H73" s="237">
        <f t="shared" ref="H73:N75" ca="1" si="13">INDIRECT(H$7 &amp; $B73)</f>
        <v>2600</v>
      </c>
      <c r="I73" s="237">
        <f t="shared" ca="1" si="13"/>
        <v>2600</v>
      </c>
      <c r="J73" s="237">
        <f t="shared" ca="1" si="13"/>
        <v>2600</v>
      </c>
      <c r="K73" s="237">
        <f t="shared" ca="1" si="13"/>
        <v>8000</v>
      </c>
      <c r="L73" s="237">
        <f t="shared" ca="1" si="13"/>
        <v>8000</v>
      </c>
      <c r="M73" s="237">
        <f t="shared" ca="1" si="13"/>
        <v>2600</v>
      </c>
      <c r="N73" s="247">
        <f t="shared" ca="1" si="13"/>
        <v>2600</v>
      </c>
    </row>
    <row r="74" spans="1:14">
      <c r="A74" s="10" t="s">
        <v>56</v>
      </c>
      <c r="B74" s="10">
        <v>74</v>
      </c>
      <c r="C74" s="262" t="s">
        <v>1079</v>
      </c>
      <c r="D74" s="281">
        <v>3250</v>
      </c>
      <c r="E74" s="130">
        <v>3250</v>
      </c>
      <c r="F74" s="130">
        <v>10000</v>
      </c>
      <c r="G74" s="251">
        <v>3250</v>
      </c>
      <c r="H74" s="237">
        <f t="shared" ca="1" si="13"/>
        <v>3250</v>
      </c>
      <c r="I74" s="237">
        <f t="shared" ca="1" si="13"/>
        <v>3250</v>
      </c>
      <c r="J74" s="237">
        <f t="shared" ca="1" si="13"/>
        <v>3250</v>
      </c>
      <c r="K74" s="237">
        <f t="shared" ca="1" si="13"/>
        <v>10000</v>
      </c>
      <c r="L74" s="237">
        <f t="shared" ca="1" si="13"/>
        <v>10000</v>
      </c>
      <c r="M74" s="237">
        <f t="shared" ca="1" si="13"/>
        <v>3250</v>
      </c>
      <c r="N74" s="247">
        <f t="shared" ca="1" si="13"/>
        <v>3250</v>
      </c>
    </row>
    <row r="75" spans="1:14">
      <c r="A75" s="10" t="s">
        <v>57</v>
      </c>
      <c r="B75" s="10">
        <v>75</v>
      </c>
      <c r="C75" s="262" t="s">
        <v>1080</v>
      </c>
      <c r="D75" s="281">
        <v>5500</v>
      </c>
      <c r="E75" s="130">
        <v>5500</v>
      </c>
      <c r="F75" s="130">
        <v>12000</v>
      </c>
      <c r="G75" s="251">
        <v>5500</v>
      </c>
      <c r="H75" s="237">
        <f t="shared" ca="1" si="13"/>
        <v>5500</v>
      </c>
      <c r="I75" s="237">
        <f t="shared" ca="1" si="13"/>
        <v>5500</v>
      </c>
      <c r="J75" s="237">
        <f t="shared" ca="1" si="13"/>
        <v>5500</v>
      </c>
      <c r="K75" s="237">
        <f t="shared" ca="1" si="13"/>
        <v>12000</v>
      </c>
      <c r="L75" s="237">
        <f t="shared" ca="1" si="13"/>
        <v>12000</v>
      </c>
      <c r="M75" s="237">
        <f t="shared" ca="1" si="13"/>
        <v>5500</v>
      </c>
      <c r="N75" s="247">
        <f t="shared" ca="1" si="13"/>
        <v>5500</v>
      </c>
    </row>
    <row r="76" spans="1:14">
      <c r="A76" s="10"/>
      <c r="B76" s="10">
        <v>76</v>
      </c>
      <c r="C76" s="262"/>
      <c r="D76" s="273"/>
      <c r="E76" s="274"/>
      <c r="F76" s="274"/>
      <c r="G76" s="275"/>
      <c r="H76" s="26"/>
      <c r="I76" s="26"/>
      <c r="J76" s="26"/>
      <c r="K76" s="26"/>
      <c r="L76" s="26"/>
      <c r="M76" s="26"/>
      <c r="N76" s="269"/>
    </row>
    <row r="77" spans="1:14">
      <c r="A77" s="10"/>
      <c r="B77" s="10">
        <v>77</v>
      </c>
      <c r="C77" s="262"/>
      <c r="D77" s="60"/>
      <c r="E77" s="10"/>
      <c r="F77" s="12"/>
      <c r="G77" s="268"/>
      <c r="H77" s="26"/>
      <c r="I77" s="26"/>
      <c r="J77" s="26"/>
      <c r="K77" s="26"/>
      <c r="L77" s="26"/>
      <c r="M77" s="26"/>
      <c r="N77" s="269"/>
    </row>
    <row r="78" spans="1:14">
      <c r="A78" s="10"/>
      <c r="B78" s="10">
        <v>78</v>
      </c>
      <c r="C78" s="262" t="s">
        <v>58</v>
      </c>
      <c r="D78" s="282"/>
      <c r="E78" s="283"/>
      <c r="F78" s="283"/>
      <c r="G78" s="284"/>
      <c r="H78" s="26"/>
      <c r="I78" s="26"/>
      <c r="J78" s="26"/>
      <c r="K78" s="26"/>
      <c r="L78" s="26"/>
      <c r="M78" s="26"/>
      <c r="N78" s="269"/>
    </row>
    <row r="79" spans="1:14">
      <c r="A79" s="10"/>
      <c r="B79" s="10">
        <v>79</v>
      </c>
      <c r="C79" s="262"/>
      <c r="D79" s="60"/>
      <c r="E79" s="10"/>
      <c r="F79" s="12"/>
      <c r="G79" s="268"/>
      <c r="H79" s="26"/>
      <c r="I79" s="26"/>
      <c r="J79" s="26"/>
      <c r="K79" s="26"/>
      <c r="L79" s="26"/>
      <c r="M79" s="26"/>
      <c r="N79" s="269"/>
    </row>
    <row r="80" spans="1:14">
      <c r="A80" s="10" t="s">
        <v>59</v>
      </c>
      <c r="B80" s="10">
        <v>80</v>
      </c>
      <c r="C80" s="262" t="s">
        <v>60</v>
      </c>
      <c r="D80" s="285" t="s">
        <v>61</v>
      </c>
      <c r="E80" s="26" t="s">
        <v>61</v>
      </c>
      <c r="F80" s="276" t="s">
        <v>61</v>
      </c>
      <c r="G80" s="269" t="s">
        <v>61</v>
      </c>
      <c r="H80" s="26" t="str">
        <f t="shared" ref="H80:N80" ca="1" si="14">INDIRECT(H$7 &amp; $B80)</f>
        <v>Y</v>
      </c>
      <c r="I80" s="26" t="str">
        <f t="shared" ca="1" si="14"/>
        <v>Y</v>
      </c>
      <c r="J80" s="26" t="str">
        <f t="shared" ca="1" si="14"/>
        <v>Y</v>
      </c>
      <c r="K80" s="26" t="str">
        <f t="shared" ca="1" si="14"/>
        <v>Y</v>
      </c>
      <c r="L80" s="26" t="str">
        <f t="shared" ca="1" si="14"/>
        <v>Y</v>
      </c>
      <c r="M80" s="26" t="str">
        <f t="shared" ca="1" si="14"/>
        <v>Y</v>
      </c>
      <c r="N80" s="269" t="str">
        <f t="shared" ca="1" si="14"/>
        <v>Y</v>
      </c>
    </row>
    <row r="81" spans="1:14">
      <c r="A81" s="10"/>
      <c r="B81" s="10">
        <v>81</v>
      </c>
      <c r="C81" s="262"/>
      <c r="D81" s="60"/>
      <c r="E81" s="10"/>
      <c r="F81" s="12"/>
      <c r="G81" s="268"/>
      <c r="H81" s="26"/>
      <c r="I81" s="26"/>
      <c r="J81" s="26"/>
      <c r="K81" s="26"/>
      <c r="L81" s="26"/>
      <c r="M81" s="26"/>
      <c r="N81" s="269"/>
    </row>
    <row r="82" spans="1:14">
      <c r="A82" s="10"/>
      <c r="B82" s="10">
        <v>82</v>
      </c>
      <c r="C82" s="262" t="s">
        <v>62</v>
      </c>
      <c r="D82" s="60"/>
      <c r="E82" s="10"/>
      <c r="F82" s="12"/>
      <c r="G82" s="268"/>
      <c r="H82" s="26"/>
      <c r="I82" s="26"/>
      <c r="J82" s="26"/>
      <c r="K82" s="26"/>
      <c r="L82" s="26"/>
      <c r="M82" s="26"/>
      <c r="N82" s="269"/>
    </row>
    <row r="83" spans="1:14">
      <c r="A83" s="10" t="s">
        <v>63</v>
      </c>
      <c r="B83" s="10">
        <v>83</v>
      </c>
      <c r="C83" s="262" t="s">
        <v>1081</v>
      </c>
      <c r="D83" s="266">
        <v>22.5</v>
      </c>
      <c r="E83" s="145">
        <v>22.5</v>
      </c>
      <c r="F83" s="145">
        <v>20</v>
      </c>
      <c r="G83" s="267">
        <v>22.5</v>
      </c>
      <c r="H83" s="264">
        <f t="shared" ref="H83:N84" ca="1" si="15">INDIRECT(H$7 &amp; $B83)</f>
        <v>22.5</v>
      </c>
      <c r="I83" s="264">
        <f t="shared" ca="1" si="15"/>
        <v>22.5</v>
      </c>
      <c r="J83" s="264">
        <f t="shared" ca="1" si="15"/>
        <v>22.5</v>
      </c>
      <c r="K83" s="264">
        <f t="shared" ca="1" si="15"/>
        <v>20</v>
      </c>
      <c r="L83" s="264">
        <f t="shared" ca="1" si="15"/>
        <v>20</v>
      </c>
      <c r="M83" s="264">
        <f t="shared" ca="1" si="15"/>
        <v>22.5</v>
      </c>
      <c r="N83" s="265">
        <f t="shared" ca="1" si="15"/>
        <v>22.5</v>
      </c>
    </row>
    <row r="84" spans="1:14">
      <c r="A84" s="10" t="s">
        <v>64</v>
      </c>
      <c r="B84" s="10">
        <v>84</v>
      </c>
      <c r="C84" s="262" t="s">
        <v>1082</v>
      </c>
      <c r="D84" s="266">
        <v>23.5</v>
      </c>
      <c r="E84" s="145">
        <v>23.5</v>
      </c>
      <c r="F84" s="145">
        <v>20</v>
      </c>
      <c r="G84" s="267">
        <v>23.5</v>
      </c>
      <c r="H84" s="264">
        <f t="shared" ca="1" si="15"/>
        <v>23.5</v>
      </c>
      <c r="I84" s="264">
        <f t="shared" ca="1" si="15"/>
        <v>23.5</v>
      </c>
      <c r="J84" s="264">
        <f t="shared" ca="1" si="15"/>
        <v>23.5</v>
      </c>
      <c r="K84" s="264">
        <f t="shared" ca="1" si="15"/>
        <v>20</v>
      </c>
      <c r="L84" s="264">
        <f t="shared" ca="1" si="15"/>
        <v>20</v>
      </c>
      <c r="M84" s="264">
        <f t="shared" ca="1" si="15"/>
        <v>23.5</v>
      </c>
      <c r="N84" s="265">
        <f t="shared" ca="1" si="15"/>
        <v>23.5</v>
      </c>
    </row>
    <row r="85" spans="1:14">
      <c r="A85" s="10"/>
      <c r="B85" s="10">
        <v>85</v>
      </c>
      <c r="C85" s="262"/>
      <c r="D85" s="273"/>
      <c r="E85" s="274"/>
      <c r="F85" s="274"/>
      <c r="G85" s="275"/>
      <c r="H85" s="26"/>
      <c r="I85" s="26"/>
      <c r="J85" s="26"/>
      <c r="K85" s="26"/>
      <c r="L85" s="26"/>
      <c r="M85" s="26"/>
      <c r="N85" s="269"/>
    </row>
    <row r="86" spans="1:14">
      <c r="A86" s="10"/>
      <c r="B86" s="10">
        <v>86</v>
      </c>
      <c r="C86" s="262" t="s">
        <v>65</v>
      </c>
      <c r="D86" s="273"/>
      <c r="E86" s="274"/>
      <c r="F86" s="274"/>
      <c r="G86" s="275"/>
      <c r="H86" s="26"/>
      <c r="I86" s="26"/>
      <c r="J86" s="26"/>
      <c r="K86" s="26"/>
      <c r="L86" s="26"/>
      <c r="M86" s="26"/>
      <c r="N86" s="269"/>
    </row>
    <row r="87" spans="1:14">
      <c r="A87" s="10"/>
      <c r="B87" s="10">
        <v>87</v>
      </c>
      <c r="C87" s="262" t="s">
        <v>1083</v>
      </c>
      <c r="D87" s="273"/>
      <c r="E87" s="274"/>
      <c r="F87" s="274"/>
      <c r="G87" s="275"/>
      <c r="H87" s="26"/>
      <c r="I87" s="26"/>
      <c r="J87" s="26"/>
      <c r="K87" s="26"/>
      <c r="L87" s="26"/>
      <c r="M87" s="26"/>
      <c r="N87" s="269"/>
    </row>
    <row r="88" spans="1:14">
      <c r="A88" s="10" t="s">
        <v>66</v>
      </c>
      <c r="B88" s="10">
        <v>88</v>
      </c>
      <c r="C88" s="262" t="s">
        <v>1079</v>
      </c>
      <c r="D88" s="273">
        <v>26</v>
      </c>
      <c r="E88" s="274">
        <v>26</v>
      </c>
      <c r="F88" s="274">
        <v>26</v>
      </c>
      <c r="G88" s="275">
        <v>26</v>
      </c>
      <c r="H88" s="276">
        <f t="shared" ref="H88:N89" ca="1" si="16">INDIRECT(H$7 &amp; $B88)</f>
        <v>26</v>
      </c>
      <c r="I88" s="276">
        <f t="shared" ca="1" si="16"/>
        <v>26</v>
      </c>
      <c r="J88" s="276">
        <f t="shared" ca="1" si="16"/>
        <v>26</v>
      </c>
      <c r="K88" s="276">
        <f t="shared" ca="1" si="16"/>
        <v>26</v>
      </c>
      <c r="L88" s="276">
        <f t="shared" ca="1" si="16"/>
        <v>26</v>
      </c>
      <c r="M88" s="276">
        <f t="shared" ca="1" si="16"/>
        <v>26</v>
      </c>
      <c r="N88" s="277">
        <f t="shared" ca="1" si="16"/>
        <v>26</v>
      </c>
    </row>
    <row r="89" spans="1:14">
      <c r="A89" s="10" t="s">
        <v>67</v>
      </c>
      <c r="B89" s="10">
        <v>89</v>
      </c>
      <c r="C89" s="262" t="s">
        <v>1080</v>
      </c>
      <c r="D89" s="273">
        <v>42</v>
      </c>
      <c r="E89" s="274">
        <v>42</v>
      </c>
      <c r="F89" s="274">
        <v>44</v>
      </c>
      <c r="G89" s="275">
        <v>42</v>
      </c>
      <c r="H89" s="276">
        <f t="shared" ca="1" si="16"/>
        <v>42</v>
      </c>
      <c r="I89" s="276">
        <f t="shared" ca="1" si="16"/>
        <v>42</v>
      </c>
      <c r="J89" s="276">
        <f t="shared" ca="1" si="16"/>
        <v>42</v>
      </c>
      <c r="K89" s="276">
        <f t="shared" ca="1" si="16"/>
        <v>44</v>
      </c>
      <c r="L89" s="276">
        <f t="shared" ca="1" si="16"/>
        <v>44</v>
      </c>
      <c r="M89" s="276">
        <f t="shared" ca="1" si="16"/>
        <v>42</v>
      </c>
      <c r="N89" s="277">
        <f t="shared" ca="1" si="16"/>
        <v>42</v>
      </c>
    </row>
    <row r="90" spans="1:14">
      <c r="A90" s="10"/>
      <c r="B90" s="10">
        <v>90</v>
      </c>
      <c r="C90" s="262"/>
      <c r="D90" s="273"/>
      <c r="E90" s="274"/>
      <c r="F90" s="274"/>
      <c r="G90" s="275"/>
      <c r="H90" s="276"/>
      <c r="I90" s="276"/>
      <c r="J90" s="276"/>
      <c r="K90" s="276"/>
      <c r="L90" s="276"/>
      <c r="M90" s="276"/>
      <c r="N90" s="277"/>
    </row>
    <row r="91" spans="1:14">
      <c r="A91" s="10"/>
      <c r="B91" s="10">
        <v>91</v>
      </c>
      <c r="C91" s="262" t="s">
        <v>1084</v>
      </c>
      <c r="D91" s="273"/>
      <c r="E91" s="274"/>
      <c r="F91" s="274"/>
      <c r="G91" s="275"/>
      <c r="H91" s="276"/>
      <c r="I91" s="276"/>
      <c r="J91" s="276"/>
      <c r="K91" s="276"/>
      <c r="L91" s="276"/>
      <c r="M91" s="276"/>
      <c r="N91" s="277"/>
    </row>
    <row r="92" spans="1:14">
      <c r="A92" s="10" t="s">
        <v>68</v>
      </c>
      <c r="B92" s="10">
        <v>92</v>
      </c>
      <c r="C92" s="262" t="s">
        <v>1078</v>
      </c>
      <c r="D92" s="273">
        <v>0.5</v>
      </c>
      <c r="E92" s="274">
        <v>0.5</v>
      </c>
      <c r="F92" s="274">
        <v>1</v>
      </c>
      <c r="G92" s="275">
        <v>0.5</v>
      </c>
      <c r="H92" s="276">
        <f t="shared" ref="H92:N94" ca="1" si="17">INDIRECT(H$7 &amp; $B92)</f>
        <v>0.5</v>
      </c>
      <c r="I92" s="276">
        <f t="shared" ca="1" si="17"/>
        <v>0.5</v>
      </c>
      <c r="J92" s="276">
        <f t="shared" ca="1" si="17"/>
        <v>0.5</v>
      </c>
      <c r="K92" s="276">
        <f t="shared" ca="1" si="17"/>
        <v>1</v>
      </c>
      <c r="L92" s="276">
        <f t="shared" ca="1" si="17"/>
        <v>1</v>
      </c>
      <c r="M92" s="276">
        <f t="shared" ca="1" si="17"/>
        <v>0.5</v>
      </c>
      <c r="N92" s="277">
        <f t="shared" ca="1" si="17"/>
        <v>0.5</v>
      </c>
    </row>
    <row r="93" spans="1:14">
      <c r="A93" s="10" t="s">
        <v>69</v>
      </c>
      <c r="B93" s="10">
        <v>93</v>
      </c>
      <c r="C93" s="262" t="s">
        <v>1079</v>
      </c>
      <c r="D93" s="273">
        <v>0.5</v>
      </c>
      <c r="E93" s="274">
        <v>0.5</v>
      </c>
      <c r="F93" s="274">
        <v>1</v>
      </c>
      <c r="G93" s="275">
        <v>0.5</v>
      </c>
      <c r="H93" s="276">
        <f t="shared" ca="1" si="17"/>
        <v>0.5</v>
      </c>
      <c r="I93" s="276">
        <f t="shared" ca="1" si="17"/>
        <v>0.5</v>
      </c>
      <c r="J93" s="276">
        <f t="shared" ca="1" si="17"/>
        <v>0.5</v>
      </c>
      <c r="K93" s="276">
        <f t="shared" ca="1" si="17"/>
        <v>1</v>
      </c>
      <c r="L93" s="276">
        <f t="shared" ca="1" si="17"/>
        <v>1</v>
      </c>
      <c r="M93" s="276">
        <f t="shared" ca="1" si="17"/>
        <v>0.5</v>
      </c>
      <c r="N93" s="277">
        <f t="shared" ca="1" si="17"/>
        <v>0.5</v>
      </c>
    </row>
    <row r="94" spans="1:14">
      <c r="A94" s="10" t="s">
        <v>70</v>
      </c>
      <c r="B94" s="10">
        <v>94</v>
      </c>
      <c r="C94" s="262" t="s">
        <v>1080</v>
      </c>
      <c r="D94" s="273">
        <v>0.5</v>
      </c>
      <c r="E94" s="274">
        <v>0.5</v>
      </c>
      <c r="F94" s="274">
        <v>1</v>
      </c>
      <c r="G94" s="275">
        <v>0.5</v>
      </c>
      <c r="H94" s="276">
        <f t="shared" ca="1" si="17"/>
        <v>0.5</v>
      </c>
      <c r="I94" s="276">
        <f t="shared" ca="1" si="17"/>
        <v>0.5</v>
      </c>
      <c r="J94" s="276">
        <f t="shared" ca="1" si="17"/>
        <v>0.5</v>
      </c>
      <c r="K94" s="276">
        <f t="shared" ca="1" si="17"/>
        <v>1</v>
      </c>
      <c r="L94" s="276">
        <f t="shared" ca="1" si="17"/>
        <v>1</v>
      </c>
      <c r="M94" s="276">
        <f t="shared" ca="1" si="17"/>
        <v>0.5</v>
      </c>
      <c r="N94" s="277">
        <f t="shared" ca="1" si="17"/>
        <v>0.5</v>
      </c>
    </row>
    <row r="95" spans="1:14">
      <c r="A95" s="10"/>
      <c r="B95" s="10">
        <v>95</v>
      </c>
      <c r="C95" s="262"/>
      <c r="D95" s="273"/>
      <c r="E95" s="274"/>
      <c r="F95" s="274"/>
      <c r="G95" s="275"/>
      <c r="H95" s="276"/>
      <c r="I95" s="276"/>
      <c r="J95" s="276"/>
      <c r="K95" s="276"/>
      <c r="L95" s="276"/>
      <c r="M95" s="276"/>
      <c r="N95" s="277"/>
    </row>
    <row r="96" spans="1:14">
      <c r="A96" s="10"/>
      <c r="B96" s="10">
        <v>96</v>
      </c>
      <c r="C96" s="262" t="s">
        <v>1085</v>
      </c>
      <c r="D96" s="273"/>
      <c r="E96" s="274"/>
      <c r="F96" s="274"/>
      <c r="G96" s="275"/>
      <c r="H96" s="276"/>
      <c r="I96" s="276"/>
      <c r="J96" s="276"/>
      <c r="K96" s="276"/>
      <c r="L96" s="276"/>
      <c r="M96" s="276"/>
      <c r="N96" s="277"/>
    </row>
    <row r="97" spans="1:20">
      <c r="A97" s="10" t="s">
        <v>71</v>
      </c>
      <c r="B97" s="10">
        <v>97</v>
      </c>
      <c r="C97" s="262" t="s">
        <v>1078</v>
      </c>
      <c r="D97" s="273">
        <v>3</v>
      </c>
      <c r="E97" s="274">
        <v>3</v>
      </c>
      <c r="F97" s="274">
        <v>3</v>
      </c>
      <c r="G97" s="275">
        <v>3</v>
      </c>
      <c r="H97" s="276">
        <f t="shared" ref="H97:N99" ca="1" si="18">INDIRECT(H$7 &amp; $B97)</f>
        <v>3</v>
      </c>
      <c r="I97" s="276">
        <f t="shared" ca="1" si="18"/>
        <v>3</v>
      </c>
      <c r="J97" s="276">
        <f t="shared" ca="1" si="18"/>
        <v>3</v>
      </c>
      <c r="K97" s="276">
        <f t="shared" ca="1" si="18"/>
        <v>3</v>
      </c>
      <c r="L97" s="276">
        <f t="shared" ca="1" si="18"/>
        <v>3</v>
      </c>
      <c r="M97" s="276">
        <f t="shared" ca="1" si="18"/>
        <v>3</v>
      </c>
      <c r="N97" s="277">
        <f t="shared" ca="1" si="18"/>
        <v>3</v>
      </c>
    </row>
    <row r="98" spans="1:20">
      <c r="A98" s="10" t="s">
        <v>72</v>
      </c>
      <c r="B98" s="10">
        <v>98</v>
      </c>
      <c r="C98" s="262" t="s">
        <v>1079</v>
      </c>
      <c r="D98" s="273">
        <v>3.5</v>
      </c>
      <c r="E98" s="274">
        <v>3.5</v>
      </c>
      <c r="F98" s="274">
        <v>4.5</v>
      </c>
      <c r="G98" s="275">
        <v>3.5</v>
      </c>
      <c r="H98" s="276">
        <f t="shared" ca="1" si="18"/>
        <v>3.5</v>
      </c>
      <c r="I98" s="276">
        <f t="shared" ca="1" si="18"/>
        <v>3.5</v>
      </c>
      <c r="J98" s="276">
        <f t="shared" ca="1" si="18"/>
        <v>3.5</v>
      </c>
      <c r="K98" s="276">
        <f t="shared" ca="1" si="18"/>
        <v>4.5</v>
      </c>
      <c r="L98" s="276">
        <f t="shared" ca="1" si="18"/>
        <v>4.5</v>
      </c>
      <c r="M98" s="276">
        <f t="shared" ca="1" si="18"/>
        <v>3.5</v>
      </c>
      <c r="N98" s="277">
        <f t="shared" ca="1" si="18"/>
        <v>3.5</v>
      </c>
    </row>
    <row r="99" spans="1:20">
      <c r="A99" s="10" t="s">
        <v>73</v>
      </c>
      <c r="B99" s="10">
        <v>99</v>
      </c>
      <c r="C99" s="262" t="s">
        <v>1080</v>
      </c>
      <c r="D99" s="273">
        <v>5.75</v>
      </c>
      <c r="E99" s="274">
        <v>5.75</v>
      </c>
      <c r="F99" s="274">
        <v>5.75</v>
      </c>
      <c r="G99" s="275">
        <v>5.75</v>
      </c>
      <c r="H99" s="276">
        <f t="shared" ca="1" si="18"/>
        <v>5.75</v>
      </c>
      <c r="I99" s="276">
        <f t="shared" ca="1" si="18"/>
        <v>5.75</v>
      </c>
      <c r="J99" s="276">
        <f t="shared" ca="1" si="18"/>
        <v>5.75</v>
      </c>
      <c r="K99" s="276">
        <f t="shared" ca="1" si="18"/>
        <v>5.75</v>
      </c>
      <c r="L99" s="276">
        <f t="shared" ca="1" si="18"/>
        <v>5.75</v>
      </c>
      <c r="M99" s="276">
        <f t="shared" ca="1" si="18"/>
        <v>5.75</v>
      </c>
      <c r="N99" s="277">
        <f t="shared" ca="1" si="18"/>
        <v>5.75</v>
      </c>
    </row>
    <row r="100" spans="1:20">
      <c r="A100" s="10"/>
      <c r="B100" s="10">
        <v>100</v>
      </c>
      <c r="C100" s="262"/>
      <c r="D100" s="273"/>
      <c r="E100" s="274"/>
      <c r="F100" s="274"/>
      <c r="G100" s="275"/>
      <c r="H100" s="276"/>
      <c r="I100" s="276"/>
      <c r="J100" s="276"/>
      <c r="K100" s="276"/>
      <c r="L100" s="276"/>
      <c r="M100" s="276"/>
      <c r="N100" s="277"/>
    </row>
    <row r="101" spans="1:20">
      <c r="A101" s="10"/>
      <c r="B101" s="10">
        <v>101</v>
      </c>
      <c r="C101" s="262" t="s">
        <v>1086</v>
      </c>
      <c r="D101" s="273"/>
      <c r="E101" s="274"/>
      <c r="F101" s="274"/>
      <c r="G101" s="275"/>
      <c r="H101" s="276"/>
      <c r="I101" s="276"/>
      <c r="J101" s="276"/>
      <c r="K101" s="276"/>
      <c r="L101" s="276"/>
      <c r="M101" s="276"/>
      <c r="N101" s="277"/>
    </row>
    <row r="102" spans="1:20">
      <c r="A102" s="10" t="s">
        <v>74</v>
      </c>
      <c r="B102" s="10">
        <v>102</v>
      </c>
      <c r="C102" s="262" t="s">
        <v>1078</v>
      </c>
      <c r="D102" s="273">
        <v>1</v>
      </c>
      <c r="E102" s="274">
        <v>1</v>
      </c>
      <c r="F102" s="274">
        <f>ES_Detail!$H$2/250</f>
        <v>1.44</v>
      </c>
      <c r="G102" s="275">
        <v>1</v>
      </c>
      <c r="H102" s="276">
        <f t="shared" ref="H102:N104" ca="1" si="19">INDIRECT(H$7 &amp; $B102)</f>
        <v>1</v>
      </c>
      <c r="I102" s="276">
        <f t="shared" ca="1" si="19"/>
        <v>1</v>
      </c>
      <c r="J102" s="276">
        <f t="shared" ca="1" si="19"/>
        <v>1</v>
      </c>
      <c r="K102" s="276">
        <f t="shared" ca="1" si="19"/>
        <v>1.44</v>
      </c>
      <c r="L102" s="276">
        <f t="shared" ca="1" si="19"/>
        <v>1.44</v>
      </c>
      <c r="M102" s="276">
        <f t="shared" ca="1" si="19"/>
        <v>1</v>
      </c>
      <c r="N102" s="277">
        <f t="shared" ca="1" si="19"/>
        <v>1</v>
      </c>
    </row>
    <row r="103" spans="1:20">
      <c r="A103" s="10" t="s">
        <v>75</v>
      </c>
      <c r="B103" s="10">
        <v>103</v>
      </c>
      <c r="C103" s="262" t="s">
        <v>1079</v>
      </c>
      <c r="D103" s="273">
        <v>1.75</v>
      </c>
      <c r="E103" s="274">
        <v>1.75</v>
      </c>
      <c r="F103" s="274">
        <f>MS_Detail!$H$2/250</f>
        <v>2</v>
      </c>
      <c r="G103" s="275">
        <v>1.75</v>
      </c>
      <c r="H103" s="276">
        <f t="shared" ca="1" si="19"/>
        <v>1.75</v>
      </c>
      <c r="I103" s="276">
        <f t="shared" ca="1" si="19"/>
        <v>1.75</v>
      </c>
      <c r="J103" s="276">
        <f t="shared" ca="1" si="19"/>
        <v>1.75</v>
      </c>
      <c r="K103" s="276">
        <f t="shared" ca="1" si="19"/>
        <v>2</v>
      </c>
      <c r="L103" s="276">
        <f t="shared" ca="1" si="19"/>
        <v>2</v>
      </c>
      <c r="M103" s="276">
        <f t="shared" ca="1" si="19"/>
        <v>1.75</v>
      </c>
      <c r="N103" s="277">
        <f t="shared" ca="1" si="19"/>
        <v>1.75</v>
      </c>
    </row>
    <row r="104" spans="1:20">
      <c r="A104" s="10" t="s">
        <v>76</v>
      </c>
      <c r="B104" s="10">
        <v>104</v>
      </c>
      <c r="C104" s="262" t="s">
        <v>1080</v>
      </c>
      <c r="D104" s="273">
        <v>3.5</v>
      </c>
      <c r="E104" s="274">
        <v>3.5</v>
      </c>
      <c r="F104" s="274">
        <f>HS_Detail!$H$2/250</f>
        <v>4</v>
      </c>
      <c r="G104" s="275">
        <v>3.5</v>
      </c>
      <c r="H104" s="276">
        <f t="shared" ca="1" si="19"/>
        <v>3.5</v>
      </c>
      <c r="I104" s="276">
        <f t="shared" ca="1" si="19"/>
        <v>3.5</v>
      </c>
      <c r="J104" s="276">
        <f t="shared" ca="1" si="19"/>
        <v>3.5</v>
      </c>
      <c r="K104" s="276">
        <f t="shared" ca="1" si="19"/>
        <v>4</v>
      </c>
      <c r="L104" s="276">
        <f t="shared" ca="1" si="19"/>
        <v>4</v>
      </c>
      <c r="M104" s="276">
        <f t="shared" ca="1" si="19"/>
        <v>3.5</v>
      </c>
      <c r="N104" s="277">
        <f t="shared" ca="1" si="19"/>
        <v>3.5</v>
      </c>
    </row>
    <row r="105" spans="1:20">
      <c r="A105" s="10"/>
      <c r="B105" s="10">
        <v>105</v>
      </c>
      <c r="C105" s="262"/>
      <c r="D105" s="273"/>
      <c r="E105" s="274"/>
      <c r="F105" s="274"/>
      <c r="G105" s="275"/>
      <c r="H105" s="26"/>
      <c r="I105" s="26"/>
      <c r="J105" s="26"/>
      <c r="K105" s="26"/>
      <c r="L105" s="26"/>
      <c r="M105" s="26"/>
      <c r="N105" s="269"/>
    </row>
    <row r="106" spans="1:20">
      <c r="A106" s="10"/>
      <c r="B106" s="10">
        <v>106</v>
      </c>
      <c r="C106" s="262" t="s">
        <v>1087</v>
      </c>
      <c r="D106" s="273"/>
      <c r="E106" s="274"/>
      <c r="F106" s="274"/>
      <c r="G106" s="275"/>
      <c r="H106" s="26"/>
      <c r="I106" s="26"/>
      <c r="J106" s="26"/>
      <c r="K106" s="26"/>
      <c r="L106" s="26"/>
      <c r="M106" s="26"/>
      <c r="N106" s="269"/>
      <c r="T106" s="11" t="s">
        <v>890</v>
      </c>
    </row>
    <row r="107" spans="1:20">
      <c r="A107" s="10" t="s">
        <v>377</v>
      </c>
      <c r="B107" s="10">
        <v>107</v>
      </c>
      <c r="C107" s="262" t="s">
        <v>1078</v>
      </c>
      <c r="D107" s="273">
        <v>0.75</v>
      </c>
      <c r="E107" s="274">
        <v>0.75</v>
      </c>
      <c r="F107" s="274">
        <v>1</v>
      </c>
      <c r="G107" s="275">
        <v>0.75</v>
      </c>
      <c r="H107" s="276">
        <f t="shared" ref="H107:N109" ca="1" si="20">INDIRECT(H$7 &amp; $B107)</f>
        <v>0.75</v>
      </c>
      <c r="I107" s="276">
        <f t="shared" ca="1" si="20"/>
        <v>0.75</v>
      </c>
      <c r="J107" s="276">
        <f t="shared" ca="1" si="20"/>
        <v>0.75</v>
      </c>
      <c r="K107" s="276">
        <f t="shared" ca="1" si="20"/>
        <v>1</v>
      </c>
      <c r="L107" s="276">
        <f t="shared" ca="1" si="20"/>
        <v>1</v>
      </c>
      <c r="M107" s="276">
        <f t="shared" ca="1" si="20"/>
        <v>0.75</v>
      </c>
      <c r="N107" s="277">
        <f t="shared" ca="1" si="20"/>
        <v>0.75</v>
      </c>
    </row>
    <row r="108" spans="1:20">
      <c r="A108" s="10" t="s">
        <v>378</v>
      </c>
      <c r="B108" s="10">
        <v>108</v>
      </c>
      <c r="C108" s="262" t="s">
        <v>1079</v>
      </c>
      <c r="D108" s="273">
        <v>0.75</v>
      </c>
      <c r="E108" s="274">
        <v>0.75</v>
      </c>
      <c r="F108" s="274">
        <v>1</v>
      </c>
      <c r="G108" s="275">
        <v>0.75</v>
      </c>
      <c r="H108" s="276">
        <f t="shared" ca="1" si="20"/>
        <v>0.75</v>
      </c>
      <c r="I108" s="276">
        <f t="shared" ca="1" si="20"/>
        <v>0.75</v>
      </c>
      <c r="J108" s="276">
        <f t="shared" ca="1" si="20"/>
        <v>0.75</v>
      </c>
      <c r="K108" s="276">
        <f t="shared" ca="1" si="20"/>
        <v>1</v>
      </c>
      <c r="L108" s="276">
        <f t="shared" ca="1" si="20"/>
        <v>1</v>
      </c>
      <c r="M108" s="276">
        <f t="shared" ca="1" si="20"/>
        <v>0.75</v>
      </c>
      <c r="N108" s="277">
        <f t="shared" ca="1" si="20"/>
        <v>0.75</v>
      </c>
    </row>
    <row r="109" spans="1:20">
      <c r="A109" s="10" t="s">
        <v>379</v>
      </c>
      <c r="B109" s="10">
        <v>109</v>
      </c>
      <c r="C109" s="262" t="s">
        <v>1080</v>
      </c>
      <c r="D109" s="273">
        <v>1</v>
      </c>
      <c r="E109" s="274">
        <v>1</v>
      </c>
      <c r="F109" s="274">
        <v>1</v>
      </c>
      <c r="G109" s="275">
        <v>1</v>
      </c>
      <c r="H109" s="276">
        <f t="shared" ca="1" si="20"/>
        <v>1</v>
      </c>
      <c r="I109" s="276">
        <f t="shared" ca="1" si="20"/>
        <v>1</v>
      </c>
      <c r="J109" s="276">
        <f t="shared" ca="1" si="20"/>
        <v>1</v>
      </c>
      <c r="K109" s="276">
        <f t="shared" ca="1" si="20"/>
        <v>1</v>
      </c>
      <c r="L109" s="276">
        <f t="shared" ca="1" si="20"/>
        <v>1</v>
      </c>
      <c r="M109" s="276">
        <f t="shared" ca="1" si="20"/>
        <v>1</v>
      </c>
      <c r="N109" s="277">
        <f t="shared" ca="1" si="20"/>
        <v>1</v>
      </c>
    </row>
    <row r="110" spans="1:20">
      <c r="A110" s="10"/>
      <c r="B110" s="10">
        <v>110</v>
      </c>
      <c r="C110" s="262"/>
      <c r="D110" s="273"/>
      <c r="E110" s="274"/>
      <c r="F110" s="274"/>
      <c r="G110" s="275"/>
      <c r="H110" s="26"/>
      <c r="I110" s="26"/>
      <c r="J110" s="26"/>
      <c r="K110" s="26"/>
      <c r="L110" s="26"/>
      <c r="M110" s="26"/>
      <c r="N110" s="269"/>
    </row>
    <row r="111" spans="1:20">
      <c r="A111" s="10"/>
      <c r="B111" s="10">
        <v>111</v>
      </c>
      <c r="C111" s="262" t="s">
        <v>734</v>
      </c>
      <c r="D111" s="273"/>
      <c r="E111" s="274"/>
      <c r="F111" s="274"/>
      <c r="G111" s="275"/>
      <c r="H111" s="26"/>
      <c r="I111" s="26"/>
      <c r="J111" s="26"/>
      <c r="K111" s="26"/>
      <c r="L111" s="26"/>
      <c r="M111" s="26"/>
      <c r="N111" s="269"/>
    </row>
    <row r="112" spans="1:20">
      <c r="A112" s="10" t="s">
        <v>380</v>
      </c>
      <c r="B112" s="10">
        <v>112</v>
      </c>
      <c r="C112" s="262" t="s">
        <v>1080</v>
      </c>
      <c r="D112" s="273">
        <v>2.5</v>
      </c>
      <c r="E112" s="274">
        <v>2.5</v>
      </c>
      <c r="F112" s="274">
        <v>2.5</v>
      </c>
      <c r="G112" s="275">
        <v>2.5</v>
      </c>
      <c r="H112" s="276">
        <f t="shared" ref="H112:N112" ca="1" si="21">INDIRECT(H$7 &amp; $B112)</f>
        <v>2.5</v>
      </c>
      <c r="I112" s="276">
        <f t="shared" ca="1" si="21"/>
        <v>2.5</v>
      </c>
      <c r="J112" s="276">
        <f t="shared" ca="1" si="21"/>
        <v>2.5</v>
      </c>
      <c r="K112" s="276">
        <f t="shared" ca="1" si="21"/>
        <v>2.5</v>
      </c>
      <c r="L112" s="276">
        <f t="shared" ca="1" si="21"/>
        <v>2.5</v>
      </c>
      <c r="M112" s="276">
        <f t="shared" ca="1" si="21"/>
        <v>2.5</v>
      </c>
      <c r="N112" s="277">
        <f t="shared" ca="1" si="21"/>
        <v>2.5</v>
      </c>
    </row>
    <row r="113" spans="1:14">
      <c r="A113" s="10"/>
      <c r="B113" s="10">
        <v>113</v>
      </c>
      <c r="C113" s="262"/>
      <c r="D113" s="273"/>
      <c r="E113" s="274"/>
      <c r="F113" s="274"/>
      <c r="G113" s="275"/>
      <c r="H113" s="26"/>
      <c r="I113" s="26"/>
      <c r="J113" s="26"/>
      <c r="K113" s="26"/>
      <c r="L113" s="26"/>
      <c r="M113" s="26"/>
      <c r="N113" s="269"/>
    </row>
    <row r="114" spans="1:14">
      <c r="A114" s="10"/>
      <c r="B114" s="10">
        <v>114</v>
      </c>
      <c r="C114" s="262" t="s">
        <v>1088</v>
      </c>
      <c r="D114" s="273"/>
      <c r="E114" s="274"/>
      <c r="F114" s="274"/>
      <c r="G114" s="275"/>
      <c r="H114" s="26"/>
      <c r="I114" s="26"/>
      <c r="J114" s="26"/>
      <c r="K114" s="26"/>
      <c r="L114" s="26"/>
      <c r="M114" s="26"/>
      <c r="N114" s="269"/>
    </row>
    <row r="115" spans="1:14">
      <c r="A115" s="10" t="s">
        <v>77</v>
      </c>
      <c r="B115" s="10">
        <v>115</v>
      </c>
      <c r="C115" s="262" t="s">
        <v>1080</v>
      </c>
      <c r="D115" s="273">
        <v>1</v>
      </c>
      <c r="E115" s="274">
        <v>1</v>
      </c>
      <c r="F115" s="274">
        <v>1</v>
      </c>
      <c r="G115" s="275">
        <v>1</v>
      </c>
      <c r="H115" s="276">
        <f t="shared" ref="H115:N115" ca="1" si="22">INDIRECT(H$7 &amp; $B115)</f>
        <v>1</v>
      </c>
      <c r="I115" s="276">
        <f t="shared" ca="1" si="22"/>
        <v>1</v>
      </c>
      <c r="J115" s="276">
        <f t="shared" ca="1" si="22"/>
        <v>1</v>
      </c>
      <c r="K115" s="276">
        <f t="shared" ca="1" si="22"/>
        <v>1</v>
      </c>
      <c r="L115" s="276">
        <f t="shared" ca="1" si="22"/>
        <v>1</v>
      </c>
      <c r="M115" s="276">
        <f t="shared" ca="1" si="22"/>
        <v>1</v>
      </c>
      <c r="N115" s="277">
        <f t="shared" ca="1" si="22"/>
        <v>1</v>
      </c>
    </row>
    <row r="116" spans="1:14">
      <c r="A116" s="10"/>
      <c r="B116" s="10">
        <v>116</v>
      </c>
      <c r="C116" s="262"/>
      <c r="D116" s="273"/>
      <c r="E116" s="274"/>
      <c r="F116" s="274"/>
      <c r="G116" s="275"/>
      <c r="H116" s="26"/>
      <c r="I116" s="26"/>
      <c r="J116" s="26"/>
      <c r="K116" s="26"/>
      <c r="L116" s="26"/>
      <c r="M116" s="26"/>
      <c r="N116" s="269"/>
    </row>
    <row r="117" spans="1:14">
      <c r="A117" s="10"/>
      <c r="B117" s="10">
        <v>117</v>
      </c>
      <c r="C117" s="262" t="s">
        <v>305</v>
      </c>
      <c r="D117" s="273"/>
      <c r="E117" s="274"/>
      <c r="F117" s="274"/>
      <c r="G117" s="275"/>
      <c r="H117" s="26"/>
      <c r="I117" s="26"/>
      <c r="J117" s="26"/>
      <c r="K117" s="26"/>
      <c r="L117" s="26"/>
      <c r="M117" s="26"/>
      <c r="N117" s="269"/>
    </row>
    <row r="118" spans="1:14">
      <c r="A118" s="10" t="s">
        <v>381</v>
      </c>
      <c r="B118" s="10">
        <v>118</v>
      </c>
      <c r="C118" s="262" t="s">
        <v>1078</v>
      </c>
      <c r="D118" s="273">
        <v>1.4</v>
      </c>
      <c r="E118" s="273">
        <v>1.4</v>
      </c>
      <c r="F118" s="274">
        <v>2</v>
      </c>
      <c r="G118" s="286">
        <v>1.4</v>
      </c>
      <c r="H118" s="276">
        <f t="shared" ref="H118:N120" ca="1" si="23">INDIRECT(H$7 &amp; $B118)</f>
        <v>1.4</v>
      </c>
      <c r="I118" s="276">
        <f t="shared" ca="1" si="23"/>
        <v>1.4</v>
      </c>
      <c r="J118" s="276">
        <f t="shared" ca="1" si="23"/>
        <v>1.4</v>
      </c>
      <c r="K118" s="276">
        <f t="shared" ca="1" si="23"/>
        <v>2</v>
      </c>
      <c r="L118" s="276">
        <f t="shared" ca="1" si="23"/>
        <v>2</v>
      </c>
      <c r="M118" s="276">
        <f t="shared" ca="1" si="23"/>
        <v>1.4</v>
      </c>
      <c r="N118" s="277">
        <f t="shared" ca="1" si="23"/>
        <v>1.4</v>
      </c>
    </row>
    <row r="119" spans="1:14">
      <c r="A119" s="10" t="s">
        <v>382</v>
      </c>
      <c r="B119" s="10">
        <v>119</v>
      </c>
      <c r="C119" s="262" t="s">
        <v>1079</v>
      </c>
      <c r="D119" s="273">
        <v>1.2</v>
      </c>
      <c r="E119" s="274">
        <v>1.2</v>
      </c>
      <c r="F119" s="274">
        <v>2</v>
      </c>
      <c r="G119" s="275">
        <v>1.2</v>
      </c>
      <c r="H119" s="276">
        <f t="shared" ca="1" si="23"/>
        <v>1.2</v>
      </c>
      <c r="I119" s="276">
        <f t="shared" ca="1" si="23"/>
        <v>1.2</v>
      </c>
      <c r="J119" s="276">
        <f t="shared" ca="1" si="23"/>
        <v>1.2</v>
      </c>
      <c r="K119" s="276">
        <f t="shared" ca="1" si="23"/>
        <v>2</v>
      </c>
      <c r="L119" s="276">
        <f t="shared" ca="1" si="23"/>
        <v>2</v>
      </c>
      <c r="M119" s="276">
        <f t="shared" ca="1" si="23"/>
        <v>1.2</v>
      </c>
      <c r="N119" s="277">
        <f t="shared" ca="1" si="23"/>
        <v>1.2</v>
      </c>
    </row>
    <row r="120" spans="1:14">
      <c r="A120" s="10" t="s">
        <v>383</v>
      </c>
      <c r="B120" s="10">
        <v>120</v>
      </c>
      <c r="C120" s="262" t="s">
        <v>1080</v>
      </c>
      <c r="D120" s="273">
        <v>1.2</v>
      </c>
      <c r="E120" s="274">
        <v>1.2</v>
      </c>
      <c r="F120" s="274">
        <v>4</v>
      </c>
      <c r="G120" s="275">
        <v>1.2</v>
      </c>
      <c r="H120" s="276">
        <f t="shared" ca="1" si="23"/>
        <v>1.2</v>
      </c>
      <c r="I120" s="276">
        <f t="shared" ca="1" si="23"/>
        <v>1.2</v>
      </c>
      <c r="J120" s="276">
        <f t="shared" ca="1" si="23"/>
        <v>1.2</v>
      </c>
      <c r="K120" s="276">
        <f t="shared" ca="1" si="23"/>
        <v>4</v>
      </c>
      <c r="L120" s="276">
        <f t="shared" ca="1" si="23"/>
        <v>4</v>
      </c>
      <c r="M120" s="276">
        <f t="shared" ca="1" si="23"/>
        <v>1.2</v>
      </c>
      <c r="N120" s="277">
        <f t="shared" ca="1" si="23"/>
        <v>1.2</v>
      </c>
    </row>
    <row r="121" spans="1:14">
      <c r="A121" s="10"/>
      <c r="B121" s="10">
        <v>121</v>
      </c>
      <c r="C121" s="262"/>
      <c r="D121" s="273"/>
      <c r="E121" s="274"/>
      <c r="F121" s="274"/>
      <c r="G121" s="275"/>
      <c r="H121" s="276"/>
      <c r="I121" s="276"/>
      <c r="J121" s="276"/>
      <c r="K121" s="276"/>
      <c r="L121" s="276"/>
      <c r="M121" s="276"/>
      <c r="N121" s="277"/>
    </row>
    <row r="122" spans="1:14">
      <c r="A122" s="10"/>
      <c r="B122" s="10">
        <v>122</v>
      </c>
      <c r="C122" s="262" t="s">
        <v>1089</v>
      </c>
      <c r="D122" s="273"/>
      <c r="E122" s="274"/>
      <c r="F122" s="274"/>
      <c r="G122" s="275"/>
      <c r="H122" s="26"/>
      <c r="I122" s="26"/>
      <c r="J122" s="26"/>
      <c r="K122" s="26"/>
      <c r="L122" s="26"/>
      <c r="M122" s="26"/>
      <c r="N122" s="269"/>
    </row>
    <row r="123" spans="1:14">
      <c r="A123" s="10" t="s">
        <v>78</v>
      </c>
      <c r="B123" s="10">
        <v>123</v>
      </c>
      <c r="C123" s="262" t="s">
        <v>1078</v>
      </c>
      <c r="D123" s="273">
        <v>9</v>
      </c>
      <c r="E123" s="274">
        <v>9</v>
      </c>
      <c r="F123" s="274">
        <v>10</v>
      </c>
      <c r="G123" s="275">
        <v>9</v>
      </c>
      <c r="H123" s="276">
        <f t="shared" ref="H123:N125" ca="1" si="24">INDIRECT(H$7 &amp; $B123)</f>
        <v>9</v>
      </c>
      <c r="I123" s="276">
        <f t="shared" ca="1" si="24"/>
        <v>9</v>
      </c>
      <c r="J123" s="276">
        <f t="shared" ca="1" si="24"/>
        <v>9</v>
      </c>
      <c r="K123" s="276">
        <f t="shared" ca="1" si="24"/>
        <v>10</v>
      </c>
      <c r="L123" s="276">
        <f t="shared" ca="1" si="24"/>
        <v>10</v>
      </c>
      <c r="M123" s="276">
        <f t="shared" ca="1" si="24"/>
        <v>9</v>
      </c>
      <c r="N123" s="277">
        <f t="shared" ca="1" si="24"/>
        <v>9</v>
      </c>
    </row>
    <row r="124" spans="1:14">
      <c r="A124" s="10" t="s">
        <v>79</v>
      </c>
      <c r="B124" s="10">
        <v>124</v>
      </c>
      <c r="C124" s="262" t="s">
        <v>1079</v>
      </c>
      <c r="D124" s="273">
        <v>10</v>
      </c>
      <c r="E124" s="274">
        <v>10</v>
      </c>
      <c r="F124" s="274">
        <v>10</v>
      </c>
      <c r="G124" s="275">
        <v>10</v>
      </c>
      <c r="H124" s="276">
        <f t="shared" ca="1" si="24"/>
        <v>10</v>
      </c>
      <c r="I124" s="276">
        <f t="shared" ca="1" si="24"/>
        <v>10</v>
      </c>
      <c r="J124" s="276">
        <f t="shared" ca="1" si="24"/>
        <v>10</v>
      </c>
      <c r="K124" s="276">
        <f t="shared" ca="1" si="24"/>
        <v>10</v>
      </c>
      <c r="L124" s="276">
        <f t="shared" ca="1" si="24"/>
        <v>10</v>
      </c>
      <c r="M124" s="276">
        <f t="shared" ca="1" si="24"/>
        <v>10</v>
      </c>
      <c r="N124" s="277">
        <f t="shared" ca="1" si="24"/>
        <v>10</v>
      </c>
    </row>
    <row r="125" spans="1:14">
      <c r="A125" s="10" t="s">
        <v>80</v>
      </c>
      <c r="B125" s="10">
        <v>125</v>
      </c>
      <c r="C125" s="262" t="s">
        <v>1080</v>
      </c>
      <c r="D125" s="273">
        <v>22</v>
      </c>
      <c r="E125" s="274">
        <v>22</v>
      </c>
      <c r="F125" s="274">
        <v>20</v>
      </c>
      <c r="G125" s="275">
        <v>22</v>
      </c>
      <c r="H125" s="276">
        <f t="shared" ca="1" si="24"/>
        <v>22</v>
      </c>
      <c r="I125" s="276">
        <f t="shared" ca="1" si="24"/>
        <v>22</v>
      </c>
      <c r="J125" s="276">
        <f t="shared" ca="1" si="24"/>
        <v>22</v>
      </c>
      <c r="K125" s="276">
        <f t="shared" ca="1" si="24"/>
        <v>20</v>
      </c>
      <c r="L125" s="276">
        <f t="shared" ca="1" si="24"/>
        <v>20</v>
      </c>
      <c r="M125" s="276">
        <f t="shared" ca="1" si="24"/>
        <v>22</v>
      </c>
      <c r="N125" s="277">
        <f t="shared" ca="1" si="24"/>
        <v>22</v>
      </c>
    </row>
    <row r="126" spans="1:14">
      <c r="A126" s="10"/>
      <c r="B126" s="10">
        <v>126</v>
      </c>
      <c r="C126" s="262"/>
      <c r="D126" s="273"/>
      <c r="E126" s="274"/>
      <c r="F126" s="274"/>
      <c r="G126" s="275"/>
      <c r="H126" s="26"/>
      <c r="I126" s="26"/>
      <c r="J126" s="26"/>
      <c r="K126" s="26"/>
      <c r="L126" s="26"/>
      <c r="M126" s="26"/>
      <c r="N126" s="269"/>
    </row>
    <row r="127" spans="1:14">
      <c r="A127" s="10"/>
      <c r="B127" s="10">
        <v>127</v>
      </c>
      <c r="C127" s="262" t="s">
        <v>81</v>
      </c>
      <c r="D127" s="273"/>
      <c r="E127" s="274"/>
      <c r="F127" s="274"/>
      <c r="G127" s="275"/>
      <c r="H127" s="26"/>
      <c r="I127" s="26"/>
      <c r="J127" s="26"/>
      <c r="K127" s="26"/>
      <c r="L127" s="26"/>
      <c r="M127" s="26"/>
      <c r="N127" s="269"/>
    </row>
    <row r="128" spans="1:14">
      <c r="A128" s="10" t="s">
        <v>82</v>
      </c>
      <c r="B128" s="10">
        <v>128</v>
      </c>
      <c r="C128" s="262" t="s">
        <v>1078</v>
      </c>
      <c r="D128" s="278">
        <v>170</v>
      </c>
      <c r="E128" s="279">
        <v>170</v>
      </c>
      <c r="F128" s="279">
        <v>170</v>
      </c>
      <c r="G128" s="280">
        <v>180</v>
      </c>
      <c r="H128" s="26">
        <f t="shared" ref="H128:N130" ca="1" si="25">INDIRECT(H$7 &amp; $B128)</f>
        <v>170</v>
      </c>
      <c r="I128" s="26">
        <f t="shared" ca="1" si="25"/>
        <v>170</v>
      </c>
      <c r="J128" s="26">
        <f t="shared" ca="1" si="25"/>
        <v>170</v>
      </c>
      <c r="K128" s="26">
        <f t="shared" ca="1" si="25"/>
        <v>170</v>
      </c>
      <c r="L128" s="26">
        <f t="shared" ca="1" si="25"/>
        <v>170</v>
      </c>
      <c r="M128" s="26">
        <f t="shared" ca="1" si="25"/>
        <v>170</v>
      </c>
      <c r="N128" s="269">
        <f t="shared" ca="1" si="25"/>
        <v>170</v>
      </c>
    </row>
    <row r="129" spans="1:14">
      <c r="A129" s="10" t="s">
        <v>83</v>
      </c>
      <c r="B129" s="10">
        <v>129</v>
      </c>
      <c r="C129" s="262" t="s">
        <v>1079</v>
      </c>
      <c r="D129" s="278">
        <v>170</v>
      </c>
      <c r="E129" s="279">
        <v>170</v>
      </c>
      <c r="F129" s="279">
        <v>170</v>
      </c>
      <c r="G129" s="280">
        <v>180</v>
      </c>
      <c r="H129" s="26">
        <f t="shared" ca="1" si="25"/>
        <v>170</v>
      </c>
      <c r="I129" s="26">
        <f t="shared" ca="1" si="25"/>
        <v>170</v>
      </c>
      <c r="J129" s="26">
        <f t="shared" ca="1" si="25"/>
        <v>170</v>
      </c>
      <c r="K129" s="26">
        <f t="shared" ca="1" si="25"/>
        <v>170</v>
      </c>
      <c r="L129" s="26">
        <f t="shared" ca="1" si="25"/>
        <v>170</v>
      </c>
      <c r="M129" s="26">
        <f t="shared" ca="1" si="25"/>
        <v>170</v>
      </c>
      <c r="N129" s="269">
        <f t="shared" ca="1" si="25"/>
        <v>170</v>
      </c>
    </row>
    <row r="130" spans="1:14">
      <c r="A130" s="10" t="s">
        <v>84</v>
      </c>
      <c r="B130" s="10">
        <v>130</v>
      </c>
      <c r="C130" s="262" t="s">
        <v>1080</v>
      </c>
      <c r="D130" s="278">
        <v>172</v>
      </c>
      <c r="E130" s="279">
        <v>172</v>
      </c>
      <c r="F130" s="279">
        <v>172</v>
      </c>
      <c r="G130" s="280">
        <v>180</v>
      </c>
      <c r="H130" s="26">
        <f t="shared" ca="1" si="25"/>
        <v>172</v>
      </c>
      <c r="I130" s="26">
        <f t="shared" ca="1" si="25"/>
        <v>172</v>
      </c>
      <c r="J130" s="26">
        <f t="shared" ca="1" si="25"/>
        <v>172</v>
      </c>
      <c r="K130" s="26">
        <f t="shared" ca="1" si="25"/>
        <v>172</v>
      </c>
      <c r="L130" s="26">
        <f t="shared" ca="1" si="25"/>
        <v>172</v>
      </c>
      <c r="M130" s="26">
        <f t="shared" ca="1" si="25"/>
        <v>172</v>
      </c>
      <c r="N130" s="269">
        <f t="shared" ca="1" si="25"/>
        <v>172</v>
      </c>
    </row>
    <row r="131" spans="1:14">
      <c r="A131" s="10"/>
      <c r="B131" s="10">
        <v>131</v>
      </c>
      <c r="C131" s="262"/>
      <c r="D131" s="60"/>
      <c r="E131" s="10"/>
      <c r="F131" s="10"/>
      <c r="G131" s="268"/>
      <c r="H131" s="26"/>
      <c r="I131" s="26"/>
      <c r="J131" s="26"/>
      <c r="K131" s="26"/>
      <c r="L131" s="26"/>
      <c r="M131" s="26"/>
      <c r="N131" s="269"/>
    </row>
    <row r="132" spans="1:14">
      <c r="A132" s="10"/>
      <c r="B132" s="10">
        <v>132</v>
      </c>
      <c r="C132" s="262" t="s">
        <v>85</v>
      </c>
      <c r="D132" s="60"/>
      <c r="E132" s="10"/>
      <c r="F132" s="10"/>
      <c r="G132" s="268"/>
      <c r="H132" s="26"/>
      <c r="I132" s="26"/>
      <c r="J132" s="26"/>
      <c r="K132" s="26"/>
      <c r="L132" s="26"/>
      <c r="M132" s="26"/>
      <c r="N132" s="269"/>
    </row>
    <row r="133" spans="1:14">
      <c r="A133" s="10"/>
      <c r="B133" s="10">
        <v>133</v>
      </c>
      <c r="C133" s="262" t="s">
        <v>1090</v>
      </c>
      <c r="D133" s="287"/>
      <c r="E133" s="288"/>
      <c r="F133" s="10"/>
      <c r="G133" s="289"/>
      <c r="H133" s="26"/>
      <c r="I133" s="26"/>
      <c r="J133" s="26"/>
      <c r="K133" s="26"/>
      <c r="L133" s="26"/>
      <c r="M133" s="26"/>
      <c r="N133" s="269"/>
    </row>
    <row r="134" spans="1:14">
      <c r="A134" s="10" t="s">
        <v>86</v>
      </c>
      <c r="B134" s="10">
        <v>134</v>
      </c>
      <c r="C134" s="262" t="s">
        <v>1078</v>
      </c>
      <c r="D134" s="270">
        <v>0.2</v>
      </c>
      <c r="E134" s="271">
        <v>0.2</v>
      </c>
      <c r="F134" s="271">
        <v>0.25</v>
      </c>
      <c r="G134" s="272">
        <v>0.2</v>
      </c>
      <c r="H134" s="238">
        <f t="shared" ref="H134:N136" ca="1" si="26">INDIRECT(H$7 &amp; $B134)</f>
        <v>0.2</v>
      </c>
      <c r="I134" s="238">
        <f t="shared" ca="1" si="26"/>
        <v>0.2</v>
      </c>
      <c r="J134" s="238">
        <f t="shared" ca="1" si="26"/>
        <v>0.2</v>
      </c>
      <c r="K134" s="238">
        <f t="shared" ca="1" si="26"/>
        <v>0.25</v>
      </c>
      <c r="L134" s="238">
        <f t="shared" ca="1" si="26"/>
        <v>0.25</v>
      </c>
      <c r="M134" s="238">
        <f t="shared" ca="1" si="26"/>
        <v>0.2</v>
      </c>
      <c r="N134" s="248">
        <f t="shared" ca="1" si="26"/>
        <v>0.2</v>
      </c>
    </row>
    <row r="135" spans="1:14">
      <c r="A135" s="10" t="s">
        <v>87</v>
      </c>
      <c r="B135" s="10">
        <v>135</v>
      </c>
      <c r="C135" s="262" t="s">
        <v>1079</v>
      </c>
      <c r="D135" s="270">
        <v>0.2</v>
      </c>
      <c r="E135" s="271">
        <v>0.2</v>
      </c>
      <c r="F135" s="271">
        <v>0.25</v>
      </c>
      <c r="G135" s="272">
        <v>0.2</v>
      </c>
      <c r="H135" s="238">
        <f t="shared" ca="1" si="26"/>
        <v>0.2</v>
      </c>
      <c r="I135" s="238">
        <f t="shared" ca="1" si="26"/>
        <v>0.2</v>
      </c>
      <c r="J135" s="238">
        <f t="shared" ca="1" si="26"/>
        <v>0.2</v>
      </c>
      <c r="K135" s="238">
        <f t="shared" ca="1" si="26"/>
        <v>0.25</v>
      </c>
      <c r="L135" s="238">
        <f t="shared" ca="1" si="26"/>
        <v>0.25</v>
      </c>
      <c r="M135" s="238">
        <f t="shared" ca="1" si="26"/>
        <v>0.2</v>
      </c>
      <c r="N135" s="248">
        <f t="shared" ca="1" si="26"/>
        <v>0.2</v>
      </c>
    </row>
    <row r="136" spans="1:14">
      <c r="A136" s="10" t="s">
        <v>88</v>
      </c>
      <c r="B136" s="10">
        <v>136</v>
      </c>
      <c r="C136" s="262" t="s">
        <v>1080</v>
      </c>
      <c r="D136" s="270">
        <v>0.2</v>
      </c>
      <c r="E136" s="271">
        <v>0.2</v>
      </c>
      <c r="F136" s="271">
        <v>0.25</v>
      </c>
      <c r="G136" s="272">
        <v>0.2</v>
      </c>
      <c r="H136" s="238">
        <f t="shared" ca="1" si="26"/>
        <v>0.2</v>
      </c>
      <c r="I136" s="238">
        <f t="shared" ca="1" si="26"/>
        <v>0.2</v>
      </c>
      <c r="J136" s="238">
        <f t="shared" ca="1" si="26"/>
        <v>0.2</v>
      </c>
      <c r="K136" s="238">
        <f t="shared" ca="1" si="26"/>
        <v>0.25</v>
      </c>
      <c r="L136" s="238">
        <f t="shared" ca="1" si="26"/>
        <v>0.25</v>
      </c>
      <c r="M136" s="238">
        <f t="shared" ca="1" si="26"/>
        <v>0.2</v>
      </c>
      <c r="N136" s="248">
        <f t="shared" ca="1" si="26"/>
        <v>0.2</v>
      </c>
    </row>
    <row r="137" spans="1:14">
      <c r="A137" s="10"/>
      <c r="B137" s="10">
        <v>137</v>
      </c>
      <c r="C137" s="262"/>
      <c r="D137" s="60"/>
      <c r="E137" s="10"/>
      <c r="F137" s="10"/>
      <c r="G137" s="268"/>
      <c r="H137" s="238"/>
      <c r="I137" s="238"/>
      <c r="J137" s="238"/>
      <c r="K137" s="238"/>
      <c r="L137" s="238"/>
      <c r="M137" s="238"/>
      <c r="N137" s="248"/>
    </row>
    <row r="138" spans="1:14">
      <c r="A138" s="10"/>
      <c r="B138" s="10">
        <v>138</v>
      </c>
      <c r="C138" s="262" t="s">
        <v>1091</v>
      </c>
      <c r="D138" s="60"/>
      <c r="E138" s="10"/>
      <c r="F138" s="10"/>
      <c r="G138" s="268"/>
      <c r="H138" s="238"/>
      <c r="I138" s="238"/>
      <c r="J138" s="238"/>
      <c r="K138" s="238"/>
      <c r="L138" s="238"/>
      <c r="M138" s="238"/>
      <c r="N138" s="248"/>
    </row>
    <row r="139" spans="1:14">
      <c r="A139" s="10" t="s">
        <v>89</v>
      </c>
      <c r="B139" s="10">
        <v>139</v>
      </c>
      <c r="C139" s="262" t="s">
        <v>1078</v>
      </c>
      <c r="D139" s="270">
        <v>0.25</v>
      </c>
      <c r="E139" s="271">
        <v>0.25</v>
      </c>
      <c r="F139" s="239">
        <v>0.5</v>
      </c>
      <c r="G139" s="272">
        <v>0.25</v>
      </c>
      <c r="H139" s="238">
        <f t="shared" ref="H139:N141" ca="1" si="27">INDIRECT(H$7 &amp; $B139)</f>
        <v>0.25</v>
      </c>
      <c r="I139" s="238">
        <f t="shared" ca="1" si="27"/>
        <v>0.25</v>
      </c>
      <c r="J139" s="238">
        <f t="shared" ca="1" si="27"/>
        <v>0.25</v>
      </c>
      <c r="K139" s="238">
        <f t="shared" ca="1" si="27"/>
        <v>0.5</v>
      </c>
      <c r="L139" s="238">
        <f t="shared" ca="1" si="27"/>
        <v>0.5</v>
      </c>
      <c r="M139" s="238">
        <f t="shared" ca="1" si="27"/>
        <v>0.25</v>
      </c>
      <c r="N139" s="248">
        <f t="shared" ca="1" si="27"/>
        <v>0.25</v>
      </c>
    </row>
    <row r="140" spans="1:14">
      <c r="A140" s="10" t="s">
        <v>90</v>
      </c>
      <c r="B140" s="10">
        <v>140</v>
      </c>
      <c r="C140" s="262" t="s">
        <v>1079</v>
      </c>
      <c r="D140" s="270">
        <v>0.25</v>
      </c>
      <c r="E140" s="271">
        <v>0.25</v>
      </c>
      <c r="F140" s="239">
        <v>0.5</v>
      </c>
      <c r="G140" s="272">
        <v>0.25</v>
      </c>
      <c r="H140" s="238">
        <f t="shared" ca="1" si="27"/>
        <v>0.25</v>
      </c>
      <c r="I140" s="238">
        <f t="shared" ca="1" si="27"/>
        <v>0.25</v>
      </c>
      <c r="J140" s="238">
        <f t="shared" ca="1" si="27"/>
        <v>0.25</v>
      </c>
      <c r="K140" s="238">
        <f t="shared" ca="1" si="27"/>
        <v>0.5</v>
      </c>
      <c r="L140" s="238">
        <f t="shared" ca="1" si="27"/>
        <v>0.5</v>
      </c>
      <c r="M140" s="238">
        <f t="shared" ca="1" si="27"/>
        <v>0.25</v>
      </c>
      <c r="N140" s="248">
        <f t="shared" ca="1" si="27"/>
        <v>0.25</v>
      </c>
    </row>
    <row r="141" spans="1:14">
      <c r="A141" s="10" t="s">
        <v>91</v>
      </c>
      <c r="B141" s="10">
        <v>141</v>
      </c>
      <c r="C141" s="262" t="s">
        <v>1080</v>
      </c>
      <c r="D141" s="270">
        <v>0.25</v>
      </c>
      <c r="E141" s="271">
        <v>0.25</v>
      </c>
      <c r="F141" s="239">
        <v>0.5</v>
      </c>
      <c r="G141" s="272">
        <v>0.25</v>
      </c>
      <c r="H141" s="238">
        <f t="shared" ca="1" si="27"/>
        <v>0.25</v>
      </c>
      <c r="I141" s="238">
        <f t="shared" ca="1" si="27"/>
        <v>0.25</v>
      </c>
      <c r="J141" s="238">
        <f t="shared" ca="1" si="27"/>
        <v>0.25</v>
      </c>
      <c r="K141" s="238">
        <f t="shared" ca="1" si="27"/>
        <v>0.5</v>
      </c>
      <c r="L141" s="238">
        <f t="shared" ca="1" si="27"/>
        <v>0.5</v>
      </c>
      <c r="M141" s="238">
        <f t="shared" ca="1" si="27"/>
        <v>0.25</v>
      </c>
      <c r="N141" s="248">
        <f t="shared" ca="1" si="27"/>
        <v>0.25</v>
      </c>
    </row>
    <row r="142" spans="1:14">
      <c r="A142" s="10"/>
      <c r="B142" s="10">
        <v>142</v>
      </c>
      <c r="C142" s="262"/>
      <c r="D142" s="270"/>
      <c r="E142" s="271"/>
      <c r="F142" s="239"/>
      <c r="G142" s="272"/>
      <c r="H142" s="26"/>
      <c r="I142" s="26"/>
      <c r="J142" s="26"/>
      <c r="K142" s="26"/>
      <c r="L142" s="26"/>
      <c r="M142" s="26"/>
      <c r="N142" s="269"/>
    </row>
    <row r="143" spans="1:14">
      <c r="A143" s="10"/>
      <c r="B143" s="10">
        <v>143</v>
      </c>
      <c r="C143" s="262" t="s">
        <v>1092</v>
      </c>
      <c r="D143" s="270"/>
      <c r="E143" s="271"/>
      <c r="F143" s="239"/>
      <c r="G143" s="272"/>
      <c r="H143" s="26"/>
      <c r="I143" s="26"/>
      <c r="J143" s="26"/>
      <c r="K143" s="26"/>
      <c r="L143" s="26"/>
      <c r="M143" s="26"/>
      <c r="N143" s="269"/>
    </row>
    <row r="144" spans="1:14">
      <c r="A144" s="10" t="s">
        <v>92</v>
      </c>
      <c r="B144" s="10">
        <v>144</v>
      </c>
      <c r="C144" s="262" t="s">
        <v>1078</v>
      </c>
      <c r="D144" s="281">
        <v>380.31</v>
      </c>
      <c r="E144" s="130">
        <f>D144*(1+GrowthFactors!$D$9)</f>
        <v>391.22799043062196</v>
      </c>
      <c r="F144" s="130">
        <f>E144</f>
        <v>391.22799043062196</v>
      </c>
      <c r="G144" s="251">
        <v>391.22799043062196</v>
      </c>
      <c r="H144" s="237">
        <f t="shared" ref="H144:N146" ca="1" si="28">INDIRECT(H$7 &amp; $B144)</f>
        <v>380.31</v>
      </c>
      <c r="I144" s="237">
        <f t="shared" ca="1" si="28"/>
        <v>391.22799043062196</v>
      </c>
      <c r="J144" s="237">
        <f t="shared" ca="1" si="28"/>
        <v>391.22799043062196</v>
      </c>
      <c r="K144" s="237">
        <f t="shared" ca="1" si="28"/>
        <v>391.22799043062196</v>
      </c>
      <c r="L144" s="237">
        <f t="shared" ca="1" si="28"/>
        <v>391.22799043062196</v>
      </c>
      <c r="M144" s="237">
        <f t="shared" ca="1" si="28"/>
        <v>391.22799043062196</v>
      </c>
      <c r="N144" s="247">
        <f t="shared" ca="1" si="28"/>
        <v>391.22799043062196</v>
      </c>
    </row>
    <row r="145" spans="1:14">
      <c r="A145" s="10" t="s">
        <v>93</v>
      </c>
      <c r="B145" s="10">
        <v>145</v>
      </c>
      <c r="C145" s="262" t="s">
        <v>1079</v>
      </c>
      <c r="D145" s="281">
        <v>382.48</v>
      </c>
      <c r="E145" s="130">
        <f>D145*(1+GrowthFactors!$D$9)</f>
        <v>393.46028708133969</v>
      </c>
      <c r="F145" s="130">
        <f>E145</f>
        <v>393.46028708133969</v>
      </c>
      <c r="G145" s="251">
        <v>393.46028708133969</v>
      </c>
      <c r="H145" s="237">
        <f t="shared" ca="1" si="28"/>
        <v>382.48</v>
      </c>
      <c r="I145" s="237">
        <f t="shared" ca="1" si="28"/>
        <v>393.46028708133969</v>
      </c>
      <c r="J145" s="237">
        <f t="shared" ca="1" si="28"/>
        <v>393.46028708133969</v>
      </c>
      <c r="K145" s="237">
        <f t="shared" ca="1" si="28"/>
        <v>393.46028708133969</v>
      </c>
      <c r="L145" s="237">
        <f t="shared" ca="1" si="28"/>
        <v>393.46028708133969</v>
      </c>
      <c r="M145" s="237">
        <f t="shared" ca="1" si="28"/>
        <v>393.46028708133969</v>
      </c>
      <c r="N145" s="247">
        <f t="shared" ca="1" si="28"/>
        <v>393.46028708133969</v>
      </c>
    </row>
    <row r="146" spans="1:14">
      <c r="A146" s="10" t="s">
        <v>94</v>
      </c>
      <c r="B146" s="10">
        <v>146</v>
      </c>
      <c r="C146" s="262" t="s">
        <v>1080</v>
      </c>
      <c r="D146" s="281">
        <v>385.25</v>
      </c>
      <c r="E146" s="130">
        <f>D146*(1+GrowthFactors!$D$9)</f>
        <v>396.30980861244018</v>
      </c>
      <c r="F146" s="130">
        <f>E146</f>
        <v>396.30980861244018</v>
      </c>
      <c r="G146" s="251">
        <v>396.30980861244018</v>
      </c>
      <c r="H146" s="237">
        <f t="shared" ca="1" si="28"/>
        <v>385.25</v>
      </c>
      <c r="I146" s="237">
        <f t="shared" ca="1" si="28"/>
        <v>396.30980861244018</v>
      </c>
      <c r="J146" s="237">
        <f t="shared" ca="1" si="28"/>
        <v>396.30980861244018</v>
      </c>
      <c r="K146" s="237">
        <f t="shared" ca="1" si="28"/>
        <v>396.30980861244018</v>
      </c>
      <c r="L146" s="237">
        <f t="shared" ca="1" si="28"/>
        <v>396.30980861244018</v>
      </c>
      <c r="M146" s="237">
        <f t="shared" ca="1" si="28"/>
        <v>396.30980861244018</v>
      </c>
      <c r="N146" s="247">
        <f t="shared" ca="1" si="28"/>
        <v>396.30980861244018</v>
      </c>
    </row>
    <row r="147" spans="1:14">
      <c r="A147" s="10"/>
      <c r="B147" s="10">
        <v>147</v>
      </c>
      <c r="C147" s="262"/>
      <c r="D147" s="60"/>
      <c r="E147" s="10"/>
      <c r="F147" s="10"/>
      <c r="G147" s="268"/>
      <c r="H147" s="237"/>
      <c r="I147" s="237"/>
      <c r="J147" s="237"/>
      <c r="K147" s="237"/>
      <c r="L147" s="237"/>
      <c r="M147" s="237"/>
      <c r="N147" s="247"/>
    </row>
    <row r="148" spans="1:14">
      <c r="A148" s="10"/>
      <c r="B148" s="10">
        <v>148</v>
      </c>
      <c r="C148" s="262" t="s">
        <v>95</v>
      </c>
      <c r="D148" s="60"/>
      <c r="E148" s="10"/>
      <c r="F148" s="10"/>
      <c r="G148" s="268"/>
      <c r="H148" s="237"/>
      <c r="I148" s="237"/>
      <c r="J148" s="237"/>
      <c r="K148" s="237"/>
      <c r="L148" s="237"/>
      <c r="M148" s="237"/>
      <c r="N148" s="247"/>
    </row>
    <row r="149" spans="1:14">
      <c r="A149" s="10" t="s">
        <v>96</v>
      </c>
      <c r="B149" s="10">
        <v>149</v>
      </c>
      <c r="C149" s="262" t="s">
        <v>1078</v>
      </c>
      <c r="D149" s="281">
        <v>128.91999999999999</v>
      </c>
      <c r="E149" s="130">
        <f>D149*(1+GrowthFactors!$D$9)</f>
        <v>132.62105263157892</v>
      </c>
      <c r="F149" s="130">
        <f>E149</f>
        <v>132.62105263157892</v>
      </c>
      <c r="G149" s="251">
        <v>132.62105263157892</v>
      </c>
      <c r="H149" s="237">
        <f t="shared" ref="H149:N151" ca="1" si="29">INDIRECT(H$7 &amp; $B149)</f>
        <v>128.91999999999999</v>
      </c>
      <c r="I149" s="237">
        <f t="shared" ca="1" si="29"/>
        <v>132.62105263157892</v>
      </c>
      <c r="J149" s="237">
        <f t="shared" ca="1" si="29"/>
        <v>132.62105263157892</v>
      </c>
      <c r="K149" s="237">
        <f t="shared" ca="1" si="29"/>
        <v>132.62105263157892</v>
      </c>
      <c r="L149" s="237">
        <f t="shared" ca="1" si="29"/>
        <v>132.62105263157892</v>
      </c>
      <c r="M149" s="237">
        <f t="shared" ca="1" si="29"/>
        <v>132.62105263157892</v>
      </c>
      <c r="N149" s="247">
        <f t="shared" ca="1" si="29"/>
        <v>132.62105263157892</v>
      </c>
    </row>
    <row r="150" spans="1:14">
      <c r="A150" s="10" t="s">
        <v>97</v>
      </c>
      <c r="B150" s="10">
        <v>150</v>
      </c>
      <c r="C150" s="262" t="s">
        <v>1079</v>
      </c>
      <c r="D150" s="281">
        <v>121.88</v>
      </c>
      <c r="E150" s="130">
        <f>D150*(1+GrowthFactors!$D$9)</f>
        <v>125.37894736842104</v>
      </c>
      <c r="F150" s="130">
        <f>E150</f>
        <v>125.37894736842104</v>
      </c>
      <c r="G150" s="251">
        <v>125.37894736842104</v>
      </c>
      <c r="H150" s="237">
        <f t="shared" ca="1" si="29"/>
        <v>121.88</v>
      </c>
      <c r="I150" s="237">
        <f t="shared" ca="1" si="29"/>
        <v>125.37894736842104</v>
      </c>
      <c r="J150" s="237">
        <f t="shared" ca="1" si="29"/>
        <v>125.37894736842104</v>
      </c>
      <c r="K150" s="237">
        <f t="shared" ca="1" si="29"/>
        <v>125.37894736842104</v>
      </c>
      <c r="L150" s="237">
        <f t="shared" ca="1" si="29"/>
        <v>125.37894736842104</v>
      </c>
      <c r="M150" s="237">
        <f t="shared" ca="1" si="29"/>
        <v>125.37894736842104</v>
      </c>
      <c r="N150" s="247">
        <f t="shared" ca="1" si="29"/>
        <v>125.37894736842104</v>
      </c>
    </row>
    <row r="151" spans="1:14">
      <c r="A151" s="10" t="s">
        <v>98</v>
      </c>
      <c r="B151" s="10">
        <v>151</v>
      </c>
      <c r="C151" s="262" t="s">
        <v>1080</v>
      </c>
      <c r="D151" s="281">
        <v>108.2</v>
      </c>
      <c r="E151" s="130">
        <f>D151*(1+GrowthFactors!$D$9)</f>
        <v>111.30622009569377</v>
      </c>
      <c r="F151" s="130">
        <f>E151</f>
        <v>111.30622009569377</v>
      </c>
      <c r="G151" s="251">
        <v>111.30622009569377</v>
      </c>
      <c r="H151" s="237">
        <f t="shared" ca="1" si="29"/>
        <v>108.2</v>
      </c>
      <c r="I151" s="237">
        <f t="shared" ca="1" si="29"/>
        <v>111.30622009569377</v>
      </c>
      <c r="J151" s="237">
        <f t="shared" ca="1" si="29"/>
        <v>111.30622009569377</v>
      </c>
      <c r="K151" s="237">
        <f t="shared" ca="1" si="29"/>
        <v>111.30622009569377</v>
      </c>
      <c r="L151" s="237">
        <f t="shared" ca="1" si="29"/>
        <v>111.30622009569377</v>
      </c>
      <c r="M151" s="237">
        <f t="shared" ca="1" si="29"/>
        <v>111.30622009569377</v>
      </c>
      <c r="N151" s="247">
        <f t="shared" ca="1" si="29"/>
        <v>111.30622009569377</v>
      </c>
    </row>
    <row r="152" spans="1:14">
      <c r="A152" s="10"/>
      <c r="B152" s="10">
        <v>152</v>
      </c>
      <c r="C152" s="262"/>
      <c r="D152" s="281"/>
      <c r="E152" s="130"/>
      <c r="F152" s="130"/>
      <c r="G152" s="251"/>
      <c r="H152" s="237"/>
      <c r="I152" s="237"/>
      <c r="J152" s="237"/>
      <c r="K152" s="237"/>
      <c r="L152" s="237"/>
      <c r="M152" s="237"/>
      <c r="N152" s="247"/>
    </row>
    <row r="153" spans="1:14">
      <c r="A153" s="10"/>
      <c r="B153" s="10">
        <v>153</v>
      </c>
      <c r="C153" s="262" t="s">
        <v>99</v>
      </c>
      <c r="D153" s="281"/>
      <c r="E153" s="130"/>
      <c r="F153" s="130"/>
      <c r="G153" s="251"/>
      <c r="H153" s="237"/>
      <c r="I153" s="237"/>
      <c r="J153" s="237"/>
      <c r="K153" s="237"/>
      <c r="L153" s="237"/>
      <c r="M153" s="237"/>
      <c r="N153" s="247"/>
    </row>
    <row r="154" spans="1:14">
      <c r="A154" s="10" t="s">
        <v>100</v>
      </c>
      <c r="B154" s="10">
        <v>154</v>
      </c>
      <c r="C154" s="262" t="s">
        <v>1078</v>
      </c>
      <c r="D154" s="281">
        <v>153.19999999999999</v>
      </c>
      <c r="E154" s="130">
        <f>D154*(1+GrowthFactors!$D$9)</f>
        <v>157.5980861244019</v>
      </c>
      <c r="F154" s="130">
        <f>E154</f>
        <v>157.5980861244019</v>
      </c>
      <c r="G154" s="251">
        <v>157.5980861244019</v>
      </c>
      <c r="H154" s="237">
        <f t="shared" ref="H154:N156" ca="1" si="30">INDIRECT(H$7 &amp; $B154)</f>
        <v>153.19999999999999</v>
      </c>
      <c r="I154" s="237">
        <f t="shared" ca="1" si="30"/>
        <v>157.5980861244019</v>
      </c>
      <c r="J154" s="237">
        <f t="shared" ca="1" si="30"/>
        <v>157.5980861244019</v>
      </c>
      <c r="K154" s="237">
        <f t="shared" ca="1" si="30"/>
        <v>157.5980861244019</v>
      </c>
      <c r="L154" s="237">
        <f t="shared" ca="1" si="30"/>
        <v>157.5980861244019</v>
      </c>
      <c r="M154" s="237">
        <f t="shared" ca="1" si="30"/>
        <v>157.5980861244019</v>
      </c>
      <c r="N154" s="247">
        <f t="shared" ca="1" si="30"/>
        <v>157.5980861244019</v>
      </c>
    </row>
    <row r="155" spans="1:14">
      <c r="A155" s="10" t="s">
        <v>101</v>
      </c>
      <c r="B155" s="10">
        <v>155</v>
      </c>
      <c r="C155" s="262" t="s">
        <v>1079</v>
      </c>
      <c r="D155" s="281">
        <v>175</v>
      </c>
      <c r="E155" s="130">
        <f>D155*(1+GrowthFactors!$D$9)</f>
        <v>180.02392344497608</v>
      </c>
      <c r="F155" s="130">
        <f>E155</f>
        <v>180.02392344497608</v>
      </c>
      <c r="G155" s="251">
        <v>180.02392344497608</v>
      </c>
      <c r="H155" s="237">
        <f t="shared" ca="1" si="30"/>
        <v>175</v>
      </c>
      <c r="I155" s="237">
        <f t="shared" ca="1" si="30"/>
        <v>180.02392344497608</v>
      </c>
      <c r="J155" s="237">
        <f t="shared" ca="1" si="30"/>
        <v>180.02392344497608</v>
      </c>
      <c r="K155" s="237">
        <f t="shared" ca="1" si="30"/>
        <v>180.02392344497608</v>
      </c>
      <c r="L155" s="237">
        <f t="shared" ca="1" si="30"/>
        <v>180.02392344497608</v>
      </c>
      <c r="M155" s="237">
        <f t="shared" ca="1" si="30"/>
        <v>180.02392344497608</v>
      </c>
      <c r="N155" s="247">
        <f t="shared" ca="1" si="30"/>
        <v>180.02392344497608</v>
      </c>
    </row>
    <row r="156" spans="1:14">
      <c r="A156" s="10" t="s">
        <v>102</v>
      </c>
      <c r="B156" s="10">
        <v>156</v>
      </c>
      <c r="C156" s="262" t="s">
        <v>1080</v>
      </c>
      <c r="D156" s="281">
        <v>238.58</v>
      </c>
      <c r="E156" s="130">
        <f>D156*(1+GrowthFactors!$D$9)</f>
        <v>245.4291866028708</v>
      </c>
      <c r="F156" s="130">
        <f>E156</f>
        <v>245.4291866028708</v>
      </c>
      <c r="G156" s="251">
        <v>245.4291866028708</v>
      </c>
      <c r="H156" s="237">
        <f t="shared" ca="1" si="30"/>
        <v>238.58</v>
      </c>
      <c r="I156" s="237">
        <f t="shared" ca="1" si="30"/>
        <v>245.4291866028708</v>
      </c>
      <c r="J156" s="237">
        <f t="shared" ca="1" si="30"/>
        <v>245.4291866028708</v>
      </c>
      <c r="K156" s="237">
        <f t="shared" ca="1" si="30"/>
        <v>245.4291866028708</v>
      </c>
      <c r="L156" s="237">
        <f t="shared" ca="1" si="30"/>
        <v>245.4291866028708</v>
      </c>
      <c r="M156" s="237">
        <f t="shared" ca="1" si="30"/>
        <v>245.4291866028708</v>
      </c>
      <c r="N156" s="247">
        <f t="shared" ca="1" si="30"/>
        <v>245.4291866028708</v>
      </c>
    </row>
    <row r="157" spans="1:14">
      <c r="A157" s="10"/>
      <c r="B157" s="10">
        <v>157</v>
      </c>
      <c r="C157" s="262"/>
      <c r="D157" s="281"/>
      <c r="E157" s="130"/>
      <c r="F157" s="130"/>
      <c r="G157" s="251"/>
      <c r="H157" s="237"/>
      <c r="I157" s="237"/>
      <c r="J157" s="237"/>
      <c r="K157" s="237"/>
      <c r="L157" s="237"/>
      <c r="M157" s="237"/>
      <c r="N157" s="247"/>
    </row>
    <row r="158" spans="1:14">
      <c r="A158" s="10"/>
      <c r="B158" s="10">
        <v>158</v>
      </c>
      <c r="C158" s="262" t="s">
        <v>103</v>
      </c>
      <c r="D158" s="281"/>
      <c r="E158" s="130"/>
      <c r="F158" s="130"/>
      <c r="G158" s="251"/>
      <c r="H158" s="237"/>
      <c r="I158" s="237"/>
      <c r="J158" s="237"/>
      <c r="K158" s="237"/>
      <c r="L158" s="237"/>
      <c r="M158" s="237"/>
      <c r="N158" s="247"/>
    </row>
    <row r="159" spans="1:14">
      <c r="A159" s="10" t="s">
        <v>104</v>
      </c>
      <c r="B159" s="10">
        <v>159</v>
      </c>
      <c r="C159" s="262" t="s">
        <v>1078</v>
      </c>
      <c r="D159" s="281">
        <v>0</v>
      </c>
      <c r="E159" s="130">
        <v>0</v>
      </c>
      <c r="F159" s="130">
        <f ca="1">450/Staffing_ClassSize_Report!O3</f>
        <v>22.5</v>
      </c>
      <c r="G159" s="251">
        <v>0</v>
      </c>
      <c r="H159" s="237">
        <f t="shared" ref="H159:N161" ca="1" si="31">INDIRECT(H$7 &amp; $B159)</f>
        <v>0</v>
      </c>
      <c r="I159" s="237">
        <f t="shared" ca="1" si="31"/>
        <v>0</v>
      </c>
      <c r="J159" s="237">
        <f t="shared" ca="1" si="31"/>
        <v>0</v>
      </c>
      <c r="K159" s="237">
        <f t="shared" ca="1" si="31"/>
        <v>22.5</v>
      </c>
      <c r="L159" s="237">
        <f t="shared" ca="1" si="31"/>
        <v>22.5</v>
      </c>
      <c r="M159" s="237">
        <f t="shared" ca="1" si="31"/>
        <v>0</v>
      </c>
      <c r="N159" s="247">
        <f t="shared" ca="1" si="31"/>
        <v>0</v>
      </c>
    </row>
    <row r="160" spans="1:14">
      <c r="A160" s="10" t="s">
        <v>105</v>
      </c>
      <c r="B160" s="10">
        <v>160</v>
      </c>
      <c r="C160" s="262" t="s">
        <v>1079</v>
      </c>
      <c r="D160" s="281">
        <v>0</v>
      </c>
      <c r="E160" s="130">
        <v>0</v>
      </c>
      <c r="F160" s="130">
        <f ca="1">450/Staffing_ClassSize_Report!P3</f>
        <v>23.721428571428572</v>
      </c>
      <c r="G160" s="251">
        <v>0</v>
      </c>
      <c r="H160" s="237">
        <f t="shared" ca="1" si="31"/>
        <v>0</v>
      </c>
      <c r="I160" s="237">
        <f t="shared" ca="1" si="31"/>
        <v>0</v>
      </c>
      <c r="J160" s="237">
        <f t="shared" ca="1" si="31"/>
        <v>0</v>
      </c>
      <c r="K160" s="237">
        <f t="shared" ca="1" si="31"/>
        <v>23.721428571428572</v>
      </c>
      <c r="L160" s="237">
        <f t="shared" ca="1" si="31"/>
        <v>23.721428571428572</v>
      </c>
      <c r="M160" s="237">
        <f t="shared" ca="1" si="31"/>
        <v>0</v>
      </c>
      <c r="N160" s="247">
        <f t="shared" ca="1" si="31"/>
        <v>0</v>
      </c>
    </row>
    <row r="161" spans="1:14">
      <c r="A161" s="10" t="s">
        <v>106</v>
      </c>
      <c r="B161" s="10">
        <v>161</v>
      </c>
      <c r="C161" s="262" t="s">
        <v>1080</v>
      </c>
      <c r="D161" s="281">
        <v>0</v>
      </c>
      <c r="E161" s="130">
        <v>0</v>
      </c>
      <c r="F161" s="130">
        <f ca="1">450/Staffing_ClassSize_Report!Q3</f>
        <v>20.153571428571425</v>
      </c>
      <c r="G161" s="251">
        <v>0</v>
      </c>
      <c r="H161" s="237">
        <f t="shared" ca="1" si="31"/>
        <v>0</v>
      </c>
      <c r="I161" s="237">
        <f t="shared" ca="1" si="31"/>
        <v>0</v>
      </c>
      <c r="J161" s="237">
        <f t="shared" ca="1" si="31"/>
        <v>0</v>
      </c>
      <c r="K161" s="237">
        <f t="shared" ca="1" si="31"/>
        <v>20.153571428571425</v>
      </c>
      <c r="L161" s="237">
        <f t="shared" ca="1" si="31"/>
        <v>20.153571428571425</v>
      </c>
      <c r="M161" s="237">
        <f t="shared" ca="1" si="31"/>
        <v>0</v>
      </c>
      <c r="N161" s="247">
        <f t="shared" ca="1" si="31"/>
        <v>0</v>
      </c>
    </row>
    <row r="162" spans="1:14">
      <c r="A162" s="10"/>
      <c r="B162" s="10">
        <v>162</v>
      </c>
      <c r="C162" s="262"/>
      <c r="D162" s="281"/>
      <c r="E162" s="130"/>
      <c r="F162" s="130"/>
      <c r="G162" s="251"/>
      <c r="H162" s="237"/>
      <c r="I162" s="237"/>
      <c r="J162" s="237"/>
      <c r="K162" s="237"/>
      <c r="L162" s="237"/>
      <c r="M162" s="237"/>
      <c r="N162" s="247"/>
    </row>
    <row r="163" spans="1:14">
      <c r="A163" s="10"/>
      <c r="B163" s="10">
        <v>163</v>
      </c>
      <c r="C163" s="262" t="s">
        <v>107</v>
      </c>
      <c r="D163" s="281"/>
      <c r="E163" s="130"/>
      <c r="F163" s="130"/>
      <c r="G163" s="251"/>
      <c r="H163" s="237"/>
      <c r="I163" s="237"/>
      <c r="J163" s="237"/>
      <c r="K163" s="237"/>
      <c r="L163" s="237"/>
      <c r="M163" s="237"/>
      <c r="N163" s="247"/>
    </row>
    <row r="164" spans="1:14">
      <c r="A164" s="10" t="s">
        <v>108</v>
      </c>
      <c r="B164" s="10">
        <v>164</v>
      </c>
      <c r="C164" s="262" t="s">
        <v>1078</v>
      </c>
      <c r="D164" s="281">
        <v>17.98</v>
      </c>
      <c r="E164" s="130">
        <f>D164*(1+GrowthFactors!$D$9)</f>
        <v>18.496172248803827</v>
      </c>
      <c r="F164" s="130">
        <v>28</v>
      </c>
      <c r="G164" s="251">
        <v>18.496172248803827</v>
      </c>
      <c r="H164" s="237">
        <f t="shared" ref="H164:N166" ca="1" si="32">INDIRECT(H$7 &amp; $B164)</f>
        <v>17.98</v>
      </c>
      <c r="I164" s="237">
        <f t="shared" ca="1" si="32"/>
        <v>18.496172248803827</v>
      </c>
      <c r="J164" s="237">
        <f t="shared" ca="1" si="32"/>
        <v>18.496172248803827</v>
      </c>
      <c r="K164" s="237">
        <f t="shared" ca="1" si="32"/>
        <v>28</v>
      </c>
      <c r="L164" s="237">
        <f t="shared" ca="1" si="32"/>
        <v>28</v>
      </c>
      <c r="M164" s="237">
        <f t="shared" ca="1" si="32"/>
        <v>18.496172248803827</v>
      </c>
      <c r="N164" s="247">
        <f t="shared" ca="1" si="32"/>
        <v>18.496172248803827</v>
      </c>
    </row>
    <row r="165" spans="1:14">
      <c r="A165" s="10" t="s">
        <v>109</v>
      </c>
      <c r="B165" s="10">
        <v>165</v>
      </c>
      <c r="C165" s="262" t="s">
        <v>1079</v>
      </c>
      <c r="D165" s="281">
        <v>17.63</v>
      </c>
      <c r="E165" s="130">
        <f>D165*(1+GrowthFactors!$D$9)</f>
        <v>18.136124401913872</v>
      </c>
      <c r="F165" s="130">
        <v>34</v>
      </c>
      <c r="G165" s="251">
        <v>18.136124401913872</v>
      </c>
      <c r="H165" s="237">
        <f t="shared" ca="1" si="32"/>
        <v>17.63</v>
      </c>
      <c r="I165" s="237">
        <f t="shared" ca="1" si="32"/>
        <v>18.136124401913872</v>
      </c>
      <c r="J165" s="237">
        <f t="shared" ca="1" si="32"/>
        <v>18.136124401913872</v>
      </c>
      <c r="K165" s="237">
        <f t="shared" ca="1" si="32"/>
        <v>34</v>
      </c>
      <c r="L165" s="237">
        <f t="shared" ca="1" si="32"/>
        <v>34</v>
      </c>
      <c r="M165" s="237">
        <f t="shared" ca="1" si="32"/>
        <v>18.136124401913872</v>
      </c>
      <c r="N165" s="247">
        <f t="shared" ca="1" si="32"/>
        <v>18.136124401913872</v>
      </c>
    </row>
    <row r="166" spans="1:14">
      <c r="A166" s="10" t="s">
        <v>110</v>
      </c>
      <c r="B166" s="10">
        <v>166</v>
      </c>
      <c r="C166" s="262" t="s">
        <v>1080</v>
      </c>
      <c r="D166" s="281">
        <v>15.67</v>
      </c>
      <c r="E166" s="130">
        <f>D166*(1+GrowthFactors!$D$9)</f>
        <v>16.119856459330144</v>
      </c>
      <c r="F166" s="130">
        <v>40</v>
      </c>
      <c r="G166" s="251">
        <v>16.119856459330144</v>
      </c>
      <c r="H166" s="237">
        <f t="shared" ca="1" si="32"/>
        <v>15.67</v>
      </c>
      <c r="I166" s="237">
        <f t="shared" ca="1" si="32"/>
        <v>16.119856459330144</v>
      </c>
      <c r="J166" s="237">
        <f t="shared" ca="1" si="32"/>
        <v>16.119856459330144</v>
      </c>
      <c r="K166" s="237">
        <f t="shared" ca="1" si="32"/>
        <v>40</v>
      </c>
      <c r="L166" s="237">
        <f t="shared" ca="1" si="32"/>
        <v>40</v>
      </c>
      <c r="M166" s="237">
        <f t="shared" ca="1" si="32"/>
        <v>16.119856459330144</v>
      </c>
      <c r="N166" s="247">
        <f t="shared" ca="1" si="32"/>
        <v>16.119856459330144</v>
      </c>
    </row>
    <row r="167" spans="1:14">
      <c r="A167" s="10"/>
      <c r="B167" s="10">
        <v>167</v>
      </c>
      <c r="C167" s="262"/>
      <c r="D167" s="60"/>
      <c r="E167" s="10"/>
      <c r="F167" s="10"/>
      <c r="G167" s="268"/>
      <c r="H167" s="26"/>
      <c r="I167" s="26"/>
      <c r="J167" s="26"/>
      <c r="K167" s="26"/>
      <c r="L167" s="26"/>
      <c r="M167" s="26"/>
      <c r="N167" s="269"/>
    </row>
    <row r="168" spans="1:14">
      <c r="A168" s="10"/>
      <c r="B168" s="10">
        <v>168</v>
      </c>
      <c r="C168" s="262" t="s">
        <v>111</v>
      </c>
      <c r="D168" s="281"/>
      <c r="E168" s="130"/>
      <c r="F168" s="130"/>
      <c r="G168" s="251"/>
      <c r="H168" s="26"/>
      <c r="I168" s="26"/>
      <c r="J168" s="26"/>
      <c r="K168" s="26"/>
      <c r="L168" s="26"/>
      <c r="M168" s="26"/>
      <c r="N168" s="269"/>
    </row>
    <row r="169" spans="1:14">
      <c r="A169" s="10" t="s">
        <v>112</v>
      </c>
      <c r="B169" s="10">
        <v>169</v>
      </c>
      <c r="C169" s="262" t="s">
        <v>1080</v>
      </c>
      <c r="D169" s="290">
        <v>9</v>
      </c>
      <c r="E169" s="291">
        <v>9</v>
      </c>
      <c r="F169" s="291">
        <v>12</v>
      </c>
      <c r="G169" s="292">
        <v>9</v>
      </c>
      <c r="H169" s="26">
        <f t="shared" ref="H169:N169" ca="1" si="33">INDIRECT(H$7 &amp; $B169)</f>
        <v>9</v>
      </c>
      <c r="I169" s="26">
        <f t="shared" ca="1" si="33"/>
        <v>9</v>
      </c>
      <c r="J169" s="26">
        <f t="shared" ca="1" si="33"/>
        <v>9</v>
      </c>
      <c r="K169" s="26">
        <f t="shared" ca="1" si="33"/>
        <v>12</v>
      </c>
      <c r="L169" s="26">
        <f t="shared" ca="1" si="33"/>
        <v>12</v>
      </c>
      <c r="M169" s="26">
        <f t="shared" ca="1" si="33"/>
        <v>9</v>
      </c>
      <c r="N169" s="269">
        <f t="shared" ca="1" si="33"/>
        <v>9</v>
      </c>
    </row>
    <row r="170" spans="1:14">
      <c r="A170" s="10"/>
      <c r="B170" s="10">
        <v>170</v>
      </c>
      <c r="C170" s="262"/>
      <c r="D170" s="281"/>
      <c r="E170" s="130"/>
      <c r="F170" s="130"/>
      <c r="G170" s="251"/>
      <c r="H170" s="26"/>
      <c r="I170" s="26"/>
      <c r="J170" s="26"/>
      <c r="K170" s="26"/>
      <c r="L170" s="26"/>
      <c r="M170" s="26"/>
      <c r="N170" s="269"/>
    </row>
    <row r="171" spans="1:14">
      <c r="A171" s="10"/>
      <c r="B171" s="10">
        <v>171</v>
      </c>
      <c r="C171" s="262" t="s">
        <v>113</v>
      </c>
      <c r="D171" s="281"/>
      <c r="E171" s="130"/>
      <c r="F171" s="130"/>
      <c r="G171" s="251"/>
      <c r="H171" s="26"/>
      <c r="I171" s="26"/>
      <c r="J171" s="26"/>
      <c r="K171" s="26"/>
      <c r="L171" s="26"/>
      <c r="M171" s="26"/>
      <c r="N171" s="269"/>
    </row>
    <row r="172" spans="1:14">
      <c r="A172" s="10" t="s">
        <v>114</v>
      </c>
      <c r="B172" s="10">
        <v>172</v>
      </c>
      <c r="C172" s="262" t="s">
        <v>1078</v>
      </c>
      <c r="D172" s="281">
        <v>1339.18</v>
      </c>
      <c r="E172" s="130">
        <f>D172*(1+GrowthFactors!D9)</f>
        <v>1377.6253588516747</v>
      </c>
      <c r="F172" s="130">
        <f>E172</f>
        <v>1377.6253588516747</v>
      </c>
      <c r="G172" s="251">
        <v>1377.6253588516747</v>
      </c>
      <c r="H172" s="237">
        <f t="shared" ref="H172:N174" ca="1" si="34">INDIRECT(H$7 &amp; $B172)</f>
        <v>1339.18</v>
      </c>
      <c r="I172" s="237">
        <f t="shared" ca="1" si="34"/>
        <v>1377.6253588516747</v>
      </c>
      <c r="J172" s="237">
        <f t="shared" ca="1" si="34"/>
        <v>1377.6253588516747</v>
      </c>
      <c r="K172" s="237">
        <f t="shared" ca="1" si="34"/>
        <v>1377.6253588516747</v>
      </c>
      <c r="L172" s="237">
        <f t="shared" ca="1" si="34"/>
        <v>1377.6253588516747</v>
      </c>
      <c r="M172" s="237">
        <f t="shared" ca="1" si="34"/>
        <v>1377.6253588516747</v>
      </c>
      <c r="N172" s="247">
        <f t="shared" ca="1" si="34"/>
        <v>1377.6253588516747</v>
      </c>
    </row>
    <row r="173" spans="1:14">
      <c r="A173" s="10" t="s">
        <v>115</v>
      </c>
      <c r="B173" s="10">
        <v>173</v>
      </c>
      <c r="C173" s="262" t="s">
        <v>1079</v>
      </c>
      <c r="D173" s="281">
        <v>1480.7</v>
      </c>
      <c r="E173" s="130">
        <f>D173*(1+GrowthFactors!D10)</f>
        <v>1534.0052000000001</v>
      </c>
      <c r="F173" s="130">
        <f>E173</f>
        <v>1534.0052000000001</v>
      </c>
      <c r="G173" s="251">
        <v>1534.0052000000001</v>
      </c>
      <c r="H173" s="237">
        <f t="shared" ca="1" si="34"/>
        <v>1480.7</v>
      </c>
      <c r="I173" s="237">
        <f t="shared" ca="1" si="34"/>
        <v>1534.0052000000001</v>
      </c>
      <c r="J173" s="237">
        <f t="shared" ca="1" si="34"/>
        <v>1534.0052000000001</v>
      </c>
      <c r="K173" s="237">
        <f t="shared" ca="1" si="34"/>
        <v>1534.0052000000001</v>
      </c>
      <c r="L173" s="237">
        <f t="shared" ca="1" si="34"/>
        <v>1534.0052000000001</v>
      </c>
      <c r="M173" s="237">
        <f t="shared" ca="1" si="34"/>
        <v>1534.0052000000001</v>
      </c>
      <c r="N173" s="247">
        <f t="shared" ca="1" si="34"/>
        <v>1534.0052000000001</v>
      </c>
    </row>
    <row r="174" spans="1:14">
      <c r="A174" s="10" t="s">
        <v>116</v>
      </c>
      <c r="B174" s="10">
        <v>174</v>
      </c>
      <c r="C174" s="262" t="s">
        <v>1080</v>
      </c>
      <c r="D174" s="281">
        <v>1422.33</v>
      </c>
      <c r="E174" s="130">
        <f>D174*(1+GrowthFactors!D11)</f>
        <v>1463.1624401913873</v>
      </c>
      <c r="F174" s="130">
        <f>E174</f>
        <v>1463.1624401913873</v>
      </c>
      <c r="G174" s="251">
        <v>1463.1624401913873</v>
      </c>
      <c r="H174" s="237">
        <f t="shared" ca="1" si="34"/>
        <v>1422.33</v>
      </c>
      <c r="I174" s="237">
        <f t="shared" ca="1" si="34"/>
        <v>1463.1624401913873</v>
      </c>
      <c r="J174" s="237">
        <f t="shared" ca="1" si="34"/>
        <v>1463.1624401913873</v>
      </c>
      <c r="K174" s="237">
        <f t="shared" ca="1" si="34"/>
        <v>1463.1624401913873</v>
      </c>
      <c r="L174" s="237">
        <f t="shared" ca="1" si="34"/>
        <v>1463.1624401913873</v>
      </c>
      <c r="M174" s="237">
        <f t="shared" ca="1" si="34"/>
        <v>1463.1624401913873</v>
      </c>
      <c r="N174" s="247">
        <f t="shared" ca="1" si="34"/>
        <v>1463.1624401913873</v>
      </c>
    </row>
    <row r="175" spans="1:14">
      <c r="A175" s="10"/>
      <c r="B175" s="10">
        <v>175</v>
      </c>
      <c r="C175" s="262"/>
      <c r="D175" s="281"/>
      <c r="E175" s="130"/>
      <c r="F175" s="130"/>
      <c r="G175" s="251"/>
      <c r="H175" s="237"/>
      <c r="I175" s="237"/>
      <c r="J175" s="237"/>
      <c r="K175" s="237"/>
      <c r="L175" s="237"/>
      <c r="M175" s="237"/>
      <c r="N175" s="247"/>
    </row>
    <row r="176" spans="1:14">
      <c r="A176" s="10"/>
      <c r="B176" s="10">
        <v>176</v>
      </c>
      <c r="C176" s="262" t="s">
        <v>117</v>
      </c>
      <c r="D176" s="281"/>
      <c r="E176" s="130"/>
      <c r="F176" s="130"/>
      <c r="G176" s="251"/>
      <c r="H176" s="237"/>
      <c r="I176" s="237"/>
      <c r="J176" s="237"/>
      <c r="K176" s="237"/>
      <c r="L176" s="237"/>
      <c r="M176" s="237"/>
      <c r="N176" s="247"/>
    </row>
    <row r="177" spans="1:14">
      <c r="A177" s="10" t="s">
        <v>118</v>
      </c>
      <c r="B177" s="10">
        <v>177</v>
      </c>
      <c r="C177" s="262" t="s">
        <v>1078</v>
      </c>
      <c r="D177" s="281">
        <v>309.95999999999998</v>
      </c>
      <c r="E177" s="130">
        <f>D177*(1+GrowthFactors!$D$9)</f>
        <v>318.8583732057416</v>
      </c>
      <c r="F177" s="130">
        <f>E177</f>
        <v>318.8583732057416</v>
      </c>
      <c r="G177" s="251">
        <v>318.8583732057416</v>
      </c>
      <c r="H177" s="237">
        <f t="shared" ref="H177:N179" ca="1" si="35">INDIRECT(H$7 &amp; $B177)</f>
        <v>309.95999999999998</v>
      </c>
      <c r="I177" s="237">
        <f t="shared" ca="1" si="35"/>
        <v>318.8583732057416</v>
      </c>
      <c r="J177" s="237">
        <f t="shared" ca="1" si="35"/>
        <v>318.8583732057416</v>
      </c>
      <c r="K177" s="237">
        <f t="shared" ca="1" si="35"/>
        <v>318.8583732057416</v>
      </c>
      <c r="L177" s="237">
        <f t="shared" ca="1" si="35"/>
        <v>318.8583732057416</v>
      </c>
      <c r="M177" s="237">
        <f t="shared" ca="1" si="35"/>
        <v>318.8583732057416</v>
      </c>
      <c r="N177" s="247">
        <f t="shared" ca="1" si="35"/>
        <v>318.8583732057416</v>
      </c>
    </row>
    <row r="178" spans="1:14">
      <c r="A178" s="10" t="s">
        <v>119</v>
      </c>
      <c r="B178" s="10">
        <v>178</v>
      </c>
      <c r="C178" s="262" t="s">
        <v>1079</v>
      </c>
      <c r="D178" s="281">
        <v>300.86</v>
      </c>
      <c r="E178" s="130">
        <f>D178*(1+GrowthFactors!$D$9)</f>
        <v>309.49712918660288</v>
      </c>
      <c r="F178" s="130">
        <f>E178</f>
        <v>309.49712918660288</v>
      </c>
      <c r="G178" s="251">
        <v>309.49712918660288</v>
      </c>
      <c r="H178" s="237">
        <f t="shared" ca="1" si="35"/>
        <v>300.86</v>
      </c>
      <c r="I178" s="237">
        <f t="shared" ca="1" si="35"/>
        <v>309.49712918660288</v>
      </c>
      <c r="J178" s="237">
        <f t="shared" ca="1" si="35"/>
        <v>309.49712918660288</v>
      </c>
      <c r="K178" s="237">
        <f t="shared" ca="1" si="35"/>
        <v>309.49712918660288</v>
      </c>
      <c r="L178" s="237">
        <f t="shared" ca="1" si="35"/>
        <v>309.49712918660288</v>
      </c>
      <c r="M178" s="237">
        <f t="shared" ca="1" si="35"/>
        <v>309.49712918660288</v>
      </c>
      <c r="N178" s="247">
        <f t="shared" ca="1" si="35"/>
        <v>309.49712918660288</v>
      </c>
    </row>
    <row r="179" spans="1:14">
      <c r="A179" s="10" t="s">
        <v>120</v>
      </c>
      <c r="B179" s="10">
        <v>179</v>
      </c>
      <c r="C179" s="262" t="s">
        <v>1080</v>
      </c>
      <c r="D179" s="281">
        <v>302.45</v>
      </c>
      <c r="E179" s="130">
        <f>D179*(1+GrowthFactors!$D$9)</f>
        <v>311.13277511961718</v>
      </c>
      <c r="F179" s="130">
        <f>E179</f>
        <v>311.13277511961718</v>
      </c>
      <c r="G179" s="251">
        <v>311.13277511961718</v>
      </c>
      <c r="H179" s="237">
        <f t="shared" ca="1" si="35"/>
        <v>302.45</v>
      </c>
      <c r="I179" s="237">
        <f t="shared" ca="1" si="35"/>
        <v>311.13277511961718</v>
      </c>
      <c r="J179" s="237">
        <f t="shared" ca="1" si="35"/>
        <v>311.13277511961718</v>
      </c>
      <c r="K179" s="237">
        <f t="shared" ca="1" si="35"/>
        <v>311.13277511961718</v>
      </c>
      <c r="L179" s="237">
        <f t="shared" ca="1" si="35"/>
        <v>311.13277511961718</v>
      </c>
      <c r="M179" s="237">
        <f t="shared" ca="1" si="35"/>
        <v>311.13277511961718</v>
      </c>
      <c r="N179" s="247">
        <f t="shared" ca="1" si="35"/>
        <v>311.13277511961718</v>
      </c>
    </row>
    <row r="180" spans="1:14">
      <c r="A180" s="10"/>
      <c r="B180" s="10">
        <v>180</v>
      </c>
      <c r="C180" s="262"/>
      <c r="D180" s="281"/>
      <c r="E180" s="130"/>
      <c r="F180" s="130"/>
      <c r="G180" s="251"/>
      <c r="H180" s="237"/>
      <c r="I180" s="237"/>
      <c r="J180" s="237"/>
      <c r="K180" s="237"/>
      <c r="L180" s="237"/>
      <c r="M180" s="237"/>
      <c r="N180" s="247"/>
    </row>
    <row r="181" spans="1:14">
      <c r="A181" s="10" t="s">
        <v>676</v>
      </c>
      <c r="B181" s="10">
        <v>181</v>
      </c>
      <c r="C181" s="262" t="s">
        <v>121</v>
      </c>
      <c r="D181" s="293">
        <v>55</v>
      </c>
      <c r="E181" s="294">
        <v>55</v>
      </c>
      <c r="F181" s="294">
        <v>55</v>
      </c>
      <c r="G181" s="295">
        <v>55</v>
      </c>
      <c r="H181" s="237">
        <f t="shared" ref="H181:N181" ca="1" si="36">INDIRECT(H$7 &amp; $B181)</f>
        <v>55</v>
      </c>
      <c r="I181" s="237">
        <f t="shared" ca="1" si="36"/>
        <v>55</v>
      </c>
      <c r="J181" s="237">
        <f t="shared" ca="1" si="36"/>
        <v>55</v>
      </c>
      <c r="K181" s="237">
        <f t="shared" ca="1" si="36"/>
        <v>55</v>
      </c>
      <c r="L181" s="237">
        <f t="shared" ca="1" si="36"/>
        <v>55</v>
      </c>
      <c r="M181" s="237">
        <f t="shared" ca="1" si="36"/>
        <v>55</v>
      </c>
      <c r="N181" s="247">
        <f t="shared" ca="1" si="36"/>
        <v>55</v>
      </c>
    </row>
    <row r="182" spans="1:14">
      <c r="A182" s="10"/>
      <c r="B182" s="10">
        <v>182</v>
      </c>
      <c r="C182" s="262"/>
      <c r="D182" s="293"/>
      <c r="E182" s="294"/>
      <c r="F182" s="294"/>
      <c r="G182" s="295"/>
      <c r="H182" s="237"/>
      <c r="I182" s="237"/>
      <c r="J182" s="237"/>
      <c r="K182" s="237"/>
      <c r="L182" s="237"/>
      <c r="M182" s="237"/>
      <c r="N182" s="247"/>
    </row>
    <row r="183" spans="1:14">
      <c r="A183" s="10"/>
      <c r="B183" s="10">
        <v>183</v>
      </c>
      <c r="C183" s="262" t="s">
        <v>122</v>
      </c>
      <c r="D183" s="293"/>
      <c r="E183" s="294"/>
      <c r="F183" s="294"/>
      <c r="G183" s="295"/>
      <c r="H183" s="237"/>
      <c r="I183" s="237"/>
      <c r="J183" s="237"/>
      <c r="K183" s="237"/>
      <c r="L183" s="237"/>
      <c r="M183" s="237"/>
      <c r="N183" s="247"/>
    </row>
    <row r="184" spans="1:14">
      <c r="A184" s="10" t="s">
        <v>123</v>
      </c>
      <c r="B184" s="10">
        <v>184</v>
      </c>
      <c r="C184" s="262" t="s">
        <v>1093</v>
      </c>
      <c r="D184" s="296">
        <v>561.69148625945911</v>
      </c>
      <c r="E184" s="297">
        <f>D184*(1+GrowthFactors!D9)</f>
        <v>577.81660069752968</v>
      </c>
      <c r="F184" s="130">
        <f>E184</f>
        <v>577.81660069752968</v>
      </c>
      <c r="G184" s="298">
        <v>577.81660069752968</v>
      </c>
      <c r="H184" s="237">
        <f t="shared" ref="H184:N188" ca="1" si="37">INDIRECT(H$7 &amp; $B184)</f>
        <v>561.69148625945911</v>
      </c>
      <c r="I184" s="237">
        <f t="shared" ca="1" si="37"/>
        <v>577.81660069752968</v>
      </c>
      <c r="J184" s="237">
        <f t="shared" ca="1" si="37"/>
        <v>577.81660069752968</v>
      </c>
      <c r="K184" s="237">
        <f t="shared" ca="1" si="37"/>
        <v>577.81660069752968</v>
      </c>
      <c r="L184" s="237">
        <f t="shared" ca="1" si="37"/>
        <v>577.81660069752968</v>
      </c>
      <c r="M184" s="237">
        <f t="shared" ca="1" si="37"/>
        <v>577.81660069752968</v>
      </c>
      <c r="N184" s="247">
        <f t="shared" ca="1" si="37"/>
        <v>577.81660069752968</v>
      </c>
    </row>
    <row r="185" spans="1:14">
      <c r="A185" s="10" t="s">
        <v>124</v>
      </c>
      <c r="B185" s="10">
        <v>185</v>
      </c>
      <c r="C185" s="262" t="s">
        <v>1094</v>
      </c>
      <c r="D185" s="296">
        <v>269.59081319019515</v>
      </c>
      <c r="E185" s="297">
        <f>D185*(1+GrowthFactors!D10)</f>
        <v>279.29608246504216</v>
      </c>
      <c r="F185" s="130">
        <f>E185</f>
        <v>279.29608246504216</v>
      </c>
      <c r="G185" s="298">
        <v>279.29608246504216</v>
      </c>
      <c r="H185" s="237">
        <f t="shared" ca="1" si="37"/>
        <v>269.59081319019515</v>
      </c>
      <c r="I185" s="237">
        <f t="shared" ca="1" si="37"/>
        <v>279.29608246504216</v>
      </c>
      <c r="J185" s="237">
        <f t="shared" ca="1" si="37"/>
        <v>279.29608246504216</v>
      </c>
      <c r="K185" s="237">
        <f t="shared" ca="1" si="37"/>
        <v>279.29608246504216</v>
      </c>
      <c r="L185" s="237">
        <f t="shared" ca="1" si="37"/>
        <v>279.29608246504216</v>
      </c>
      <c r="M185" s="237">
        <f t="shared" ca="1" si="37"/>
        <v>279.29608246504216</v>
      </c>
      <c r="N185" s="247">
        <f t="shared" ca="1" si="37"/>
        <v>279.29608246504216</v>
      </c>
    </row>
    <row r="186" spans="1:14">
      <c r="A186" s="10" t="s">
        <v>125</v>
      </c>
      <c r="B186" s="10">
        <v>186</v>
      </c>
      <c r="C186" s="262" t="s">
        <v>1095</v>
      </c>
      <c r="D186" s="296">
        <v>92.31574193489989</v>
      </c>
      <c r="E186" s="297">
        <f>D186*(1+GrowthFactors!D11)</f>
        <v>94.965954622026203</v>
      </c>
      <c r="F186" s="130">
        <f>E186</f>
        <v>94.965954622026203</v>
      </c>
      <c r="G186" s="298">
        <v>94.965954622026203</v>
      </c>
      <c r="H186" s="237">
        <f t="shared" ca="1" si="37"/>
        <v>92.31574193489989</v>
      </c>
      <c r="I186" s="237">
        <f t="shared" ca="1" si="37"/>
        <v>94.965954622026203</v>
      </c>
      <c r="J186" s="237">
        <f t="shared" ca="1" si="37"/>
        <v>94.965954622026203</v>
      </c>
      <c r="K186" s="237">
        <f t="shared" ca="1" si="37"/>
        <v>94.965954622026203</v>
      </c>
      <c r="L186" s="237">
        <f t="shared" ca="1" si="37"/>
        <v>94.965954622026203</v>
      </c>
      <c r="M186" s="237">
        <f t="shared" ca="1" si="37"/>
        <v>94.965954622026203</v>
      </c>
      <c r="N186" s="247">
        <f t="shared" ca="1" si="37"/>
        <v>94.965954622026203</v>
      </c>
    </row>
    <row r="187" spans="1:14">
      <c r="A187" s="10" t="s">
        <v>126</v>
      </c>
      <c r="B187" s="10">
        <v>187</v>
      </c>
      <c r="C187" s="262" t="s">
        <v>1096</v>
      </c>
      <c r="D187" s="296">
        <v>71.20107681306348</v>
      </c>
      <c r="E187" s="297">
        <f>D187*(1+GrowthFactors!D12)</f>
        <v>71.20107681306348</v>
      </c>
      <c r="F187" s="130">
        <f>E187</f>
        <v>71.20107681306348</v>
      </c>
      <c r="G187" s="298">
        <v>71.20107681306348</v>
      </c>
      <c r="H187" s="237">
        <f t="shared" ca="1" si="37"/>
        <v>71.20107681306348</v>
      </c>
      <c r="I187" s="237">
        <f t="shared" ca="1" si="37"/>
        <v>71.20107681306348</v>
      </c>
      <c r="J187" s="237">
        <f t="shared" ca="1" si="37"/>
        <v>71.20107681306348</v>
      </c>
      <c r="K187" s="237">
        <f t="shared" ca="1" si="37"/>
        <v>71.20107681306348</v>
      </c>
      <c r="L187" s="237">
        <f t="shared" ca="1" si="37"/>
        <v>71.20107681306348</v>
      </c>
      <c r="M187" s="237">
        <f t="shared" ca="1" si="37"/>
        <v>71.20107681306348</v>
      </c>
      <c r="N187" s="247">
        <f t="shared" ca="1" si="37"/>
        <v>71.20107681306348</v>
      </c>
    </row>
    <row r="188" spans="1:14" ht="16.5" thickBot="1">
      <c r="A188" s="10" t="s">
        <v>127</v>
      </c>
      <c r="B188" s="10">
        <v>188</v>
      </c>
      <c r="C188" s="299" t="s">
        <v>1097</v>
      </c>
      <c r="D188" s="300">
        <v>144.06795322060901</v>
      </c>
      <c r="E188" s="301">
        <f>D188*(1+GrowthFactors!D13)</f>
        <v>144.58708149915898</v>
      </c>
      <c r="F188" s="302">
        <f>E188</f>
        <v>144.58708149915898</v>
      </c>
      <c r="G188" s="303">
        <v>144.58708149915898</v>
      </c>
      <c r="H188" s="249">
        <f t="shared" ca="1" si="37"/>
        <v>144.06795322060901</v>
      </c>
      <c r="I188" s="249">
        <f t="shared" ca="1" si="37"/>
        <v>144.58708149915898</v>
      </c>
      <c r="J188" s="249">
        <f t="shared" ca="1" si="37"/>
        <v>144.58708149915898</v>
      </c>
      <c r="K188" s="249">
        <f t="shared" ca="1" si="37"/>
        <v>144.58708149915898</v>
      </c>
      <c r="L188" s="249">
        <f t="shared" ca="1" si="37"/>
        <v>144.58708149915898</v>
      </c>
      <c r="M188" s="249">
        <f t="shared" ca="1" si="37"/>
        <v>144.58708149915898</v>
      </c>
      <c r="N188" s="250">
        <f t="shared" ca="1" si="37"/>
        <v>144.58708149915898</v>
      </c>
    </row>
  </sheetData>
  <sheetProtection sheet="1" objects="1" scenarios="1"/>
  <dataValidations count="1">
    <dataValidation type="list" allowBlank="1" showInputMessage="1" showErrorMessage="1" sqref="H5:N5" xr:uid="{00000000-0002-0000-0D00-000000000000}">
      <formula1>$D$5:$G$5</formula1>
    </dataValidation>
  </dataValidation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23"/>
  <sheetViews>
    <sheetView workbookViewId="0"/>
  </sheetViews>
  <sheetFormatPr defaultRowHeight="15.75"/>
  <cols>
    <col min="1" max="16" width="9.140625" style="11"/>
    <col min="17" max="17" width="25.5703125" style="11" bestFit="1" customWidth="1"/>
    <col min="18" max="18" width="12.7109375" style="153" bestFit="1" customWidth="1"/>
    <col min="19" max="16384" width="9.140625" style="11"/>
  </cols>
  <sheetData>
    <row r="1" spans="1:18">
      <c r="A1" s="837" t="s">
        <v>806</v>
      </c>
      <c r="Q1" s="139" t="s">
        <v>863</v>
      </c>
    </row>
    <row r="2" spans="1:18" ht="16.5" thickBot="1">
      <c r="A2" s="139" t="s">
        <v>807</v>
      </c>
    </row>
    <row r="3" spans="1:18">
      <c r="A3" s="838"/>
      <c r="B3" s="839"/>
      <c r="C3" s="839"/>
      <c r="D3" s="839"/>
      <c r="E3" s="839"/>
      <c r="F3" s="839"/>
      <c r="G3" s="839"/>
      <c r="H3" s="839"/>
      <c r="I3" s="839"/>
      <c r="J3" s="839"/>
      <c r="K3" s="839"/>
      <c r="L3" s="839"/>
      <c r="M3" s="839"/>
      <c r="N3" s="839"/>
      <c r="O3" s="840"/>
      <c r="Q3" s="11" t="s">
        <v>808</v>
      </c>
      <c r="R3" s="153" t="s">
        <v>809</v>
      </c>
    </row>
    <row r="4" spans="1:18">
      <c r="A4" s="841" t="s">
        <v>149</v>
      </c>
      <c r="B4" s="841" t="s">
        <v>792</v>
      </c>
      <c r="C4" s="841" t="s">
        <v>793</v>
      </c>
      <c r="D4" s="841" t="s">
        <v>794</v>
      </c>
      <c r="E4" s="841" t="s">
        <v>795</v>
      </c>
      <c r="F4" s="841" t="s">
        <v>796</v>
      </c>
      <c r="G4" s="841" t="s">
        <v>797</v>
      </c>
      <c r="H4" s="841" t="s">
        <v>798</v>
      </c>
      <c r="I4" s="841" t="s">
        <v>799</v>
      </c>
      <c r="J4" s="841" t="s">
        <v>800</v>
      </c>
      <c r="K4" s="841" t="s">
        <v>801</v>
      </c>
      <c r="L4" s="841" t="s">
        <v>802</v>
      </c>
      <c r="M4" s="841" t="s">
        <v>803</v>
      </c>
      <c r="N4" s="841" t="s">
        <v>804</v>
      </c>
      <c r="O4" s="841" t="s">
        <v>805</v>
      </c>
    </row>
    <row r="5" spans="1:18">
      <c r="A5" s="842">
        <v>2012</v>
      </c>
      <c r="B5" s="843">
        <v>64.355999999999995</v>
      </c>
      <c r="C5" s="843">
        <v>64.686000000000007</v>
      </c>
      <c r="D5" s="843">
        <v>64.085999999999999</v>
      </c>
      <c r="E5" s="843">
        <v>63.401000000000003</v>
      </c>
      <c r="F5" s="843">
        <v>63.408999999999999</v>
      </c>
      <c r="G5" s="843">
        <v>63.561999999999998</v>
      </c>
      <c r="H5" s="843">
        <v>62.956000000000003</v>
      </c>
      <c r="I5" s="843">
        <v>61.802999999999997</v>
      </c>
      <c r="J5" s="843">
        <v>60.948999999999998</v>
      </c>
      <c r="K5" s="843">
        <v>60.420999999999999</v>
      </c>
      <c r="L5" s="843">
        <v>59.609000000000002</v>
      </c>
      <c r="M5" s="843">
        <v>58.764000000000003</v>
      </c>
      <c r="N5" s="843"/>
      <c r="O5" s="843"/>
    </row>
    <row r="6" spans="1:18">
      <c r="A6" s="842">
        <v>2013</v>
      </c>
      <c r="B6" s="843">
        <v>58.869</v>
      </c>
      <c r="C6" s="843">
        <v>58.91</v>
      </c>
      <c r="D6" s="843">
        <v>58.625999999999998</v>
      </c>
      <c r="E6" s="843">
        <v>58.133000000000003</v>
      </c>
      <c r="F6" s="843">
        <v>57.527000000000001</v>
      </c>
      <c r="G6" s="843">
        <v>57.012</v>
      </c>
      <c r="H6" s="843">
        <v>56.280999999999999</v>
      </c>
      <c r="I6" s="843">
        <v>55.606999999999999</v>
      </c>
      <c r="J6" s="843">
        <v>55.59</v>
      </c>
      <c r="K6" s="843">
        <v>55.076999999999998</v>
      </c>
      <c r="L6" s="843">
        <v>54.600999999999999</v>
      </c>
      <c r="M6" s="843">
        <v>54.869</v>
      </c>
      <c r="N6" s="843"/>
      <c r="O6" s="843"/>
      <c r="Q6" s="11">
        <f>AVERAGE(H6:M6,B7:G7)</f>
        <v>54.760166666666656</v>
      </c>
    </row>
    <row r="7" spans="1:18">
      <c r="A7" s="842">
        <v>2014</v>
      </c>
      <c r="B7" s="843">
        <v>54.610999999999997</v>
      </c>
      <c r="C7" s="843">
        <v>54.44</v>
      </c>
      <c r="D7" s="843">
        <v>54.377000000000002</v>
      </c>
      <c r="E7" s="843">
        <v>54.482999999999997</v>
      </c>
      <c r="F7" s="843">
        <v>53.79</v>
      </c>
      <c r="G7" s="843">
        <v>53.396000000000001</v>
      </c>
      <c r="H7" s="843">
        <v>52.89</v>
      </c>
      <c r="I7" s="843">
        <v>51.796999999999997</v>
      </c>
      <c r="J7" s="843">
        <v>51.151000000000003</v>
      </c>
      <c r="K7" s="843">
        <v>50.93</v>
      </c>
      <c r="L7" s="843">
        <v>50.212000000000003</v>
      </c>
      <c r="M7" s="843">
        <v>49.088999999999999</v>
      </c>
      <c r="N7" s="843"/>
      <c r="O7" s="843"/>
      <c r="Q7" s="11">
        <f t="shared" ref="Q7:Q16" si="0">AVERAGE(H7:M7,B8:G8)</f>
        <v>49.895250000000004</v>
      </c>
      <c r="R7" s="153">
        <f>Q7/Q6-1</f>
        <v>-8.8840428413597183E-2</v>
      </c>
    </row>
    <row r="8" spans="1:18">
      <c r="A8" s="842">
        <v>2015</v>
      </c>
      <c r="B8" s="843">
        <v>48.912999999999997</v>
      </c>
      <c r="C8" s="843">
        <v>49.110999999999997</v>
      </c>
      <c r="D8" s="843">
        <v>48.771999999999998</v>
      </c>
      <c r="E8" s="843">
        <v>49.046999999999997</v>
      </c>
      <c r="F8" s="843">
        <v>48.667000000000002</v>
      </c>
      <c r="G8" s="843">
        <v>48.164000000000001</v>
      </c>
      <c r="H8" s="843">
        <v>47.892000000000003</v>
      </c>
      <c r="I8" s="843">
        <v>47.131999999999998</v>
      </c>
      <c r="J8" s="843">
        <v>47.359000000000002</v>
      </c>
      <c r="K8" s="843">
        <v>47.094000000000001</v>
      </c>
      <c r="L8" s="843">
        <v>46.716000000000001</v>
      </c>
      <c r="M8" s="843">
        <v>45.997</v>
      </c>
      <c r="N8" s="843"/>
      <c r="O8" s="843"/>
      <c r="Q8" s="11">
        <f t="shared" si="0"/>
        <v>46.063583333333334</v>
      </c>
      <c r="R8" s="153">
        <f t="shared" ref="R8:R16" si="1">Q8/Q7-1</f>
        <v>-7.6794217218405958E-2</v>
      </c>
    </row>
    <row r="9" spans="1:18">
      <c r="A9" s="842">
        <v>2016</v>
      </c>
      <c r="B9" s="843">
        <v>45.423999999999999</v>
      </c>
      <c r="C9" s="843">
        <v>45.249000000000002</v>
      </c>
      <c r="D9" s="843">
        <v>45.268999999999998</v>
      </c>
      <c r="E9" s="843">
        <v>45.281999999999996</v>
      </c>
      <c r="F9" s="843">
        <v>44.853000000000002</v>
      </c>
      <c r="G9" s="843">
        <v>44.496000000000002</v>
      </c>
      <c r="H9" s="843">
        <v>44.204999999999998</v>
      </c>
      <c r="I9" s="843">
        <v>43.917000000000002</v>
      </c>
      <c r="J9" s="843">
        <v>43.77</v>
      </c>
      <c r="K9" s="843">
        <v>43.720999999999997</v>
      </c>
      <c r="L9" s="843">
        <v>43.576000000000001</v>
      </c>
      <c r="M9" s="843">
        <v>43.377000000000002</v>
      </c>
      <c r="N9" s="843"/>
      <c r="O9" s="843"/>
      <c r="Q9" s="11">
        <f t="shared" si="0"/>
        <v>43.337166666666661</v>
      </c>
      <c r="R9" s="153">
        <f t="shared" si="1"/>
        <v>-5.9188114978752315E-2</v>
      </c>
    </row>
    <row r="10" spans="1:18">
      <c r="A10" s="842">
        <v>2017</v>
      </c>
      <c r="B10" s="843">
        <v>43.475000000000001</v>
      </c>
      <c r="C10" s="843">
        <v>43.369</v>
      </c>
      <c r="D10" s="843">
        <v>42.817999999999998</v>
      </c>
      <c r="E10" s="843">
        <v>42.896000000000001</v>
      </c>
      <c r="F10" s="843">
        <v>42.360999999999997</v>
      </c>
      <c r="G10" s="843">
        <v>42.561</v>
      </c>
      <c r="H10" s="843">
        <v>42.972999999999999</v>
      </c>
      <c r="I10" s="843">
        <v>42.451000000000001</v>
      </c>
      <c r="J10" s="843">
        <v>42.19</v>
      </c>
      <c r="K10" s="843">
        <v>42.283999999999999</v>
      </c>
      <c r="L10" s="843">
        <v>42.04</v>
      </c>
      <c r="M10" s="843">
        <v>41.353000000000002</v>
      </c>
      <c r="N10" s="843"/>
      <c r="O10" s="843"/>
      <c r="Q10" s="11">
        <f t="shared" si="0"/>
        <v>41.754416666666664</v>
      </c>
      <c r="R10" s="153">
        <f t="shared" si="1"/>
        <v>-3.6521769228106682E-2</v>
      </c>
    </row>
    <row r="11" spans="1:18">
      <c r="A11" s="842">
        <v>2018</v>
      </c>
      <c r="B11" s="843">
        <v>41.454999999999998</v>
      </c>
      <c r="C11" s="843">
        <v>41.277999999999999</v>
      </c>
      <c r="D11" s="843">
        <v>41.249000000000002</v>
      </c>
      <c r="E11" s="843">
        <v>41.423999999999999</v>
      </c>
      <c r="F11" s="843">
        <v>41.37</v>
      </c>
      <c r="G11" s="843">
        <v>40.985999999999997</v>
      </c>
      <c r="H11" s="843">
        <v>40.229999999999997</v>
      </c>
      <c r="I11" s="843">
        <v>40.575000000000003</v>
      </c>
      <c r="J11" s="843">
        <v>41.091999999999999</v>
      </c>
      <c r="K11" s="843">
        <v>40.573</v>
      </c>
      <c r="L11" s="843">
        <v>39.841000000000001</v>
      </c>
      <c r="M11" s="843">
        <v>40.11</v>
      </c>
      <c r="N11" s="843">
        <v>41.293999999999997</v>
      </c>
      <c r="O11" s="843">
        <v>40.404000000000003</v>
      </c>
      <c r="Q11" s="11">
        <f t="shared" si="0"/>
        <v>39.96091666666667</v>
      </c>
      <c r="R11" s="153">
        <f t="shared" si="1"/>
        <v>-4.2953539845086097E-2</v>
      </c>
    </row>
    <row r="12" spans="1:18">
      <c r="A12" s="842">
        <v>2019</v>
      </c>
      <c r="B12" s="843">
        <v>40.043999999999997</v>
      </c>
      <c r="C12" s="843">
        <v>39.649000000000001</v>
      </c>
      <c r="D12" s="843">
        <v>39.889000000000003</v>
      </c>
      <c r="E12" s="843">
        <v>39.603000000000002</v>
      </c>
      <c r="F12" s="843">
        <v>39.338999999999999</v>
      </c>
      <c r="G12" s="843">
        <v>38.585999999999999</v>
      </c>
      <c r="H12" s="843">
        <v>39.744999999999997</v>
      </c>
      <c r="I12" s="843">
        <v>40.055999999999997</v>
      </c>
      <c r="J12" s="843">
        <v>39.729999999999997</v>
      </c>
      <c r="K12" s="843">
        <v>38.938000000000002</v>
      </c>
      <c r="L12" s="843">
        <v>38.868000000000002</v>
      </c>
      <c r="M12" s="843">
        <v>38.000999999999998</v>
      </c>
      <c r="N12" s="843">
        <v>39.518000000000001</v>
      </c>
      <c r="O12" s="843">
        <v>39.222999999999999</v>
      </c>
      <c r="Q12" s="11">
        <f t="shared" si="0"/>
        <v>38.870083333333334</v>
      </c>
      <c r="R12" s="153">
        <f t="shared" si="1"/>
        <v>-2.7297505270775013E-2</v>
      </c>
    </row>
    <row r="13" spans="1:18">
      <c r="A13" s="842">
        <v>2020</v>
      </c>
      <c r="B13" s="843">
        <v>37.728000000000002</v>
      </c>
      <c r="C13" s="843">
        <v>38.247</v>
      </c>
      <c r="D13" s="843">
        <v>38.706000000000003</v>
      </c>
      <c r="E13" s="843">
        <v>39.015000000000001</v>
      </c>
      <c r="F13" s="843">
        <v>38.628999999999998</v>
      </c>
      <c r="G13" s="843">
        <v>38.777999999999999</v>
      </c>
      <c r="H13" s="843">
        <v>38.686</v>
      </c>
      <c r="I13" s="843">
        <v>38.866</v>
      </c>
      <c r="J13" s="843">
        <v>37.459000000000003</v>
      </c>
      <c r="K13" s="843">
        <v>37.201000000000001</v>
      </c>
      <c r="L13" s="843">
        <v>37.963999999999999</v>
      </c>
      <c r="M13" s="843">
        <v>38.314999999999998</v>
      </c>
      <c r="N13" s="843">
        <v>38.517000000000003</v>
      </c>
      <c r="O13" s="843">
        <v>38.082000000000001</v>
      </c>
      <c r="Q13" s="11">
        <f t="shared" si="0"/>
        <v>38.424583333333338</v>
      </c>
      <c r="R13" s="153">
        <f t="shared" si="1"/>
        <v>-1.1461256621952076E-2</v>
      </c>
    </row>
    <row r="14" spans="1:18">
      <c r="A14" s="842">
        <v>2021</v>
      </c>
      <c r="B14" s="843">
        <v>38.316000000000003</v>
      </c>
      <c r="C14" s="843">
        <v>38.204000000000001</v>
      </c>
      <c r="D14" s="843">
        <v>37.453000000000003</v>
      </c>
      <c r="E14" s="843">
        <v>39.357999999999997</v>
      </c>
      <c r="F14" s="843">
        <v>39.610999999999997</v>
      </c>
      <c r="G14" s="843">
        <v>39.661999999999999</v>
      </c>
      <c r="H14" s="843">
        <v>40.134999999999998</v>
      </c>
      <c r="I14" s="843">
        <v>40.183999999999997</v>
      </c>
      <c r="J14" s="843">
        <v>40.649000000000001</v>
      </c>
      <c r="K14" s="843">
        <v>40.31</v>
      </c>
      <c r="L14" s="843">
        <v>39.78</v>
      </c>
      <c r="M14" s="843">
        <v>39.401000000000003</v>
      </c>
      <c r="N14" s="843">
        <v>38.767000000000003</v>
      </c>
      <c r="O14" s="843">
        <v>40.076999999999998</v>
      </c>
      <c r="Q14" s="11">
        <f t="shared" si="0"/>
        <v>39.845500000000001</v>
      </c>
      <c r="R14" s="153">
        <f t="shared" si="1"/>
        <v>3.6979364339235765E-2</v>
      </c>
    </row>
    <row r="15" spans="1:18">
      <c r="A15" s="842">
        <v>2022</v>
      </c>
      <c r="B15" s="843">
        <v>39.651000000000003</v>
      </c>
      <c r="C15" s="843">
        <v>39.957999999999998</v>
      </c>
      <c r="D15" s="843">
        <v>40.302</v>
      </c>
      <c r="E15" s="843">
        <v>39.445999999999998</v>
      </c>
      <c r="F15" s="843">
        <v>38.908999999999999</v>
      </c>
      <c r="G15" s="843">
        <v>39.420999999999999</v>
      </c>
      <c r="H15" s="843">
        <v>38.719000000000001</v>
      </c>
      <c r="I15" s="843">
        <v>38.469000000000001</v>
      </c>
      <c r="J15" s="843">
        <v>39.174999999999997</v>
      </c>
      <c r="K15" s="843">
        <v>39.076000000000001</v>
      </c>
      <c r="L15" s="843">
        <v>38.020000000000003</v>
      </c>
      <c r="M15" s="843">
        <v>37.115000000000002</v>
      </c>
      <c r="N15" s="843">
        <v>39.615000000000002</v>
      </c>
      <c r="O15" s="11">
        <v>38.429000000000002</v>
      </c>
      <c r="Q15" s="11">
        <f t="shared" si="0"/>
        <v>37.962333333333333</v>
      </c>
      <c r="R15" s="153">
        <f t="shared" si="1"/>
        <v>-4.726171504101262E-2</v>
      </c>
    </row>
    <row r="16" spans="1:18">
      <c r="A16" s="842">
        <v>2023</v>
      </c>
      <c r="B16" s="11">
        <v>37.21</v>
      </c>
      <c r="C16" s="11">
        <v>37.712000000000003</v>
      </c>
      <c r="D16" s="11">
        <v>37.957000000000001</v>
      </c>
      <c r="E16" s="11">
        <v>37.448999999999998</v>
      </c>
      <c r="F16" s="11">
        <v>37.289000000000001</v>
      </c>
      <c r="G16" s="11">
        <v>37.356999999999999</v>
      </c>
      <c r="H16" s="11">
        <v>36.82</v>
      </c>
      <c r="I16" s="11">
        <v>36.529000000000003</v>
      </c>
      <c r="J16" s="11">
        <v>37.146000000000001</v>
      </c>
      <c r="K16" s="11">
        <v>36.844999999999999</v>
      </c>
      <c r="L16" s="11">
        <v>36.258000000000003</v>
      </c>
      <c r="M16" s="11">
        <v>35.773000000000003</v>
      </c>
      <c r="N16" s="11">
        <v>37.496000000000002</v>
      </c>
      <c r="O16" s="11">
        <v>36.561999999999998</v>
      </c>
      <c r="Q16" s="11">
        <f t="shared" si="0"/>
        <v>36.51283333333334</v>
      </c>
      <c r="R16" s="153">
        <f t="shared" si="1"/>
        <v>-3.8182584491645022E-2</v>
      </c>
    </row>
    <row r="17" spans="1:18">
      <c r="A17" s="842">
        <v>2024</v>
      </c>
      <c r="B17" s="11">
        <v>36.441000000000003</v>
      </c>
      <c r="C17" s="11">
        <v>36.695</v>
      </c>
      <c r="D17" s="11">
        <v>36.527999999999999</v>
      </c>
      <c r="E17" s="11">
        <v>36.865000000000002</v>
      </c>
      <c r="F17" s="11">
        <v>36.475999999999999</v>
      </c>
      <c r="G17" s="11">
        <v>35.777999999999999</v>
      </c>
      <c r="H17" s="11">
        <v>35.929000000000002</v>
      </c>
      <c r="I17" s="11">
        <v>35.792000000000002</v>
      </c>
      <c r="J17" s="11">
        <v>35.405999999999999</v>
      </c>
      <c r="K17" s="11">
        <v>34.848999999999997</v>
      </c>
      <c r="L17" s="11">
        <v>34.259</v>
      </c>
      <c r="M17" s="11">
        <v>33.942</v>
      </c>
      <c r="N17" s="11">
        <v>36.463999999999999</v>
      </c>
      <c r="O17" s="11">
        <v>35.03</v>
      </c>
      <c r="Q17" s="11">
        <f t="shared" ref="Q17" si="2">AVERAGE(H17:M17,B18:G18)</f>
        <v>34.927500000000002</v>
      </c>
      <c r="R17" s="153">
        <f t="shared" ref="R17:R18" si="3">Q17/Q16-1</f>
        <v>-4.3418524080574561E-2</v>
      </c>
    </row>
    <row r="18" spans="1:18">
      <c r="A18" s="65">
        <v>2025</v>
      </c>
      <c r="B18" s="11">
        <v>34.237000000000002</v>
      </c>
      <c r="C18" s="11">
        <v>34.476999999999997</v>
      </c>
      <c r="D18" s="11">
        <v>34.546999999999997</v>
      </c>
      <c r="E18" s="11">
        <v>34.805</v>
      </c>
      <c r="F18" s="11">
        <v>35.201999999999998</v>
      </c>
      <c r="G18" s="11">
        <v>35.685000000000002</v>
      </c>
      <c r="H18" s="11">
        <v>35.273000000000003</v>
      </c>
      <c r="I18" s="11">
        <v>35.064</v>
      </c>
      <c r="J18" s="11">
        <v>35.140999999999998</v>
      </c>
      <c r="K18" s="11">
        <f>(J18+L18)/2</f>
        <v>34.662499999999994</v>
      </c>
      <c r="L18" s="11">
        <v>34.183999999999997</v>
      </c>
      <c r="M18" s="11">
        <v>33.729999999999997</v>
      </c>
      <c r="N18" s="11">
        <v>34.826000000000001</v>
      </c>
      <c r="O18" s="11">
        <v>34.677999999999997</v>
      </c>
      <c r="Q18" s="11">
        <f>AVERAGE(H18:M18,B19:G19)</f>
        <v>35.053356254244754</v>
      </c>
      <c r="R18" s="153">
        <f t="shared" si="3"/>
        <v>3.6033570752200816E-3</v>
      </c>
    </row>
    <row r="19" spans="1:18">
      <c r="A19" s="65">
        <v>2026</v>
      </c>
      <c r="B19" s="11">
        <v>34.773000000000003</v>
      </c>
      <c r="C19" s="11">
        <v>34.781999999999996</v>
      </c>
      <c r="D19" s="11">
        <v>35.292999999999999</v>
      </c>
      <c r="E19" s="11">
        <v>35.600999999999999</v>
      </c>
      <c r="F19" s="11">
        <f>E19*(1+(E19/D19-1))</f>
        <v>35.911687898450111</v>
      </c>
      <c r="G19" s="11">
        <f>F19*(1+(F19/E19-1))</f>
        <v>36.225087152486964</v>
      </c>
    </row>
    <row r="21" spans="1:18">
      <c r="A21" s="844" t="s">
        <v>1118</v>
      </c>
      <c r="B21" s="235"/>
      <c r="C21" s="235"/>
      <c r="D21" s="235"/>
      <c r="E21" s="235"/>
      <c r="F21" s="235"/>
      <c r="G21" s="235"/>
      <c r="H21" s="235"/>
      <c r="I21" s="235"/>
      <c r="J21" s="235"/>
      <c r="K21" s="235"/>
      <c r="L21" s="235"/>
      <c r="M21" s="235"/>
      <c r="N21" s="235"/>
      <c r="O21" s="235"/>
      <c r="P21" s="235"/>
      <c r="Q21" s="235"/>
      <c r="R21" s="502"/>
    </row>
    <row r="22" spans="1:18">
      <c r="A22" s="11" t="s">
        <v>1119</v>
      </c>
    </row>
    <row r="23" spans="1:18">
      <c r="A23" s="11" t="s">
        <v>1121</v>
      </c>
    </row>
  </sheetData>
  <hyperlinks>
    <hyperlink ref="A2" r:id="rId1" xr:uid="{00000000-0004-0000-1700-000000000000}"/>
    <hyperlink ref="Q1" location="'6.GrowthFactors'!A1" display="RETURN" xr:uid="{D6871764-87D7-415E-90C8-7A2C2B717D6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23"/>
  <sheetViews>
    <sheetView workbookViewId="0"/>
  </sheetViews>
  <sheetFormatPr defaultRowHeight="15.75"/>
  <cols>
    <col min="1" max="16" width="9.140625" style="11"/>
    <col min="17" max="17" width="23.85546875" style="11" bestFit="1" customWidth="1"/>
    <col min="18" max="18" width="12" style="11" bestFit="1" customWidth="1"/>
    <col min="19" max="16384" width="9.140625" style="11"/>
  </cols>
  <sheetData>
    <row r="1" spans="1:18">
      <c r="A1" s="837" t="s">
        <v>811</v>
      </c>
      <c r="Q1" s="139" t="s">
        <v>863</v>
      </c>
    </row>
    <row r="2" spans="1:18">
      <c r="A2" s="139" t="s">
        <v>812</v>
      </c>
    </row>
    <row r="3" spans="1:18">
      <c r="Q3" s="11" t="s">
        <v>808</v>
      </c>
      <c r="R3" s="153" t="s">
        <v>809</v>
      </c>
    </row>
    <row r="4" spans="1:18">
      <c r="A4" s="841" t="s">
        <v>149</v>
      </c>
      <c r="B4" s="841" t="s">
        <v>792</v>
      </c>
      <c r="C4" s="841" t="s">
        <v>793</v>
      </c>
      <c r="D4" s="841" t="s">
        <v>794</v>
      </c>
      <c r="E4" s="841" t="s">
        <v>795</v>
      </c>
      <c r="F4" s="841" t="s">
        <v>796</v>
      </c>
      <c r="G4" s="841" t="s">
        <v>797</v>
      </c>
      <c r="H4" s="841" t="s">
        <v>798</v>
      </c>
      <c r="I4" s="841" t="s">
        <v>799</v>
      </c>
      <c r="J4" s="841" t="s">
        <v>800</v>
      </c>
      <c r="K4" s="841" t="s">
        <v>801</v>
      </c>
      <c r="L4" s="841" t="s">
        <v>802</v>
      </c>
      <c r="M4" s="841" t="s">
        <v>803</v>
      </c>
      <c r="N4" s="841" t="s">
        <v>804</v>
      </c>
      <c r="O4" s="841" t="s">
        <v>805</v>
      </c>
      <c r="R4" s="153"/>
    </row>
    <row r="5" spans="1:18">
      <c r="A5" s="842">
        <v>2012</v>
      </c>
      <c r="B5" s="843">
        <v>543.96</v>
      </c>
      <c r="C5" s="843">
        <v>547.09500000000003</v>
      </c>
      <c r="D5" s="843">
        <v>550.226</v>
      </c>
      <c r="E5" s="843">
        <v>552.61300000000006</v>
      </c>
      <c r="F5" s="843">
        <v>556.63</v>
      </c>
      <c r="G5" s="843">
        <v>559.60799999999995</v>
      </c>
      <c r="H5" s="843">
        <v>563.82899999999995</v>
      </c>
      <c r="I5" s="843">
        <v>570.96900000000005</v>
      </c>
      <c r="J5" s="843">
        <v>574.30600000000004</v>
      </c>
      <c r="K5" s="843">
        <v>574.25099999999998</v>
      </c>
      <c r="L5" s="843">
        <v>577.50199999999995</v>
      </c>
      <c r="M5" s="843">
        <v>578.38800000000003</v>
      </c>
      <c r="N5" s="843"/>
      <c r="O5" s="843"/>
      <c r="R5" s="153"/>
    </row>
    <row r="6" spans="1:18">
      <c r="A6" s="842">
        <v>2013</v>
      </c>
      <c r="B6" s="843">
        <v>582.79600000000005</v>
      </c>
      <c r="C6" s="843">
        <v>585.06500000000005</v>
      </c>
      <c r="D6" s="843">
        <v>588.62099999999998</v>
      </c>
      <c r="E6" s="843">
        <v>590.96600000000001</v>
      </c>
      <c r="F6" s="843">
        <v>593.93200000000002</v>
      </c>
      <c r="G6" s="843">
        <v>596.21100000000001</v>
      </c>
      <c r="H6" s="843">
        <v>600.18399999999997</v>
      </c>
      <c r="I6" s="843">
        <v>591.05399999999997</v>
      </c>
      <c r="J6" s="843">
        <v>596.22</v>
      </c>
      <c r="K6" s="843">
        <v>600.98699999999997</v>
      </c>
      <c r="L6" s="843">
        <v>603.17499999999995</v>
      </c>
      <c r="M6" s="843">
        <v>606.27300000000002</v>
      </c>
      <c r="N6" s="843"/>
      <c r="O6" s="843"/>
      <c r="Q6" s="11">
        <f>AVERAGE(H6:M6,B7:G7)</f>
        <v>603.00358333333338</v>
      </c>
      <c r="R6" s="153"/>
    </row>
    <row r="7" spans="1:18">
      <c r="A7" s="842">
        <v>2014</v>
      </c>
      <c r="B7" s="843">
        <v>598.16999999999996</v>
      </c>
      <c r="C7" s="843">
        <v>604.75900000000001</v>
      </c>
      <c r="D7" s="843">
        <v>603.79100000000005</v>
      </c>
      <c r="E7" s="843">
        <v>608.173</v>
      </c>
      <c r="F7" s="843">
        <v>611.18399999999997</v>
      </c>
      <c r="G7" s="843">
        <v>612.07299999999998</v>
      </c>
      <c r="H7" s="843">
        <v>614.28599999999994</v>
      </c>
      <c r="I7" s="843">
        <v>620.58399999999995</v>
      </c>
      <c r="J7" s="843">
        <v>623.78599999999994</v>
      </c>
      <c r="K7" s="843">
        <v>627.68600000000004</v>
      </c>
      <c r="L7" s="843">
        <v>627.89700000000005</v>
      </c>
      <c r="M7" s="843">
        <v>632.33100000000002</v>
      </c>
      <c r="N7" s="843"/>
      <c r="O7" s="843"/>
      <c r="Q7" s="11">
        <f t="shared" ref="Q7:Q14" si="0">AVERAGE(H7:M7,B8:G8)</f>
        <v>633.75400000000002</v>
      </c>
      <c r="R7" s="153">
        <f>Q7/Q6-1</f>
        <v>5.09954128243848E-2</v>
      </c>
    </row>
    <row r="8" spans="1:18">
      <c r="A8" s="842">
        <v>2015</v>
      </c>
      <c r="B8" s="843">
        <v>639.40599999999995</v>
      </c>
      <c r="C8" s="843">
        <v>640.08399999999995</v>
      </c>
      <c r="D8" s="843">
        <v>644.47299999999996</v>
      </c>
      <c r="E8" s="843">
        <v>644.88699999999994</v>
      </c>
      <c r="F8" s="843">
        <v>646.55899999999997</v>
      </c>
      <c r="G8" s="843">
        <v>643.06899999999996</v>
      </c>
      <c r="H8" s="843">
        <v>645.46100000000001</v>
      </c>
      <c r="I8" s="843">
        <v>649.13099999999997</v>
      </c>
      <c r="J8" s="843">
        <v>652.64</v>
      </c>
      <c r="K8" s="843">
        <v>655.16999999999996</v>
      </c>
      <c r="L8" s="843">
        <v>657.15300000000002</v>
      </c>
      <c r="M8" s="843">
        <v>660.27800000000002</v>
      </c>
      <c r="N8" s="843"/>
      <c r="O8" s="843"/>
      <c r="Q8" s="11">
        <f t="shared" si="0"/>
        <v>659.16766666666672</v>
      </c>
      <c r="R8" s="153">
        <f t="shared" ref="R8:R14" si="1">Q8/Q7-1</f>
        <v>4.0100207125582932E-2</v>
      </c>
    </row>
    <row r="9" spans="1:18">
      <c r="A9" s="842">
        <v>2016</v>
      </c>
      <c r="B9" s="843">
        <v>663.452</v>
      </c>
      <c r="C9" s="843">
        <v>660.05</v>
      </c>
      <c r="D9" s="843">
        <v>658.77499999999998</v>
      </c>
      <c r="E9" s="843">
        <v>666.54399999999998</v>
      </c>
      <c r="F9" s="843">
        <v>666.30600000000004</v>
      </c>
      <c r="G9" s="843">
        <v>675.05200000000002</v>
      </c>
      <c r="H9" s="843">
        <v>678.01499999999999</v>
      </c>
      <c r="I9" s="843">
        <v>687.43799999999999</v>
      </c>
      <c r="J9" s="843">
        <v>693.59799999999996</v>
      </c>
      <c r="K9" s="843">
        <v>695.36500000000001</v>
      </c>
      <c r="L9" s="843">
        <v>700.41800000000001</v>
      </c>
      <c r="M9" s="843">
        <v>700.38599999999997</v>
      </c>
      <c r="N9" s="843"/>
      <c r="O9" s="843"/>
      <c r="Q9" s="11">
        <f t="shared" si="0"/>
        <v>691.11308333333329</v>
      </c>
      <c r="R9" s="153">
        <f t="shared" si="1"/>
        <v>4.8463264025389474E-2</v>
      </c>
    </row>
    <row r="10" spans="1:18">
      <c r="A10" s="842">
        <v>2017</v>
      </c>
      <c r="B10" s="843">
        <v>690.42700000000002</v>
      </c>
      <c r="C10" s="843">
        <v>696.37099999999998</v>
      </c>
      <c r="D10" s="843">
        <v>698.23500000000001</v>
      </c>
      <c r="E10" s="843">
        <v>688.56</v>
      </c>
      <c r="F10" s="843">
        <v>682.21699999999998</v>
      </c>
      <c r="G10" s="843">
        <v>682.327</v>
      </c>
      <c r="H10" s="843">
        <v>691.68899999999996</v>
      </c>
      <c r="I10" s="843">
        <v>690.04100000000005</v>
      </c>
      <c r="J10" s="843">
        <v>682.69600000000003</v>
      </c>
      <c r="K10" s="843">
        <v>686.53499999999997</v>
      </c>
      <c r="L10" s="843">
        <v>696.68799999999999</v>
      </c>
      <c r="M10" s="843">
        <v>687.64599999999996</v>
      </c>
      <c r="N10" s="843"/>
      <c r="O10" s="843"/>
      <c r="Q10" s="11">
        <f t="shared" si="0"/>
        <v>692.92408333333344</v>
      </c>
      <c r="R10" s="153">
        <f t="shared" si="1"/>
        <v>2.6204105285714263E-3</v>
      </c>
    </row>
    <row r="11" spans="1:18">
      <c r="A11" s="842">
        <v>2018</v>
      </c>
      <c r="B11" s="843">
        <v>686.31799999999998</v>
      </c>
      <c r="C11" s="843">
        <v>693.57799999999997</v>
      </c>
      <c r="D11" s="843">
        <v>695.45899999999995</v>
      </c>
      <c r="E11" s="843">
        <v>691.26400000000001</v>
      </c>
      <c r="F11" s="843">
        <v>711.87199999999996</v>
      </c>
      <c r="G11" s="843">
        <v>701.303</v>
      </c>
      <c r="H11" s="843">
        <v>704.86800000000005</v>
      </c>
      <c r="I11" s="843">
        <v>697.221</v>
      </c>
      <c r="J11" s="843">
        <v>695.06899999999996</v>
      </c>
      <c r="K11" s="843">
        <v>691.11</v>
      </c>
      <c r="L11" s="843">
        <v>690.33299999999997</v>
      </c>
      <c r="M11" s="843">
        <v>694.83399999999995</v>
      </c>
      <c r="N11" s="843"/>
      <c r="O11" s="843"/>
      <c r="Q11" s="11">
        <f t="shared" si="0"/>
        <v>691.64191666666659</v>
      </c>
      <c r="R11" s="153">
        <f t="shared" si="1"/>
        <v>-1.8503710543570362E-3</v>
      </c>
    </row>
    <row r="12" spans="1:18">
      <c r="A12" s="842">
        <v>2019</v>
      </c>
      <c r="B12" s="843">
        <v>686.21100000000001</v>
      </c>
      <c r="C12" s="843">
        <v>692.46699999999998</v>
      </c>
      <c r="D12" s="843">
        <v>689.51499999999999</v>
      </c>
      <c r="E12" s="843">
        <v>688.73599999999999</v>
      </c>
      <c r="F12" s="843">
        <v>683.08799999999997</v>
      </c>
      <c r="G12" s="843">
        <v>686.25099999999998</v>
      </c>
      <c r="H12" s="843">
        <v>683.62400000000002</v>
      </c>
      <c r="I12" s="843">
        <v>694.26400000000001</v>
      </c>
      <c r="J12" s="843">
        <v>681.85299999999995</v>
      </c>
      <c r="K12" s="843">
        <v>676.96400000000006</v>
      </c>
      <c r="L12" s="843">
        <v>680.25099999999998</v>
      </c>
      <c r="M12" s="843">
        <v>681.15099999999995</v>
      </c>
      <c r="N12" s="843"/>
      <c r="O12" s="843"/>
      <c r="Q12" s="11">
        <f t="shared" si="0"/>
        <v>677.80399999999997</v>
      </c>
      <c r="R12" s="153">
        <f t="shared" si="1"/>
        <v>-2.000734243140978E-2</v>
      </c>
    </row>
    <row r="13" spans="1:18">
      <c r="A13" s="842">
        <v>2020</v>
      </c>
      <c r="B13" s="843">
        <v>664.94799999999998</v>
      </c>
      <c r="C13" s="843">
        <v>670.41</v>
      </c>
      <c r="D13" s="843">
        <v>671.048</v>
      </c>
      <c r="E13" s="843">
        <v>677.14400000000001</v>
      </c>
      <c r="F13" s="843">
        <v>677.18899999999996</v>
      </c>
      <c r="G13" s="843">
        <v>674.80200000000002</v>
      </c>
      <c r="H13" s="843">
        <v>677.97900000000004</v>
      </c>
      <c r="I13" s="843">
        <v>685.18100000000004</v>
      </c>
      <c r="J13" s="843">
        <v>683.13599999999997</v>
      </c>
      <c r="K13" s="843">
        <v>683.13099999999997</v>
      </c>
      <c r="L13" s="843">
        <v>681.56399999999996</v>
      </c>
      <c r="M13" s="843">
        <v>686.05399999999997</v>
      </c>
      <c r="N13" s="843"/>
      <c r="O13" s="843"/>
      <c r="Q13" s="11">
        <f t="shared" si="0"/>
        <v>685.12683333333325</v>
      </c>
      <c r="R13" s="153">
        <f t="shared" si="1"/>
        <v>1.0803762346243584E-2</v>
      </c>
    </row>
    <row r="14" spans="1:18">
      <c r="A14" s="842">
        <v>2021</v>
      </c>
      <c r="B14" s="843">
        <v>684.56799999999998</v>
      </c>
      <c r="C14" s="843">
        <v>693.35699999999997</v>
      </c>
      <c r="D14" s="843">
        <v>677.09900000000005</v>
      </c>
      <c r="E14" s="843">
        <v>686.52099999999996</v>
      </c>
      <c r="F14" s="843">
        <v>691.12800000000004</v>
      </c>
      <c r="G14" s="843">
        <v>691.80399999999997</v>
      </c>
      <c r="H14" s="843">
        <v>695.36</v>
      </c>
      <c r="I14" s="843">
        <v>687.66700000000003</v>
      </c>
      <c r="J14" s="843">
        <v>685.005</v>
      </c>
      <c r="K14" s="843">
        <v>685.851</v>
      </c>
      <c r="L14" s="843">
        <v>682.91099999999994</v>
      </c>
      <c r="M14" s="843">
        <v>683.63199999999995</v>
      </c>
      <c r="N14" s="843"/>
      <c r="O14" s="843"/>
      <c r="Q14" s="11">
        <f t="shared" si="0"/>
        <v>696.74391666666668</v>
      </c>
      <c r="R14" s="153">
        <f t="shared" si="1"/>
        <v>1.6956106180826547E-2</v>
      </c>
    </row>
    <row r="15" spans="1:18">
      <c r="A15" s="842">
        <v>2022</v>
      </c>
      <c r="B15" s="843">
        <v>702.32600000000002</v>
      </c>
      <c r="C15" s="843">
        <v>699.19399999999996</v>
      </c>
      <c r="D15" s="843">
        <v>702.84799999999996</v>
      </c>
      <c r="E15" s="843">
        <v>701.84799999999996</v>
      </c>
      <c r="F15" s="843">
        <v>717.03800000000001</v>
      </c>
      <c r="G15" s="843">
        <v>717.24699999999996</v>
      </c>
      <c r="H15" s="843">
        <v>717.00599999999997</v>
      </c>
      <c r="I15" s="843">
        <v>719.28700000000003</v>
      </c>
      <c r="J15" s="843">
        <v>716.25900000000001</v>
      </c>
      <c r="K15" s="843">
        <v>717.77499999999998</v>
      </c>
      <c r="L15" s="843">
        <v>718.85</v>
      </c>
      <c r="M15" s="843">
        <v>720.64200000000005</v>
      </c>
      <c r="N15" s="843"/>
      <c r="O15" s="843"/>
      <c r="Q15" s="11">
        <f>AVERAGE(H15:M15,B16:G16)</f>
        <v>713.56575000000009</v>
      </c>
      <c r="R15" s="153">
        <f>Q15/Q14-1</f>
        <v>2.4143495093307266E-2</v>
      </c>
    </row>
    <row r="16" spans="1:18">
      <c r="A16" s="65">
        <v>2023</v>
      </c>
      <c r="B16" s="11">
        <v>717.54200000000003</v>
      </c>
      <c r="C16" s="11">
        <v>717.70600000000002</v>
      </c>
      <c r="D16" s="11">
        <v>707.82</v>
      </c>
      <c r="E16" s="11">
        <v>704.11900000000003</v>
      </c>
      <c r="F16" s="11">
        <v>707.85799999999995</v>
      </c>
      <c r="G16" s="11">
        <v>697.92499999999995</v>
      </c>
      <c r="H16" s="11">
        <v>695.37800000000004</v>
      </c>
      <c r="I16" s="11">
        <v>694.56399999999996</v>
      </c>
      <c r="J16" s="11">
        <v>698.45</v>
      </c>
      <c r="K16" s="11">
        <v>694.56</v>
      </c>
      <c r="L16" s="11">
        <v>684.37800000000004</v>
      </c>
      <c r="M16" s="11">
        <v>694.59</v>
      </c>
      <c r="Q16" s="11">
        <f>AVERAGE(H16:M16,B17:G17)</f>
        <v>694.84258333333344</v>
      </c>
      <c r="R16" s="153">
        <f>Q16/Q15-1</f>
        <v>-2.6238880813248988E-2</v>
      </c>
    </row>
    <row r="17" spans="1:18">
      <c r="A17" s="65">
        <v>2024</v>
      </c>
      <c r="B17" s="11">
        <v>688.84299999999996</v>
      </c>
      <c r="C17" s="11">
        <v>692.83500000000004</v>
      </c>
      <c r="D17" s="11">
        <v>686.67899999999997</v>
      </c>
      <c r="E17" s="11">
        <v>698.59100000000001</v>
      </c>
      <c r="F17" s="11">
        <v>703.798</v>
      </c>
      <c r="G17" s="11">
        <f>F17+($K$17-$F$17)/5</f>
        <v>705.44500000000005</v>
      </c>
      <c r="H17" s="11">
        <f t="shared" ref="H17:J17" si="2">G17+($K$17-$F$17)/5</f>
        <v>707.0920000000001</v>
      </c>
      <c r="I17" s="11">
        <f t="shared" si="2"/>
        <v>708.73900000000015</v>
      </c>
      <c r="J17" s="11">
        <f t="shared" si="2"/>
        <v>710.38600000000019</v>
      </c>
      <c r="K17" s="11">
        <v>712.03300000000002</v>
      </c>
      <c r="L17" s="11">
        <v>756.76199999999994</v>
      </c>
      <c r="M17" s="11">
        <v>750.73299999999995</v>
      </c>
      <c r="Q17" s="11">
        <f t="shared" ref="Q17:Q18" si="3">AVERAGE(H17:M17,B18:G18)</f>
        <v>744.8534166666667</v>
      </c>
      <c r="R17" s="153">
        <f t="shared" ref="R17:R18" si="4">Q17/Q16-1</f>
        <v>7.1974335673871348E-2</v>
      </c>
    </row>
    <row r="18" spans="1:18">
      <c r="A18" s="65">
        <v>2025</v>
      </c>
      <c r="B18" s="11">
        <v>757.19200000000001</v>
      </c>
      <c r="C18" s="11">
        <v>757.68200000000002</v>
      </c>
      <c r="D18" s="11">
        <v>771.46900000000005</v>
      </c>
      <c r="E18" s="11">
        <v>769.54899999999998</v>
      </c>
      <c r="F18" s="11">
        <v>769.88800000000003</v>
      </c>
      <c r="G18" s="11">
        <v>766.71600000000001</v>
      </c>
      <c r="H18" s="11">
        <v>767.33299999999997</v>
      </c>
      <c r="I18" s="11">
        <v>762.69200000000001</v>
      </c>
      <c r="J18" s="11">
        <v>757.66399999999999</v>
      </c>
      <c r="K18" s="11">
        <f>(J18+L18)/2</f>
        <v>757.93049999999994</v>
      </c>
      <c r="L18" s="11">
        <v>758.197</v>
      </c>
      <c r="M18" s="11">
        <v>756.83900000000006</v>
      </c>
      <c r="Q18" s="11">
        <f t="shared" si="3"/>
        <v>764.31902636935092</v>
      </c>
      <c r="R18" s="153">
        <f t="shared" si="4"/>
        <v>2.6133477093782886E-2</v>
      </c>
    </row>
    <row r="19" spans="1:18">
      <c r="A19" s="65">
        <v>2026</v>
      </c>
      <c r="B19" s="11">
        <f>M18+($D$19-$M$18)/3</f>
        <v>760.17200000000003</v>
      </c>
      <c r="C19" s="11">
        <f>B19+($D$19-$M$18)/3</f>
        <v>763.505</v>
      </c>
      <c r="D19" s="11">
        <v>766.83799999999997</v>
      </c>
      <c r="E19" s="11">
        <f>D19*(1+(D19/C19-1))</f>
        <v>770.18554985756475</v>
      </c>
      <c r="F19" s="11">
        <f>E19*(1+(E19/D19-1))</f>
        <v>773.54771308855243</v>
      </c>
      <c r="G19" s="11">
        <f>F19*(1+(F19/E19-1))</f>
        <v>776.92455348609292</v>
      </c>
      <c r="R19" s="153"/>
    </row>
    <row r="21" spans="1:18">
      <c r="A21" s="844" t="s">
        <v>1118</v>
      </c>
      <c r="B21" s="235"/>
      <c r="C21" s="235"/>
      <c r="D21" s="235"/>
      <c r="E21" s="235"/>
      <c r="F21" s="235"/>
      <c r="G21" s="235"/>
      <c r="H21" s="235"/>
      <c r="I21" s="235"/>
      <c r="J21" s="235"/>
      <c r="K21" s="235"/>
      <c r="L21" s="235"/>
      <c r="M21" s="235"/>
      <c r="N21" s="235"/>
      <c r="O21" s="235"/>
      <c r="P21" s="235"/>
      <c r="Q21" s="235"/>
      <c r="R21" s="502"/>
    </row>
    <row r="22" spans="1:18">
      <c r="A22" s="11" t="s">
        <v>1120</v>
      </c>
      <c r="R22" s="153"/>
    </row>
    <row r="23" spans="1:18">
      <c r="A23" s="11" t="s">
        <v>1121</v>
      </c>
      <c r="R23" s="153"/>
    </row>
  </sheetData>
  <sheetProtection sheet="1" objects="1" scenarios="1"/>
  <hyperlinks>
    <hyperlink ref="A2" r:id="rId1" xr:uid="{A2FF6258-8D86-4FC9-981A-A39859C15E54}"/>
    <hyperlink ref="Q1" location="'6.GrowthFactors'!A1" display="RETURN" xr:uid="{9E6CBDFF-9A4A-42BB-B595-1E092FF3539E}"/>
  </hyperlinks>
  <pageMargins left="0.7" right="0.7" top="0.75" bottom="0.75" header="0.3" footer="0.3"/>
  <pageSetup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7"/>
  <sheetViews>
    <sheetView workbookViewId="0"/>
  </sheetViews>
  <sheetFormatPr defaultRowHeight="15.75"/>
  <cols>
    <col min="1" max="1" width="11.140625" style="11" bestFit="1" customWidth="1"/>
    <col min="2" max="2" width="34.5703125" style="11" bestFit="1" customWidth="1"/>
    <col min="3" max="3" width="7.85546875" style="11" bestFit="1" customWidth="1"/>
    <col min="4" max="4" width="9.140625" style="11"/>
    <col min="5" max="5" width="8.42578125" style="727" bestFit="1" customWidth="1"/>
    <col min="6" max="6" width="9.140625" style="11"/>
    <col min="7" max="7" width="6.7109375" style="11" bestFit="1" customWidth="1"/>
    <col min="8" max="16384" width="9.140625" style="11"/>
  </cols>
  <sheetData>
    <row r="1" spans="1:7">
      <c r="A1" s="846" t="s">
        <v>817</v>
      </c>
      <c r="B1" s="846" t="s">
        <v>816</v>
      </c>
      <c r="C1" s="847" t="s">
        <v>824</v>
      </c>
      <c r="G1" s="11" t="s">
        <v>825</v>
      </c>
    </row>
    <row r="2" spans="1:7">
      <c r="A2" s="848">
        <v>36342</v>
      </c>
      <c r="B2" s="849">
        <v>38982439.030000001</v>
      </c>
      <c r="C2" s="11">
        <v>543138</v>
      </c>
      <c r="D2" s="845">
        <f>B2/C2</f>
        <v>71.772623219145046</v>
      </c>
      <c r="G2" s="46">
        <f>AVERAGE(E:E)</f>
        <v>5.4022496880633902E-2</v>
      </c>
    </row>
    <row r="3" spans="1:7">
      <c r="A3" s="848">
        <v>36708</v>
      </c>
      <c r="B3" s="849">
        <v>53713191.719999999</v>
      </c>
      <c r="C3" s="11">
        <v>544273</v>
      </c>
      <c r="D3" s="845">
        <f t="shared" ref="D3:D22" si="0">B3/C3</f>
        <v>98.687959388027693</v>
      </c>
      <c r="E3" s="727">
        <f>D3/D2-1</f>
        <v>0.37500839403210073</v>
      </c>
    </row>
    <row r="4" spans="1:7">
      <c r="A4" s="848">
        <v>37073</v>
      </c>
      <c r="B4" s="849">
        <v>53580069.899999999</v>
      </c>
      <c r="C4" s="11">
        <v>549788</v>
      </c>
      <c r="D4" s="845">
        <f t="shared" si="0"/>
        <v>97.45587371859699</v>
      </c>
      <c r="E4" s="727">
        <f t="shared" ref="E4:E22" si="1">D4/D3-1</f>
        <v>-1.2484660510471257E-2</v>
      </c>
    </row>
    <row r="5" spans="1:7">
      <c r="A5" s="848">
        <v>37438</v>
      </c>
      <c r="B5" s="849">
        <v>44240898.200000003</v>
      </c>
      <c r="C5" s="11">
        <v>552188</v>
      </c>
      <c r="D5" s="845">
        <f t="shared" si="0"/>
        <v>80.11926771317016</v>
      </c>
      <c r="E5" s="727">
        <f t="shared" si="1"/>
        <v>-0.17789185345037417</v>
      </c>
    </row>
    <row r="6" spans="1:7">
      <c r="A6" s="848">
        <v>37803</v>
      </c>
      <c r="B6" s="849">
        <v>45813094.649999999</v>
      </c>
      <c r="C6" s="11">
        <v>549294</v>
      </c>
      <c r="D6" s="845">
        <f t="shared" si="0"/>
        <v>83.403595615462748</v>
      </c>
      <c r="E6" s="727">
        <f t="shared" si="1"/>
        <v>4.0992984534639065E-2</v>
      </c>
    </row>
    <row r="7" spans="1:7">
      <c r="A7" s="848">
        <v>38169</v>
      </c>
      <c r="B7" s="849">
        <v>50303368.479999997</v>
      </c>
      <c r="C7" s="11">
        <v>549472</v>
      </c>
      <c r="D7" s="845">
        <f t="shared" si="0"/>
        <v>91.548556577951189</v>
      </c>
      <c r="E7" s="727">
        <f t="shared" si="1"/>
        <v>9.7657192143624894E-2</v>
      </c>
    </row>
    <row r="8" spans="1:7">
      <c r="A8" s="848">
        <v>38534</v>
      </c>
      <c r="B8" s="849">
        <v>51127557.509999998</v>
      </c>
      <c r="C8" s="11">
        <v>556366</v>
      </c>
      <c r="D8" s="845">
        <f t="shared" si="0"/>
        <v>91.895546295064761</v>
      </c>
      <c r="E8" s="727">
        <f t="shared" si="1"/>
        <v>3.7902259749789113E-3</v>
      </c>
    </row>
    <row r="9" spans="1:7">
      <c r="A9" s="848">
        <v>38899</v>
      </c>
      <c r="B9" s="849">
        <v>53970339.799999997</v>
      </c>
      <c r="C9" s="11">
        <v>559915</v>
      </c>
      <c r="D9" s="845">
        <f t="shared" si="0"/>
        <v>96.390237446755307</v>
      </c>
      <c r="E9" s="727">
        <f t="shared" si="1"/>
        <v>4.8910870362081305E-2</v>
      </c>
    </row>
    <row r="10" spans="1:7">
      <c r="A10" s="848">
        <v>39264</v>
      </c>
      <c r="B10" s="849">
        <v>56139438.409999996</v>
      </c>
      <c r="C10" s="11">
        <v>563081</v>
      </c>
      <c r="D10" s="845">
        <f t="shared" si="0"/>
        <v>99.700466558097318</v>
      </c>
      <c r="E10" s="727">
        <f t="shared" si="1"/>
        <v>3.4341954113045192E-2</v>
      </c>
    </row>
    <row r="11" spans="1:7">
      <c r="A11" s="848">
        <v>39630</v>
      </c>
      <c r="B11" s="849">
        <v>56064981.289999999</v>
      </c>
      <c r="C11" s="11">
        <v>561094</v>
      </c>
      <c r="D11" s="845">
        <f t="shared" si="0"/>
        <v>99.920835528449771</v>
      </c>
      <c r="E11" s="727">
        <f t="shared" si="1"/>
        <v>2.2103103221091658E-3</v>
      </c>
    </row>
    <row r="12" spans="1:7">
      <c r="A12" s="848">
        <v>39995</v>
      </c>
      <c r="B12" s="849">
        <v>55892201.740000002</v>
      </c>
      <c r="C12" s="11">
        <v>559062</v>
      </c>
      <c r="D12" s="845">
        <f t="shared" si="0"/>
        <v>99.974961167097746</v>
      </c>
      <c r="E12" s="727">
        <f t="shared" si="1"/>
        <v>5.4168520871278325E-4</v>
      </c>
    </row>
    <row r="13" spans="1:7">
      <c r="A13" s="848">
        <v>40360</v>
      </c>
      <c r="B13" s="849">
        <v>57485301.280000001</v>
      </c>
      <c r="C13" s="11">
        <v>558575</v>
      </c>
      <c r="D13" s="845">
        <f t="shared" si="0"/>
        <v>102.91420360739382</v>
      </c>
      <c r="E13" s="727">
        <f t="shared" si="1"/>
        <v>2.9399785766192288E-2</v>
      </c>
    </row>
    <row r="14" spans="1:7">
      <c r="A14" s="848">
        <v>40725</v>
      </c>
      <c r="B14" s="849">
        <v>51926290.219999999</v>
      </c>
      <c r="C14" s="11">
        <v>558060</v>
      </c>
      <c r="D14" s="845">
        <f t="shared" si="0"/>
        <v>93.047862631258283</v>
      </c>
      <c r="E14" s="727">
        <f t="shared" si="1"/>
        <v>-9.5869575144112429E-2</v>
      </c>
    </row>
    <row r="15" spans="1:7">
      <c r="A15" s="848">
        <v>41091</v>
      </c>
      <c r="B15" s="849">
        <v>53358358.710000001</v>
      </c>
      <c r="C15" s="11">
        <v>560814</v>
      </c>
      <c r="D15" s="845">
        <f t="shared" si="0"/>
        <v>95.144484107030138</v>
      </c>
      <c r="E15" s="727">
        <f t="shared" si="1"/>
        <v>2.2532720435294751E-2</v>
      </c>
    </row>
    <row r="16" spans="1:7">
      <c r="A16" s="848">
        <v>41456</v>
      </c>
      <c r="B16" s="849">
        <v>59025386.909999996</v>
      </c>
      <c r="C16" s="11">
        <v>564243</v>
      </c>
      <c r="D16" s="845">
        <f t="shared" si="0"/>
        <v>104.60987005598651</v>
      </c>
      <c r="E16" s="727">
        <f t="shared" si="1"/>
        <v>9.9484337298088032E-2</v>
      </c>
    </row>
    <row r="17" spans="1:5">
      <c r="A17" s="848">
        <v>41821</v>
      </c>
      <c r="B17" s="849">
        <v>66323620.700000003</v>
      </c>
      <c r="C17" s="11">
        <v>568139</v>
      </c>
      <c r="D17" s="845">
        <f t="shared" si="0"/>
        <v>116.73836983555081</v>
      </c>
      <c r="E17" s="727">
        <f t="shared" si="1"/>
        <v>0.11594030059566296</v>
      </c>
    </row>
    <row r="18" spans="1:5">
      <c r="A18" s="848">
        <v>42186</v>
      </c>
      <c r="B18" s="849">
        <v>70106717.260000005</v>
      </c>
      <c r="C18" s="11">
        <v>573704</v>
      </c>
      <c r="D18" s="845">
        <f t="shared" si="0"/>
        <v>122.20015419101141</v>
      </c>
      <c r="E18" s="727">
        <f t="shared" si="1"/>
        <v>4.6786539534127591E-2</v>
      </c>
    </row>
    <row r="19" spans="1:5">
      <c r="A19" s="848">
        <v>42552</v>
      </c>
      <c r="B19" s="849">
        <v>72506118.730000004</v>
      </c>
      <c r="C19" s="11">
        <v>576336</v>
      </c>
      <c r="D19" s="845">
        <f t="shared" si="0"/>
        <v>125.80529193040172</v>
      </c>
      <c r="E19" s="727">
        <f t="shared" si="1"/>
        <v>2.9501908268913635E-2</v>
      </c>
    </row>
    <row r="20" spans="1:5">
      <c r="A20" s="848">
        <v>42917</v>
      </c>
      <c r="B20" s="849">
        <v>77563810.280000001</v>
      </c>
      <c r="C20" s="11">
        <v>578085</v>
      </c>
      <c r="D20" s="845">
        <f t="shared" si="0"/>
        <v>134.17371196277364</v>
      </c>
      <c r="E20" s="727">
        <f t="shared" si="1"/>
        <v>6.6518823683518136E-2</v>
      </c>
    </row>
    <row r="21" spans="1:5">
      <c r="A21" s="848">
        <v>43282</v>
      </c>
      <c r="B21" s="849">
        <v>81636287.469999999</v>
      </c>
      <c r="C21" s="11">
        <v>579024</v>
      </c>
      <c r="D21" s="845">
        <f t="shared" si="0"/>
        <v>140.98947102365361</v>
      </c>
      <c r="E21" s="727">
        <f t="shared" si="1"/>
        <v>5.0798021171024832E-2</v>
      </c>
    </row>
    <row r="22" spans="1:5">
      <c r="A22" s="848">
        <v>43647</v>
      </c>
      <c r="B22" s="849">
        <v>84498342.269999996</v>
      </c>
      <c r="C22" s="11">
        <v>579856</v>
      </c>
      <c r="D22" s="845">
        <f t="shared" si="0"/>
        <v>145.72297651485886</v>
      </c>
      <c r="E22" s="727">
        <f t="shared" si="1"/>
        <v>3.3573467981953931E-2</v>
      </c>
    </row>
    <row r="23" spans="1:5">
      <c r="A23" s="848">
        <v>44013</v>
      </c>
      <c r="B23" s="849">
        <v>82068754</v>
      </c>
      <c r="C23" s="11">
        <v>557797</v>
      </c>
      <c r="D23" s="845">
        <f>B23/C23</f>
        <v>147.13014591329821</v>
      </c>
      <c r="E23" s="727">
        <f>D23/D22-1</f>
        <v>9.65646895289618E-3</v>
      </c>
    </row>
    <row r="24" spans="1:5">
      <c r="A24" s="848">
        <v>44378</v>
      </c>
      <c r="B24" s="849">
        <v>93390236</v>
      </c>
      <c r="C24" s="11">
        <v>550325</v>
      </c>
      <c r="D24" s="845">
        <f>B24/C24</f>
        <v>169.70015172852405</v>
      </c>
      <c r="E24" s="727">
        <f>D24/D23-1</f>
        <v>0.15340164094261177</v>
      </c>
    </row>
    <row r="25" spans="1:5">
      <c r="A25" s="848">
        <v>44743</v>
      </c>
      <c r="B25" s="849">
        <v>111746361</v>
      </c>
      <c r="C25" s="11">
        <v>549811</v>
      </c>
      <c r="D25" s="845">
        <f>B25/C25</f>
        <v>203.24504420609992</v>
      </c>
      <c r="E25" s="727">
        <f>D25/D24-1</f>
        <v>0.19767155265269842</v>
      </c>
    </row>
    <row r="26" spans="1:5">
      <c r="A26" s="848">
        <v>45108</v>
      </c>
      <c r="B26" s="850">
        <v>121072799</v>
      </c>
      <c r="C26" s="11">
        <v>544957</v>
      </c>
      <c r="D26" s="845">
        <f t="shared" ref="D26:D27" si="2">B26/C26</f>
        <v>222.16945373671683</v>
      </c>
      <c r="E26" s="727">
        <f t="shared" ref="E26:E27" si="3">D26/D25-1</f>
        <v>9.3111296290337542E-2</v>
      </c>
    </row>
    <row r="27" spans="1:5">
      <c r="A27" s="848">
        <v>45474</v>
      </c>
      <c r="B27" s="850">
        <v>130760633</v>
      </c>
      <c r="C27" s="11">
        <v>542465</v>
      </c>
      <c r="D27" s="845">
        <f t="shared" si="2"/>
        <v>241.04897643165918</v>
      </c>
      <c r="E27" s="727">
        <f t="shared" si="3"/>
        <v>8.4978030856193376E-2</v>
      </c>
    </row>
  </sheetData>
  <sheetProtection sheet="1" objects="1" scenarios="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27"/>
  <sheetViews>
    <sheetView workbookViewId="0"/>
  </sheetViews>
  <sheetFormatPr defaultRowHeight="15"/>
  <cols>
    <col min="1" max="1" width="8.85546875" bestFit="1" customWidth="1"/>
    <col min="2" max="2" width="13.7109375" bestFit="1" customWidth="1"/>
    <col min="3" max="4" width="11.140625" bestFit="1" customWidth="1"/>
    <col min="5" max="5" width="12.140625" bestFit="1" customWidth="1"/>
    <col min="6" max="6" width="12.42578125" bestFit="1" customWidth="1"/>
    <col min="7" max="7" width="12.140625" bestFit="1" customWidth="1"/>
    <col min="8" max="8" width="7" bestFit="1" customWidth="1"/>
    <col min="9" max="9" width="8.28515625" bestFit="1" customWidth="1"/>
    <col min="10" max="10" width="7.140625" style="3" bestFit="1" customWidth="1"/>
    <col min="12" max="12" width="6.28515625" bestFit="1" customWidth="1"/>
  </cols>
  <sheetData>
    <row r="1" spans="1:12">
      <c r="B1" s="7" t="s">
        <v>818</v>
      </c>
      <c r="C1" s="7" t="s">
        <v>819</v>
      </c>
      <c r="D1" s="7" t="s">
        <v>820</v>
      </c>
      <c r="E1" s="8" t="s">
        <v>821</v>
      </c>
      <c r="F1" s="5" t="s">
        <v>822</v>
      </c>
      <c r="G1" s="8" t="s">
        <v>823</v>
      </c>
      <c r="H1" s="8" t="s">
        <v>824</v>
      </c>
      <c r="L1" t="s">
        <v>825</v>
      </c>
    </row>
    <row r="2" spans="1:12">
      <c r="A2" s="6">
        <v>36342</v>
      </c>
      <c r="B2" s="2">
        <v>20615708.649999999</v>
      </c>
      <c r="C2" s="2">
        <v>9765757.3399999999</v>
      </c>
      <c r="D2" s="2">
        <v>13732278.08</v>
      </c>
      <c r="E2" s="2">
        <f>SUM(B2:D2)</f>
        <v>44113744.07</v>
      </c>
      <c r="F2" s="2">
        <v>80824507.980000004</v>
      </c>
      <c r="G2" s="2">
        <f>SUM(E2:F2)</f>
        <v>124938252.05000001</v>
      </c>
      <c r="H2">
        <v>543138</v>
      </c>
      <c r="I2" s="9">
        <f>G2/H2</f>
        <v>230.03040120558683</v>
      </c>
      <c r="L2" s="1">
        <f>AVERAGE(J:J)</f>
        <v>4.2666176287422079E-2</v>
      </c>
    </row>
    <row r="3" spans="1:12">
      <c r="A3" s="6">
        <v>36708</v>
      </c>
      <c r="B3" s="2">
        <v>22100108.530000001</v>
      </c>
      <c r="C3" s="2">
        <v>10431291.630000001</v>
      </c>
      <c r="D3" s="2">
        <v>13735157.369999999</v>
      </c>
      <c r="E3" s="2">
        <f t="shared" ref="E3:E27" si="0">SUM(B3:D3)</f>
        <v>46266557.530000001</v>
      </c>
      <c r="F3" s="2">
        <v>85056095.769999996</v>
      </c>
      <c r="G3" s="2">
        <f t="shared" ref="G3:G25" si="1">SUM(E3:F3)</f>
        <v>131322653.3</v>
      </c>
      <c r="H3">
        <v>544273</v>
      </c>
      <c r="I3" s="9">
        <f t="shared" ref="I3:I22" si="2">G3/H3</f>
        <v>241.28085225612881</v>
      </c>
      <c r="J3" s="3">
        <f>I3/I2-1</f>
        <v>4.8908539878113944E-2</v>
      </c>
    </row>
    <row r="4" spans="1:12">
      <c r="A4" s="6">
        <v>37073</v>
      </c>
      <c r="B4" s="2">
        <v>22877396.23</v>
      </c>
      <c r="C4" s="2">
        <v>10129589.09</v>
      </c>
      <c r="D4" s="2">
        <v>13495183.039999999</v>
      </c>
      <c r="E4" s="2">
        <f t="shared" si="0"/>
        <v>46502168.359999999</v>
      </c>
      <c r="F4" s="2">
        <v>92986164.530000001</v>
      </c>
      <c r="G4" s="2">
        <f t="shared" si="1"/>
        <v>139488332.88999999</v>
      </c>
      <c r="H4">
        <v>549788</v>
      </c>
      <c r="I4" s="9">
        <f t="shared" si="2"/>
        <v>253.71294551718114</v>
      </c>
      <c r="J4" s="3">
        <f t="shared" ref="J4:J22" si="3">I4/I3-1</f>
        <v>5.1525403465730424E-2</v>
      </c>
    </row>
    <row r="5" spans="1:12">
      <c r="A5" s="6">
        <v>37438</v>
      </c>
      <c r="B5" s="2">
        <v>22813497.559999999</v>
      </c>
      <c r="C5" s="2">
        <v>9792812.9900000002</v>
      </c>
      <c r="D5" s="2">
        <v>14422062.960000001</v>
      </c>
      <c r="E5" s="2">
        <f t="shared" si="0"/>
        <v>47028373.509999998</v>
      </c>
      <c r="F5" s="2">
        <v>92606719.219999999</v>
      </c>
      <c r="G5" s="2">
        <f t="shared" si="1"/>
        <v>139635092.72999999</v>
      </c>
      <c r="H5">
        <v>552188</v>
      </c>
      <c r="I5" s="9">
        <f t="shared" si="2"/>
        <v>252.87600007606102</v>
      </c>
      <c r="J5" s="3">
        <f t="shared" si="3"/>
        <v>-3.2987888710764857E-3</v>
      </c>
    </row>
    <row r="6" spans="1:12">
      <c r="A6" s="6">
        <v>37803</v>
      </c>
      <c r="B6" s="2">
        <v>24109398.850000001</v>
      </c>
      <c r="C6" s="2">
        <v>10445843.609999999</v>
      </c>
      <c r="D6" s="2">
        <v>14190158.880000001</v>
      </c>
      <c r="E6" s="2">
        <f t="shared" si="0"/>
        <v>48745401.340000004</v>
      </c>
      <c r="F6" s="2">
        <v>99006441.030000001</v>
      </c>
      <c r="G6" s="2">
        <f t="shared" si="1"/>
        <v>147751842.37</v>
      </c>
      <c r="H6">
        <v>549294</v>
      </c>
      <c r="I6" s="9">
        <f t="shared" si="2"/>
        <v>268.98499231741107</v>
      </c>
      <c r="J6" s="3">
        <f t="shared" si="3"/>
        <v>6.3703128159670053E-2</v>
      </c>
    </row>
    <row r="7" spans="1:12">
      <c r="A7" s="6">
        <v>38169</v>
      </c>
      <c r="B7" s="2">
        <v>24619759.379999999</v>
      </c>
      <c r="C7" s="2">
        <v>11040722.32</v>
      </c>
      <c r="D7" s="2">
        <v>14642452.93</v>
      </c>
      <c r="E7" s="2">
        <f t="shared" si="0"/>
        <v>50302934.630000003</v>
      </c>
      <c r="F7" s="2">
        <v>108983934.36</v>
      </c>
      <c r="G7" s="2">
        <f t="shared" si="1"/>
        <v>159286868.99000001</v>
      </c>
      <c r="H7">
        <v>549472</v>
      </c>
      <c r="I7" s="9">
        <f t="shared" si="2"/>
        <v>289.89078422558384</v>
      </c>
      <c r="J7" s="3">
        <f t="shared" si="3"/>
        <v>7.772103464978164E-2</v>
      </c>
    </row>
    <row r="8" spans="1:12">
      <c r="A8" s="6">
        <v>38534</v>
      </c>
      <c r="B8" s="2">
        <v>24824040.129999999</v>
      </c>
      <c r="C8" s="2">
        <v>10620475.970000001</v>
      </c>
      <c r="D8" s="2">
        <v>15041518.109999999</v>
      </c>
      <c r="E8" s="2">
        <f t="shared" si="0"/>
        <v>50486034.210000001</v>
      </c>
      <c r="F8" s="2">
        <v>117752464.62</v>
      </c>
      <c r="G8" s="2">
        <f t="shared" si="1"/>
        <v>168238498.83000001</v>
      </c>
      <c r="H8">
        <v>556366</v>
      </c>
      <c r="I8" s="9">
        <f t="shared" si="2"/>
        <v>302.3881740257313</v>
      </c>
      <c r="J8" s="3">
        <f t="shared" si="3"/>
        <v>4.3110683333839273E-2</v>
      </c>
    </row>
    <row r="9" spans="1:12">
      <c r="A9" s="6">
        <v>38899</v>
      </c>
      <c r="B9" s="2">
        <v>27348826.289999999</v>
      </c>
      <c r="C9" s="2">
        <v>11108059.57</v>
      </c>
      <c r="D9" s="2">
        <v>14016569.17</v>
      </c>
      <c r="E9" s="2">
        <f t="shared" si="0"/>
        <v>52473455.030000001</v>
      </c>
      <c r="F9" s="2">
        <v>124452240.37</v>
      </c>
      <c r="G9" s="2">
        <f t="shared" si="1"/>
        <v>176925695.40000001</v>
      </c>
      <c r="H9">
        <v>559915</v>
      </c>
      <c r="I9" s="9">
        <f t="shared" si="2"/>
        <v>315.98670405329381</v>
      </c>
      <c r="J9" s="3">
        <f t="shared" si="3"/>
        <v>4.4970442615276829E-2</v>
      </c>
    </row>
    <row r="10" spans="1:12">
      <c r="A10" s="6">
        <v>39264</v>
      </c>
      <c r="B10" s="2">
        <v>30548463.48</v>
      </c>
      <c r="C10" s="2">
        <v>12628409.869999999</v>
      </c>
      <c r="D10" s="2">
        <v>16206171.24</v>
      </c>
      <c r="E10" s="2">
        <f t="shared" si="0"/>
        <v>59383044.590000004</v>
      </c>
      <c r="F10" s="2">
        <v>126737941.05</v>
      </c>
      <c r="G10" s="2">
        <f t="shared" si="1"/>
        <v>186120985.63999999</v>
      </c>
      <c r="H10">
        <v>563081</v>
      </c>
      <c r="I10" s="9">
        <f t="shared" si="2"/>
        <v>330.54034080354336</v>
      </c>
      <c r="J10" s="3">
        <f t="shared" si="3"/>
        <v>4.6057750416596432E-2</v>
      </c>
    </row>
    <row r="11" spans="1:12">
      <c r="A11" s="6">
        <v>39630</v>
      </c>
      <c r="B11" s="2">
        <v>31388382.059999999</v>
      </c>
      <c r="C11" s="2">
        <v>12523253.58</v>
      </c>
      <c r="D11" s="2">
        <v>15623810.140000001</v>
      </c>
      <c r="E11" s="2">
        <f t="shared" si="0"/>
        <v>59535445.780000001</v>
      </c>
      <c r="F11" s="2">
        <v>128654813.18000001</v>
      </c>
      <c r="G11" s="2">
        <f t="shared" si="1"/>
        <v>188190258.96000001</v>
      </c>
      <c r="H11">
        <v>561094</v>
      </c>
      <c r="I11" s="9">
        <f t="shared" si="2"/>
        <v>335.39880832801634</v>
      </c>
      <c r="J11" s="3">
        <f t="shared" si="3"/>
        <v>1.4698561490745998E-2</v>
      </c>
    </row>
    <row r="12" spans="1:12">
      <c r="A12" s="6">
        <v>39995</v>
      </c>
      <c r="B12" s="2">
        <v>31511627.010000002</v>
      </c>
      <c r="C12" s="2">
        <v>12198457.539999999</v>
      </c>
      <c r="D12" s="2">
        <v>15875154.310000001</v>
      </c>
      <c r="E12" s="2">
        <f t="shared" si="0"/>
        <v>59585238.859999999</v>
      </c>
      <c r="F12" s="2">
        <v>132178302.91</v>
      </c>
      <c r="G12" s="2">
        <f t="shared" si="1"/>
        <v>191763541.76999998</v>
      </c>
      <c r="H12">
        <v>559062</v>
      </c>
      <c r="I12" s="9">
        <f t="shared" si="2"/>
        <v>343.00943682453823</v>
      </c>
      <c r="J12" s="3">
        <f t="shared" si="3"/>
        <v>2.2691280671095271E-2</v>
      </c>
    </row>
    <row r="13" spans="1:12">
      <c r="A13" s="6">
        <v>40360</v>
      </c>
      <c r="B13" s="2">
        <v>30806310.059999999</v>
      </c>
      <c r="C13" s="2">
        <v>12116286.42</v>
      </c>
      <c r="D13" s="2">
        <v>16625258.57</v>
      </c>
      <c r="E13" s="2">
        <f t="shared" si="0"/>
        <v>59547855.049999997</v>
      </c>
      <c r="F13" s="2">
        <v>135816418.15000001</v>
      </c>
      <c r="G13" s="2">
        <f t="shared" si="1"/>
        <v>195364273.19999999</v>
      </c>
      <c r="H13">
        <v>558575</v>
      </c>
      <c r="I13" s="9">
        <f t="shared" si="2"/>
        <v>349.75477456026493</v>
      </c>
      <c r="J13" s="3">
        <f t="shared" si="3"/>
        <v>1.9665166644313725E-2</v>
      </c>
    </row>
    <row r="14" spans="1:12">
      <c r="A14" s="6">
        <v>40725</v>
      </c>
      <c r="B14" s="2">
        <v>31883123.190000001</v>
      </c>
      <c r="C14" s="2">
        <v>12500509.83</v>
      </c>
      <c r="D14" s="2">
        <v>18846053.379999999</v>
      </c>
      <c r="E14" s="2">
        <f t="shared" si="0"/>
        <v>63229686.400000006</v>
      </c>
      <c r="F14" s="2">
        <v>138353979.27000001</v>
      </c>
      <c r="G14" s="2">
        <f t="shared" si="1"/>
        <v>201583665.67000002</v>
      </c>
      <c r="H14">
        <v>558060</v>
      </c>
      <c r="I14" s="9">
        <f t="shared" si="2"/>
        <v>361.22220849012655</v>
      </c>
      <c r="J14" s="3">
        <f t="shared" si="3"/>
        <v>3.2787069009363012E-2</v>
      </c>
    </row>
    <row r="15" spans="1:12">
      <c r="A15" s="6">
        <v>41091</v>
      </c>
      <c r="B15" s="2">
        <v>31621474.289999999</v>
      </c>
      <c r="C15" s="2">
        <v>12390237.85</v>
      </c>
      <c r="D15" s="2">
        <v>17040665.260000002</v>
      </c>
      <c r="E15" s="2">
        <f t="shared" si="0"/>
        <v>61052377.400000006</v>
      </c>
      <c r="F15" s="2">
        <v>139675342.63</v>
      </c>
      <c r="G15" s="2">
        <f t="shared" si="1"/>
        <v>200727720.03</v>
      </c>
      <c r="H15">
        <v>560814</v>
      </c>
      <c r="I15" s="9">
        <f t="shared" si="2"/>
        <v>357.92209187003175</v>
      </c>
      <c r="J15" s="3">
        <f t="shared" si="3"/>
        <v>-9.1359737649824302E-3</v>
      </c>
    </row>
    <row r="16" spans="1:12">
      <c r="A16" s="6">
        <v>41456</v>
      </c>
      <c r="B16" s="2">
        <v>32889984.940000001</v>
      </c>
      <c r="C16" s="2">
        <v>12626311.689999999</v>
      </c>
      <c r="D16" s="2">
        <v>17175229.449999999</v>
      </c>
      <c r="E16" s="2">
        <f t="shared" si="0"/>
        <v>62691526.079999998</v>
      </c>
      <c r="F16" s="2">
        <v>150663284.55000001</v>
      </c>
      <c r="G16" s="2">
        <f t="shared" si="1"/>
        <v>213354810.63</v>
      </c>
      <c r="H16">
        <v>564243</v>
      </c>
      <c r="I16" s="9">
        <f t="shared" si="2"/>
        <v>378.12575544579198</v>
      </c>
      <c r="J16" s="3">
        <f t="shared" si="3"/>
        <v>5.6447098501806181E-2</v>
      </c>
    </row>
    <row r="17" spans="1:10">
      <c r="A17" s="6">
        <v>41821</v>
      </c>
      <c r="B17" s="2">
        <v>35243755.280000001</v>
      </c>
      <c r="C17" s="2">
        <v>12593396.550000001</v>
      </c>
      <c r="D17" s="2">
        <v>17926476.5</v>
      </c>
      <c r="E17" s="2">
        <f t="shared" si="0"/>
        <v>65763628.329999998</v>
      </c>
      <c r="F17" s="2">
        <v>150365531.63</v>
      </c>
      <c r="G17" s="2">
        <f t="shared" si="1"/>
        <v>216129159.95999998</v>
      </c>
      <c r="H17">
        <v>568139</v>
      </c>
      <c r="I17" s="9">
        <f t="shared" si="2"/>
        <v>380.41598967858215</v>
      </c>
      <c r="J17" s="3">
        <f t="shared" si="3"/>
        <v>6.0568057049965596E-3</v>
      </c>
    </row>
    <row r="18" spans="1:10">
      <c r="A18" s="6">
        <v>42186</v>
      </c>
      <c r="B18" s="2">
        <v>35130365.030000001</v>
      </c>
      <c r="C18" s="2">
        <v>12647196.16</v>
      </c>
      <c r="D18" s="2">
        <v>17604872.59</v>
      </c>
      <c r="E18" s="2">
        <f t="shared" si="0"/>
        <v>65382433.780000001</v>
      </c>
      <c r="F18" s="2">
        <v>156870560.69</v>
      </c>
      <c r="G18" s="2">
        <f t="shared" si="1"/>
        <v>222252994.47</v>
      </c>
      <c r="H18">
        <v>573704</v>
      </c>
      <c r="I18" s="9">
        <f t="shared" si="2"/>
        <v>387.40011307224631</v>
      </c>
      <c r="J18" s="3">
        <f t="shared" si="3"/>
        <v>1.8359174122951849E-2</v>
      </c>
    </row>
    <row r="19" spans="1:10">
      <c r="A19" s="6">
        <v>42552</v>
      </c>
      <c r="B19" s="2">
        <v>36861755.759999998</v>
      </c>
      <c r="C19" s="2">
        <v>12986683.279999999</v>
      </c>
      <c r="D19" s="2">
        <v>17846179.690000001</v>
      </c>
      <c r="E19" s="2">
        <f t="shared" si="0"/>
        <v>67694618.730000004</v>
      </c>
      <c r="F19" s="2">
        <v>157580135.71000001</v>
      </c>
      <c r="G19" s="2">
        <f t="shared" si="1"/>
        <v>225274754.44</v>
      </c>
      <c r="H19">
        <v>576336</v>
      </c>
      <c r="I19" s="9">
        <f t="shared" si="2"/>
        <v>390.87399440604094</v>
      </c>
      <c r="J19" s="3">
        <f t="shared" si="3"/>
        <v>8.9671665458361804E-3</v>
      </c>
    </row>
    <row r="20" spans="1:10">
      <c r="A20" s="6">
        <v>42917</v>
      </c>
      <c r="B20" s="2">
        <v>38788386.939999998</v>
      </c>
      <c r="C20" s="2">
        <v>13925037.029999999</v>
      </c>
      <c r="D20" s="2">
        <v>19165727.289999999</v>
      </c>
      <c r="E20" s="2">
        <f t="shared" si="0"/>
        <v>71879151.25999999</v>
      </c>
      <c r="F20" s="2">
        <v>161505901.41</v>
      </c>
      <c r="G20" s="2">
        <f t="shared" si="1"/>
        <v>233385052.66999999</v>
      </c>
      <c r="H20">
        <v>578085</v>
      </c>
      <c r="I20" s="9">
        <f t="shared" si="2"/>
        <v>403.72099720629319</v>
      </c>
      <c r="J20" s="3">
        <f t="shared" si="3"/>
        <v>3.2867376658746839E-2</v>
      </c>
    </row>
    <row r="21" spans="1:10">
      <c r="A21" s="6">
        <v>43282</v>
      </c>
      <c r="B21" s="2">
        <v>44120580.340000004</v>
      </c>
      <c r="C21" s="2">
        <v>14777983.109999999</v>
      </c>
      <c r="D21" s="2">
        <v>19894445.350000001</v>
      </c>
      <c r="E21" s="2">
        <f t="shared" si="0"/>
        <v>78793008.800000012</v>
      </c>
      <c r="F21" s="2">
        <v>159295476.78</v>
      </c>
      <c r="G21" s="2">
        <f t="shared" si="1"/>
        <v>238088485.58000001</v>
      </c>
      <c r="H21">
        <v>579024</v>
      </c>
      <c r="I21" s="9">
        <f t="shared" si="2"/>
        <v>411.18932130619805</v>
      </c>
      <c r="J21" s="3">
        <f t="shared" si="3"/>
        <v>1.8498725980528263E-2</v>
      </c>
    </row>
    <row r="22" spans="1:10">
      <c r="A22" s="6">
        <v>43647</v>
      </c>
      <c r="B22" s="2">
        <v>45101824.009999998</v>
      </c>
      <c r="C22" s="2">
        <v>14459839.039999999</v>
      </c>
      <c r="D22" s="2">
        <v>20143499.690000001</v>
      </c>
      <c r="E22" s="2">
        <f t="shared" si="0"/>
        <v>79705162.739999995</v>
      </c>
      <c r="F22" s="2">
        <v>149111259.11000001</v>
      </c>
      <c r="G22" s="2">
        <f t="shared" si="1"/>
        <v>228816421.85000002</v>
      </c>
      <c r="H22">
        <v>579856</v>
      </c>
      <c r="I22" s="9">
        <f t="shared" si="2"/>
        <v>394.60904405576559</v>
      </c>
      <c r="J22" s="3">
        <f t="shared" si="3"/>
        <v>-4.0322733085000784E-2</v>
      </c>
    </row>
    <row r="23" spans="1:10">
      <c r="A23" s="6">
        <v>44013</v>
      </c>
      <c r="B23" s="2">
        <v>35221012.420000002</v>
      </c>
      <c r="C23" s="2">
        <v>11661790.68</v>
      </c>
      <c r="D23" s="2">
        <v>17285463.68</v>
      </c>
      <c r="E23" s="2">
        <f t="shared" si="0"/>
        <v>64168266.780000001</v>
      </c>
      <c r="F23" s="2">
        <v>136706931.96000001</v>
      </c>
      <c r="G23" s="2">
        <f t="shared" si="1"/>
        <v>200875198.74000001</v>
      </c>
      <c r="H23">
        <v>557797</v>
      </c>
      <c r="I23" s="9">
        <f>G23/H23</f>
        <v>360.12240786522699</v>
      </c>
      <c r="J23" s="3">
        <f>I23/I22-1</f>
        <v>-8.7394439407894042E-2</v>
      </c>
    </row>
    <row r="24" spans="1:10">
      <c r="A24" s="6">
        <v>44378</v>
      </c>
      <c r="B24" s="2">
        <v>48094179.140000001</v>
      </c>
      <c r="C24" s="2">
        <v>15960825.59</v>
      </c>
      <c r="D24" s="2">
        <v>21314681.73</v>
      </c>
      <c r="E24" s="2">
        <f t="shared" si="0"/>
        <v>85369686.460000008</v>
      </c>
      <c r="F24" s="2">
        <v>167662174.53999999</v>
      </c>
      <c r="G24" s="2">
        <f t="shared" si="1"/>
        <v>253031861</v>
      </c>
      <c r="H24">
        <v>550325</v>
      </c>
      <c r="I24" s="9">
        <f>G24/H24</f>
        <v>459.78623722345884</v>
      </c>
      <c r="J24" s="3">
        <f>I24/I23-1</f>
        <v>0.27674986943753366</v>
      </c>
    </row>
    <row r="25" spans="1:10">
      <c r="A25" s="6">
        <v>44743</v>
      </c>
      <c r="B25" s="2">
        <v>51749740.700000003</v>
      </c>
      <c r="C25" s="2">
        <v>16406760.02</v>
      </c>
      <c r="D25" s="2">
        <v>23248952.43</v>
      </c>
      <c r="E25" s="2">
        <f t="shared" si="0"/>
        <v>91405453.150000006</v>
      </c>
      <c r="F25" s="2">
        <v>186854929.12</v>
      </c>
      <c r="G25" s="2">
        <f t="shared" si="1"/>
        <v>278260382.26999998</v>
      </c>
      <c r="H25">
        <v>549811</v>
      </c>
      <c r="I25" s="9">
        <f>G25/H25</f>
        <v>506.10188277426238</v>
      </c>
      <c r="J25" s="3">
        <f>I25/I24-1</f>
        <v>0.10073299677365921</v>
      </c>
    </row>
    <row r="26" spans="1:10">
      <c r="A26" s="6">
        <v>45108</v>
      </c>
      <c r="B26" s="2">
        <v>56214060.560000002</v>
      </c>
      <c r="C26" s="2">
        <v>18556401.050000001</v>
      </c>
      <c r="D26" s="2">
        <v>26813519.109999999</v>
      </c>
      <c r="E26" s="2">
        <f t="shared" si="0"/>
        <v>101583980.72</v>
      </c>
      <c r="F26" s="2">
        <v>206411749.88999999</v>
      </c>
      <c r="G26" s="2">
        <f t="shared" ref="G26:G27" si="4">SUM(E26:F26)</f>
        <v>307995730.61000001</v>
      </c>
      <c r="H26">
        <v>549812</v>
      </c>
      <c r="I26" s="9">
        <f t="shared" ref="I26:I27" si="5">G26/H26</f>
        <v>560.18371845285299</v>
      </c>
      <c r="J26" s="3">
        <f t="shared" ref="J26:J27" si="6">I26/I25-1</f>
        <v>0.10685958207097368</v>
      </c>
    </row>
    <row r="27" spans="1:10">
      <c r="A27" s="6">
        <v>45474</v>
      </c>
      <c r="B27" s="2">
        <v>65398394.609999999</v>
      </c>
      <c r="C27" s="2">
        <v>22093619.870000001</v>
      </c>
      <c r="D27" s="2">
        <v>30828762.350000001</v>
      </c>
      <c r="E27" s="2">
        <f t="shared" si="0"/>
        <v>118320776.83000001</v>
      </c>
      <c r="F27" s="2">
        <v>225227059.56</v>
      </c>
      <c r="G27" s="2">
        <f t="shared" si="4"/>
        <v>343547836.38999999</v>
      </c>
      <c r="H27">
        <v>549813</v>
      </c>
      <c r="I27" s="9">
        <f t="shared" si="5"/>
        <v>624.84487705819981</v>
      </c>
      <c r="J27" s="3">
        <f t="shared" si="6"/>
        <v>0.11542848618294665</v>
      </c>
    </row>
  </sheetData>
  <sheetProtection sheet="1" objects="1" scenarios="1"/>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9"/>
  <sheetViews>
    <sheetView workbookViewId="0"/>
  </sheetViews>
  <sheetFormatPr defaultRowHeight="15"/>
  <cols>
    <col min="1" max="1" width="5" style="72" bestFit="1" customWidth="1"/>
    <col min="2" max="2" width="10.7109375" bestFit="1" customWidth="1"/>
    <col min="3" max="3" width="19.7109375" bestFit="1" customWidth="1"/>
    <col min="4" max="4" width="12" bestFit="1" customWidth="1"/>
    <col min="5" max="5" width="8.85546875" bestFit="1" customWidth="1"/>
    <col min="7" max="7" width="6.85546875" bestFit="1" customWidth="1"/>
  </cols>
  <sheetData>
    <row r="1" spans="1:7">
      <c r="B1" s="858" t="s">
        <v>817</v>
      </c>
      <c r="C1" s="858" t="s">
        <v>864</v>
      </c>
      <c r="D1" t="s">
        <v>809</v>
      </c>
      <c r="E1" t="s">
        <v>887</v>
      </c>
      <c r="G1" t="s">
        <v>888</v>
      </c>
    </row>
    <row r="2" spans="1:7">
      <c r="A2" s="72">
        <v>9798</v>
      </c>
      <c r="B2" s="859">
        <v>35612</v>
      </c>
      <c r="C2" s="860">
        <v>598548652.83000004</v>
      </c>
      <c r="G2" s="4">
        <f>AVERAGE(D:D)</f>
        <v>3.5535441378243181E-2</v>
      </c>
    </row>
    <row r="3" spans="1:7">
      <c r="A3" s="72">
        <v>9899</v>
      </c>
      <c r="B3" s="859">
        <v>35977</v>
      </c>
      <c r="C3" s="860">
        <v>625540135.00999999</v>
      </c>
      <c r="D3" s="4"/>
    </row>
    <row r="4" spans="1:7">
      <c r="A4" s="72">
        <v>9900</v>
      </c>
      <c r="B4" s="859">
        <v>36342</v>
      </c>
      <c r="C4" s="860">
        <v>2119114981.6300001</v>
      </c>
      <c r="D4" s="4"/>
    </row>
    <row r="5" spans="1:7">
      <c r="A5" s="861" t="s">
        <v>865</v>
      </c>
      <c r="B5" s="859">
        <v>36708</v>
      </c>
      <c r="C5" s="860">
        <v>2218919393.5100002</v>
      </c>
      <c r="D5" s="4">
        <f t="shared" ref="D5:D27" si="0">C5/C4-1</f>
        <v>4.7097214046984748E-2</v>
      </c>
    </row>
    <row r="6" spans="1:7">
      <c r="A6" s="861" t="s">
        <v>866</v>
      </c>
      <c r="B6" s="859">
        <v>37073</v>
      </c>
      <c r="C6" s="860">
        <v>2299176330.79</v>
      </c>
      <c r="D6" s="4">
        <f t="shared" si="0"/>
        <v>3.6169379345071695E-2</v>
      </c>
    </row>
    <row r="7" spans="1:7">
      <c r="A7" s="861" t="s">
        <v>867</v>
      </c>
      <c r="B7" s="859">
        <v>37438</v>
      </c>
      <c r="C7" s="860">
        <v>2229787768.2199998</v>
      </c>
      <c r="D7" s="4">
        <f t="shared" si="0"/>
        <v>-3.017974813013069E-2</v>
      </c>
      <c r="E7" s="1">
        <f>AVERAGE(D5:D7)</f>
        <v>1.7695615087308585E-2</v>
      </c>
    </row>
    <row r="8" spans="1:7">
      <c r="A8" s="861" t="s">
        <v>868</v>
      </c>
      <c r="B8" s="859">
        <v>37803</v>
      </c>
      <c r="C8" s="860">
        <v>2245992087.5300002</v>
      </c>
      <c r="D8" s="4">
        <f t="shared" si="0"/>
        <v>7.2672025297439991E-3</v>
      </c>
      <c r="E8" s="1">
        <f t="shared" ref="E8:E27" si="1">AVERAGE(D6:D8)</f>
        <v>4.4189445815616679E-3</v>
      </c>
    </row>
    <row r="9" spans="1:7">
      <c r="A9" s="861" t="s">
        <v>869</v>
      </c>
      <c r="B9" s="859">
        <v>38169</v>
      </c>
      <c r="C9" s="860">
        <v>2346529760.7199998</v>
      </c>
      <c r="D9" s="4">
        <f t="shared" si="0"/>
        <v>4.4763146650514063E-2</v>
      </c>
      <c r="E9" s="1">
        <f t="shared" si="1"/>
        <v>7.2835336833757909E-3</v>
      </c>
    </row>
    <row r="10" spans="1:7">
      <c r="A10" s="861" t="s">
        <v>870</v>
      </c>
      <c r="B10" s="859">
        <v>38534</v>
      </c>
      <c r="C10" s="860">
        <v>2444458337.1399999</v>
      </c>
      <c r="D10" s="4">
        <f t="shared" si="0"/>
        <v>4.1733362201190172E-2</v>
      </c>
      <c r="E10" s="1">
        <f t="shared" si="1"/>
        <v>3.1254570460482745E-2</v>
      </c>
    </row>
    <row r="11" spans="1:7">
      <c r="A11" s="861" t="s">
        <v>871</v>
      </c>
      <c r="B11" s="859">
        <v>38899</v>
      </c>
      <c r="C11" s="860">
        <v>2575028842.8099999</v>
      </c>
      <c r="D11" s="4">
        <f t="shared" si="0"/>
        <v>5.3414903288049764E-2</v>
      </c>
      <c r="E11" s="1">
        <f t="shared" si="1"/>
        <v>4.6637137379918002E-2</v>
      </c>
    </row>
    <row r="12" spans="1:7">
      <c r="A12" s="861" t="s">
        <v>872</v>
      </c>
      <c r="B12" s="859">
        <v>39264</v>
      </c>
      <c r="C12" s="860">
        <v>2719329959.0599999</v>
      </c>
      <c r="D12" s="4">
        <f t="shared" si="0"/>
        <v>5.603864075267273E-2</v>
      </c>
      <c r="E12" s="1">
        <f t="shared" si="1"/>
        <v>5.0395635413970886E-2</v>
      </c>
    </row>
    <row r="13" spans="1:7">
      <c r="A13" s="861" t="s">
        <v>873</v>
      </c>
      <c r="B13" s="859">
        <v>39630</v>
      </c>
      <c r="C13" s="860">
        <v>2822725883.3000002</v>
      </c>
      <c r="D13" s="4">
        <f t="shared" si="0"/>
        <v>3.8022573868064624E-2</v>
      </c>
      <c r="E13" s="1">
        <f t="shared" si="1"/>
        <v>4.9158705969595706E-2</v>
      </c>
    </row>
    <row r="14" spans="1:7">
      <c r="A14" s="861" t="s">
        <v>874</v>
      </c>
      <c r="B14" s="859">
        <v>39995</v>
      </c>
      <c r="C14" s="860">
        <v>2788503921.27</v>
      </c>
      <c r="D14" s="4">
        <f t="shared" si="0"/>
        <v>-1.2123728425939784E-2</v>
      </c>
      <c r="E14" s="1">
        <f t="shared" si="1"/>
        <v>2.7312495398265857E-2</v>
      </c>
    </row>
    <row r="15" spans="1:7">
      <c r="A15" s="72">
        <v>1011</v>
      </c>
      <c r="B15" s="859">
        <v>40360</v>
      </c>
      <c r="C15" s="860">
        <v>2780034774.3699999</v>
      </c>
      <c r="D15" s="4">
        <f t="shared" si="0"/>
        <v>-3.037165139126996E-3</v>
      </c>
      <c r="E15" s="1">
        <f t="shared" si="1"/>
        <v>7.6205601009992812E-3</v>
      </c>
    </row>
    <row r="16" spans="1:7">
      <c r="A16" s="72">
        <v>1112</v>
      </c>
      <c r="B16" s="859">
        <v>40725</v>
      </c>
      <c r="C16" s="860">
        <v>2661437228.4000001</v>
      </c>
      <c r="D16" s="4">
        <f t="shared" si="0"/>
        <v>-4.2660454129346603E-2</v>
      </c>
      <c r="E16" s="1">
        <f t="shared" si="1"/>
        <v>-1.927378256480446E-2</v>
      </c>
    </row>
    <row r="17" spans="1:5">
      <c r="A17" s="72">
        <v>1213</v>
      </c>
      <c r="B17" s="859">
        <v>41091</v>
      </c>
      <c r="C17" s="860">
        <v>2660922171.8699999</v>
      </c>
      <c r="D17" s="4">
        <f t="shared" si="0"/>
        <v>-1.9352571028319332E-4</v>
      </c>
      <c r="E17" s="1">
        <f t="shared" si="1"/>
        <v>-1.5297048326252264E-2</v>
      </c>
    </row>
    <row r="18" spans="1:5">
      <c r="A18" s="72">
        <v>1314</v>
      </c>
      <c r="B18" s="859">
        <v>41456</v>
      </c>
      <c r="C18" s="860">
        <v>2759977253.3899999</v>
      </c>
      <c r="D18" s="4">
        <f t="shared" si="0"/>
        <v>3.7225846951542962E-2</v>
      </c>
      <c r="E18" s="1">
        <f t="shared" si="1"/>
        <v>-1.8760442960289447E-3</v>
      </c>
    </row>
    <row r="19" spans="1:5">
      <c r="A19" s="72">
        <v>1415</v>
      </c>
      <c r="B19" s="859">
        <v>41821</v>
      </c>
      <c r="C19" s="860">
        <v>2934592443.0999999</v>
      </c>
      <c r="D19" s="4">
        <f t="shared" si="0"/>
        <v>6.3266894499048876E-2</v>
      </c>
      <c r="E19" s="1">
        <f t="shared" si="1"/>
        <v>3.3433071913436217E-2</v>
      </c>
    </row>
    <row r="20" spans="1:5">
      <c r="A20" s="72">
        <v>1516</v>
      </c>
      <c r="B20" s="859">
        <v>42186</v>
      </c>
      <c r="C20" s="860">
        <v>3134905817.6300001</v>
      </c>
      <c r="D20" s="4">
        <f t="shared" si="0"/>
        <v>6.8259350630098581E-2</v>
      </c>
      <c r="E20" s="1">
        <f t="shared" si="1"/>
        <v>5.625069736023014E-2</v>
      </c>
    </row>
    <row r="21" spans="1:5">
      <c r="A21" s="72">
        <v>1617</v>
      </c>
      <c r="B21" s="859">
        <v>42552</v>
      </c>
      <c r="C21" s="860">
        <v>3276333773.0300002</v>
      </c>
      <c r="D21" s="4">
        <f t="shared" si="0"/>
        <v>4.5113940777627537E-2</v>
      </c>
      <c r="E21" s="1">
        <f t="shared" si="1"/>
        <v>5.8880061968925E-2</v>
      </c>
    </row>
    <row r="22" spans="1:5">
      <c r="A22" s="72">
        <v>1718</v>
      </c>
      <c r="B22" s="859">
        <v>42917</v>
      </c>
      <c r="C22" s="860">
        <v>3403252009.0799999</v>
      </c>
      <c r="D22" s="4">
        <f t="shared" si="0"/>
        <v>3.8737883513200178E-2</v>
      </c>
      <c r="E22" s="1">
        <f t="shared" si="1"/>
        <v>5.0703724973642096E-2</v>
      </c>
    </row>
    <row r="23" spans="1:5">
      <c r="A23" s="72">
        <v>1819</v>
      </c>
      <c r="B23" s="859">
        <v>43282</v>
      </c>
      <c r="C23" s="860">
        <v>3540205116.5</v>
      </c>
      <c r="D23" s="4">
        <f t="shared" si="0"/>
        <v>4.0241835472249576E-2</v>
      </c>
      <c r="E23" s="1">
        <f t="shared" si="1"/>
        <v>4.1364553254359095E-2</v>
      </c>
    </row>
    <row r="24" spans="1:5">
      <c r="A24" s="72">
        <v>1920</v>
      </c>
      <c r="B24" s="859">
        <v>43647</v>
      </c>
      <c r="C24" s="860">
        <v>3637029559.3099999</v>
      </c>
      <c r="D24" s="4">
        <f t="shared" si="0"/>
        <v>2.7349952791923204E-2</v>
      </c>
      <c r="E24" s="1">
        <f t="shared" si="1"/>
        <v>3.5443223925790988E-2</v>
      </c>
    </row>
    <row r="25" spans="1:5">
      <c r="A25" s="72">
        <v>2021</v>
      </c>
      <c r="B25" s="859">
        <v>44013</v>
      </c>
      <c r="C25" s="860">
        <v>3761755156.5700002</v>
      </c>
      <c r="D25" s="4">
        <f t="shared" si="0"/>
        <v>3.4293259162750056E-2</v>
      </c>
      <c r="E25" s="1">
        <f t="shared" si="1"/>
        <v>3.3961682475640943E-2</v>
      </c>
    </row>
    <row r="26" spans="1:5">
      <c r="A26" s="72">
        <v>2122</v>
      </c>
      <c r="B26" s="859">
        <v>44378</v>
      </c>
      <c r="C26" s="860">
        <v>4230540060.6199999</v>
      </c>
      <c r="D26" s="4">
        <f t="shared" si="0"/>
        <v>0.12461866456971693</v>
      </c>
      <c r="E26" s="1">
        <f t="shared" si="1"/>
        <v>6.2087292174796728E-2</v>
      </c>
    </row>
    <row r="27" spans="1:5">
      <c r="A27" s="72">
        <v>2223</v>
      </c>
      <c r="B27" s="859">
        <v>44743</v>
      </c>
      <c r="C27" s="860">
        <v>4562175727.54</v>
      </c>
      <c r="D27" s="4">
        <f t="shared" si="0"/>
        <v>7.8390858417116016E-2</v>
      </c>
      <c r="E27" s="1">
        <f t="shared" si="1"/>
        <v>7.9100927383194339E-2</v>
      </c>
    </row>
    <row r="28" spans="1:5">
      <c r="A28" s="72">
        <v>2324</v>
      </c>
      <c r="B28" s="859">
        <v>45108</v>
      </c>
      <c r="C28" s="860">
        <v>4781693523.5200005</v>
      </c>
      <c r="D28" s="4">
        <f t="shared" ref="D28:D29" si="2">C28/C27-1</f>
        <v>4.8116909362973637E-2</v>
      </c>
      <c r="E28" s="1">
        <f t="shared" ref="E28:E29" si="3">AVERAGE(D26:D28)</f>
        <v>8.3708810783268861E-2</v>
      </c>
    </row>
    <row r="29" spans="1:5">
      <c r="A29" s="72">
        <v>2425</v>
      </c>
      <c r="B29" s="859">
        <v>45474</v>
      </c>
      <c r="C29" s="860">
        <v>5003845444.2799997</v>
      </c>
      <c r="D29" s="4">
        <f t="shared" si="2"/>
        <v>4.6458837160367361E-2</v>
      </c>
      <c r="E29" s="1">
        <f t="shared" si="3"/>
        <v>5.7655534980152336E-2</v>
      </c>
    </row>
  </sheetData>
  <sheetProtection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4D795-BD7E-4930-BF1B-49E1DBD5639F}">
  <dimension ref="A1:J29"/>
  <sheetViews>
    <sheetView zoomScaleNormal="100" workbookViewId="0"/>
  </sheetViews>
  <sheetFormatPr defaultRowHeight="15"/>
  <cols>
    <col min="1" max="1" width="8.7109375" bestFit="1" customWidth="1"/>
    <col min="2" max="2" width="10.7109375" bestFit="1" customWidth="1"/>
    <col min="3" max="3" width="35" bestFit="1" customWidth="1"/>
    <col min="4" max="4" width="13.85546875" bestFit="1" customWidth="1"/>
    <col min="5" max="5" width="9.42578125" bestFit="1" customWidth="1"/>
    <col min="6" max="6" width="16.85546875" bestFit="1" customWidth="1"/>
    <col min="7" max="7" width="17.85546875" bestFit="1" customWidth="1"/>
    <col min="8" max="8" width="6.85546875" bestFit="1" customWidth="1"/>
  </cols>
  <sheetData>
    <row r="1" spans="1:10">
      <c r="B1" s="851" t="s">
        <v>817</v>
      </c>
      <c r="C1" s="851" t="s">
        <v>880</v>
      </c>
      <c r="D1" s="851" t="s">
        <v>304</v>
      </c>
      <c r="E1" s="852" t="s">
        <v>882</v>
      </c>
      <c r="F1" s="853" t="s">
        <v>881</v>
      </c>
      <c r="G1" s="853" t="s">
        <v>885</v>
      </c>
      <c r="H1" s="4"/>
      <c r="I1" s="878"/>
      <c r="J1" s="878"/>
    </row>
    <row r="2" spans="1:10">
      <c r="A2" s="854" t="str">
        <f>YEAR(B2) &amp; "-" &amp; RIGHT(YEAR(B2),2)+1</f>
        <v>1997-98</v>
      </c>
      <c r="B2" s="855">
        <v>35612</v>
      </c>
      <c r="C2" s="856">
        <v>407095818.52999997</v>
      </c>
      <c r="D2" s="856">
        <v>4610478.09</v>
      </c>
      <c r="G2" s="1"/>
    </row>
    <row r="3" spans="1:10">
      <c r="A3" s="854" t="str">
        <f t="shared" ref="A3:A29" si="0">YEAR(B3) &amp; "-" &amp; RIGHT(YEAR(B3),2)+1</f>
        <v>1998-99</v>
      </c>
      <c r="B3" s="855">
        <v>35977</v>
      </c>
      <c r="C3" s="856">
        <v>426663539.10000002</v>
      </c>
      <c r="D3" s="856">
        <v>5933404.8899999997</v>
      </c>
      <c r="G3" s="1"/>
    </row>
    <row r="4" spans="1:10">
      <c r="A4" s="854" t="str">
        <f t="shared" si="0"/>
        <v>1999-100</v>
      </c>
      <c r="B4" s="855">
        <v>36342</v>
      </c>
      <c r="C4" s="856">
        <v>1424340956.25</v>
      </c>
      <c r="D4" s="856">
        <v>32195973.640000001</v>
      </c>
      <c r="E4" s="4">
        <f>D4/C4</f>
        <v>2.2604119820274951E-2</v>
      </c>
      <c r="F4" s="1">
        <f>AVERAGE($E$4:E4)</f>
        <v>2.2604119820274951E-2</v>
      </c>
      <c r="G4" s="1"/>
    </row>
    <row r="5" spans="1:10">
      <c r="A5" s="854" t="str">
        <f t="shared" si="0"/>
        <v>2000-1</v>
      </c>
      <c r="B5" s="855">
        <v>36708</v>
      </c>
      <c r="C5" s="856">
        <v>1491022881.8699999</v>
      </c>
      <c r="D5" s="856">
        <v>34672291.880000003</v>
      </c>
      <c r="E5" s="4">
        <f t="shared" ref="E5:E25" si="1">D5/C5</f>
        <v>2.3254030707104217E-2</v>
      </c>
      <c r="F5" s="1">
        <f>AVERAGE($E$4:E5)</f>
        <v>2.2929075263689584E-2</v>
      </c>
      <c r="G5" s="1"/>
    </row>
    <row r="6" spans="1:10">
      <c r="A6" s="854" t="str">
        <f t="shared" si="0"/>
        <v>2001-2</v>
      </c>
      <c r="B6" s="855">
        <v>37073</v>
      </c>
      <c r="C6" s="856">
        <v>1539208017.28</v>
      </c>
      <c r="D6" s="856">
        <v>34084608.119999997</v>
      </c>
      <c r="E6" s="4">
        <f t="shared" si="1"/>
        <v>2.2144250638865798E-2</v>
      </c>
      <c r="F6" s="1">
        <f>AVERAGE($E$4:E6)</f>
        <v>2.2667467055414989E-2</v>
      </c>
      <c r="G6" s="1">
        <f t="shared" ref="G6:G25" si="2">AVERAGE(E4:E6)</f>
        <v>2.2667467055414989E-2</v>
      </c>
    </row>
    <row r="7" spans="1:10">
      <c r="A7" s="854" t="str">
        <f t="shared" si="0"/>
        <v>2002-3</v>
      </c>
      <c r="B7" s="855">
        <v>37438</v>
      </c>
      <c r="C7" s="856">
        <v>1498810750.1900001</v>
      </c>
      <c r="D7" s="856">
        <v>39721958.049999997</v>
      </c>
      <c r="E7" s="4">
        <f t="shared" si="1"/>
        <v>2.6502317283862927E-2</v>
      </c>
      <c r="F7" s="1">
        <f>AVERAGE($E$4:E7)</f>
        <v>2.3626179612526974E-2</v>
      </c>
      <c r="G7" s="1">
        <f t="shared" si="2"/>
        <v>2.3966866209944315E-2</v>
      </c>
      <c r="H7" s="1">
        <f>E7-G7</f>
        <v>2.5354510739186119E-3</v>
      </c>
    </row>
    <row r="8" spans="1:10">
      <c r="A8" s="854" t="str">
        <f t="shared" si="0"/>
        <v>2003-4</v>
      </c>
      <c r="B8" s="855">
        <v>37803</v>
      </c>
      <c r="C8" s="856">
        <v>1517876426.6300001</v>
      </c>
      <c r="D8" s="856">
        <v>46350333.520000003</v>
      </c>
      <c r="E8" s="4">
        <f t="shared" si="1"/>
        <v>3.0536302367451175E-2</v>
      </c>
      <c r="F8" s="1">
        <f>AVERAGE($E$4:E8)</f>
        <v>2.5008204163511814E-2</v>
      </c>
      <c r="G8" s="1">
        <f t="shared" si="2"/>
        <v>2.6394290096726631E-2</v>
      </c>
      <c r="H8" s="1">
        <f t="shared" ref="H8:H25" si="3">E8-G8</f>
        <v>4.1420122707245439E-3</v>
      </c>
    </row>
    <row r="9" spans="1:10">
      <c r="A9" s="854" t="str">
        <f t="shared" si="0"/>
        <v>2004-5</v>
      </c>
      <c r="B9" s="855">
        <v>38169</v>
      </c>
      <c r="C9" s="856">
        <v>1584784064.79</v>
      </c>
      <c r="D9" s="856">
        <v>49952023.479999997</v>
      </c>
      <c r="E9" s="4">
        <f t="shared" si="1"/>
        <v>3.151976637689069E-2</v>
      </c>
      <c r="F9" s="1">
        <f>AVERAGE($E$4:E9)</f>
        <v>2.6093464532408295E-2</v>
      </c>
      <c r="G9" s="1">
        <f t="shared" si="2"/>
        <v>2.9519462009401597E-2</v>
      </c>
      <c r="H9" s="1">
        <f t="shared" si="3"/>
        <v>2.0003043674890926E-3</v>
      </c>
    </row>
    <row r="10" spans="1:10">
      <c r="A10" s="854" t="str">
        <f t="shared" si="0"/>
        <v>2005-6</v>
      </c>
      <c r="B10" s="855">
        <v>38534</v>
      </c>
      <c r="C10" s="856">
        <v>1647621007.03</v>
      </c>
      <c r="D10" s="856">
        <v>46426327.840000004</v>
      </c>
      <c r="E10" s="4">
        <f t="shared" si="1"/>
        <v>2.8177795525736866E-2</v>
      </c>
      <c r="F10" s="1">
        <f>AVERAGE($E$4:E10)</f>
        <v>2.6391226102883806E-2</v>
      </c>
      <c r="G10" s="1">
        <f t="shared" si="2"/>
        <v>3.007795475669291E-2</v>
      </c>
      <c r="H10" s="1">
        <f t="shared" si="3"/>
        <v>-1.9001592309560444E-3</v>
      </c>
    </row>
    <row r="11" spans="1:10">
      <c r="A11" s="854" t="str">
        <f t="shared" si="0"/>
        <v>2006-7</v>
      </c>
      <c r="B11" s="855">
        <v>38899</v>
      </c>
      <c r="C11" s="856">
        <v>1728316743.3800001</v>
      </c>
      <c r="D11" s="856">
        <v>45907386.829999998</v>
      </c>
      <c r="E11" s="4">
        <f t="shared" si="1"/>
        <v>2.656190597345065E-2</v>
      </c>
      <c r="F11" s="1">
        <f>AVERAGE($E$4:E11)</f>
        <v>2.6412561086704662E-2</v>
      </c>
      <c r="G11" s="1">
        <f t="shared" si="2"/>
        <v>2.8753155958692735E-2</v>
      </c>
      <c r="H11" s="1">
        <f t="shared" si="3"/>
        <v>-2.1912499852420851E-3</v>
      </c>
    </row>
    <row r="12" spans="1:10">
      <c r="A12" s="854" t="str">
        <f t="shared" si="0"/>
        <v>2007-8</v>
      </c>
      <c r="B12" s="855">
        <v>39264</v>
      </c>
      <c r="C12" s="856">
        <v>1807062351.73</v>
      </c>
      <c r="D12" s="856">
        <v>43968940.280000001</v>
      </c>
      <c r="E12" s="4">
        <f t="shared" si="1"/>
        <v>2.4331722830651704E-2</v>
      </c>
      <c r="F12" s="1">
        <f>AVERAGE($E$4:E12)</f>
        <v>2.6181356836032111E-2</v>
      </c>
      <c r="G12" s="1">
        <f t="shared" si="2"/>
        <v>2.6357141443279736E-2</v>
      </c>
      <c r="H12" s="1">
        <f t="shared" si="3"/>
        <v>-2.0254186126280327E-3</v>
      </c>
    </row>
    <row r="13" spans="1:10">
      <c r="A13" s="854" t="str">
        <f t="shared" si="0"/>
        <v>2008-9</v>
      </c>
      <c r="B13" s="855">
        <v>39630</v>
      </c>
      <c r="C13" s="856">
        <v>1872018384.77</v>
      </c>
      <c r="D13" s="856">
        <v>44186880.560000002</v>
      </c>
      <c r="E13" s="4">
        <f t="shared" si="1"/>
        <v>2.3603871051420734E-2</v>
      </c>
      <c r="F13" s="1">
        <f>AVERAGE($E$4:E13)</f>
        <v>2.5923608257570972E-2</v>
      </c>
      <c r="G13" s="1">
        <f t="shared" si="2"/>
        <v>2.4832499951841031E-2</v>
      </c>
      <c r="H13" s="1">
        <f t="shared" si="3"/>
        <v>-1.2286289004202963E-3</v>
      </c>
    </row>
    <row r="14" spans="1:10">
      <c r="A14" s="854" t="str">
        <f t="shared" si="0"/>
        <v>2009-10</v>
      </c>
      <c r="B14" s="855">
        <v>39995</v>
      </c>
      <c r="C14" s="856">
        <v>1853516725.05</v>
      </c>
      <c r="D14" s="856">
        <v>42331760.509999998</v>
      </c>
      <c r="E14" s="4">
        <f t="shared" si="1"/>
        <v>2.283861803775095E-2</v>
      </c>
      <c r="F14" s="1">
        <f>AVERAGE($E$4:E14)</f>
        <v>2.5643154601223697E-2</v>
      </c>
      <c r="G14" s="1">
        <f t="shared" si="2"/>
        <v>2.3591403973274461E-2</v>
      </c>
      <c r="H14" s="1">
        <f t="shared" si="3"/>
        <v>-7.527859355235117E-4</v>
      </c>
    </row>
    <row r="15" spans="1:10">
      <c r="A15" s="854" t="str">
        <f t="shared" si="0"/>
        <v>2010-11</v>
      </c>
      <c r="B15" s="855">
        <v>40360</v>
      </c>
      <c r="C15" s="856">
        <v>1844186287.9300001</v>
      </c>
      <c r="D15" s="856">
        <v>43601628.68</v>
      </c>
      <c r="E15" s="4">
        <f t="shared" si="1"/>
        <v>2.364274637837183E-2</v>
      </c>
      <c r="F15" s="1">
        <f>AVERAGE($E$4:E15)</f>
        <v>2.5476453915986044E-2</v>
      </c>
      <c r="G15" s="1">
        <f t="shared" si="2"/>
        <v>2.3361745155847838E-2</v>
      </c>
      <c r="H15" s="1">
        <f t="shared" si="3"/>
        <v>2.8100122252399176E-4</v>
      </c>
    </row>
    <row r="16" spans="1:10">
      <c r="A16" s="854" t="str">
        <f t="shared" si="0"/>
        <v>2011-12</v>
      </c>
      <c r="B16" s="855">
        <v>40725</v>
      </c>
      <c r="C16" s="856">
        <v>1759248740.28</v>
      </c>
      <c r="D16" s="856">
        <v>44905629.969999999</v>
      </c>
      <c r="E16" s="4">
        <f t="shared" si="1"/>
        <v>2.5525458078686968E-2</v>
      </c>
      <c r="F16" s="1">
        <f>AVERAGE($E$4:E16)</f>
        <v>2.5480223466963034E-2</v>
      </c>
      <c r="G16" s="1">
        <f t="shared" si="2"/>
        <v>2.4002274164936582E-2</v>
      </c>
      <c r="H16" s="1">
        <f t="shared" si="3"/>
        <v>1.5231839137503853E-3</v>
      </c>
    </row>
    <row r="17" spans="1:8">
      <c r="A17" s="854" t="str">
        <f t="shared" si="0"/>
        <v>2012-13</v>
      </c>
      <c r="B17" s="855">
        <v>41091</v>
      </c>
      <c r="C17" s="856">
        <v>1756437180.53</v>
      </c>
      <c r="D17" s="856">
        <v>40676223.299999997</v>
      </c>
      <c r="E17" s="4">
        <f t="shared" si="1"/>
        <v>2.3158370678378639E-2</v>
      </c>
      <c r="F17" s="1">
        <f>AVERAGE($E$4:E17)</f>
        <v>2.5314376839207006E-2</v>
      </c>
      <c r="G17" s="1">
        <f t="shared" si="2"/>
        <v>2.4108858378479148E-2</v>
      </c>
      <c r="H17" s="1">
        <f t="shared" si="3"/>
        <v>-9.5048770010050868E-4</v>
      </c>
    </row>
    <row r="18" spans="1:8">
      <c r="A18" s="854" t="str">
        <f t="shared" si="0"/>
        <v>2013-14</v>
      </c>
      <c r="B18" s="855">
        <v>41456</v>
      </c>
      <c r="C18" s="856">
        <v>1827343937.73</v>
      </c>
      <c r="D18" s="856">
        <v>40480507.280000001</v>
      </c>
      <c r="E18" s="4">
        <f t="shared" si="1"/>
        <v>2.2152648138196968E-2</v>
      </c>
      <c r="F18" s="1">
        <f>AVERAGE($E$4:E18)</f>
        <v>2.5103594925806334E-2</v>
      </c>
      <c r="G18" s="1">
        <f t="shared" si="2"/>
        <v>2.3612158965087521E-2</v>
      </c>
      <c r="H18" s="1">
        <f t="shared" si="3"/>
        <v>-1.4595108268905532E-3</v>
      </c>
    </row>
    <row r="19" spans="1:8">
      <c r="A19" s="854" t="str">
        <f t="shared" si="0"/>
        <v>2014-15</v>
      </c>
      <c r="B19" s="855">
        <v>41821</v>
      </c>
      <c r="C19" s="856">
        <v>1938190747.53</v>
      </c>
      <c r="D19" s="856">
        <v>34444581.829999998</v>
      </c>
      <c r="E19" s="4">
        <f t="shared" si="1"/>
        <v>1.7771512878129066E-2</v>
      </c>
      <c r="F19" s="1">
        <f>AVERAGE($E$4:E19)</f>
        <v>2.4645339797826505E-2</v>
      </c>
      <c r="G19" s="1">
        <f t="shared" si="2"/>
        <v>2.1027510564901559E-2</v>
      </c>
      <c r="H19" s="1">
        <f t="shared" si="3"/>
        <v>-3.2559976867724931E-3</v>
      </c>
    </row>
    <row r="20" spans="1:8">
      <c r="A20" s="854" t="str">
        <f t="shared" si="0"/>
        <v>2015-16</v>
      </c>
      <c r="B20" s="855">
        <v>42186</v>
      </c>
      <c r="C20" s="856">
        <v>2070537083.8</v>
      </c>
      <c r="D20" s="856">
        <v>30650216.760000002</v>
      </c>
      <c r="E20" s="4">
        <f t="shared" si="1"/>
        <v>1.4803027195122002E-2</v>
      </c>
      <c r="F20" s="1">
        <f>AVERAGE($E$4:E20)</f>
        <v>2.4066380232961534E-2</v>
      </c>
      <c r="G20" s="1">
        <f t="shared" si="2"/>
        <v>1.824239607048268E-2</v>
      </c>
      <c r="H20" s="1">
        <f t="shared" si="3"/>
        <v>-3.439368875360678E-3</v>
      </c>
    </row>
    <row r="21" spans="1:8">
      <c r="A21" s="854" t="str">
        <f t="shared" si="0"/>
        <v>2016-17</v>
      </c>
      <c r="B21" s="855">
        <v>42552</v>
      </c>
      <c r="C21" s="856">
        <v>2158320023.5</v>
      </c>
      <c r="D21" s="856">
        <v>27034690.170000002</v>
      </c>
      <c r="E21" s="4">
        <f t="shared" si="1"/>
        <v>1.2525802418382652E-2</v>
      </c>
      <c r="F21" s="1">
        <f>AVERAGE($E$4:E21)</f>
        <v>2.3425237021040483E-2</v>
      </c>
      <c r="G21" s="1">
        <f t="shared" si="2"/>
        <v>1.5033447497211241E-2</v>
      </c>
      <c r="H21" s="1">
        <f t="shared" si="3"/>
        <v>-2.5076450788285888E-3</v>
      </c>
    </row>
    <row r="22" spans="1:8">
      <c r="A22" s="854" t="str">
        <f t="shared" si="0"/>
        <v>2017-18</v>
      </c>
      <c r="B22" s="855">
        <v>42917</v>
      </c>
      <c r="C22" s="856">
        <v>2240182611.9200001</v>
      </c>
      <c r="D22" s="856">
        <v>24119862.18</v>
      </c>
      <c r="E22" s="4">
        <f t="shared" si="1"/>
        <v>1.0766917862703843E-2</v>
      </c>
      <c r="F22" s="1">
        <f>AVERAGE($E$4:E22)</f>
        <v>2.2759009696917503E-2</v>
      </c>
      <c r="G22" s="1">
        <f t="shared" si="2"/>
        <v>1.2698582492069501E-2</v>
      </c>
      <c r="H22" s="1">
        <f t="shared" si="3"/>
        <v>-1.9316646293656582E-3</v>
      </c>
    </row>
    <row r="23" spans="1:8">
      <c r="A23" s="854" t="str">
        <f t="shared" si="0"/>
        <v>2018-19</v>
      </c>
      <c r="B23" s="855">
        <v>43282</v>
      </c>
      <c r="C23" s="856">
        <v>2317262477.2600002</v>
      </c>
      <c r="D23" s="856">
        <v>22313071.539999999</v>
      </c>
      <c r="E23" s="4">
        <f t="shared" si="1"/>
        <v>9.6290652263025626E-3</v>
      </c>
      <c r="F23" s="1">
        <f>AVERAGE($E$4:E23)</f>
        <v>2.2102512473386758E-2</v>
      </c>
      <c r="G23" s="1">
        <f t="shared" si="2"/>
        <v>1.0973928502463018E-2</v>
      </c>
      <c r="H23" s="1">
        <f t="shared" si="3"/>
        <v>-1.3448632761604556E-3</v>
      </c>
    </row>
    <row r="24" spans="1:8">
      <c r="A24" s="854" t="str">
        <f t="shared" si="0"/>
        <v>2019-20</v>
      </c>
      <c r="B24" s="855">
        <v>43647</v>
      </c>
      <c r="C24" s="856">
        <v>2363542328.5500002</v>
      </c>
      <c r="D24" s="856">
        <v>18763454.850000001</v>
      </c>
      <c r="E24" s="4">
        <f t="shared" si="1"/>
        <v>7.9387005780899699E-3</v>
      </c>
      <c r="F24" s="1">
        <f>AVERAGE($E$4:E24)</f>
        <v>2.1428045240277388E-2</v>
      </c>
      <c r="G24" s="1">
        <f t="shared" si="2"/>
        <v>9.4448945556987931E-3</v>
      </c>
      <c r="H24" s="1">
        <f t="shared" si="3"/>
        <v>-1.5061939776088232E-3</v>
      </c>
    </row>
    <row r="25" spans="1:8">
      <c r="A25" s="854" t="str">
        <f t="shared" si="0"/>
        <v>2020-21</v>
      </c>
      <c r="B25" s="855">
        <v>44013</v>
      </c>
      <c r="C25" s="856">
        <v>2434391192.6999998</v>
      </c>
      <c r="D25" s="856">
        <v>18427316.23</v>
      </c>
      <c r="E25" s="4">
        <f t="shared" si="1"/>
        <v>7.5695789096090751E-3</v>
      </c>
      <c r="F25" s="1">
        <f>AVERAGE($E$4:E25)</f>
        <v>2.0798114952519736E-2</v>
      </c>
      <c r="G25" s="1">
        <f t="shared" si="2"/>
        <v>8.3791149046672023E-3</v>
      </c>
      <c r="H25" s="1">
        <f t="shared" si="3"/>
        <v>-8.0953599505812716E-4</v>
      </c>
    </row>
    <row r="26" spans="1:8">
      <c r="A26" s="854" t="str">
        <f t="shared" si="0"/>
        <v>2021-22</v>
      </c>
      <c r="B26" s="855">
        <v>44378</v>
      </c>
      <c r="C26" s="856">
        <v>2697830467.7199998</v>
      </c>
      <c r="D26" s="856">
        <v>18680114.789999999</v>
      </c>
      <c r="E26" s="4">
        <f>D26/C26</f>
        <v>6.9241247785992296E-3</v>
      </c>
      <c r="F26" s="1">
        <f>AVERAGE($E$4:E26)</f>
        <v>2.0194897988436235E-2</v>
      </c>
      <c r="G26" s="1">
        <f>AVERAGE(E24:E26)</f>
        <v>7.4774680887660918E-3</v>
      </c>
      <c r="H26" s="1">
        <f>E26-G26</f>
        <v>-5.5334331016686222E-4</v>
      </c>
    </row>
    <row r="27" spans="1:8">
      <c r="A27" s="854" t="str">
        <f t="shared" si="0"/>
        <v>2022-23</v>
      </c>
      <c r="B27" s="855">
        <v>44743</v>
      </c>
      <c r="C27" s="856">
        <v>2855282561.8000002</v>
      </c>
      <c r="D27" s="856">
        <v>16671585.82</v>
      </c>
      <c r="E27" s="4">
        <f>D27/C27</f>
        <v>5.8388567362979505E-3</v>
      </c>
      <c r="F27" s="1">
        <f>AVERAGE($E$4:E27)</f>
        <v>1.9596729602930473E-2</v>
      </c>
      <c r="G27" s="1">
        <f>AVERAGE(E25:E27)</f>
        <v>6.7775201415020856E-3</v>
      </c>
      <c r="H27" s="1">
        <f>E27-G27</f>
        <v>-9.3866340520413517E-4</v>
      </c>
    </row>
    <row r="28" spans="1:8">
      <c r="A28" s="854" t="str">
        <f t="shared" si="0"/>
        <v>2023-24</v>
      </c>
      <c r="B28" s="855">
        <v>45108</v>
      </c>
      <c r="C28" s="857">
        <v>2972832990.9099998</v>
      </c>
      <c r="D28" s="856">
        <v>15079059.76</v>
      </c>
      <c r="E28" s="4">
        <f t="shared" ref="E28:E29" si="4">D28/C28</f>
        <v>5.0722862017836459E-3</v>
      </c>
      <c r="F28" s="1">
        <f>AVERAGE($E$4:E28)</f>
        <v>1.90157518668846E-2</v>
      </c>
      <c r="G28" s="1">
        <f t="shared" ref="G28:G29" si="5">AVERAGE(E26:E28)</f>
        <v>5.9450892388936095E-3</v>
      </c>
      <c r="H28" s="1">
        <f t="shared" ref="H28:H29" si="6">E28-G28</f>
        <v>-8.7280303710996366E-4</v>
      </c>
    </row>
    <row r="29" spans="1:8">
      <c r="A29" s="854" t="str">
        <f t="shared" si="0"/>
        <v>2024-25</v>
      </c>
      <c r="B29" s="855">
        <v>45474</v>
      </c>
      <c r="C29" s="857">
        <v>3131402384.3699999</v>
      </c>
      <c r="D29" s="856">
        <v>14492893.640000001</v>
      </c>
      <c r="E29" s="4">
        <f t="shared" si="4"/>
        <v>4.6282437901751152E-3</v>
      </c>
      <c r="F29" s="1">
        <f>AVERAGE($E$4:E29)</f>
        <v>1.8462386171626544E-2</v>
      </c>
      <c r="G29" s="1">
        <f t="shared" si="5"/>
        <v>5.1797955760855708E-3</v>
      </c>
      <c r="H29" s="1">
        <f t="shared" si="6"/>
        <v>-5.5155178591045559E-4</v>
      </c>
    </row>
  </sheetData>
  <sheetProtection sheet="1" objects="1" scenarios="1"/>
  <mergeCells count="1">
    <mergeCell ref="I1:J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2"/>
  <sheetViews>
    <sheetView workbookViewId="0">
      <pane xSplit="1" ySplit="1" topLeftCell="B2" activePane="bottomRight" state="frozen"/>
      <selection activeCell="H31" sqref="H31"/>
      <selection pane="topRight" activeCell="H31" sqref="H31"/>
      <selection pane="bottomLeft" activeCell="H31" sqref="H31"/>
      <selection pane="bottomRight"/>
    </sheetView>
  </sheetViews>
  <sheetFormatPr defaultColWidth="8.85546875" defaultRowHeight="15.75"/>
  <cols>
    <col min="1" max="1" width="60.140625" style="11" bestFit="1" customWidth="1"/>
    <col min="2" max="5" width="15.140625" style="11" customWidth="1"/>
    <col min="6" max="7" width="15.42578125" style="11" bestFit="1" customWidth="1"/>
    <col min="8" max="8" width="16.42578125" style="11" bestFit="1" customWidth="1"/>
    <col min="9" max="11" width="16.85546875" style="11" bestFit="1" customWidth="1"/>
    <col min="12" max="12" width="15.42578125" style="11" bestFit="1" customWidth="1"/>
    <col min="13" max="13" width="15" style="11" customWidth="1"/>
    <col min="14" max="14" width="16" style="11" customWidth="1"/>
    <col min="15" max="15" width="17.5703125" style="11" customWidth="1"/>
    <col min="16" max="16" width="19.5703125" style="11" customWidth="1"/>
    <col min="17" max="17" width="21.140625" style="11" customWidth="1"/>
    <col min="18" max="18" width="22.28515625" style="11" customWidth="1"/>
    <col min="19" max="16384" width="8.85546875" style="11"/>
  </cols>
  <sheetData>
    <row r="1" spans="1:18" ht="15" customHeight="1">
      <c r="B1" s="58" t="s">
        <v>7</v>
      </c>
      <c r="C1" s="58" t="s">
        <v>165</v>
      </c>
      <c r="D1" s="58" t="s">
        <v>166</v>
      </c>
      <c r="E1" s="58" t="s">
        <v>167</v>
      </c>
      <c r="F1" s="58" t="s">
        <v>168</v>
      </c>
      <c r="G1" s="58" t="s">
        <v>169</v>
      </c>
      <c r="H1" s="58" t="s">
        <v>170</v>
      </c>
      <c r="I1" s="58" t="s">
        <v>171</v>
      </c>
      <c r="J1" s="58" t="s">
        <v>172</v>
      </c>
      <c r="K1" s="58" t="s">
        <v>173</v>
      </c>
      <c r="L1" s="58" t="s">
        <v>174</v>
      </c>
      <c r="M1" s="58" t="s">
        <v>175</v>
      </c>
      <c r="N1" s="58" t="s">
        <v>176</v>
      </c>
      <c r="O1" s="58" t="s">
        <v>782</v>
      </c>
      <c r="P1" s="58" t="s">
        <v>783</v>
      </c>
      <c r="Q1" s="58" t="s">
        <v>895</v>
      </c>
      <c r="R1" s="58" t="s">
        <v>902</v>
      </c>
    </row>
    <row r="2" spans="1:18" ht="15" customHeight="1">
      <c r="A2" s="39" t="s">
        <v>649</v>
      </c>
      <c r="B2" s="58"/>
      <c r="C2" s="58"/>
      <c r="D2" s="58"/>
      <c r="E2" s="58"/>
      <c r="F2" s="58"/>
      <c r="G2" s="58"/>
      <c r="H2" s="58"/>
      <c r="I2" s="58"/>
      <c r="J2" s="58"/>
      <c r="K2" s="58"/>
      <c r="L2" s="58"/>
      <c r="M2" s="11" t="s">
        <v>925</v>
      </c>
      <c r="N2" s="58"/>
    </row>
    <row r="3" spans="1:18" ht="15" customHeight="1">
      <c r="A3" s="11" t="s">
        <v>1098</v>
      </c>
      <c r="B3" s="721">
        <v>570857</v>
      </c>
      <c r="C3" s="721">
        <v>542780</v>
      </c>
      <c r="D3" s="721">
        <v>568564</v>
      </c>
      <c r="E3" s="721">
        <v>571523</v>
      </c>
      <c r="F3" s="721">
        <v>572738</v>
      </c>
      <c r="G3" s="721">
        <v>573805</v>
      </c>
      <c r="H3" s="721">
        <v>574147</v>
      </c>
      <c r="I3" s="721">
        <v>554155</v>
      </c>
      <c r="J3" s="721">
        <v>552380</v>
      </c>
      <c r="K3" s="721">
        <v>540594</v>
      </c>
      <c r="L3" s="721">
        <f>Enrollment!C4</f>
        <v>545088</v>
      </c>
      <c r="M3" s="721">
        <f>Enrollment!D4</f>
        <v>527182.85</v>
      </c>
      <c r="N3" s="721">
        <f>Enrollment!E4</f>
        <v>530225</v>
      </c>
      <c r="O3" s="721">
        <f>Enrollment!F4</f>
        <v>527906</v>
      </c>
      <c r="P3" s="721">
        <f>Enrollment!G4</f>
        <v>525598</v>
      </c>
      <c r="Q3" s="721">
        <f>Enrollment!H4</f>
        <v>525076.77725640405</v>
      </c>
      <c r="R3" s="721">
        <f>Enrollment!I4</f>
        <v>523372.5038628254</v>
      </c>
    </row>
    <row r="4" spans="1:18" ht="15" customHeight="1">
      <c r="A4" s="11" t="s">
        <v>1099</v>
      </c>
      <c r="B4" s="46"/>
      <c r="C4" s="46">
        <f t="shared" ref="C4:L4" si="0">C3/B3-1</f>
        <v>-4.9183946242228771E-2</v>
      </c>
      <c r="D4" s="46">
        <f t="shared" si="0"/>
        <v>4.7503592615792734E-2</v>
      </c>
      <c r="E4" s="46">
        <f t="shared" si="0"/>
        <v>5.204339353177545E-3</v>
      </c>
      <c r="F4" s="46">
        <f t="shared" si="0"/>
        <v>2.1258986952406023E-3</v>
      </c>
      <c r="G4" s="46">
        <f t="shared" si="0"/>
        <v>1.8629809790864371E-3</v>
      </c>
      <c r="H4" s="46">
        <f t="shared" si="0"/>
        <v>5.9602129643354651E-4</v>
      </c>
      <c r="I4" s="46">
        <f t="shared" si="0"/>
        <v>-3.4820350885748752E-2</v>
      </c>
      <c r="J4" s="46">
        <f t="shared" si="0"/>
        <v>-3.2030749519538215E-3</v>
      </c>
      <c r="K4" s="46">
        <f t="shared" si="0"/>
        <v>-2.1336760925449894E-2</v>
      </c>
      <c r="L4" s="46">
        <f t="shared" si="0"/>
        <v>8.3130778366020674E-3</v>
      </c>
      <c r="M4" s="46">
        <f t="shared" ref="M4:R4" si="1">M3/L3-1</f>
        <v>-3.2848182311846941E-2</v>
      </c>
      <c r="N4" s="46">
        <f t="shared" si="1"/>
        <v>5.7705784624821899E-3</v>
      </c>
      <c r="O4" s="46">
        <f t="shared" si="1"/>
        <v>-4.3736149747748421E-3</v>
      </c>
      <c r="P4" s="46">
        <f t="shared" si="1"/>
        <v>-4.3719904679999644E-3</v>
      </c>
      <c r="Q4" s="46">
        <f t="shared" si="1"/>
        <v>-9.9167566009750185E-4</v>
      </c>
      <c r="R4" s="46">
        <f t="shared" si="1"/>
        <v>-3.2457603676241398E-3</v>
      </c>
    </row>
    <row r="5" spans="1:18" ht="15" customHeight="1">
      <c r="A5" s="11" t="s">
        <v>1100</v>
      </c>
      <c r="B5" s="721">
        <v>671940</v>
      </c>
      <c r="C5" s="721">
        <v>701304</v>
      </c>
      <c r="D5" s="721">
        <v>707042</v>
      </c>
      <c r="E5" s="721">
        <v>706296</v>
      </c>
      <c r="F5" s="217">
        <v>704379</v>
      </c>
      <c r="G5" s="217">
        <v>704654</v>
      </c>
      <c r="H5" s="217">
        <v>708785</v>
      </c>
      <c r="I5" s="217">
        <v>676899</v>
      </c>
      <c r="J5" s="217">
        <v>647553</v>
      </c>
      <c r="K5" s="217">
        <v>647947</v>
      </c>
      <c r="L5" s="721">
        <f ca="1">Enrollment!C9</f>
        <v>648793.51</v>
      </c>
      <c r="M5" s="721">
        <f ca="1">Enrollment!D9</f>
        <v>646539.47</v>
      </c>
      <c r="N5" s="721">
        <f ca="1">Enrollment!E9</f>
        <v>639682.7233578444</v>
      </c>
      <c r="O5" s="721">
        <f ca="1">Enrollment!F9</f>
        <v>633106.76729491481</v>
      </c>
      <c r="P5" s="721">
        <f ca="1">Enrollment!G9</f>
        <v>626598.37462857529</v>
      </c>
      <c r="Q5" s="721">
        <f ca="1">Enrollment!H9</f>
        <v>620085.18848614185</v>
      </c>
      <c r="R5" s="721">
        <f ca="1">Enrollment!I9</f>
        <v>613684.97745184589</v>
      </c>
    </row>
    <row r="6" spans="1:18" ht="15" customHeight="1">
      <c r="A6" s="11" t="s">
        <v>1101</v>
      </c>
      <c r="B6" s="46"/>
      <c r="C6" s="46">
        <f t="shared" ref="C6:L6" si="2">C5/B5-1</f>
        <v>4.3700330386641673E-2</v>
      </c>
      <c r="D6" s="46">
        <f t="shared" si="2"/>
        <v>8.1819011441544021E-3</v>
      </c>
      <c r="E6" s="46">
        <f t="shared" si="2"/>
        <v>-1.0550999799163741E-3</v>
      </c>
      <c r="F6" s="46">
        <f t="shared" si="2"/>
        <v>-2.7141595025315102E-3</v>
      </c>
      <c r="G6" s="46">
        <f t="shared" si="2"/>
        <v>3.9041481929480426E-4</v>
      </c>
      <c r="H6" s="46">
        <f t="shared" si="2"/>
        <v>5.8624516429339746E-3</v>
      </c>
      <c r="I6" s="46">
        <f t="shared" si="2"/>
        <v>-4.4986843683204381E-2</v>
      </c>
      <c r="J6" s="46">
        <f t="shared" si="2"/>
        <v>-4.3353587462826804E-2</v>
      </c>
      <c r="K6" s="46">
        <f t="shared" si="2"/>
        <v>6.0844440532270561E-4</v>
      </c>
      <c r="L6" s="46">
        <f t="shared" ca="1" si="2"/>
        <v>1.3064494472541099E-3</v>
      </c>
      <c r="M6" s="46">
        <f t="shared" ref="M6:R6" ca="1" si="3">M5/L5-1</f>
        <v>-3.4742024469388566E-3</v>
      </c>
      <c r="N6" s="46">
        <f t="shared" ca="1" si="3"/>
        <v>-1.0605302476205503E-2</v>
      </c>
      <c r="O6" s="46">
        <f t="shared" ca="1" si="3"/>
        <v>-1.0280027618083665E-2</v>
      </c>
      <c r="P6" s="46">
        <f t="shared" ca="1" si="3"/>
        <v>-1.0280087028840423E-2</v>
      </c>
      <c r="Q6" s="46">
        <f t="shared" ca="1" si="3"/>
        <v>-1.0394514901661212E-2</v>
      </c>
      <c r="R6" s="46">
        <f t="shared" ca="1" si="3"/>
        <v>-1.0321502840474617E-2</v>
      </c>
    </row>
    <row r="7" spans="1:18" ht="15" customHeight="1">
      <c r="A7" s="140" t="s">
        <v>1102</v>
      </c>
      <c r="B7" s="721">
        <v>671940</v>
      </c>
      <c r="C7" s="721">
        <v>701304</v>
      </c>
      <c r="D7" s="721">
        <v>707042</v>
      </c>
      <c r="E7" s="721">
        <v>706296</v>
      </c>
      <c r="F7" s="217">
        <v>704379</v>
      </c>
      <c r="G7" s="217">
        <v>704654</v>
      </c>
      <c r="H7" s="217">
        <v>708785</v>
      </c>
      <c r="I7" s="217">
        <v>676899</v>
      </c>
      <c r="J7" s="217">
        <v>669954</v>
      </c>
      <c r="K7" s="217">
        <v>669062</v>
      </c>
      <c r="L7" s="217">
        <f>Enrollment!C13</f>
        <v>669810</v>
      </c>
      <c r="M7" s="217">
        <f>Enrollment!D13</f>
        <v>667464</v>
      </c>
      <c r="N7" s="217">
        <f>Enrollment!E13</f>
        <v>660728</v>
      </c>
      <c r="O7" s="217">
        <f>Enrollment!F13</f>
        <v>654060</v>
      </c>
      <c r="P7" s="217">
        <f>Enrollment!G13</f>
        <v>647460</v>
      </c>
      <c r="Q7" s="217">
        <f>Enrollment!H13</f>
        <v>640926.12589145568</v>
      </c>
      <c r="R7" s="217">
        <f>Enrollment!I13</f>
        <v>634458.27016850538</v>
      </c>
    </row>
    <row r="8" spans="1:18" ht="15" customHeight="1">
      <c r="A8" s="11" t="s">
        <v>1103</v>
      </c>
      <c r="C8" s="46">
        <f t="shared" ref="C8:L8" si="4">C7/B7-1</f>
        <v>4.3700330386641673E-2</v>
      </c>
      <c r="D8" s="46">
        <f t="shared" si="4"/>
        <v>8.1819011441544021E-3</v>
      </c>
      <c r="E8" s="46">
        <f t="shared" si="4"/>
        <v>-1.0550999799163741E-3</v>
      </c>
      <c r="F8" s="46">
        <f t="shared" si="4"/>
        <v>-2.7141595025315102E-3</v>
      </c>
      <c r="G8" s="46">
        <f t="shared" si="4"/>
        <v>3.9041481929480426E-4</v>
      </c>
      <c r="H8" s="46">
        <f t="shared" si="4"/>
        <v>5.8624516429339746E-3</v>
      </c>
      <c r="I8" s="46">
        <f t="shared" si="4"/>
        <v>-4.4986843683204381E-2</v>
      </c>
      <c r="J8" s="46">
        <f t="shared" si="4"/>
        <v>-1.0260024021308989E-2</v>
      </c>
      <c r="K8" s="46">
        <f t="shared" si="4"/>
        <v>-1.3314346955164424E-3</v>
      </c>
      <c r="L8" s="46">
        <f t="shared" si="4"/>
        <v>1.1179830867691365E-3</v>
      </c>
      <c r="M8" s="46">
        <f t="shared" ref="M8:R8" si="5">M7/L7-1</f>
        <v>-3.5024857795493691E-3</v>
      </c>
      <c r="N8" s="46">
        <f t="shared" si="5"/>
        <v>-1.0091930051658204E-2</v>
      </c>
      <c r="O8" s="46">
        <f t="shared" si="5"/>
        <v>-1.0091898633022955E-2</v>
      </c>
      <c r="P8" s="46">
        <f t="shared" si="5"/>
        <v>-1.0090817356205872E-2</v>
      </c>
      <c r="Q8" s="46">
        <f t="shared" si="5"/>
        <v>-1.0091548680295825E-2</v>
      </c>
      <c r="R8" s="46">
        <f t="shared" si="5"/>
        <v>-1.0091421556508218E-2</v>
      </c>
    </row>
    <row r="9" spans="1:18" ht="15" customHeight="1"/>
    <row r="10" spans="1:18" ht="15" customHeight="1">
      <c r="A10" s="17" t="s">
        <v>221</v>
      </c>
      <c r="D10" s="80"/>
      <c r="M10" s="11" t="s">
        <v>924</v>
      </c>
    </row>
    <row r="11" spans="1:18" ht="15" customHeight="1">
      <c r="A11" s="11" t="s">
        <v>766</v>
      </c>
      <c r="B11" s="45">
        <v>1630792690.3800001</v>
      </c>
      <c r="C11" s="45">
        <v>1711061180.75</v>
      </c>
      <c r="D11" s="45">
        <v>1774285163</v>
      </c>
      <c r="E11" s="45">
        <v>1860196580</v>
      </c>
      <c r="F11" s="45">
        <v>1971640129</v>
      </c>
      <c r="G11" s="45">
        <v>2014059444</v>
      </c>
      <c r="H11" s="45">
        <v>2109600625</v>
      </c>
      <c r="I11" s="45">
        <v>2192679945</v>
      </c>
      <c r="J11" s="45">
        <v>2301812060</v>
      </c>
      <c r="K11" s="45">
        <v>2414466458</v>
      </c>
      <c r="L11" s="45">
        <v>2486370672</v>
      </c>
      <c r="M11" s="45">
        <f t="shared" ref="M11:P11" si="6">+L11*(1+M12)</f>
        <v>2593614614.0795851</v>
      </c>
      <c r="N11" s="45">
        <f t="shared" si="6"/>
        <v>2703905336.0023246</v>
      </c>
      <c r="O11" s="45">
        <f t="shared" si="6"/>
        <v>2820393153.0768867</v>
      </c>
      <c r="P11" s="45">
        <f t="shared" si="6"/>
        <v>2940393618.1596851</v>
      </c>
      <c r="Q11" s="45">
        <f t="shared" ref="Q11" si="7">+P11*(1+Q12)</f>
        <v>3060394644.2994046</v>
      </c>
      <c r="R11" s="45">
        <f t="shared" ref="R11" si="8">+Q11*(1+R12)</f>
        <v>3191198541.0564766</v>
      </c>
    </row>
    <row r="12" spans="1:18" ht="15" customHeight="1">
      <c r="A12" s="11" t="s">
        <v>1104</v>
      </c>
      <c r="C12" s="46">
        <f t="shared" ref="C12:I12" si="9">+C11/B11-1</f>
        <v>4.9220536027357431E-2</v>
      </c>
      <c r="D12" s="46">
        <f t="shared" si="9"/>
        <v>3.6950158744345707E-2</v>
      </c>
      <c r="E12" s="46">
        <f t="shared" si="9"/>
        <v>4.842029837793338E-2</v>
      </c>
      <c r="F12" s="46">
        <f t="shared" si="9"/>
        <v>5.9909554827802136E-2</v>
      </c>
      <c r="G12" s="46">
        <f t="shared" si="9"/>
        <v>2.1514735055385037E-2</v>
      </c>
      <c r="H12" s="46">
        <f t="shared" si="9"/>
        <v>4.7437120728796023E-2</v>
      </c>
      <c r="I12" s="46">
        <f t="shared" si="9"/>
        <v>3.9381539337570048E-2</v>
      </c>
      <c r="J12" s="46">
        <f>+J11/I11-1</f>
        <v>4.9771110119767092E-2</v>
      </c>
      <c r="K12" s="46">
        <f>+K11/J11-1</f>
        <v>4.8941614286267976E-2</v>
      </c>
      <c r="L12" s="46">
        <f>+L11/K11-1</f>
        <v>2.9780581031372488E-2</v>
      </c>
      <c r="M12" s="231">
        <f>AVERAGE(C12:L12)</f>
        <v>4.313272485365973E-2</v>
      </c>
      <c r="N12" s="231">
        <f t="shared" ref="N12" si="10">AVERAGE(D12:M12)</f>
        <v>4.2523943736289961E-2</v>
      </c>
      <c r="O12" s="231">
        <f t="shared" ref="O12" si="11">AVERAGE(E12:N12)</f>
        <v>4.3081322235484387E-2</v>
      </c>
      <c r="P12" s="231">
        <f t="shared" ref="P12" si="12">AVERAGE(F12:O12)</f>
        <v>4.2547424621239491E-2</v>
      </c>
      <c r="Q12" s="231">
        <f t="shared" ref="Q12" si="13">AVERAGE(G12:P12)</f>
        <v>4.0811211600583222E-2</v>
      </c>
      <c r="R12" s="231">
        <f t="shared" ref="R12" si="14">AVERAGE(H12:Q12)</f>
        <v>4.2740859255103042E-2</v>
      </c>
    </row>
    <row r="13" spans="1:18" ht="15" customHeight="1">
      <c r="A13" s="11" t="s">
        <v>767</v>
      </c>
      <c r="B13" s="45">
        <v>110777315.62</v>
      </c>
      <c r="C13" s="45">
        <v>115316051.37</v>
      </c>
      <c r="D13" s="45">
        <v>120123631</v>
      </c>
      <c r="E13" s="45">
        <v>125537222</v>
      </c>
      <c r="F13" s="45">
        <v>132498443</v>
      </c>
      <c r="G13" s="45">
        <v>136002249</v>
      </c>
      <c r="H13" s="45">
        <v>143516262</v>
      </c>
      <c r="I13" s="45">
        <v>148860011</v>
      </c>
      <c r="J13" s="45">
        <v>156173586</v>
      </c>
      <c r="K13" s="45">
        <v>165106285</v>
      </c>
      <c r="L13" s="45">
        <v>170678852</v>
      </c>
      <c r="M13" s="45">
        <f t="shared" ref="M13:P13" si="15">+L13*(1+M14)</f>
        <v>178226055.83499902</v>
      </c>
      <c r="N13" s="45">
        <f t="shared" si="15"/>
        <v>186164858.10556689</v>
      </c>
      <c r="O13" s="45">
        <f t="shared" si="15"/>
        <v>194510394.43163273</v>
      </c>
      <c r="P13" s="45">
        <f t="shared" si="15"/>
        <v>203225419.62502337</v>
      </c>
      <c r="Q13" s="45">
        <f t="shared" ref="Q13" si="16">+P13*(1+Q14)</f>
        <v>212114556.64846817</v>
      </c>
      <c r="R13" s="45">
        <f t="shared" ref="R13" si="17">+Q13*(1+R14)</f>
        <v>221759383.58080509</v>
      </c>
    </row>
    <row r="14" spans="1:18" ht="15" customHeight="1">
      <c r="A14" s="11" t="s">
        <v>1104</v>
      </c>
      <c r="C14" s="46">
        <f t="shared" ref="C14:I14" si="18">+C13/B13-1</f>
        <v>4.0971707290409887E-2</v>
      </c>
      <c r="D14" s="46">
        <f t="shared" si="18"/>
        <v>4.1690463494752583E-2</v>
      </c>
      <c r="E14" s="46">
        <f t="shared" si="18"/>
        <v>4.5066827858375236E-2</v>
      </c>
      <c r="F14" s="46">
        <f t="shared" si="18"/>
        <v>5.5451450088643828E-2</v>
      </c>
      <c r="G14" s="46">
        <f t="shared" si="18"/>
        <v>2.6444129611394862E-2</v>
      </c>
      <c r="H14" s="46">
        <f t="shared" si="18"/>
        <v>5.5249181945513204E-2</v>
      </c>
      <c r="I14" s="46">
        <f t="shared" si="18"/>
        <v>3.7234449431242878E-2</v>
      </c>
      <c r="J14" s="46">
        <f>+J13/I13-1</f>
        <v>4.9130555283916966E-2</v>
      </c>
      <c r="K14" s="46">
        <f t="shared" ref="K14:L14" si="19">+K13/J13-1</f>
        <v>5.719724589022368E-2</v>
      </c>
      <c r="L14" s="46">
        <f t="shared" si="19"/>
        <v>3.3751392322830087E-2</v>
      </c>
      <c r="M14" s="231">
        <f>AVERAGE(C14:L14)</f>
        <v>4.4218740321730322E-2</v>
      </c>
      <c r="N14" s="231">
        <f t="shared" ref="N14:R14" si="20">AVERAGE(D14:M14)</f>
        <v>4.4543443624862365E-2</v>
      </c>
      <c r="O14" s="231">
        <f t="shared" si="20"/>
        <v>4.4828741637873343E-2</v>
      </c>
      <c r="P14" s="231">
        <f t="shared" si="20"/>
        <v>4.4804933015823153E-2</v>
      </c>
      <c r="Q14" s="231">
        <f t="shared" si="20"/>
        <v>4.3740281308541087E-2</v>
      </c>
      <c r="R14" s="231">
        <f t="shared" si="20"/>
        <v>4.5469896478255709E-2</v>
      </c>
    </row>
    <row r="15" spans="1:18" ht="15" customHeight="1">
      <c r="D15" s="45"/>
    </row>
    <row r="16" spans="1:18" ht="15" customHeight="1">
      <c r="A16" s="17" t="s">
        <v>218</v>
      </c>
      <c r="D16" s="80"/>
      <c r="L16" s="11" t="s">
        <v>890</v>
      </c>
      <c r="M16" s="11" t="s">
        <v>924</v>
      </c>
    </row>
    <row r="17" spans="1:18" ht="15" customHeight="1">
      <c r="A17" s="10" t="s">
        <v>1105</v>
      </c>
      <c r="B17" s="722">
        <v>151406301.46000001</v>
      </c>
      <c r="C17" s="722">
        <v>172474153.13</v>
      </c>
      <c r="D17" s="722">
        <v>188088251.09999999</v>
      </c>
      <c r="E17" s="722">
        <v>203716541.94999999</v>
      </c>
      <c r="F17" s="722">
        <v>222694690.78</v>
      </c>
      <c r="G17" s="722">
        <v>248476718.46000001</v>
      </c>
      <c r="H17" s="722">
        <v>260171542</v>
      </c>
      <c r="I17" s="722">
        <v>274006047</v>
      </c>
      <c r="J17" s="722">
        <v>292842700</v>
      </c>
      <c r="K17" s="723">
        <v>306052037</v>
      </c>
      <c r="L17" s="723">
        <v>308463630</v>
      </c>
    </row>
    <row r="18" spans="1:18" ht="15" customHeight="1">
      <c r="A18" s="10" t="s">
        <v>1106</v>
      </c>
      <c r="B18" s="722">
        <v>390936723.67000002</v>
      </c>
      <c r="C18" s="722">
        <v>382228465.93000001</v>
      </c>
      <c r="D18" s="722">
        <v>406902548.04000002</v>
      </c>
      <c r="E18" s="722">
        <v>448122700.38999999</v>
      </c>
      <c r="F18" s="722">
        <v>459934757.80000001</v>
      </c>
      <c r="G18" s="722">
        <v>434740815.87</v>
      </c>
      <c r="H18" s="722">
        <v>334232384.50999999</v>
      </c>
      <c r="I18" s="722">
        <v>438606882.20999998</v>
      </c>
      <c r="J18" s="722">
        <v>560498397</v>
      </c>
      <c r="K18" s="723">
        <v>622037726</v>
      </c>
      <c r="L18" s="723">
        <v>650021589</v>
      </c>
    </row>
    <row r="19" spans="1:18" ht="15" customHeight="1">
      <c r="A19" s="10" t="s">
        <v>765</v>
      </c>
      <c r="B19" s="45">
        <f t="shared" ref="B19:J19" si="21">+B17+B18</f>
        <v>542343025.13</v>
      </c>
      <c r="C19" s="45">
        <f t="shared" si="21"/>
        <v>554702619.05999994</v>
      </c>
      <c r="D19" s="45">
        <f t="shared" si="21"/>
        <v>594990799.13999999</v>
      </c>
      <c r="E19" s="45">
        <f t="shared" si="21"/>
        <v>651839242.33999991</v>
      </c>
      <c r="F19" s="45">
        <f t="shared" si="21"/>
        <v>682629448.58000004</v>
      </c>
      <c r="G19" s="45">
        <f t="shared" si="21"/>
        <v>683217534.33000004</v>
      </c>
      <c r="H19" s="45">
        <f t="shared" si="21"/>
        <v>594403926.50999999</v>
      </c>
      <c r="I19" s="45">
        <f t="shared" si="21"/>
        <v>712612929.21000004</v>
      </c>
      <c r="J19" s="45">
        <f t="shared" si="21"/>
        <v>853341097</v>
      </c>
      <c r="K19" s="45">
        <f t="shared" ref="K19:L19" si="22">+K17+K18</f>
        <v>928089763</v>
      </c>
      <c r="L19" s="45">
        <f t="shared" si="22"/>
        <v>958485219</v>
      </c>
      <c r="M19" s="227">
        <f t="shared" ref="M19:P19" si="23">L19*(1+M20)</f>
        <v>1018464002.2037197</v>
      </c>
      <c r="N19" s="227">
        <f t="shared" si="23"/>
        <v>1086248257.7688065</v>
      </c>
      <c r="O19" s="227">
        <f t="shared" si="23"/>
        <v>1157884039.9082325</v>
      </c>
      <c r="P19" s="227">
        <f t="shared" si="23"/>
        <v>1230817039.6573751</v>
      </c>
      <c r="Q19" s="227">
        <f t="shared" ref="Q19" si="24">P19*(1+Q20)</f>
        <v>1310282773.6615436</v>
      </c>
      <c r="R19" s="227">
        <f t="shared" ref="R19" si="25">Q19*(1+R20)</f>
        <v>1403225835.9623051</v>
      </c>
    </row>
    <row r="20" spans="1:18" ht="15" customHeight="1">
      <c r="A20" s="11" t="s">
        <v>1104</v>
      </c>
      <c r="B20" s="45"/>
      <c r="C20" s="46">
        <f t="shared" ref="C20:I20" si="26">+C19/B19-1</f>
        <v>2.2789255798094432E-2</v>
      </c>
      <c r="D20" s="46">
        <f t="shared" si="26"/>
        <v>7.2630232300457509E-2</v>
      </c>
      <c r="E20" s="46">
        <f t="shared" si="26"/>
        <v>9.5545079490588325E-2</v>
      </c>
      <c r="F20" s="46">
        <f t="shared" si="26"/>
        <v>4.7235889219354288E-2</v>
      </c>
      <c r="G20" s="46">
        <f t="shared" si="26"/>
        <v>8.6150070323420813E-4</v>
      </c>
      <c r="H20" s="46">
        <f t="shared" si="26"/>
        <v>-0.12999316229068314</v>
      </c>
      <c r="I20" s="46">
        <f t="shared" si="26"/>
        <v>0.19886982139242537</v>
      </c>
      <c r="J20" s="46">
        <f>+J19/I19-1</f>
        <v>0.19748191763235434</v>
      </c>
      <c r="K20" s="46">
        <f t="shared" ref="K20:L20" si="27">+K19/J19-1</f>
        <v>8.7595296022640712E-2</v>
      </c>
      <c r="L20" s="46">
        <f t="shared" si="27"/>
        <v>3.2750556262735042E-2</v>
      </c>
      <c r="M20" s="231">
        <f>AVERAGE(C20:L20)</f>
        <v>6.2576638653120104E-2</v>
      </c>
      <c r="N20" s="231">
        <f t="shared" ref="N20" si="28">AVERAGE(D20:M20)</f>
        <v>6.6555376938622679E-2</v>
      </c>
      <c r="O20" s="231">
        <f t="shared" ref="O20" si="29">AVERAGE(E20:N20)</f>
        <v>6.5947891402439202E-2</v>
      </c>
      <c r="P20" s="231">
        <f t="shared" ref="P20" si="30">AVERAGE(F20:O20)</f>
        <v>6.2988172593624284E-2</v>
      </c>
      <c r="Q20" s="231">
        <f t="shared" ref="Q20" si="31">AVERAGE(G20:P20)</f>
        <v>6.4563400931051285E-2</v>
      </c>
      <c r="R20" s="231">
        <f t="shared" ref="R20" si="32">AVERAGE(H20:Q20)</f>
        <v>7.093359095383299E-2</v>
      </c>
    </row>
    <row r="21" spans="1:18" ht="15" customHeight="1">
      <c r="A21" s="10" t="s">
        <v>764</v>
      </c>
      <c r="B21" s="45">
        <v>85321563.359999999</v>
      </c>
      <c r="C21" s="45">
        <v>96766449.030000001</v>
      </c>
      <c r="D21" s="45">
        <v>121015843.78</v>
      </c>
      <c r="E21" s="45">
        <v>127976746.29000001</v>
      </c>
      <c r="F21" s="45">
        <v>146729321.52000001</v>
      </c>
      <c r="G21" s="45">
        <v>151939122.03999999</v>
      </c>
      <c r="H21" s="45">
        <v>158952123.21000001</v>
      </c>
      <c r="I21" s="45">
        <v>174251366.84</v>
      </c>
      <c r="J21" s="45">
        <v>190061721.91999999</v>
      </c>
      <c r="K21" s="227">
        <v>187181032</v>
      </c>
      <c r="L21" s="227">
        <v>199635727</v>
      </c>
      <c r="M21" s="227">
        <f t="shared" ref="M21:P21" si="33">L21*(1+M22)</f>
        <v>217778926.24148083</v>
      </c>
      <c r="N21" s="227">
        <f t="shared" si="33"/>
        <v>236628966.65064308</v>
      </c>
      <c r="O21" s="227">
        <f t="shared" si="33"/>
        <v>253228896.45432374</v>
      </c>
      <c r="P21" s="227">
        <f t="shared" si="33"/>
        <v>271313196.78367722</v>
      </c>
      <c r="Q21" s="227">
        <f t="shared" ref="Q21" si="34">P21*(1+Q22)</f>
        <v>288650980.73642612</v>
      </c>
      <c r="R21" s="227">
        <f t="shared" ref="R21" si="35">Q21*(1+R22)</f>
        <v>307916387.19908696</v>
      </c>
    </row>
    <row r="22" spans="1:18" ht="15" customHeight="1">
      <c r="A22" s="11" t="s">
        <v>1104</v>
      </c>
      <c r="C22" s="46">
        <f t="shared" ref="C22:I22" si="36">+C21/B21-1</f>
        <v>0.13413825555106418</v>
      </c>
      <c r="D22" s="46">
        <f t="shared" si="36"/>
        <v>0.25059713354245416</v>
      </c>
      <c r="E22" s="46">
        <f t="shared" si="36"/>
        <v>5.7520588152527585E-2</v>
      </c>
      <c r="F22" s="46">
        <f t="shared" si="36"/>
        <v>0.14653111423465925</v>
      </c>
      <c r="G22" s="46">
        <f t="shared" si="36"/>
        <v>3.550619921110898E-2</v>
      </c>
      <c r="H22" s="46">
        <f t="shared" si="36"/>
        <v>4.6156651926379855E-2</v>
      </c>
      <c r="I22" s="46">
        <f t="shared" si="36"/>
        <v>9.6250640262208753E-2</v>
      </c>
      <c r="J22" s="46">
        <f>+J21/I21-1</f>
        <v>9.0733033357019544E-2</v>
      </c>
      <c r="K22" s="46">
        <f t="shared" ref="K22:L22" si="37">+K21/J21-1</f>
        <v>-1.5156602238995398E-2</v>
      </c>
      <c r="L22" s="46">
        <f t="shared" si="37"/>
        <v>6.6538232356791349E-2</v>
      </c>
      <c r="M22" s="231">
        <f>AVERAGE(C22:L22)</f>
        <v>9.0881524635521821E-2</v>
      </c>
      <c r="N22" s="231">
        <f t="shared" ref="N22" si="38">AVERAGE(D22:M22)</f>
        <v>8.6555851543967582E-2</v>
      </c>
      <c r="O22" s="231">
        <f t="shared" ref="O22" si="39">AVERAGE(E22:N22)</f>
        <v>7.0151723344118927E-2</v>
      </c>
      <c r="P22" s="231">
        <f t="shared" ref="P22" si="40">AVERAGE(F22:O22)</f>
        <v>7.1414836863278069E-2</v>
      </c>
      <c r="Q22" s="231">
        <f t="shared" ref="Q22" si="41">AVERAGE(G22:P22)</f>
        <v>6.3903209126139948E-2</v>
      </c>
      <c r="R22" s="231">
        <f t="shared" ref="R22" si="42">AVERAGE(H22:Q22)</f>
        <v>6.6742910117643037E-2</v>
      </c>
    </row>
    <row r="23" spans="1:18">
      <c r="C23" s="158">
        <f>(C19+C21)/(B19+B21)-1</f>
        <v>3.7925478092156517E-2</v>
      </c>
      <c r="D23" s="158">
        <f t="shared" ref="D23:P23" si="43">(D19+D21)/(C19+C21)-1</f>
        <v>9.9064680107090242E-2</v>
      </c>
      <c r="E23" s="158">
        <f t="shared" si="43"/>
        <v>8.9118371094679016E-2</v>
      </c>
      <c r="F23" s="158">
        <f t="shared" si="43"/>
        <v>6.3531374314391931E-2</v>
      </c>
      <c r="G23" s="158">
        <f t="shared" si="43"/>
        <v>6.9908060046208753E-3</v>
      </c>
      <c r="H23" s="158">
        <f t="shared" si="43"/>
        <v>-9.7946422417975465E-2</v>
      </c>
      <c r="I23" s="158">
        <f t="shared" si="43"/>
        <v>0.17721799191713017</v>
      </c>
      <c r="J23" s="158">
        <f t="shared" si="43"/>
        <v>0.17650786435670707</v>
      </c>
      <c r="K23" s="158">
        <f t="shared" si="43"/>
        <v>6.8878456888192829E-2</v>
      </c>
      <c r="L23" s="158">
        <f t="shared" si="43"/>
        <v>3.8421297493045126E-2</v>
      </c>
      <c r="M23" s="158">
        <f t="shared" si="43"/>
        <v>6.7455806507104255E-2</v>
      </c>
      <c r="N23" s="158">
        <f t="shared" si="43"/>
        <v>7.0078698919805005E-2</v>
      </c>
      <c r="O23" s="158">
        <f t="shared" si="43"/>
        <v>6.669984962650588E-2</v>
      </c>
      <c r="P23" s="158">
        <f t="shared" si="43"/>
        <v>6.4500365444251972E-2</v>
      </c>
      <c r="Q23" s="158">
        <f t="shared" ref="Q23" si="44">(Q19+Q21)/(P19+P21)-1</f>
        <v>6.4444157775740418E-2</v>
      </c>
      <c r="R23" s="158">
        <f t="shared" ref="R23" si="45">(R19+R21)/(Q19+Q21)-1</f>
        <v>7.0177059215108528E-2</v>
      </c>
    </row>
    <row r="24" spans="1:18" ht="15" customHeight="1">
      <c r="A24" s="17" t="s">
        <v>224</v>
      </c>
      <c r="D24" s="45"/>
      <c r="M24" s="11" t="s">
        <v>924</v>
      </c>
    </row>
    <row r="25" spans="1:18" ht="15" customHeight="1">
      <c r="A25" s="11" t="s">
        <v>1107</v>
      </c>
      <c r="B25" s="45">
        <f>B11+B19</f>
        <v>2173135715.5100002</v>
      </c>
      <c r="C25" s="45">
        <f t="shared" ref="C25:L25" si="46">C11+C19</f>
        <v>2265763799.8099999</v>
      </c>
      <c r="D25" s="45">
        <f t="shared" si="46"/>
        <v>2369275962.1399999</v>
      </c>
      <c r="E25" s="45">
        <f t="shared" si="46"/>
        <v>2512035822.3400002</v>
      </c>
      <c r="F25" s="45">
        <f t="shared" si="46"/>
        <v>2654269577.5799999</v>
      </c>
      <c r="G25" s="45">
        <f t="shared" si="46"/>
        <v>2697276978.3299999</v>
      </c>
      <c r="H25" s="45">
        <f t="shared" si="46"/>
        <v>2704004551.5100002</v>
      </c>
      <c r="I25" s="45">
        <f t="shared" si="46"/>
        <v>2905292874.21</v>
      </c>
      <c r="J25" s="45">
        <f t="shared" si="46"/>
        <v>3155153157</v>
      </c>
      <c r="K25" s="45">
        <f t="shared" si="46"/>
        <v>3342556221</v>
      </c>
      <c r="L25" s="45">
        <f t="shared" si="46"/>
        <v>3444855891</v>
      </c>
      <c r="M25" s="45">
        <f t="shared" ref="M25:P25" si="47">+M19+M11</f>
        <v>3612078616.2833047</v>
      </c>
      <c r="N25" s="45">
        <f t="shared" si="47"/>
        <v>3790153593.771131</v>
      </c>
      <c r="O25" s="45">
        <f t="shared" si="47"/>
        <v>3978277192.9851189</v>
      </c>
      <c r="P25" s="45">
        <f t="shared" si="47"/>
        <v>4171210657.8170605</v>
      </c>
      <c r="Q25" s="45">
        <f t="shared" ref="Q25:R25" si="48">+Q19+Q11</f>
        <v>4370677417.960948</v>
      </c>
      <c r="R25" s="45">
        <f t="shared" si="48"/>
        <v>4594424377.0187817</v>
      </c>
    </row>
    <row r="26" spans="1:18" ht="15" customHeight="1">
      <c r="A26" s="10" t="s">
        <v>1108</v>
      </c>
      <c r="B26" s="45">
        <f>B13+B21</f>
        <v>196098878.98000002</v>
      </c>
      <c r="C26" s="45">
        <f t="shared" ref="C26:L26" si="49">C13+C21</f>
        <v>212082500.40000001</v>
      </c>
      <c r="D26" s="45">
        <f t="shared" si="49"/>
        <v>241139474.78</v>
      </c>
      <c r="E26" s="45">
        <f t="shared" si="49"/>
        <v>253513968.29000002</v>
      </c>
      <c r="F26" s="45">
        <f t="shared" si="49"/>
        <v>279227764.51999998</v>
      </c>
      <c r="G26" s="45">
        <f t="shared" si="49"/>
        <v>287941371.03999996</v>
      </c>
      <c r="H26" s="45">
        <f t="shared" si="49"/>
        <v>302468385.21000004</v>
      </c>
      <c r="I26" s="45">
        <f t="shared" si="49"/>
        <v>323111377.84000003</v>
      </c>
      <c r="J26" s="45">
        <f t="shared" si="49"/>
        <v>346235307.91999996</v>
      </c>
      <c r="K26" s="45">
        <f t="shared" si="49"/>
        <v>352287317</v>
      </c>
      <c r="L26" s="45">
        <f t="shared" si="49"/>
        <v>370314579</v>
      </c>
      <c r="M26" s="45">
        <f t="shared" ref="M26:P26" si="50">+M21+M13</f>
        <v>396004982.07647985</v>
      </c>
      <c r="N26" s="45">
        <f t="shared" si="50"/>
        <v>422793824.75620997</v>
      </c>
      <c r="O26" s="45">
        <f t="shared" si="50"/>
        <v>447739290.88595647</v>
      </c>
      <c r="P26" s="45">
        <f t="shared" si="50"/>
        <v>474538616.40870059</v>
      </c>
      <c r="Q26" s="45">
        <f t="shared" ref="Q26:R26" si="51">+Q21+Q13</f>
        <v>500765537.38489425</v>
      </c>
      <c r="R26" s="45">
        <f t="shared" si="51"/>
        <v>529675770.77989209</v>
      </c>
    </row>
    <row r="27" spans="1:18" ht="15" customHeight="1">
      <c r="A27" s="10"/>
      <c r="D27" s="45"/>
      <c r="E27" s="45"/>
      <c r="F27" s="45"/>
      <c r="G27" s="45"/>
      <c r="H27" s="45"/>
      <c r="I27" s="45"/>
      <c r="J27" s="45"/>
      <c r="M27" s="11" t="s">
        <v>924</v>
      </c>
    </row>
    <row r="28" spans="1:18" ht="15" customHeight="1">
      <c r="A28" s="17" t="s">
        <v>225</v>
      </c>
      <c r="B28" s="45">
        <v>38493981.380000003</v>
      </c>
      <c r="C28" s="45">
        <v>38804845.509999998</v>
      </c>
      <c r="D28" s="45">
        <v>38968851.460000001</v>
      </c>
      <c r="E28" s="45">
        <v>42141315.979999997</v>
      </c>
      <c r="F28" s="45">
        <v>44437742.909999996</v>
      </c>
      <c r="G28" s="45">
        <f>F28+($J$28-$F$28)/4</f>
        <v>40515038.432499997</v>
      </c>
      <c r="H28" s="45">
        <f t="shared" ref="H28:I28" si="52">G28+($J$28-$F$28)/4</f>
        <v>36592333.954999998</v>
      </c>
      <c r="I28" s="45">
        <f t="shared" si="52"/>
        <v>32669629.477499999</v>
      </c>
      <c r="J28" s="45">
        <v>28746925</v>
      </c>
      <c r="K28" s="45">
        <v>25862769</v>
      </c>
      <c r="L28" s="45">
        <v>11136730</v>
      </c>
      <c r="M28" s="45">
        <f t="shared" ref="M28:P28" si="53">+L28*(1+M29)</f>
        <v>10096690.851616858</v>
      </c>
      <c r="N28" s="45">
        <f t="shared" si="53"/>
        <v>9051334.1690802108</v>
      </c>
      <c r="O28" s="45">
        <f t="shared" si="53"/>
        <v>8016669.9612350641</v>
      </c>
      <c r="P28" s="45">
        <f t="shared" si="53"/>
        <v>6943375.9017226342</v>
      </c>
      <c r="Q28" s="45">
        <f t="shared" ref="Q28" si="54">+P28*(1+Q29)</f>
        <v>5882980.7166690696</v>
      </c>
      <c r="R28" s="45">
        <f t="shared" ref="R28" si="55">+Q28*(1+R29)</f>
        <v>4946615.9130955413</v>
      </c>
    </row>
    <row r="29" spans="1:18" ht="15" customHeight="1">
      <c r="A29" s="10" t="s">
        <v>1109</v>
      </c>
      <c r="B29" s="45"/>
      <c r="C29" s="46">
        <f t="shared" ref="C29:I29" si="56">+C28/B28-1</f>
        <v>8.0756554363978772E-3</v>
      </c>
      <c r="D29" s="46">
        <f t="shared" si="56"/>
        <v>4.2264296596088435E-3</v>
      </c>
      <c r="E29" s="46">
        <f t="shared" si="56"/>
        <v>8.1410264894678841E-2</v>
      </c>
      <c r="F29" s="46">
        <f t="shared" si="56"/>
        <v>5.4493479299267067E-2</v>
      </c>
      <c r="G29" s="46">
        <f t="shared" si="56"/>
        <v>-8.8274161121204453E-2</v>
      </c>
      <c r="H29" s="46">
        <f t="shared" si="56"/>
        <v>-9.6820949189901806E-2</v>
      </c>
      <c r="I29" s="46">
        <f t="shared" si="56"/>
        <v>-0.10720017155298178</v>
      </c>
      <c r="J29" s="46">
        <f>+J28/I28-1</f>
        <v>-0.12007189981146305</v>
      </c>
      <c r="K29" s="46">
        <f t="shared" ref="K29:L29" si="57">+K28/J28-1</f>
        <v>-0.10032920042752402</v>
      </c>
      <c r="L29" s="46">
        <f t="shared" si="57"/>
        <v>-0.56939142904613194</v>
      </c>
      <c r="M29" s="231">
        <f>AVERAGE(C29:L29)</f>
        <v>-9.3388198185925447E-2</v>
      </c>
      <c r="N29" s="231">
        <f t="shared" ref="N29" si="58">AVERAGE(D29:M29)</f>
        <v>-0.10353458354815777</v>
      </c>
      <c r="O29" s="231">
        <f t="shared" ref="O29" si="59">AVERAGE(E29:N29)</f>
        <v>-0.11431068486893443</v>
      </c>
      <c r="P29" s="231">
        <f t="shared" ref="P29" si="60">AVERAGE(F29:O29)</f>
        <v>-0.13388277984529579</v>
      </c>
      <c r="Q29" s="231">
        <f t="shared" ref="Q29" si="61">AVERAGE(G29:P29)</f>
        <v>-0.15272040575975204</v>
      </c>
      <c r="R29" s="231">
        <f t="shared" ref="R29" si="62">AVERAGE(H29:Q29)</f>
        <v>-0.15916503022360678</v>
      </c>
    </row>
    <row r="30" spans="1:18" ht="15" customHeight="1">
      <c r="A30" s="10"/>
      <c r="G30" s="11" t="s">
        <v>916</v>
      </c>
    </row>
    <row r="31" spans="1:18" ht="15" customHeight="1">
      <c r="A31" s="131" t="s">
        <v>227</v>
      </c>
      <c r="D31" s="58"/>
    </row>
    <row r="32" spans="1:18" ht="15" customHeight="1">
      <c r="A32" s="17" t="s">
        <v>228</v>
      </c>
      <c r="M32" s="11" t="s">
        <v>924</v>
      </c>
    </row>
    <row r="33" spans="1:18" ht="15" customHeight="1">
      <c r="A33" s="11" t="s">
        <v>769</v>
      </c>
      <c r="B33" s="45">
        <v>907594.2</v>
      </c>
      <c r="C33" s="45">
        <v>992018.71</v>
      </c>
      <c r="D33" s="45">
        <v>919613.75</v>
      </c>
      <c r="E33" s="45">
        <v>1030090.67</v>
      </c>
      <c r="F33" s="45">
        <v>1010563.41</v>
      </c>
      <c r="G33" s="45">
        <v>1015711.55</v>
      </c>
      <c r="H33" s="45">
        <v>1504012</v>
      </c>
      <c r="I33" s="45">
        <v>2895690.46</v>
      </c>
      <c r="J33" s="45">
        <v>1643783</v>
      </c>
      <c r="K33" s="45">
        <v>10679828</v>
      </c>
      <c r="L33" s="45">
        <v>10313797</v>
      </c>
      <c r="M33" s="45">
        <f t="shared" ref="M33:P33" si="63">+L33*(1+M34)</f>
        <v>17082595.072488628</v>
      </c>
      <c r="N33" s="45">
        <f t="shared" si="63"/>
        <v>29255862.813577451</v>
      </c>
      <c r="O33" s="45">
        <f t="shared" si="63"/>
        <v>52402291.191963904</v>
      </c>
      <c r="P33" s="45">
        <f t="shared" si="63"/>
        <v>97377926.853557765</v>
      </c>
      <c r="Q33" s="45">
        <f t="shared" ref="Q33" si="64">+P33*(1+Q34)</f>
        <v>189497389.76880735</v>
      </c>
      <c r="R33" s="45">
        <f t="shared" ref="R33" si="65">+Q33*(1+R34)</f>
        <v>386591717.76975071</v>
      </c>
    </row>
    <row r="34" spans="1:18" ht="15" customHeight="1">
      <c r="A34" s="11" t="s">
        <v>733</v>
      </c>
      <c r="B34" s="45"/>
      <c r="C34" s="46">
        <f t="shared" ref="C34:I34" si="66">+C33/B33-1</f>
        <v>9.3020107444494515E-2</v>
      </c>
      <c r="D34" s="46">
        <f t="shared" si="66"/>
        <v>-7.2987494358851324E-2</v>
      </c>
      <c r="E34" s="46">
        <f t="shared" si="66"/>
        <v>0.12013404540765071</v>
      </c>
      <c r="F34" s="46">
        <f t="shared" si="66"/>
        <v>-1.8956836100651242E-2</v>
      </c>
      <c r="G34" s="46">
        <f t="shared" si="66"/>
        <v>5.0943265400831272E-3</v>
      </c>
      <c r="H34" s="46">
        <f t="shared" si="66"/>
        <v>0.48074716685066732</v>
      </c>
      <c r="I34" s="46">
        <f t="shared" si="66"/>
        <v>0.92531074220152498</v>
      </c>
      <c r="J34" s="46">
        <f>+J33/I33-1</f>
        <v>-0.43233469781849543</v>
      </c>
      <c r="K34" s="46">
        <f t="shared" ref="K34:L34" si="67">+K33/J33-1</f>
        <v>5.4971033281156938</v>
      </c>
      <c r="L34" s="46">
        <f t="shared" si="67"/>
        <v>-3.4273117507135908E-2</v>
      </c>
      <c r="M34" s="231">
        <f>AVERAGE(C34:L34)</f>
        <v>0.65628575707749803</v>
      </c>
      <c r="N34" s="231">
        <f t="shared" ref="N34" si="68">AVERAGE(D34:M34)</f>
        <v>0.71261232204079838</v>
      </c>
      <c r="O34" s="231">
        <f t="shared" ref="O34" si="69">AVERAGE(E34:N34)</f>
        <v>0.79117230368076341</v>
      </c>
      <c r="P34" s="231">
        <f t="shared" ref="P34" si="70">AVERAGE(F34:O34)</f>
        <v>0.85827612950807475</v>
      </c>
      <c r="Q34" s="231">
        <f t="shared" ref="Q34" si="71">AVERAGE(G34:P34)</f>
        <v>0.94599942606894738</v>
      </c>
      <c r="R34" s="231">
        <f t="shared" ref="R34" si="72">AVERAGE(H34:Q34)</f>
        <v>1.0400899360218339</v>
      </c>
    </row>
    <row r="35" spans="1:18" ht="15" customHeight="1">
      <c r="A35" s="11" t="s">
        <v>918</v>
      </c>
      <c r="B35" s="45"/>
      <c r="C35" s="46"/>
      <c r="D35" s="46"/>
      <c r="E35" s="46"/>
      <c r="F35" s="46"/>
      <c r="G35" s="46"/>
      <c r="H35" s="724">
        <v>746193</v>
      </c>
      <c r="I35" s="724">
        <v>628549</v>
      </c>
      <c r="J35" s="724">
        <v>2607653</v>
      </c>
      <c r="K35" s="724">
        <v>2370422</v>
      </c>
      <c r="L35" s="724">
        <v>2615103</v>
      </c>
      <c r="M35" s="46"/>
      <c r="N35" s="46"/>
      <c r="O35" s="46"/>
      <c r="P35" s="46"/>
      <c r="Q35" s="46"/>
      <c r="R35" s="46"/>
    </row>
    <row r="36" spans="1:18" ht="15" customHeight="1">
      <c r="A36" s="11" t="s">
        <v>917</v>
      </c>
      <c r="B36" s="45"/>
      <c r="C36" s="46"/>
      <c r="D36" s="46"/>
      <c r="E36" s="46"/>
      <c r="F36" s="46"/>
      <c r="G36" s="46"/>
      <c r="H36" s="724">
        <v>31163</v>
      </c>
      <c r="I36" s="724">
        <v>187396</v>
      </c>
      <c r="J36" s="724">
        <v>185894</v>
      </c>
      <c r="K36" s="724">
        <v>300508</v>
      </c>
      <c r="L36" s="724">
        <v>129910</v>
      </c>
      <c r="M36" s="46"/>
      <c r="N36" s="46"/>
      <c r="O36" s="46"/>
      <c r="P36" s="46"/>
      <c r="Q36" s="46"/>
      <c r="R36" s="46"/>
    </row>
    <row r="37" spans="1:18" ht="15" customHeight="1">
      <c r="A37" s="11" t="s">
        <v>919</v>
      </c>
      <c r="B37" s="45"/>
      <c r="C37" s="46"/>
      <c r="D37" s="46"/>
      <c r="E37" s="46"/>
      <c r="F37" s="46"/>
      <c r="G37" s="46"/>
      <c r="H37" s="725">
        <v>1082560</v>
      </c>
      <c r="I37" s="725">
        <v>1179366</v>
      </c>
      <c r="J37" s="725">
        <v>1086407</v>
      </c>
      <c r="K37" s="725">
        <v>3722665</v>
      </c>
      <c r="L37" s="725">
        <v>3850686</v>
      </c>
      <c r="M37" s="46"/>
      <c r="N37" s="46"/>
      <c r="O37" s="46"/>
      <c r="P37" s="46"/>
      <c r="Q37" s="46"/>
      <c r="R37" s="46"/>
    </row>
    <row r="38" spans="1:18" ht="15" customHeight="1">
      <c r="A38" s="726" t="s">
        <v>770</v>
      </c>
      <c r="B38" s="45">
        <v>907594.2</v>
      </c>
      <c r="C38" s="45">
        <v>1732805.01</v>
      </c>
      <c r="D38" s="45">
        <v>2523515.34</v>
      </c>
      <c r="E38" s="45">
        <v>3970215.2</v>
      </c>
      <c r="F38" s="45">
        <v>3898993.31</v>
      </c>
      <c r="G38" s="45">
        <v>3649296.88</v>
      </c>
      <c r="H38" s="45">
        <f>SUM(H35:H37)</f>
        <v>1859916</v>
      </c>
      <c r="I38" s="45">
        <f t="shared" ref="I38:L38" si="73">SUM(I35:I37)</f>
        <v>1995311</v>
      </c>
      <c r="J38" s="45">
        <f t="shared" si="73"/>
        <v>3879954</v>
      </c>
      <c r="K38" s="45">
        <f t="shared" si="73"/>
        <v>6393595</v>
      </c>
      <c r="L38" s="45">
        <f t="shared" si="73"/>
        <v>6595699</v>
      </c>
      <c r="M38" s="45">
        <f t="shared" ref="M38:P38" si="74">+L38*(1+M39)</f>
        <v>8616168.9206869695</v>
      </c>
      <c r="N38" s="45">
        <f t="shared" si="74"/>
        <v>10736105.706066368</v>
      </c>
      <c r="O38" s="45">
        <f t="shared" si="74"/>
        <v>13151880.327855963</v>
      </c>
      <c r="P38" s="45">
        <f t="shared" si="74"/>
        <v>15653193.075069271</v>
      </c>
      <c r="Q38" s="45">
        <f t="shared" ref="Q38" si="75">+P38*(1+Q39)</f>
        <v>18956005.503532857</v>
      </c>
      <c r="R38" s="45">
        <f t="shared" ref="R38" si="76">+Q38*(1+R39)</f>
        <v>23477075.95510697</v>
      </c>
    </row>
    <row r="39" spans="1:18" ht="15" customHeight="1">
      <c r="A39" s="11" t="s">
        <v>733</v>
      </c>
      <c r="B39" s="45"/>
      <c r="C39" s="46">
        <f t="shared" ref="C39:H39" si="77">C38/B38-1</f>
        <v>0.90922882715645392</v>
      </c>
      <c r="D39" s="46">
        <f t="shared" si="77"/>
        <v>0.45631812317994158</v>
      </c>
      <c r="E39" s="46">
        <f t="shared" si="77"/>
        <v>0.57328752358604662</v>
      </c>
      <c r="F39" s="46">
        <f t="shared" si="77"/>
        <v>-1.7939050256016387E-2</v>
      </c>
      <c r="G39" s="46">
        <f t="shared" si="77"/>
        <v>-6.4041256331368257E-2</v>
      </c>
      <c r="H39" s="46">
        <f t="shared" si="77"/>
        <v>-0.49033579312407161</v>
      </c>
      <c r="I39" s="46">
        <f t="shared" ref="I39" si="78">I38/H38-1</f>
        <v>7.279629832745127E-2</v>
      </c>
      <c r="J39" s="46">
        <f t="shared" ref="J39" si="79">J38/I38-1</f>
        <v>0.94453596456893196</v>
      </c>
      <c r="K39" s="46">
        <f t="shared" ref="K39" si="80">K38/J38-1</f>
        <v>0.64785329929169255</v>
      </c>
      <c r="L39" s="46">
        <f t="shared" ref="L39" si="81">L38/K38-1</f>
        <v>3.1610385080694137E-2</v>
      </c>
      <c r="M39" s="231">
        <f>AVERAGE(C39:L39)</f>
        <v>0.30633143214797559</v>
      </c>
      <c r="N39" s="231">
        <f t="shared" ref="N39" si="82">AVERAGE(D39:M39)</f>
        <v>0.24604169264712775</v>
      </c>
      <c r="O39" s="231">
        <f t="shared" ref="O39" si="83">AVERAGE(E39:N39)</f>
        <v>0.22501404959384635</v>
      </c>
      <c r="P39" s="231">
        <f t="shared" ref="P39" si="84">AVERAGE(F39:O39)</f>
        <v>0.19018670219462636</v>
      </c>
      <c r="Q39" s="231">
        <f t="shared" ref="Q39" si="85">AVERAGE(G39:P39)</f>
        <v>0.21099927743969063</v>
      </c>
      <c r="R39" s="231">
        <f t="shared" ref="R39" si="86">AVERAGE(H39:Q39)</f>
        <v>0.23850333081679648</v>
      </c>
    </row>
    <row r="40" spans="1:18" ht="15" customHeight="1">
      <c r="B40" s="45"/>
      <c r="C40" s="45"/>
      <c r="D40" s="45"/>
      <c r="H40" s="11" t="s">
        <v>1116</v>
      </c>
    </row>
    <row r="41" spans="1:18" ht="15" customHeight="1">
      <c r="A41" s="17" t="s">
        <v>229</v>
      </c>
      <c r="D41" s="45"/>
      <c r="M41" s="11" t="s">
        <v>924</v>
      </c>
    </row>
    <row r="42" spans="1:18" ht="15" customHeight="1">
      <c r="A42" s="11" t="s">
        <v>772</v>
      </c>
      <c r="B42" s="45">
        <v>19428317.52</v>
      </c>
      <c r="C42" s="45">
        <v>15677066.390000001</v>
      </c>
      <c r="D42" s="45">
        <v>12568255.23</v>
      </c>
      <c r="E42" s="45">
        <v>14612518.210000001</v>
      </c>
      <c r="F42" s="45">
        <v>15566105.6</v>
      </c>
      <c r="G42" s="45">
        <v>12301681.57</v>
      </c>
      <c r="H42" s="45">
        <v>19599217</v>
      </c>
      <c r="I42" s="45">
        <v>27356588</v>
      </c>
      <c r="J42" s="45">
        <v>21522998</v>
      </c>
      <c r="K42" s="45">
        <v>20870255</v>
      </c>
      <c r="L42" s="45">
        <v>24768497</v>
      </c>
      <c r="M42" s="45">
        <f t="shared" ref="M42:P42" si="87">+L42*(1+M43)</f>
        <v>26153158.99868254</v>
      </c>
      <c r="N42" s="45">
        <f t="shared" si="87"/>
        <v>28266405.843961202</v>
      </c>
      <c r="O42" s="45">
        <f t="shared" si="87"/>
        <v>31339340.761072285</v>
      </c>
      <c r="P42" s="45">
        <f t="shared" si="87"/>
        <v>34577301.613008797</v>
      </c>
      <c r="Q42" s="45">
        <f t="shared" ref="Q42" si="88">+P42*(1+Q43)</f>
        <v>38281411.597688355</v>
      </c>
      <c r="R42" s="45">
        <f t="shared" ref="R42" si="89">+Q42*(1+R43)</f>
        <v>43595230.851941176</v>
      </c>
    </row>
    <row r="43" spans="1:18" ht="15" customHeight="1">
      <c r="A43" s="11" t="s">
        <v>733</v>
      </c>
      <c r="B43" s="45"/>
      <c r="C43" s="46">
        <f t="shared" ref="C43:J43" si="90">C42/B42-1</f>
        <v>-0.1930816256291038</v>
      </c>
      <c r="D43" s="46">
        <f t="shared" si="90"/>
        <v>-0.19830311887835284</v>
      </c>
      <c r="E43" s="46">
        <f t="shared" si="90"/>
        <v>0.16265288559070745</v>
      </c>
      <c r="F43" s="46">
        <f t="shared" si="90"/>
        <v>6.5258251609733975E-2</v>
      </c>
      <c r="G43" s="46">
        <f t="shared" si="90"/>
        <v>-0.20971359914197163</v>
      </c>
      <c r="H43" s="46">
        <f t="shared" si="90"/>
        <v>0.59321446328089267</v>
      </c>
      <c r="I43" s="46">
        <f t="shared" si="90"/>
        <v>0.39580004650185763</v>
      </c>
      <c r="J43" s="46">
        <f t="shared" si="90"/>
        <v>-0.21324260174551013</v>
      </c>
      <c r="K43" s="46">
        <f t="shared" ref="K43" si="91">K42/J42-1</f>
        <v>-3.03276987713329E-2</v>
      </c>
      <c r="L43" s="46">
        <f t="shared" ref="L43" si="92">L42/K42-1</f>
        <v>0.18678458888020288</v>
      </c>
      <c r="M43" s="231">
        <f>AVERAGE(C43:L43)</f>
        <v>5.5904159169712329E-2</v>
      </c>
      <c r="N43" s="231">
        <f t="shared" ref="N43" si="93">AVERAGE(D43:M43)</f>
        <v>8.0802737649593948E-2</v>
      </c>
      <c r="O43" s="231">
        <f t="shared" ref="O43" si="94">AVERAGE(E43:N43)</f>
        <v>0.10871332330238861</v>
      </c>
      <c r="P43" s="231">
        <f t="shared" ref="P43" si="95">AVERAGE(F43:O43)</f>
        <v>0.10331936707355675</v>
      </c>
      <c r="Q43" s="231">
        <f t="shared" ref="Q43" si="96">AVERAGE(G43:P43)</f>
        <v>0.10712547861993901</v>
      </c>
      <c r="R43" s="231">
        <f t="shared" ref="R43" si="97">AVERAGE(H43:Q43)</f>
        <v>0.13880938639613011</v>
      </c>
    </row>
    <row r="44" spans="1:18" ht="15" customHeight="1">
      <c r="A44" s="11" t="s">
        <v>922</v>
      </c>
      <c r="B44" s="45"/>
      <c r="C44" s="46"/>
      <c r="D44" s="46"/>
      <c r="E44" s="46"/>
      <c r="F44" s="46"/>
      <c r="G44" s="46"/>
      <c r="H44" s="725">
        <v>700525</v>
      </c>
      <c r="I44" s="725">
        <v>8107479</v>
      </c>
      <c r="J44" s="725">
        <v>279332</v>
      </c>
      <c r="K44" s="725">
        <v>279315</v>
      </c>
      <c r="L44" s="725">
        <v>485534</v>
      </c>
      <c r="M44" s="46"/>
      <c r="N44" s="46"/>
      <c r="O44" s="46"/>
      <c r="P44" s="46"/>
      <c r="Q44" s="46"/>
      <c r="R44" s="46"/>
    </row>
    <row r="45" spans="1:18" ht="15" customHeight="1">
      <c r="A45" s="11" t="s">
        <v>921</v>
      </c>
      <c r="B45" s="45"/>
      <c r="C45" s="46"/>
      <c r="D45" s="46"/>
      <c r="E45" s="46"/>
      <c r="F45" s="46"/>
      <c r="G45" s="46"/>
      <c r="H45" s="725">
        <v>359243</v>
      </c>
      <c r="I45" s="725">
        <v>1094678</v>
      </c>
      <c r="J45" s="725">
        <v>1635845</v>
      </c>
      <c r="K45" s="725">
        <v>2263372</v>
      </c>
      <c r="L45" s="725">
        <v>7606959</v>
      </c>
      <c r="M45" s="46"/>
      <c r="N45" s="46"/>
      <c r="O45" s="46"/>
      <c r="P45" s="46"/>
      <c r="Q45" s="46"/>
      <c r="R45" s="46"/>
    </row>
    <row r="46" spans="1:18" ht="15" customHeight="1">
      <c r="A46" s="11" t="s">
        <v>920</v>
      </c>
      <c r="B46" s="45"/>
      <c r="C46" s="46"/>
      <c r="D46" s="46"/>
      <c r="E46" s="46"/>
      <c r="F46" s="46"/>
      <c r="G46" s="46"/>
      <c r="H46" s="725">
        <v>748454160</v>
      </c>
      <c r="I46" s="725">
        <v>1064951065</v>
      </c>
      <c r="J46" s="725">
        <v>1056247683</v>
      </c>
      <c r="K46" s="725">
        <v>1133092176</v>
      </c>
      <c r="L46" s="725">
        <v>786218942</v>
      </c>
      <c r="M46" s="46"/>
      <c r="N46" s="46"/>
      <c r="O46" s="46"/>
      <c r="P46" s="46"/>
      <c r="Q46" s="46"/>
      <c r="R46" s="46"/>
    </row>
    <row r="47" spans="1:18" ht="15" customHeight="1">
      <c r="A47" s="726" t="s">
        <v>771</v>
      </c>
      <c r="B47" s="45">
        <v>503843400.94999999</v>
      </c>
      <c r="C47" s="45">
        <v>504967374.20999998</v>
      </c>
      <c r="D47" s="45">
        <v>504789658.11000001</v>
      </c>
      <c r="E47" s="45">
        <v>520073539.75</v>
      </c>
      <c r="F47" s="45">
        <v>519659267.25999999</v>
      </c>
      <c r="G47" s="45">
        <v>525564743.04000002</v>
      </c>
      <c r="H47" s="45">
        <f>SUM(H44:H46)</f>
        <v>749513928</v>
      </c>
      <c r="I47" s="45">
        <f t="shared" ref="I47:L47" si="98">SUM(I44:I46)</f>
        <v>1074153222</v>
      </c>
      <c r="J47" s="45">
        <f t="shared" si="98"/>
        <v>1058162860</v>
      </c>
      <c r="K47" s="45">
        <f t="shared" si="98"/>
        <v>1135634863</v>
      </c>
      <c r="L47" s="45">
        <f t="shared" si="98"/>
        <v>794311435</v>
      </c>
      <c r="M47" s="45">
        <f t="shared" ref="M47:P47" si="99">+L47*(1+M48)</f>
        <v>846715226.17847168</v>
      </c>
      <c r="N47" s="45">
        <f t="shared" si="99"/>
        <v>907973519.74697971</v>
      </c>
      <c r="O47" s="45">
        <f t="shared" si="99"/>
        <v>980264715.20927286</v>
      </c>
      <c r="P47" s="45">
        <f t="shared" si="99"/>
        <v>1063148274.2606219</v>
      </c>
      <c r="Q47" s="45">
        <f t="shared" ref="Q47" si="100">+P47*(1+Q48)</f>
        <v>1162113663.8324215</v>
      </c>
      <c r="R47" s="45">
        <f t="shared" ref="R47" si="101">+Q47*(1+R48)</f>
        <v>1279788592.4286616</v>
      </c>
    </row>
    <row r="48" spans="1:18" ht="15" customHeight="1">
      <c r="A48" s="11" t="s">
        <v>733</v>
      </c>
      <c r="B48" s="45"/>
      <c r="C48" s="46">
        <f t="shared" ref="C48:H48" si="102">C47/B47-1</f>
        <v>2.2307988114576016E-3</v>
      </c>
      <c r="D48" s="46">
        <f t="shared" si="102"/>
        <v>-3.5193580630432653E-4</v>
      </c>
      <c r="E48" s="46">
        <f t="shared" si="102"/>
        <v>3.0277723393194789E-2</v>
      </c>
      <c r="F48" s="46">
        <f t="shared" si="102"/>
        <v>-7.9656521306414874E-4</v>
      </c>
      <c r="G48" s="46">
        <f t="shared" si="102"/>
        <v>1.1364130598762845E-2</v>
      </c>
      <c r="H48" s="46">
        <f t="shared" si="102"/>
        <v>0.42611150752735227</v>
      </c>
      <c r="I48" s="46">
        <f t="shared" ref="I48" si="103">I47/H47-1</f>
        <v>0.43313310383206116</v>
      </c>
      <c r="J48" s="46">
        <f t="shared" ref="J48" si="104">J47/I47-1</f>
        <v>-1.4886481437189181E-2</v>
      </c>
      <c r="K48" s="46">
        <f t="shared" ref="K48" si="105">K47/J47-1</f>
        <v>7.3213685651374982E-2</v>
      </c>
      <c r="L48" s="46">
        <f t="shared" ref="L48" si="106">L47/K47-1</f>
        <v>-0.30055737026100793</v>
      </c>
      <c r="M48" s="231">
        <f>AVERAGE(C48:L48)</f>
        <v>6.597385970966381E-2</v>
      </c>
      <c r="N48" s="231">
        <f t="shared" ref="N48" si="107">AVERAGE(D48:M48)</f>
        <v>7.2348165799484429E-2</v>
      </c>
      <c r="O48" s="231">
        <f t="shared" ref="O48" si="108">AVERAGE(E48:N48)</f>
        <v>7.9618175960063306E-2</v>
      </c>
      <c r="P48" s="231">
        <f t="shared" ref="P48" si="109">AVERAGE(F48:O48)</f>
        <v>8.4552221216750156E-2</v>
      </c>
      <c r="Q48" s="231">
        <f t="shared" ref="Q48" si="110">AVERAGE(G48:P48)</f>
        <v>9.3087099859731584E-2</v>
      </c>
      <c r="R48" s="231">
        <f t="shared" ref="R48" si="111">AVERAGE(H48:Q48)</f>
        <v>0.10125939678582845</v>
      </c>
    </row>
    <row r="49" spans="1:18" ht="15" customHeight="1">
      <c r="B49" s="45"/>
      <c r="C49" s="45"/>
      <c r="D49" s="45"/>
      <c r="M49" s="11" t="s">
        <v>924</v>
      </c>
    </row>
    <row r="50" spans="1:18" ht="15" customHeight="1">
      <c r="A50" s="39" t="s">
        <v>727</v>
      </c>
      <c r="B50" s="45">
        <v>9194223.1799999997</v>
      </c>
      <c r="C50" s="45">
        <v>8172466.1500000004</v>
      </c>
      <c r="D50" s="45">
        <v>6919954.2199999997</v>
      </c>
      <c r="E50" s="45">
        <v>7857404.7599999998</v>
      </c>
      <c r="F50" s="45">
        <v>7626609.3799999999</v>
      </c>
      <c r="G50" s="45">
        <v>7449326.6100000003</v>
      </c>
      <c r="H50" s="45">
        <v>15707832.210000001</v>
      </c>
      <c r="I50" s="45">
        <v>11229121.41</v>
      </c>
      <c r="J50" s="45">
        <v>9511882.2899999991</v>
      </c>
      <c r="K50" s="45">
        <v>8572768</v>
      </c>
      <c r="L50" s="45">
        <v>7637075</v>
      </c>
      <c r="M50" s="45">
        <f t="shared" ref="M50:P50" si="112">+L50*(1+M53)</f>
        <v>8118395.4157159729</v>
      </c>
      <c r="N50" s="45">
        <f t="shared" si="112"/>
        <v>8700163.0139269121</v>
      </c>
      <c r="O50" s="45">
        <f t="shared" si="112"/>
        <v>9389837.2893975154</v>
      </c>
      <c r="P50" s="45">
        <f t="shared" si="112"/>
        <v>10176334.692432905</v>
      </c>
      <c r="Q50" s="45">
        <f t="shared" ref="Q50" si="113">+P50*(1+Q53)</f>
        <v>11110279.947359025</v>
      </c>
      <c r="R50" s="45">
        <f t="shared" ref="R50" si="114">+Q50*(1+R53)</f>
        <v>12226001.602593118</v>
      </c>
    </row>
    <row r="51" spans="1:18" ht="15" customHeight="1">
      <c r="A51" s="39" t="s">
        <v>731</v>
      </c>
      <c r="B51" s="45">
        <v>25622069</v>
      </c>
      <c r="C51" s="45">
        <v>15294364.33</v>
      </c>
      <c r="D51" s="45">
        <v>16681887.74</v>
      </c>
      <c r="E51" s="45">
        <v>15576060.560000001</v>
      </c>
      <c r="F51" s="45">
        <v>17387491.210000001</v>
      </c>
      <c r="G51" s="45">
        <v>18171195.850000001</v>
      </c>
      <c r="H51" s="45">
        <v>17636639.5</v>
      </c>
      <c r="I51" s="45">
        <v>27625846.100000001</v>
      </c>
      <c r="J51" s="45">
        <v>23758300</v>
      </c>
      <c r="K51" s="45">
        <v>25622069</v>
      </c>
      <c r="L51" s="45">
        <v>24435287</v>
      </c>
      <c r="M51" s="45">
        <f t="shared" ref="M51:P51" si="115">+L51*(1+M53)</f>
        <v>25975301.010204051</v>
      </c>
      <c r="N51" s="45">
        <f t="shared" si="115"/>
        <v>27836701.903816462</v>
      </c>
      <c r="O51" s="45">
        <f t="shared" si="115"/>
        <v>30043356.789049517</v>
      </c>
      <c r="P51" s="45">
        <f t="shared" si="115"/>
        <v>32559803.173028253</v>
      </c>
      <c r="Q51" s="45">
        <f t="shared" ref="Q51" si="116">+P51*(1+Q53)</f>
        <v>35548017.947193488</v>
      </c>
      <c r="R51" s="45">
        <f t="shared" ref="R51" si="117">+Q51*(1+R53)</f>
        <v>39117837.39479091</v>
      </c>
    </row>
    <row r="52" spans="1:18" ht="15" customHeight="1">
      <c r="A52" s="11" t="s">
        <v>1110</v>
      </c>
      <c r="B52" s="45">
        <f>B33+B38+B42+B47+B50+B51</f>
        <v>559903199.04999995</v>
      </c>
      <c r="C52" s="45">
        <f t="shared" ref="C52:R52" si="118">C33+C38+C42+C47+C50+C51</f>
        <v>546836094.79999995</v>
      </c>
      <c r="D52" s="45">
        <f t="shared" si="118"/>
        <v>544402884.38999999</v>
      </c>
      <c r="E52" s="45">
        <f t="shared" si="118"/>
        <v>563119829.14999998</v>
      </c>
      <c r="F52" s="45">
        <f t="shared" si="118"/>
        <v>565149030.17000008</v>
      </c>
      <c r="G52" s="45">
        <f t="shared" si="118"/>
        <v>568151955.5</v>
      </c>
      <c r="H52" s="45">
        <f t="shared" si="118"/>
        <v>805821544.71000004</v>
      </c>
      <c r="I52" s="45">
        <f t="shared" si="118"/>
        <v>1145255778.97</v>
      </c>
      <c r="J52" s="45">
        <f t="shared" si="118"/>
        <v>1118479777.29</v>
      </c>
      <c r="K52" s="45">
        <f t="shared" si="118"/>
        <v>1207773378</v>
      </c>
      <c r="L52" s="45">
        <f t="shared" si="118"/>
        <v>868061790</v>
      </c>
      <c r="M52" s="45">
        <f t="shared" si="118"/>
        <v>932660845.59624982</v>
      </c>
      <c r="N52" s="45">
        <f t="shared" si="118"/>
        <v>1012768759.0283281</v>
      </c>
      <c r="O52" s="45">
        <f t="shared" si="118"/>
        <v>1116591421.5686121</v>
      </c>
      <c r="P52" s="45">
        <f t="shared" si="118"/>
        <v>1253492833.6677189</v>
      </c>
      <c r="Q52" s="45">
        <f t="shared" si="118"/>
        <v>1455506768.5970025</v>
      </c>
      <c r="R52" s="45">
        <f t="shared" si="118"/>
        <v>1784796456.0028446</v>
      </c>
    </row>
    <row r="53" spans="1:18" ht="15" customHeight="1">
      <c r="C53" s="46">
        <f t="shared" ref="C53:J53" si="119">C52/B52-1</f>
        <v>-2.3338148937479319E-2</v>
      </c>
      <c r="D53" s="46">
        <f t="shared" si="119"/>
        <v>-4.4496155852511432E-3</v>
      </c>
      <c r="E53" s="46">
        <f t="shared" si="119"/>
        <v>3.4380686246679559E-2</v>
      </c>
      <c r="F53" s="46">
        <f t="shared" si="119"/>
        <v>3.6034977192387352E-3</v>
      </c>
      <c r="G53" s="46">
        <f t="shared" si="119"/>
        <v>5.3135105426911355E-3</v>
      </c>
      <c r="H53" s="46">
        <f t="shared" si="119"/>
        <v>0.41832046323036898</v>
      </c>
      <c r="I53" s="46">
        <f t="shared" si="119"/>
        <v>0.42122754906256077</v>
      </c>
      <c r="J53" s="46">
        <f t="shared" si="119"/>
        <v>-2.3379931515457142E-2</v>
      </c>
      <c r="K53" s="46">
        <f t="shared" ref="K53" si="120">K52/J52-1</f>
        <v>7.9834792298482338E-2</v>
      </c>
      <c r="L53" s="46">
        <f t="shared" ref="L53" si="121">L52/K52-1</f>
        <v>-0.28127096869989132</v>
      </c>
      <c r="M53" s="231">
        <f>AVERAGE(C53:L53)</f>
        <v>6.3024183436194259E-2</v>
      </c>
      <c r="N53" s="231">
        <f t="shared" ref="N53" si="122">AVERAGE(D53:M53)</f>
        <v>7.1660416673561628E-2</v>
      </c>
      <c r="O53" s="231">
        <f t="shared" ref="O53" si="123">AVERAGE(E53:N53)</f>
        <v>7.9271419899442891E-2</v>
      </c>
      <c r="P53" s="231">
        <f t="shared" ref="P53" si="124">AVERAGE(F53:O53)</f>
        <v>8.3760493264719224E-2</v>
      </c>
      <c r="Q53" s="231">
        <f t="shared" ref="Q53" si="125">AVERAGE(G53:P53)</f>
        <v>9.1776192819267272E-2</v>
      </c>
      <c r="R53" s="231">
        <f t="shared" ref="R53" si="126">AVERAGE(H53:Q53)</f>
        <v>0.1004224610469249</v>
      </c>
    </row>
    <row r="54" spans="1:18" ht="15" customHeight="1">
      <c r="D54" s="58"/>
      <c r="M54" s="11" t="s">
        <v>924</v>
      </c>
    </row>
    <row r="55" spans="1:18" ht="15" customHeight="1">
      <c r="A55" s="17" t="s">
        <v>854</v>
      </c>
      <c r="B55" s="45">
        <v>2934592443.0999999</v>
      </c>
      <c r="C55" s="45">
        <v>3134905817.6300001</v>
      </c>
      <c r="D55" s="45">
        <v>3276333773.0300002</v>
      </c>
      <c r="E55" s="45">
        <v>3403252009.0799999</v>
      </c>
      <c r="F55" s="45">
        <v>3540205116.5</v>
      </c>
      <c r="G55" s="45">
        <v>3637029559.3099999</v>
      </c>
      <c r="H55" s="45">
        <v>3761755156.5700002</v>
      </c>
      <c r="I55" s="45">
        <v>4230540060.6199999</v>
      </c>
      <c r="J55" s="45">
        <v>4562175728</v>
      </c>
      <c r="K55" s="45">
        <v>4781693524</v>
      </c>
      <c r="L55" s="45">
        <v>5003845444</v>
      </c>
      <c r="M55" s="45">
        <f t="shared" ref="M55:P55" si="127">+L55*(1+M56)</f>
        <v>5279848297.4751596</v>
      </c>
      <c r="N55" s="45">
        <f t="shared" si="127"/>
        <v>5564157721.8995056</v>
      </c>
      <c r="O55" s="45">
        <f t="shared" si="127"/>
        <v>5868636432.9275188</v>
      </c>
      <c r="P55" s="45">
        <f t="shared" si="127"/>
        <v>6199156823.7584114</v>
      </c>
      <c r="Q55" s="45">
        <f t="shared" ref="Q55" si="128">+P55*(1+Q56)</f>
        <v>6558259032.8763781</v>
      </c>
      <c r="R55" s="45">
        <f t="shared" ref="R55" si="129">+Q55*(1+R56)</f>
        <v>6958216773.1390486</v>
      </c>
    </row>
    <row r="56" spans="1:18" ht="15" customHeight="1">
      <c r="A56" s="11" t="s">
        <v>1109</v>
      </c>
      <c r="B56" s="46"/>
      <c r="C56" s="46">
        <f t="shared" ref="C56:I56" si="130">C55/B55-1</f>
        <v>6.8259350630098581E-2</v>
      </c>
      <c r="D56" s="46">
        <f t="shared" si="130"/>
        <v>4.5113940777627537E-2</v>
      </c>
      <c r="E56" s="46">
        <f t="shared" si="130"/>
        <v>3.8737883513200178E-2</v>
      </c>
      <c r="F56" s="46">
        <f t="shared" si="130"/>
        <v>4.0241835472249576E-2</v>
      </c>
      <c r="G56" s="46">
        <f t="shared" si="130"/>
        <v>2.7349952791923204E-2</v>
      </c>
      <c r="H56" s="46">
        <f t="shared" si="130"/>
        <v>3.4293259162750056E-2</v>
      </c>
      <c r="I56" s="46">
        <f t="shared" si="130"/>
        <v>0.12461866456971693</v>
      </c>
      <c r="J56" s="46">
        <f>J55/I55-1</f>
        <v>7.8390858525849261E-2</v>
      </c>
      <c r="K56" s="46">
        <f t="shared" ref="K56:L56" si="131">K55/J55-1</f>
        <v>4.8116909362505789E-2</v>
      </c>
      <c r="L56" s="46">
        <f t="shared" si="131"/>
        <v>4.6458836996764452E-2</v>
      </c>
      <c r="M56" s="231">
        <f>AVERAGE(C56:L56)</f>
        <v>5.5158149180268554E-2</v>
      </c>
      <c r="N56" s="231">
        <f t="shared" ref="N56" si="132">AVERAGE(D56:M56)</f>
        <v>5.3848029035285551E-2</v>
      </c>
      <c r="O56" s="231">
        <f t="shared" ref="O56" si="133">AVERAGE(E56:N56)</f>
        <v>5.472143786105136E-2</v>
      </c>
      <c r="P56" s="231">
        <f t="shared" ref="P56" si="134">AVERAGE(F56:O56)</f>
        <v>5.6319793295836473E-2</v>
      </c>
      <c r="Q56" s="231">
        <f t="shared" ref="Q56" si="135">AVERAGE(G56:P56)</f>
        <v>5.792758907819516E-2</v>
      </c>
      <c r="R56" s="231">
        <f t="shared" ref="R56" si="136">AVERAGE(H56:Q56)</f>
        <v>6.0985352706822371E-2</v>
      </c>
    </row>
    <row r="57" spans="1:18" ht="15" customHeight="1"/>
    <row r="58" spans="1:18" ht="15" customHeight="1">
      <c r="M58" s="80"/>
      <c r="N58" s="80"/>
      <c r="O58" s="80"/>
      <c r="P58" s="80"/>
    </row>
    <row r="59" spans="1:18" ht="15" customHeight="1"/>
    <row r="60" spans="1:18" ht="15" customHeight="1"/>
    <row r="61" spans="1:18" ht="15" customHeight="1"/>
    <row r="62" spans="1:18" ht="15" customHeight="1"/>
    <row r="63" spans="1:18" ht="15" customHeight="1"/>
    <row r="64" spans="1:18" ht="15" customHeight="1"/>
    <row r="65" s="11" customFormat="1" ht="15" customHeight="1"/>
    <row r="66" s="11" customFormat="1" ht="15" customHeight="1"/>
    <row r="67" s="11" customFormat="1" ht="15" customHeight="1"/>
    <row r="68" s="11" customFormat="1" ht="15" customHeight="1"/>
    <row r="69" s="11" customFormat="1" ht="15" customHeight="1"/>
    <row r="70" s="11" customFormat="1" ht="15" customHeight="1"/>
    <row r="71" s="11" customFormat="1" ht="15" customHeight="1"/>
    <row r="72" s="11" customFormat="1" ht="15" customHeight="1"/>
    <row r="73" s="11" customFormat="1" ht="15" customHeight="1"/>
    <row r="74" s="11" customFormat="1" ht="15" customHeight="1"/>
    <row r="75" s="11" customFormat="1" ht="15" customHeight="1"/>
    <row r="76" s="11" customFormat="1" ht="15" customHeight="1"/>
    <row r="77" s="11" customFormat="1" ht="15" customHeight="1"/>
    <row r="78" s="11" customFormat="1" ht="15" customHeight="1"/>
    <row r="79" s="11" customFormat="1" ht="15" customHeight="1"/>
    <row r="80" s="11" customFormat="1" ht="15" customHeight="1"/>
    <row r="81" s="11" customFormat="1" ht="15" customHeight="1"/>
    <row r="82" s="11" customFormat="1" ht="15" customHeight="1"/>
    <row r="83" s="11" customFormat="1" ht="15" customHeight="1"/>
    <row r="84" s="11" customFormat="1" ht="15" customHeight="1"/>
    <row r="85" s="11" customFormat="1" ht="15" customHeight="1"/>
    <row r="86" s="11" customFormat="1" ht="15" customHeight="1"/>
    <row r="87" s="11" customFormat="1" ht="15" customHeight="1"/>
    <row r="88" s="11" customFormat="1" ht="15" customHeight="1"/>
    <row r="89" s="11" customFormat="1" ht="15" customHeight="1"/>
    <row r="90" s="11" customFormat="1" ht="15" customHeight="1"/>
    <row r="91" s="11" customFormat="1" ht="15" customHeight="1"/>
    <row r="92" s="11" customFormat="1" ht="15" customHeight="1"/>
    <row r="93" s="11" customFormat="1" ht="15" customHeight="1"/>
    <row r="94" s="11" customFormat="1" ht="15" customHeight="1"/>
    <row r="95" s="11" customFormat="1" ht="15" customHeight="1"/>
    <row r="96" s="11" customFormat="1" ht="15" customHeight="1"/>
    <row r="97" s="11" customFormat="1" ht="15" customHeight="1"/>
    <row r="98" s="11" customFormat="1" ht="15" customHeight="1"/>
    <row r="99" s="11" customFormat="1" ht="15" customHeight="1"/>
    <row r="100" s="11" customFormat="1" ht="15" customHeight="1"/>
    <row r="101" s="11" customFormat="1" ht="15" customHeight="1"/>
    <row r="102" s="11" customFormat="1" ht="15" customHeight="1"/>
    <row r="103" s="11" customFormat="1" ht="15" customHeight="1"/>
    <row r="104" s="11" customFormat="1" ht="15" customHeight="1"/>
    <row r="105" s="11" customFormat="1" ht="15" customHeight="1"/>
    <row r="106" s="11" customFormat="1" ht="15" customHeight="1"/>
    <row r="107" s="11" customFormat="1" ht="15" customHeight="1"/>
    <row r="108" s="11" customFormat="1" ht="15" customHeight="1"/>
    <row r="109" s="11" customFormat="1" ht="15" customHeight="1"/>
    <row r="110" s="11" customFormat="1" ht="15" customHeight="1"/>
    <row r="111" s="11" customFormat="1" ht="15" customHeight="1"/>
    <row r="112" s="11" customFormat="1" ht="15" customHeight="1"/>
    <row r="113" s="11" customFormat="1" ht="15" customHeight="1"/>
    <row r="114" s="11" customFormat="1" ht="15" customHeight="1"/>
    <row r="115" s="11" customFormat="1" ht="15" customHeight="1"/>
    <row r="116" s="11" customFormat="1" ht="15" customHeight="1"/>
    <row r="117" s="11" customFormat="1" ht="15" customHeight="1"/>
    <row r="118" s="11" customFormat="1" ht="15" customHeight="1"/>
    <row r="119" s="11" customFormat="1" ht="15" customHeight="1"/>
    <row r="120" s="11" customFormat="1" ht="15" customHeight="1"/>
    <row r="121" s="11" customFormat="1" ht="15" customHeight="1"/>
    <row r="122" s="11" customFormat="1" ht="15" customHeight="1"/>
    <row r="123" s="11" customFormat="1" ht="15" customHeight="1"/>
    <row r="124" s="11" customFormat="1" ht="15" customHeight="1"/>
    <row r="125" s="11" customFormat="1" ht="15" customHeight="1"/>
    <row r="126" s="11" customFormat="1" ht="15" customHeight="1"/>
    <row r="127" s="11" customFormat="1" ht="15" customHeight="1"/>
    <row r="128" s="11" customFormat="1" ht="15" customHeight="1"/>
    <row r="129" s="11" customFormat="1" ht="15" customHeight="1"/>
    <row r="130" s="11" customFormat="1" ht="15" customHeight="1"/>
    <row r="131" s="11" customFormat="1" ht="15" customHeight="1"/>
    <row r="132" s="11" customFormat="1" ht="15" customHeight="1"/>
    <row r="133" s="11" customFormat="1" ht="15" customHeight="1"/>
    <row r="134" s="11" customFormat="1" ht="15" customHeight="1"/>
    <row r="135" s="11" customFormat="1" ht="15" customHeight="1"/>
    <row r="136" s="11" customFormat="1" ht="15" customHeight="1"/>
    <row r="137" s="11" customFormat="1" ht="15" customHeight="1"/>
    <row r="138" s="11" customFormat="1" ht="15" customHeight="1"/>
    <row r="139" s="11" customFormat="1" ht="15" customHeight="1"/>
    <row r="140" s="11" customFormat="1" ht="15" customHeight="1"/>
    <row r="141" s="11" customFormat="1" ht="15" customHeight="1"/>
    <row r="142" s="11" customFormat="1" ht="15" customHeight="1"/>
    <row r="143" s="11" customFormat="1" ht="15" customHeight="1"/>
    <row r="144" s="11" customFormat="1" ht="15" customHeight="1"/>
    <row r="145" s="11" customFormat="1" ht="15" customHeight="1"/>
    <row r="146" s="11" customFormat="1" ht="15" customHeight="1"/>
    <row r="147" s="11" customFormat="1" ht="15" customHeight="1"/>
    <row r="148" s="11" customFormat="1" ht="15" customHeight="1"/>
    <row r="149" s="11" customFormat="1" ht="15" customHeight="1"/>
    <row r="150" s="11" customFormat="1" ht="15" customHeight="1"/>
    <row r="151" s="11" customFormat="1" ht="15" customHeight="1"/>
    <row r="152" s="11" customFormat="1" ht="15" customHeight="1"/>
    <row r="153" s="11" customFormat="1" ht="15" customHeight="1"/>
    <row r="154" s="11" customFormat="1" ht="15" customHeight="1"/>
    <row r="155" s="11" customFormat="1" ht="15" customHeight="1"/>
    <row r="156" s="11" customFormat="1" ht="15" customHeight="1"/>
    <row r="157" s="11" customFormat="1" ht="15" customHeight="1"/>
    <row r="158" s="11" customFormat="1" ht="15" customHeight="1"/>
    <row r="159" s="11" customFormat="1" ht="15" customHeight="1"/>
    <row r="160" s="11" customFormat="1" ht="15" customHeight="1"/>
    <row r="161" s="11" customFormat="1" ht="15" customHeight="1"/>
    <row r="162" s="11" customFormat="1" ht="15" customHeight="1"/>
    <row r="163" s="11" customFormat="1" ht="15" customHeight="1"/>
    <row r="164" s="11" customFormat="1" ht="15" customHeight="1"/>
    <row r="165" s="11" customFormat="1" ht="15" customHeight="1"/>
    <row r="166" s="11" customFormat="1" ht="15" customHeight="1"/>
    <row r="167" s="11" customFormat="1" ht="15" customHeight="1"/>
    <row r="168" s="11" customFormat="1" ht="15" customHeight="1"/>
    <row r="169" s="11" customFormat="1" ht="15" customHeight="1"/>
    <row r="170" s="11" customFormat="1" ht="15" customHeight="1"/>
    <row r="171" s="11" customFormat="1" ht="15" customHeight="1"/>
    <row r="172" s="11" customFormat="1" ht="15" customHeight="1"/>
    <row r="173" s="11" customFormat="1" ht="15" customHeight="1"/>
    <row r="174" s="11" customFormat="1" ht="15" customHeight="1"/>
    <row r="175" s="11" customFormat="1" ht="15" customHeight="1"/>
    <row r="176" s="11" customFormat="1" ht="15" customHeight="1"/>
    <row r="177" s="11" customFormat="1" ht="15" customHeight="1"/>
    <row r="178" s="11" customFormat="1" ht="15" customHeight="1"/>
    <row r="179" s="11" customFormat="1" ht="15" customHeight="1"/>
    <row r="180" s="11" customFormat="1" ht="15" customHeight="1"/>
    <row r="181" s="11" customFormat="1" ht="15" customHeight="1"/>
    <row r="182" s="11" customFormat="1" ht="15" customHeight="1"/>
    <row r="183" s="11" customFormat="1" ht="15" customHeight="1"/>
    <row r="184" s="11" customFormat="1" ht="15" customHeight="1"/>
    <row r="185" s="11" customFormat="1" ht="15" customHeight="1"/>
    <row r="186" s="11" customFormat="1" ht="15" customHeight="1"/>
    <row r="187" s="11" customFormat="1" ht="15" customHeight="1"/>
    <row r="188" s="11" customFormat="1" ht="15" customHeight="1"/>
    <row r="189" s="11" customFormat="1" ht="15" customHeight="1"/>
    <row r="190" s="11" customFormat="1" ht="15" customHeight="1"/>
    <row r="191" s="11" customFormat="1" ht="15" customHeight="1"/>
    <row r="192" s="11" customFormat="1" ht="15" customHeight="1"/>
    <row r="193" s="11" customFormat="1" ht="15" customHeight="1"/>
    <row r="194" s="11" customFormat="1" ht="15" customHeight="1"/>
    <row r="195" s="11" customFormat="1" ht="15" customHeight="1"/>
    <row r="196" s="11" customFormat="1" ht="15" customHeight="1"/>
    <row r="197" s="11" customFormat="1" ht="15" customHeight="1"/>
    <row r="198" s="11" customFormat="1" ht="15" customHeight="1"/>
    <row r="199" s="11" customFormat="1" ht="15" customHeight="1"/>
    <row r="200" s="11" customFormat="1" ht="15" customHeight="1"/>
    <row r="201" s="11" customFormat="1" ht="15" customHeight="1"/>
    <row r="202" s="11" customFormat="1" ht="15" customHeight="1"/>
    <row r="203" s="11" customFormat="1" ht="15" customHeight="1"/>
    <row r="204" s="11" customFormat="1" ht="15" customHeight="1"/>
    <row r="205" s="11" customFormat="1" ht="15" customHeight="1"/>
    <row r="206" s="11" customFormat="1" ht="15" customHeight="1"/>
    <row r="207" s="11" customFormat="1" ht="15" customHeight="1"/>
    <row r="208" s="11" customFormat="1" ht="15" customHeight="1"/>
    <row r="209" s="11" customFormat="1" ht="15" customHeight="1"/>
    <row r="210" s="11" customFormat="1" ht="15" customHeight="1"/>
    <row r="211" s="11" customFormat="1" ht="15" customHeight="1"/>
    <row r="212" s="11" customFormat="1" ht="15" customHeight="1"/>
    <row r="213" s="11" customFormat="1" ht="15" customHeight="1"/>
    <row r="214" s="11" customFormat="1" ht="15" customHeight="1"/>
    <row r="215" s="11" customFormat="1" ht="15" customHeight="1"/>
    <row r="216" s="11" customFormat="1" ht="15" customHeight="1"/>
    <row r="217" s="11" customFormat="1" ht="15" customHeight="1"/>
    <row r="218" s="11" customFormat="1" ht="15" customHeight="1"/>
    <row r="219" s="11" customFormat="1" ht="15" customHeight="1"/>
    <row r="220" s="11" customFormat="1" ht="15" customHeight="1"/>
    <row r="221" s="11" customFormat="1" ht="15" customHeight="1"/>
    <row r="222" s="11" customFormat="1" ht="15" customHeight="1"/>
    <row r="223" s="11" customFormat="1" ht="15" customHeight="1"/>
    <row r="224" s="11" customFormat="1" ht="15" customHeight="1"/>
    <row r="225" s="11" customFormat="1" ht="15" customHeight="1"/>
    <row r="226" s="11" customFormat="1" ht="15" customHeight="1"/>
    <row r="227" s="11" customFormat="1" ht="15" customHeight="1"/>
    <row r="228" s="11" customFormat="1" ht="15" customHeight="1"/>
    <row r="229" s="11" customFormat="1" ht="15" customHeight="1"/>
    <row r="230" s="11" customFormat="1" ht="15" customHeight="1"/>
    <row r="231" s="11" customFormat="1" ht="15" customHeight="1"/>
    <row r="232" s="11" customFormat="1" ht="15" customHeight="1"/>
    <row r="233" s="11" customFormat="1" ht="15" customHeight="1"/>
    <row r="234" s="11" customFormat="1" ht="15" customHeight="1"/>
    <row r="235" s="11" customFormat="1" ht="15" customHeight="1"/>
    <row r="236" s="11" customFormat="1" ht="15" customHeight="1"/>
    <row r="237" s="11" customFormat="1" ht="15" customHeight="1"/>
    <row r="238" s="11" customFormat="1" ht="15" customHeight="1"/>
    <row r="239" s="11" customFormat="1" ht="15" customHeight="1"/>
    <row r="240" s="11" customFormat="1" ht="15" customHeight="1"/>
    <row r="241" s="11" customFormat="1" ht="15" customHeight="1"/>
    <row r="242" s="11" customFormat="1" ht="15" customHeight="1"/>
    <row r="243" s="11" customFormat="1" ht="15" customHeight="1"/>
    <row r="244" s="11" customFormat="1" ht="15" customHeight="1"/>
    <row r="245" s="11" customFormat="1" ht="15" customHeight="1"/>
    <row r="246" s="11" customFormat="1" ht="15" customHeight="1"/>
    <row r="247" s="11" customFormat="1" ht="15" customHeight="1"/>
    <row r="248" s="11" customFormat="1" ht="15" customHeight="1"/>
    <row r="249" s="11" customFormat="1" ht="15" customHeight="1"/>
    <row r="250" s="11" customFormat="1" ht="15" customHeight="1"/>
    <row r="251" s="11" customFormat="1" ht="15" customHeight="1"/>
    <row r="252" s="11" customFormat="1" ht="15" customHeight="1"/>
    <row r="253" s="11" customFormat="1" ht="15" customHeight="1"/>
    <row r="254" s="11" customFormat="1" ht="15" customHeight="1"/>
    <row r="255" s="11" customFormat="1" ht="15" customHeight="1"/>
    <row r="256" s="11" customFormat="1" ht="15" customHeight="1"/>
    <row r="257" s="11" customFormat="1" ht="15" customHeight="1"/>
    <row r="258" s="11" customFormat="1" ht="15" customHeight="1"/>
    <row r="259" s="11" customFormat="1" ht="15" customHeight="1"/>
    <row r="260" s="11" customFormat="1" ht="15" customHeight="1"/>
    <row r="261" s="11" customFormat="1" ht="15" customHeight="1"/>
    <row r="262" s="11" customFormat="1" ht="15" customHeight="1"/>
    <row r="263" s="11" customFormat="1" ht="15" customHeight="1"/>
    <row r="264" s="11" customFormat="1" ht="15" customHeight="1"/>
    <row r="265" s="11" customFormat="1" ht="15" customHeight="1"/>
    <row r="266" s="11" customFormat="1" ht="15" customHeight="1"/>
    <row r="267" s="11" customFormat="1" ht="15" customHeight="1"/>
    <row r="268" s="11" customFormat="1" ht="15" customHeight="1"/>
    <row r="269" s="11" customFormat="1" ht="15" customHeight="1"/>
    <row r="270" s="11" customFormat="1" ht="15" customHeight="1"/>
    <row r="271" s="11" customFormat="1" ht="15" customHeight="1"/>
    <row r="272" s="11" customFormat="1" ht="15" customHeight="1"/>
    <row r="273" s="11" customFormat="1" ht="15" customHeight="1"/>
    <row r="274" s="11" customFormat="1" ht="15" customHeight="1"/>
    <row r="275" s="11" customFormat="1" ht="15" customHeight="1"/>
    <row r="276" s="11" customFormat="1" ht="15" customHeight="1"/>
    <row r="277" s="11" customFormat="1" ht="15" customHeight="1"/>
    <row r="278" s="11" customFormat="1" ht="15" customHeight="1"/>
    <row r="279" s="11" customFormat="1" ht="15" customHeight="1"/>
    <row r="280" s="11" customFormat="1" ht="15" customHeight="1"/>
    <row r="281" s="11" customFormat="1" ht="15" customHeight="1"/>
    <row r="282" s="11" customFormat="1" ht="15" customHeight="1"/>
    <row r="283" s="11" customFormat="1" ht="15" customHeight="1"/>
    <row r="284" s="11" customFormat="1" ht="15" customHeight="1"/>
    <row r="285" s="11" customFormat="1" ht="15" customHeight="1"/>
    <row r="286" s="11" customFormat="1" ht="15" customHeight="1"/>
    <row r="287" s="11" customFormat="1" ht="15" customHeight="1"/>
    <row r="288" s="11" customFormat="1" ht="15" customHeight="1"/>
    <row r="289" s="11" customFormat="1" ht="15" customHeight="1"/>
    <row r="290" s="11" customFormat="1" ht="15" customHeight="1"/>
    <row r="291" s="11" customFormat="1" ht="15" customHeight="1"/>
    <row r="292" s="11" customFormat="1" ht="15" customHeight="1"/>
  </sheetData>
  <sheetProtection sheet="1" objects="1" scenarios="1"/>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workbookViewId="0"/>
  </sheetViews>
  <sheetFormatPr defaultRowHeight="15.75" outlineLevelRow="1"/>
  <cols>
    <col min="1" max="7" width="12.7109375" style="11" customWidth="1"/>
    <col min="8" max="16384" width="9.140625" style="11"/>
  </cols>
  <sheetData>
    <row r="1" spans="1:7">
      <c r="A1" s="10" t="s">
        <v>130</v>
      </c>
    </row>
    <row r="2" spans="1:7">
      <c r="A2" s="10" t="s">
        <v>131</v>
      </c>
    </row>
    <row r="4" spans="1:7" ht="16.5" thickBot="1">
      <c r="A4" s="16" t="s">
        <v>132</v>
      </c>
      <c r="B4" s="16" t="s">
        <v>133</v>
      </c>
      <c r="C4" s="16" t="s">
        <v>134</v>
      </c>
      <c r="D4" s="16" t="s">
        <v>135</v>
      </c>
      <c r="E4" s="16" t="s">
        <v>136</v>
      </c>
      <c r="F4" s="16" t="s">
        <v>137</v>
      </c>
      <c r="G4" s="16" t="s">
        <v>138</v>
      </c>
    </row>
    <row r="5" spans="1:7" ht="16.5" hidden="1" outlineLevel="1" thickBot="1">
      <c r="A5" s="12" t="str">
        <f>LEFT(A7,4)</f>
        <v>2024</v>
      </c>
      <c r="B5" s="12">
        <f t="shared" ref="B5:G5" si="0">A5+1</f>
        <v>2025</v>
      </c>
      <c r="C5" s="12">
        <f t="shared" si="0"/>
        <v>2026</v>
      </c>
      <c r="D5" s="12">
        <f t="shared" si="0"/>
        <v>2027</v>
      </c>
      <c r="E5" s="12">
        <f t="shared" si="0"/>
        <v>2028</v>
      </c>
      <c r="F5" s="12">
        <f t="shared" si="0"/>
        <v>2029</v>
      </c>
      <c r="G5" s="12">
        <f t="shared" si="0"/>
        <v>2030</v>
      </c>
    </row>
    <row r="6" spans="1:7" ht="16.5" hidden="1" outlineLevel="1" thickBot="1">
      <c r="A6" s="12">
        <f t="shared" ref="A6:G6" si="1">RIGHT(A5,2)+1</f>
        <v>25</v>
      </c>
      <c r="B6" s="12">
        <f t="shared" si="1"/>
        <v>26</v>
      </c>
      <c r="C6" s="12">
        <f t="shared" si="1"/>
        <v>27</v>
      </c>
      <c r="D6" s="12">
        <f t="shared" si="1"/>
        <v>28</v>
      </c>
      <c r="E6" s="12">
        <f t="shared" si="1"/>
        <v>29</v>
      </c>
      <c r="F6" s="12">
        <f t="shared" si="1"/>
        <v>30</v>
      </c>
      <c r="G6" s="12">
        <f t="shared" si="1"/>
        <v>31</v>
      </c>
    </row>
    <row r="7" spans="1:7" ht="16.5" collapsed="1" thickBot="1">
      <c r="A7" s="13" t="s">
        <v>174</v>
      </c>
      <c r="B7" s="12" t="str">
        <f t="shared" ref="B7:G7" si="2">B5 &amp; "-" &amp; B6</f>
        <v>2025-26</v>
      </c>
      <c r="C7" s="12" t="str">
        <f t="shared" si="2"/>
        <v>2026-27</v>
      </c>
      <c r="D7" s="12" t="str">
        <f t="shared" si="2"/>
        <v>2027-28</v>
      </c>
      <c r="E7" s="12" t="str">
        <f t="shared" si="2"/>
        <v>2028-29</v>
      </c>
      <c r="F7" s="12" t="str">
        <f t="shared" si="2"/>
        <v>2029-30</v>
      </c>
      <c r="G7" s="12" t="str">
        <f t="shared" si="2"/>
        <v>2030-31</v>
      </c>
    </row>
    <row r="9" spans="1:7">
      <c r="A9" s="14" t="s">
        <v>139</v>
      </c>
      <c r="B9" s="15"/>
      <c r="C9" s="15"/>
      <c r="D9" s="15"/>
      <c r="E9" s="15"/>
      <c r="F9" s="15"/>
      <c r="G9" s="15"/>
    </row>
    <row r="10" spans="1:7">
      <c r="A10" s="10" t="s">
        <v>140</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73"/>
  <sheetViews>
    <sheetView zoomScaleNormal="100" workbookViewId="0">
      <pane xSplit="4" ySplit="2" topLeftCell="E46" activePane="bottomRight" state="frozen"/>
      <selection activeCell="H31" sqref="H31"/>
      <selection pane="topRight" activeCell="H31" sqref="H31"/>
      <selection pane="bottomLeft" activeCell="H31" sqref="H31"/>
      <selection pane="bottomRight" activeCell="D2" sqref="D2"/>
    </sheetView>
  </sheetViews>
  <sheetFormatPr defaultRowHeight="15.75" outlineLevelRow="1" outlineLevelCol="1"/>
  <cols>
    <col min="1" max="1" width="9.140625" style="11" hidden="1" customWidth="1" outlineLevel="1"/>
    <col min="2" max="2" width="68.5703125" style="11" hidden="1" customWidth="1" outlineLevel="1"/>
    <col min="3" max="3" width="4.5703125" style="11" hidden="1" customWidth="1" outlineLevel="1"/>
    <col min="4" max="4" width="52.28515625" style="11" customWidth="1" collapsed="1"/>
    <col min="5" max="8" width="12.7109375" style="11" customWidth="1"/>
    <col min="9" max="9" width="22.5703125" style="11" bestFit="1" customWidth="1"/>
    <col min="10" max="13" width="12.7109375" style="11" customWidth="1"/>
    <col min="14" max="14" width="21.42578125" style="11" bestFit="1" customWidth="1"/>
    <col min="15" max="15" width="23.42578125" style="11" bestFit="1" customWidth="1"/>
    <col min="16" max="16" width="18.28515625" style="11" bestFit="1" customWidth="1"/>
    <col min="17" max="17" width="18.140625" style="11" bestFit="1" customWidth="1"/>
    <col min="18" max="250" width="9.140625" style="11"/>
    <col min="251" max="251" width="11" style="11" bestFit="1" customWidth="1"/>
    <col min="252" max="252" width="4.5703125" style="11" customWidth="1"/>
    <col min="253" max="253" width="43.140625" style="11" customWidth="1"/>
    <col min="254" max="257" width="12.7109375" style="11" customWidth="1"/>
    <col min="258" max="258" width="22.42578125" style="11" bestFit="1" customWidth="1"/>
    <col min="259" max="262" width="12.7109375" style="11" customWidth="1"/>
    <col min="263" max="263" width="15.5703125" style="11" bestFit="1" customWidth="1"/>
    <col min="264" max="264" width="23.28515625" style="11" bestFit="1" customWidth="1"/>
    <col min="265" max="265" width="15.85546875" style="11" bestFit="1" customWidth="1"/>
    <col min="266" max="266" width="15.5703125" style="11" bestFit="1" customWidth="1"/>
    <col min="267" max="267" width="7.28515625" style="11" bestFit="1" customWidth="1"/>
    <col min="268" max="506" width="9.140625" style="11"/>
    <col min="507" max="507" width="11" style="11" bestFit="1" customWidth="1"/>
    <col min="508" max="508" width="4.5703125" style="11" customWidth="1"/>
    <col min="509" max="509" width="43.140625" style="11" customWidth="1"/>
    <col min="510" max="513" width="12.7109375" style="11" customWidth="1"/>
    <col min="514" max="514" width="22.42578125" style="11" bestFit="1" customWidth="1"/>
    <col min="515" max="518" width="12.7109375" style="11" customWidth="1"/>
    <col min="519" max="519" width="15.5703125" style="11" bestFit="1" customWidth="1"/>
    <col min="520" max="520" width="23.28515625" style="11" bestFit="1" customWidth="1"/>
    <col min="521" max="521" width="15.85546875" style="11" bestFit="1" customWidth="1"/>
    <col min="522" max="522" width="15.5703125" style="11" bestFit="1" customWidth="1"/>
    <col min="523" max="523" width="7.28515625" style="11" bestFit="1" customWidth="1"/>
    <col min="524" max="762" width="9.140625" style="11"/>
    <col min="763" max="763" width="11" style="11" bestFit="1" customWidth="1"/>
    <col min="764" max="764" width="4.5703125" style="11" customWidth="1"/>
    <col min="765" max="765" width="43.140625" style="11" customWidth="1"/>
    <col min="766" max="769" width="12.7109375" style="11" customWidth="1"/>
    <col min="770" max="770" width="22.42578125" style="11" bestFit="1" customWidth="1"/>
    <col min="771" max="774" width="12.7109375" style="11" customWidth="1"/>
    <col min="775" max="775" width="15.5703125" style="11" bestFit="1" customWidth="1"/>
    <col min="776" max="776" width="23.28515625" style="11" bestFit="1" customWidth="1"/>
    <col min="777" max="777" width="15.85546875" style="11" bestFit="1" customWidth="1"/>
    <col min="778" max="778" width="15.5703125" style="11" bestFit="1" customWidth="1"/>
    <col min="779" max="779" width="7.28515625" style="11" bestFit="1" customWidth="1"/>
    <col min="780" max="1018" width="9.140625" style="11"/>
    <col min="1019" max="1019" width="11" style="11" bestFit="1" customWidth="1"/>
    <col min="1020" max="1020" width="4.5703125" style="11" customWidth="1"/>
    <col min="1021" max="1021" width="43.140625" style="11" customWidth="1"/>
    <col min="1022" max="1025" width="12.7109375" style="11" customWidth="1"/>
    <col min="1026" max="1026" width="22.42578125" style="11" bestFit="1" customWidth="1"/>
    <col min="1027" max="1030" width="12.7109375" style="11" customWidth="1"/>
    <col min="1031" max="1031" width="15.5703125" style="11" bestFit="1" customWidth="1"/>
    <col min="1032" max="1032" width="23.28515625" style="11" bestFit="1" customWidth="1"/>
    <col min="1033" max="1033" width="15.85546875" style="11" bestFit="1" customWidth="1"/>
    <col min="1034" max="1034" width="15.5703125" style="11" bestFit="1" customWidth="1"/>
    <col min="1035" max="1035" width="7.28515625" style="11" bestFit="1" customWidth="1"/>
    <col min="1036" max="1274" width="9.140625" style="11"/>
    <col min="1275" max="1275" width="11" style="11" bestFit="1" customWidth="1"/>
    <col min="1276" max="1276" width="4.5703125" style="11" customWidth="1"/>
    <col min="1277" max="1277" width="43.140625" style="11" customWidth="1"/>
    <col min="1278" max="1281" width="12.7109375" style="11" customWidth="1"/>
    <col min="1282" max="1282" width="22.42578125" style="11" bestFit="1" customWidth="1"/>
    <col min="1283" max="1286" width="12.7109375" style="11" customWidth="1"/>
    <col min="1287" max="1287" width="15.5703125" style="11" bestFit="1" customWidth="1"/>
    <col min="1288" max="1288" width="23.28515625" style="11" bestFit="1" customWidth="1"/>
    <col min="1289" max="1289" width="15.85546875" style="11" bestFit="1" customWidth="1"/>
    <col min="1290" max="1290" width="15.5703125" style="11" bestFit="1" customWidth="1"/>
    <col min="1291" max="1291" width="7.28515625" style="11" bestFit="1" customWidth="1"/>
    <col min="1292" max="1530" width="9.140625" style="11"/>
    <col min="1531" max="1531" width="11" style="11" bestFit="1" customWidth="1"/>
    <col min="1532" max="1532" width="4.5703125" style="11" customWidth="1"/>
    <col min="1533" max="1533" width="43.140625" style="11" customWidth="1"/>
    <col min="1534" max="1537" width="12.7109375" style="11" customWidth="1"/>
    <col min="1538" max="1538" width="22.42578125" style="11" bestFit="1" customWidth="1"/>
    <col min="1539" max="1542" width="12.7109375" style="11" customWidth="1"/>
    <col min="1543" max="1543" width="15.5703125" style="11" bestFit="1" customWidth="1"/>
    <col min="1544" max="1544" width="23.28515625" style="11" bestFit="1" customWidth="1"/>
    <col min="1545" max="1545" width="15.85546875" style="11" bestFit="1" customWidth="1"/>
    <col min="1546" max="1546" width="15.5703125" style="11" bestFit="1" customWidth="1"/>
    <col min="1547" max="1547" width="7.28515625" style="11" bestFit="1" customWidth="1"/>
    <col min="1548" max="1786" width="9.140625" style="11"/>
    <col min="1787" max="1787" width="11" style="11" bestFit="1" customWidth="1"/>
    <col min="1788" max="1788" width="4.5703125" style="11" customWidth="1"/>
    <col min="1789" max="1789" width="43.140625" style="11" customWidth="1"/>
    <col min="1790" max="1793" width="12.7109375" style="11" customWidth="1"/>
    <col min="1794" max="1794" width="22.42578125" style="11" bestFit="1" customWidth="1"/>
    <col min="1795" max="1798" width="12.7109375" style="11" customWidth="1"/>
    <col min="1799" max="1799" width="15.5703125" style="11" bestFit="1" customWidth="1"/>
    <col min="1800" max="1800" width="23.28515625" style="11" bestFit="1" customWidth="1"/>
    <col min="1801" max="1801" width="15.85546875" style="11" bestFit="1" customWidth="1"/>
    <col min="1802" max="1802" width="15.5703125" style="11" bestFit="1" customWidth="1"/>
    <col min="1803" max="1803" width="7.28515625" style="11" bestFit="1" customWidth="1"/>
    <col min="1804" max="2042" width="9.140625" style="11"/>
    <col min="2043" max="2043" width="11" style="11" bestFit="1" customWidth="1"/>
    <col min="2044" max="2044" width="4.5703125" style="11" customWidth="1"/>
    <col min="2045" max="2045" width="43.140625" style="11" customWidth="1"/>
    <col min="2046" max="2049" width="12.7109375" style="11" customWidth="1"/>
    <col min="2050" max="2050" width="22.42578125" style="11" bestFit="1" customWidth="1"/>
    <col min="2051" max="2054" width="12.7109375" style="11" customWidth="1"/>
    <col min="2055" max="2055" width="15.5703125" style="11" bestFit="1" customWidth="1"/>
    <col min="2056" max="2056" width="23.28515625" style="11" bestFit="1" customWidth="1"/>
    <col min="2057" max="2057" width="15.85546875" style="11" bestFit="1" customWidth="1"/>
    <col min="2058" max="2058" width="15.5703125" style="11" bestFit="1" customWidth="1"/>
    <col min="2059" max="2059" width="7.28515625" style="11" bestFit="1" customWidth="1"/>
    <col min="2060" max="2298" width="9.140625" style="11"/>
    <col min="2299" max="2299" width="11" style="11" bestFit="1" customWidth="1"/>
    <col min="2300" max="2300" width="4.5703125" style="11" customWidth="1"/>
    <col min="2301" max="2301" width="43.140625" style="11" customWidth="1"/>
    <col min="2302" max="2305" width="12.7109375" style="11" customWidth="1"/>
    <col min="2306" max="2306" width="22.42578125" style="11" bestFit="1" customWidth="1"/>
    <col min="2307" max="2310" width="12.7109375" style="11" customWidth="1"/>
    <col min="2311" max="2311" width="15.5703125" style="11" bestFit="1" customWidth="1"/>
    <col min="2312" max="2312" width="23.28515625" style="11" bestFit="1" customWidth="1"/>
    <col min="2313" max="2313" width="15.85546875" style="11" bestFit="1" customWidth="1"/>
    <col min="2314" max="2314" width="15.5703125" style="11" bestFit="1" customWidth="1"/>
    <col min="2315" max="2315" width="7.28515625" style="11" bestFit="1" customWidth="1"/>
    <col min="2316" max="2554" width="9.140625" style="11"/>
    <col min="2555" max="2555" width="11" style="11" bestFit="1" customWidth="1"/>
    <col min="2556" max="2556" width="4.5703125" style="11" customWidth="1"/>
    <col min="2557" max="2557" width="43.140625" style="11" customWidth="1"/>
    <col min="2558" max="2561" width="12.7109375" style="11" customWidth="1"/>
    <col min="2562" max="2562" width="22.42578125" style="11" bestFit="1" customWidth="1"/>
    <col min="2563" max="2566" width="12.7109375" style="11" customWidth="1"/>
    <col min="2567" max="2567" width="15.5703125" style="11" bestFit="1" customWidth="1"/>
    <col min="2568" max="2568" width="23.28515625" style="11" bestFit="1" customWidth="1"/>
    <col min="2569" max="2569" width="15.85546875" style="11" bestFit="1" customWidth="1"/>
    <col min="2570" max="2570" width="15.5703125" style="11" bestFit="1" customWidth="1"/>
    <col min="2571" max="2571" width="7.28515625" style="11" bestFit="1" customWidth="1"/>
    <col min="2572" max="2810" width="9.140625" style="11"/>
    <col min="2811" max="2811" width="11" style="11" bestFit="1" customWidth="1"/>
    <col min="2812" max="2812" width="4.5703125" style="11" customWidth="1"/>
    <col min="2813" max="2813" width="43.140625" style="11" customWidth="1"/>
    <col min="2814" max="2817" width="12.7109375" style="11" customWidth="1"/>
    <col min="2818" max="2818" width="22.42578125" style="11" bestFit="1" customWidth="1"/>
    <col min="2819" max="2822" width="12.7109375" style="11" customWidth="1"/>
    <col min="2823" max="2823" width="15.5703125" style="11" bestFit="1" customWidth="1"/>
    <col min="2824" max="2824" width="23.28515625" style="11" bestFit="1" customWidth="1"/>
    <col min="2825" max="2825" width="15.85546875" style="11" bestFit="1" customWidth="1"/>
    <col min="2826" max="2826" width="15.5703125" style="11" bestFit="1" customWidth="1"/>
    <col min="2827" max="2827" width="7.28515625" style="11" bestFit="1" customWidth="1"/>
    <col min="2828" max="3066" width="9.140625" style="11"/>
    <col min="3067" max="3067" width="11" style="11" bestFit="1" customWidth="1"/>
    <col min="3068" max="3068" width="4.5703125" style="11" customWidth="1"/>
    <col min="3069" max="3069" width="43.140625" style="11" customWidth="1"/>
    <col min="3070" max="3073" width="12.7109375" style="11" customWidth="1"/>
    <col min="3074" max="3074" width="22.42578125" style="11" bestFit="1" customWidth="1"/>
    <col min="3075" max="3078" width="12.7109375" style="11" customWidth="1"/>
    <col min="3079" max="3079" width="15.5703125" style="11" bestFit="1" customWidth="1"/>
    <col min="3080" max="3080" width="23.28515625" style="11" bestFit="1" customWidth="1"/>
    <col min="3081" max="3081" width="15.85546875" style="11" bestFit="1" customWidth="1"/>
    <col min="3082" max="3082" width="15.5703125" style="11" bestFit="1" customWidth="1"/>
    <col min="3083" max="3083" width="7.28515625" style="11" bestFit="1" customWidth="1"/>
    <col min="3084" max="3322" width="9.140625" style="11"/>
    <col min="3323" max="3323" width="11" style="11" bestFit="1" customWidth="1"/>
    <col min="3324" max="3324" width="4.5703125" style="11" customWidth="1"/>
    <col min="3325" max="3325" width="43.140625" style="11" customWidth="1"/>
    <col min="3326" max="3329" width="12.7109375" style="11" customWidth="1"/>
    <col min="3330" max="3330" width="22.42578125" style="11" bestFit="1" customWidth="1"/>
    <col min="3331" max="3334" width="12.7109375" style="11" customWidth="1"/>
    <col min="3335" max="3335" width="15.5703125" style="11" bestFit="1" customWidth="1"/>
    <col min="3336" max="3336" width="23.28515625" style="11" bestFit="1" customWidth="1"/>
    <col min="3337" max="3337" width="15.85546875" style="11" bestFit="1" customWidth="1"/>
    <col min="3338" max="3338" width="15.5703125" style="11" bestFit="1" customWidth="1"/>
    <col min="3339" max="3339" width="7.28515625" style="11" bestFit="1" customWidth="1"/>
    <col min="3340" max="3578" width="9.140625" style="11"/>
    <col min="3579" max="3579" width="11" style="11" bestFit="1" customWidth="1"/>
    <col min="3580" max="3580" width="4.5703125" style="11" customWidth="1"/>
    <col min="3581" max="3581" width="43.140625" style="11" customWidth="1"/>
    <col min="3582" max="3585" width="12.7109375" style="11" customWidth="1"/>
    <col min="3586" max="3586" width="22.42578125" style="11" bestFit="1" customWidth="1"/>
    <col min="3587" max="3590" width="12.7109375" style="11" customWidth="1"/>
    <col min="3591" max="3591" width="15.5703125" style="11" bestFit="1" customWidth="1"/>
    <col min="3592" max="3592" width="23.28515625" style="11" bestFit="1" customWidth="1"/>
    <col min="3593" max="3593" width="15.85546875" style="11" bestFit="1" customWidth="1"/>
    <col min="3594" max="3594" width="15.5703125" style="11" bestFit="1" customWidth="1"/>
    <col min="3595" max="3595" width="7.28515625" style="11" bestFit="1" customWidth="1"/>
    <col min="3596" max="3834" width="9.140625" style="11"/>
    <col min="3835" max="3835" width="11" style="11" bestFit="1" customWidth="1"/>
    <col min="3836" max="3836" width="4.5703125" style="11" customWidth="1"/>
    <col min="3837" max="3837" width="43.140625" style="11" customWidth="1"/>
    <col min="3838" max="3841" width="12.7109375" style="11" customWidth="1"/>
    <col min="3842" max="3842" width="22.42578125" style="11" bestFit="1" customWidth="1"/>
    <col min="3843" max="3846" width="12.7109375" style="11" customWidth="1"/>
    <col min="3847" max="3847" width="15.5703125" style="11" bestFit="1" customWidth="1"/>
    <col min="3848" max="3848" width="23.28515625" style="11" bestFit="1" customWidth="1"/>
    <col min="3849" max="3849" width="15.85546875" style="11" bestFit="1" customWidth="1"/>
    <col min="3850" max="3850" width="15.5703125" style="11" bestFit="1" customWidth="1"/>
    <col min="3851" max="3851" width="7.28515625" style="11" bestFit="1" customWidth="1"/>
    <col min="3852" max="4090" width="9.140625" style="11"/>
    <col min="4091" max="4091" width="11" style="11" bestFit="1" customWidth="1"/>
    <col min="4092" max="4092" width="4.5703125" style="11" customWidth="1"/>
    <col min="4093" max="4093" width="43.140625" style="11" customWidth="1"/>
    <col min="4094" max="4097" width="12.7109375" style="11" customWidth="1"/>
    <col min="4098" max="4098" width="22.42578125" style="11" bestFit="1" customWidth="1"/>
    <col min="4099" max="4102" width="12.7109375" style="11" customWidth="1"/>
    <col min="4103" max="4103" width="15.5703125" style="11" bestFit="1" customWidth="1"/>
    <col min="4104" max="4104" width="23.28515625" style="11" bestFit="1" customWidth="1"/>
    <col min="4105" max="4105" width="15.85546875" style="11" bestFit="1" customWidth="1"/>
    <col min="4106" max="4106" width="15.5703125" style="11" bestFit="1" customWidth="1"/>
    <col min="4107" max="4107" width="7.28515625" style="11" bestFit="1" customWidth="1"/>
    <col min="4108" max="4346" width="9.140625" style="11"/>
    <col min="4347" max="4347" width="11" style="11" bestFit="1" customWidth="1"/>
    <col min="4348" max="4348" width="4.5703125" style="11" customWidth="1"/>
    <col min="4349" max="4349" width="43.140625" style="11" customWidth="1"/>
    <col min="4350" max="4353" width="12.7109375" style="11" customWidth="1"/>
    <col min="4354" max="4354" width="22.42578125" style="11" bestFit="1" customWidth="1"/>
    <col min="4355" max="4358" width="12.7109375" style="11" customWidth="1"/>
    <col min="4359" max="4359" width="15.5703125" style="11" bestFit="1" customWidth="1"/>
    <col min="4360" max="4360" width="23.28515625" style="11" bestFit="1" customWidth="1"/>
    <col min="4361" max="4361" width="15.85546875" style="11" bestFit="1" customWidth="1"/>
    <col min="4362" max="4362" width="15.5703125" style="11" bestFit="1" customWidth="1"/>
    <col min="4363" max="4363" width="7.28515625" style="11" bestFit="1" customWidth="1"/>
    <col min="4364" max="4602" width="9.140625" style="11"/>
    <col min="4603" max="4603" width="11" style="11" bestFit="1" customWidth="1"/>
    <col min="4604" max="4604" width="4.5703125" style="11" customWidth="1"/>
    <col min="4605" max="4605" width="43.140625" style="11" customWidth="1"/>
    <col min="4606" max="4609" width="12.7109375" style="11" customWidth="1"/>
    <col min="4610" max="4610" width="22.42578125" style="11" bestFit="1" customWidth="1"/>
    <col min="4611" max="4614" width="12.7109375" style="11" customWidth="1"/>
    <col min="4615" max="4615" width="15.5703125" style="11" bestFit="1" customWidth="1"/>
    <col min="4616" max="4616" width="23.28515625" style="11" bestFit="1" customWidth="1"/>
    <col min="4617" max="4617" width="15.85546875" style="11" bestFit="1" customWidth="1"/>
    <col min="4618" max="4618" width="15.5703125" style="11" bestFit="1" customWidth="1"/>
    <col min="4619" max="4619" width="7.28515625" style="11" bestFit="1" customWidth="1"/>
    <col min="4620" max="4858" width="9.140625" style="11"/>
    <col min="4859" max="4859" width="11" style="11" bestFit="1" customWidth="1"/>
    <col min="4860" max="4860" width="4.5703125" style="11" customWidth="1"/>
    <col min="4861" max="4861" width="43.140625" style="11" customWidth="1"/>
    <col min="4862" max="4865" width="12.7109375" style="11" customWidth="1"/>
    <col min="4866" max="4866" width="22.42578125" style="11" bestFit="1" customWidth="1"/>
    <col min="4867" max="4870" width="12.7109375" style="11" customWidth="1"/>
    <col min="4871" max="4871" width="15.5703125" style="11" bestFit="1" customWidth="1"/>
    <col min="4872" max="4872" width="23.28515625" style="11" bestFit="1" customWidth="1"/>
    <col min="4873" max="4873" width="15.85546875" style="11" bestFit="1" customWidth="1"/>
    <col min="4874" max="4874" width="15.5703125" style="11" bestFit="1" customWidth="1"/>
    <col min="4875" max="4875" width="7.28515625" style="11" bestFit="1" customWidth="1"/>
    <col min="4876" max="5114" width="9.140625" style="11"/>
    <col min="5115" max="5115" width="11" style="11" bestFit="1" customWidth="1"/>
    <col min="5116" max="5116" width="4.5703125" style="11" customWidth="1"/>
    <col min="5117" max="5117" width="43.140625" style="11" customWidth="1"/>
    <col min="5118" max="5121" width="12.7109375" style="11" customWidth="1"/>
    <col min="5122" max="5122" width="22.42578125" style="11" bestFit="1" customWidth="1"/>
    <col min="5123" max="5126" width="12.7109375" style="11" customWidth="1"/>
    <col min="5127" max="5127" width="15.5703125" style="11" bestFit="1" customWidth="1"/>
    <col min="5128" max="5128" width="23.28515625" style="11" bestFit="1" customWidth="1"/>
    <col min="5129" max="5129" width="15.85546875" style="11" bestFit="1" customWidth="1"/>
    <col min="5130" max="5130" width="15.5703125" style="11" bestFit="1" customWidth="1"/>
    <col min="5131" max="5131" width="7.28515625" style="11" bestFit="1" customWidth="1"/>
    <col min="5132" max="5370" width="9.140625" style="11"/>
    <col min="5371" max="5371" width="11" style="11" bestFit="1" customWidth="1"/>
    <col min="5372" max="5372" width="4.5703125" style="11" customWidth="1"/>
    <col min="5373" max="5373" width="43.140625" style="11" customWidth="1"/>
    <col min="5374" max="5377" width="12.7109375" style="11" customWidth="1"/>
    <col min="5378" max="5378" width="22.42578125" style="11" bestFit="1" customWidth="1"/>
    <col min="5379" max="5382" width="12.7109375" style="11" customWidth="1"/>
    <col min="5383" max="5383" width="15.5703125" style="11" bestFit="1" customWidth="1"/>
    <col min="5384" max="5384" width="23.28515625" style="11" bestFit="1" customWidth="1"/>
    <col min="5385" max="5385" width="15.85546875" style="11" bestFit="1" customWidth="1"/>
    <col min="5386" max="5386" width="15.5703125" style="11" bestFit="1" customWidth="1"/>
    <col min="5387" max="5387" width="7.28515625" style="11" bestFit="1" customWidth="1"/>
    <col min="5388" max="5626" width="9.140625" style="11"/>
    <col min="5627" max="5627" width="11" style="11" bestFit="1" customWidth="1"/>
    <col min="5628" max="5628" width="4.5703125" style="11" customWidth="1"/>
    <col min="5629" max="5629" width="43.140625" style="11" customWidth="1"/>
    <col min="5630" max="5633" width="12.7109375" style="11" customWidth="1"/>
    <col min="5634" max="5634" width="22.42578125" style="11" bestFit="1" customWidth="1"/>
    <col min="5635" max="5638" width="12.7109375" style="11" customWidth="1"/>
    <col min="5639" max="5639" width="15.5703125" style="11" bestFit="1" customWidth="1"/>
    <col min="5640" max="5640" width="23.28515625" style="11" bestFit="1" customWidth="1"/>
    <col min="5641" max="5641" width="15.85546875" style="11" bestFit="1" customWidth="1"/>
    <col min="5642" max="5642" width="15.5703125" style="11" bestFit="1" customWidth="1"/>
    <col min="5643" max="5643" width="7.28515625" style="11" bestFit="1" customWidth="1"/>
    <col min="5644" max="5882" width="9.140625" style="11"/>
    <col min="5883" max="5883" width="11" style="11" bestFit="1" customWidth="1"/>
    <col min="5884" max="5884" width="4.5703125" style="11" customWidth="1"/>
    <col min="5885" max="5885" width="43.140625" style="11" customWidth="1"/>
    <col min="5886" max="5889" width="12.7109375" style="11" customWidth="1"/>
    <col min="5890" max="5890" width="22.42578125" style="11" bestFit="1" customWidth="1"/>
    <col min="5891" max="5894" width="12.7109375" style="11" customWidth="1"/>
    <col min="5895" max="5895" width="15.5703125" style="11" bestFit="1" customWidth="1"/>
    <col min="5896" max="5896" width="23.28515625" style="11" bestFit="1" customWidth="1"/>
    <col min="5897" max="5897" width="15.85546875" style="11" bestFit="1" customWidth="1"/>
    <col min="5898" max="5898" width="15.5703125" style="11" bestFit="1" customWidth="1"/>
    <col min="5899" max="5899" width="7.28515625" style="11" bestFit="1" customWidth="1"/>
    <col min="5900" max="6138" width="9.140625" style="11"/>
    <col min="6139" max="6139" width="11" style="11" bestFit="1" customWidth="1"/>
    <col min="6140" max="6140" width="4.5703125" style="11" customWidth="1"/>
    <col min="6141" max="6141" width="43.140625" style="11" customWidth="1"/>
    <col min="6142" max="6145" width="12.7109375" style="11" customWidth="1"/>
    <col min="6146" max="6146" width="22.42578125" style="11" bestFit="1" customWidth="1"/>
    <col min="6147" max="6150" width="12.7109375" style="11" customWidth="1"/>
    <col min="6151" max="6151" width="15.5703125" style="11" bestFit="1" customWidth="1"/>
    <col min="6152" max="6152" width="23.28515625" style="11" bestFit="1" customWidth="1"/>
    <col min="6153" max="6153" width="15.85546875" style="11" bestFit="1" customWidth="1"/>
    <col min="6154" max="6154" width="15.5703125" style="11" bestFit="1" customWidth="1"/>
    <col min="6155" max="6155" width="7.28515625" style="11" bestFit="1" customWidth="1"/>
    <col min="6156" max="6394" width="9.140625" style="11"/>
    <col min="6395" max="6395" width="11" style="11" bestFit="1" customWidth="1"/>
    <col min="6396" max="6396" width="4.5703125" style="11" customWidth="1"/>
    <col min="6397" max="6397" width="43.140625" style="11" customWidth="1"/>
    <col min="6398" max="6401" width="12.7109375" style="11" customWidth="1"/>
    <col min="6402" max="6402" width="22.42578125" style="11" bestFit="1" customWidth="1"/>
    <col min="6403" max="6406" width="12.7109375" style="11" customWidth="1"/>
    <col min="6407" max="6407" width="15.5703125" style="11" bestFit="1" customWidth="1"/>
    <col min="6408" max="6408" width="23.28515625" style="11" bestFit="1" customWidth="1"/>
    <col min="6409" max="6409" width="15.85546875" style="11" bestFit="1" customWidth="1"/>
    <col min="6410" max="6410" width="15.5703125" style="11" bestFit="1" customWidth="1"/>
    <col min="6411" max="6411" width="7.28515625" style="11" bestFit="1" customWidth="1"/>
    <col min="6412" max="6650" width="9.140625" style="11"/>
    <col min="6651" max="6651" width="11" style="11" bestFit="1" customWidth="1"/>
    <col min="6652" max="6652" width="4.5703125" style="11" customWidth="1"/>
    <col min="6653" max="6653" width="43.140625" style="11" customWidth="1"/>
    <col min="6654" max="6657" width="12.7109375" style="11" customWidth="1"/>
    <col min="6658" max="6658" width="22.42578125" style="11" bestFit="1" customWidth="1"/>
    <col min="6659" max="6662" width="12.7109375" style="11" customWidth="1"/>
    <col min="6663" max="6663" width="15.5703125" style="11" bestFit="1" customWidth="1"/>
    <col min="6664" max="6664" width="23.28515625" style="11" bestFit="1" customWidth="1"/>
    <col min="6665" max="6665" width="15.85546875" style="11" bestFit="1" customWidth="1"/>
    <col min="6666" max="6666" width="15.5703125" style="11" bestFit="1" customWidth="1"/>
    <col min="6667" max="6667" width="7.28515625" style="11" bestFit="1" customWidth="1"/>
    <col min="6668" max="6906" width="9.140625" style="11"/>
    <col min="6907" max="6907" width="11" style="11" bestFit="1" customWidth="1"/>
    <col min="6908" max="6908" width="4.5703125" style="11" customWidth="1"/>
    <col min="6909" max="6909" width="43.140625" style="11" customWidth="1"/>
    <col min="6910" max="6913" width="12.7109375" style="11" customWidth="1"/>
    <col min="6914" max="6914" width="22.42578125" style="11" bestFit="1" customWidth="1"/>
    <col min="6915" max="6918" width="12.7109375" style="11" customWidth="1"/>
    <col min="6919" max="6919" width="15.5703125" style="11" bestFit="1" customWidth="1"/>
    <col min="6920" max="6920" width="23.28515625" style="11" bestFit="1" customWidth="1"/>
    <col min="6921" max="6921" width="15.85546875" style="11" bestFit="1" customWidth="1"/>
    <col min="6922" max="6922" width="15.5703125" style="11" bestFit="1" customWidth="1"/>
    <col min="6923" max="6923" width="7.28515625" style="11" bestFit="1" customWidth="1"/>
    <col min="6924" max="7162" width="9.140625" style="11"/>
    <col min="7163" max="7163" width="11" style="11" bestFit="1" customWidth="1"/>
    <col min="7164" max="7164" width="4.5703125" style="11" customWidth="1"/>
    <col min="7165" max="7165" width="43.140625" style="11" customWidth="1"/>
    <col min="7166" max="7169" width="12.7109375" style="11" customWidth="1"/>
    <col min="7170" max="7170" width="22.42578125" style="11" bestFit="1" customWidth="1"/>
    <col min="7171" max="7174" width="12.7109375" style="11" customWidth="1"/>
    <col min="7175" max="7175" width="15.5703125" style="11" bestFit="1" customWidth="1"/>
    <col min="7176" max="7176" width="23.28515625" style="11" bestFit="1" customWidth="1"/>
    <col min="7177" max="7177" width="15.85546875" style="11" bestFit="1" customWidth="1"/>
    <col min="7178" max="7178" width="15.5703125" style="11" bestFit="1" customWidth="1"/>
    <col min="7179" max="7179" width="7.28515625" style="11" bestFit="1" customWidth="1"/>
    <col min="7180" max="7418" width="9.140625" style="11"/>
    <col min="7419" max="7419" width="11" style="11" bestFit="1" customWidth="1"/>
    <col min="7420" max="7420" width="4.5703125" style="11" customWidth="1"/>
    <col min="7421" max="7421" width="43.140625" style="11" customWidth="1"/>
    <col min="7422" max="7425" width="12.7109375" style="11" customWidth="1"/>
    <col min="7426" max="7426" width="22.42578125" style="11" bestFit="1" customWidth="1"/>
    <col min="7427" max="7430" width="12.7109375" style="11" customWidth="1"/>
    <col min="7431" max="7431" width="15.5703125" style="11" bestFit="1" customWidth="1"/>
    <col min="7432" max="7432" width="23.28515625" style="11" bestFit="1" customWidth="1"/>
    <col min="7433" max="7433" width="15.85546875" style="11" bestFit="1" customWidth="1"/>
    <col min="7434" max="7434" width="15.5703125" style="11" bestFit="1" customWidth="1"/>
    <col min="7435" max="7435" width="7.28515625" style="11" bestFit="1" customWidth="1"/>
    <col min="7436" max="7674" width="9.140625" style="11"/>
    <col min="7675" max="7675" width="11" style="11" bestFit="1" customWidth="1"/>
    <col min="7676" max="7676" width="4.5703125" style="11" customWidth="1"/>
    <col min="7677" max="7677" width="43.140625" style="11" customWidth="1"/>
    <col min="7678" max="7681" width="12.7109375" style="11" customWidth="1"/>
    <col min="7682" max="7682" width="22.42578125" style="11" bestFit="1" customWidth="1"/>
    <col min="7683" max="7686" width="12.7109375" style="11" customWidth="1"/>
    <col min="7687" max="7687" width="15.5703125" style="11" bestFit="1" customWidth="1"/>
    <col min="7688" max="7688" width="23.28515625" style="11" bestFit="1" customWidth="1"/>
    <col min="7689" max="7689" width="15.85546875" style="11" bestFit="1" customWidth="1"/>
    <col min="7690" max="7690" width="15.5703125" style="11" bestFit="1" customWidth="1"/>
    <col min="7691" max="7691" width="7.28515625" style="11" bestFit="1" customWidth="1"/>
    <col min="7692" max="7930" width="9.140625" style="11"/>
    <col min="7931" max="7931" width="11" style="11" bestFit="1" customWidth="1"/>
    <col min="7932" max="7932" width="4.5703125" style="11" customWidth="1"/>
    <col min="7933" max="7933" width="43.140625" style="11" customWidth="1"/>
    <col min="7934" max="7937" width="12.7109375" style="11" customWidth="1"/>
    <col min="7938" max="7938" width="22.42578125" style="11" bestFit="1" customWidth="1"/>
    <col min="7939" max="7942" width="12.7109375" style="11" customWidth="1"/>
    <col min="7943" max="7943" width="15.5703125" style="11" bestFit="1" customWidth="1"/>
    <col min="7944" max="7944" width="23.28515625" style="11" bestFit="1" customWidth="1"/>
    <col min="7945" max="7945" width="15.85546875" style="11" bestFit="1" customWidth="1"/>
    <col min="7946" max="7946" width="15.5703125" style="11" bestFit="1" customWidth="1"/>
    <col min="7947" max="7947" width="7.28515625" style="11" bestFit="1" customWidth="1"/>
    <col min="7948" max="8186" width="9.140625" style="11"/>
    <col min="8187" max="8187" width="11" style="11" bestFit="1" customWidth="1"/>
    <col min="8188" max="8188" width="4.5703125" style="11" customWidth="1"/>
    <col min="8189" max="8189" width="43.140625" style="11" customWidth="1"/>
    <col min="8190" max="8193" width="12.7109375" style="11" customWidth="1"/>
    <col min="8194" max="8194" width="22.42578125" style="11" bestFit="1" customWidth="1"/>
    <col min="8195" max="8198" width="12.7109375" style="11" customWidth="1"/>
    <col min="8199" max="8199" width="15.5703125" style="11" bestFit="1" customWidth="1"/>
    <col min="8200" max="8200" width="23.28515625" style="11" bestFit="1" customWidth="1"/>
    <col min="8201" max="8201" width="15.85546875" style="11" bestFit="1" customWidth="1"/>
    <col min="8202" max="8202" width="15.5703125" style="11" bestFit="1" customWidth="1"/>
    <col min="8203" max="8203" width="7.28515625" style="11" bestFit="1" customWidth="1"/>
    <col min="8204" max="8442" width="9.140625" style="11"/>
    <col min="8443" max="8443" width="11" style="11" bestFit="1" customWidth="1"/>
    <col min="8444" max="8444" width="4.5703125" style="11" customWidth="1"/>
    <col min="8445" max="8445" width="43.140625" style="11" customWidth="1"/>
    <col min="8446" max="8449" width="12.7109375" style="11" customWidth="1"/>
    <col min="8450" max="8450" width="22.42578125" style="11" bestFit="1" customWidth="1"/>
    <col min="8451" max="8454" width="12.7109375" style="11" customWidth="1"/>
    <col min="8455" max="8455" width="15.5703125" style="11" bestFit="1" customWidth="1"/>
    <col min="8456" max="8456" width="23.28515625" style="11" bestFit="1" customWidth="1"/>
    <col min="8457" max="8457" width="15.85546875" style="11" bestFit="1" customWidth="1"/>
    <col min="8458" max="8458" width="15.5703125" style="11" bestFit="1" customWidth="1"/>
    <col min="8459" max="8459" width="7.28515625" style="11" bestFit="1" customWidth="1"/>
    <col min="8460" max="8698" width="9.140625" style="11"/>
    <col min="8699" max="8699" width="11" style="11" bestFit="1" customWidth="1"/>
    <col min="8700" max="8700" width="4.5703125" style="11" customWidth="1"/>
    <col min="8701" max="8701" width="43.140625" style="11" customWidth="1"/>
    <col min="8702" max="8705" width="12.7109375" style="11" customWidth="1"/>
    <col min="8706" max="8706" width="22.42578125" style="11" bestFit="1" customWidth="1"/>
    <col min="8707" max="8710" width="12.7109375" style="11" customWidth="1"/>
    <col min="8711" max="8711" width="15.5703125" style="11" bestFit="1" customWidth="1"/>
    <col min="8712" max="8712" width="23.28515625" style="11" bestFit="1" customWidth="1"/>
    <col min="8713" max="8713" width="15.85546875" style="11" bestFit="1" customWidth="1"/>
    <col min="8714" max="8714" width="15.5703125" style="11" bestFit="1" customWidth="1"/>
    <col min="8715" max="8715" width="7.28515625" style="11" bestFit="1" customWidth="1"/>
    <col min="8716" max="8954" width="9.140625" style="11"/>
    <col min="8955" max="8955" width="11" style="11" bestFit="1" customWidth="1"/>
    <col min="8956" max="8956" width="4.5703125" style="11" customWidth="1"/>
    <col min="8957" max="8957" width="43.140625" style="11" customWidth="1"/>
    <col min="8958" max="8961" width="12.7109375" style="11" customWidth="1"/>
    <col min="8962" max="8962" width="22.42578125" style="11" bestFit="1" customWidth="1"/>
    <col min="8963" max="8966" width="12.7109375" style="11" customWidth="1"/>
    <col min="8967" max="8967" width="15.5703125" style="11" bestFit="1" customWidth="1"/>
    <col min="8968" max="8968" width="23.28515625" style="11" bestFit="1" customWidth="1"/>
    <col min="8969" max="8969" width="15.85546875" style="11" bestFit="1" customWidth="1"/>
    <col min="8970" max="8970" width="15.5703125" style="11" bestFit="1" customWidth="1"/>
    <col min="8971" max="8971" width="7.28515625" style="11" bestFit="1" customWidth="1"/>
    <col min="8972" max="9210" width="9.140625" style="11"/>
    <col min="9211" max="9211" width="11" style="11" bestFit="1" customWidth="1"/>
    <col min="9212" max="9212" width="4.5703125" style="11" customWidth="1"/>
    <col min="9213" max="9213" width="43.140625" style="11" customWidth="1"/>
    <col min="9214" max="9217" width="12.7109375" style="11" customWidth="1"/>
    <col min="9218" max="9218" width="22.42578125" style="11" bestFit="1" customWidth="1"/>
    <col min="9219" max="9222" width="12.7109375" style="11" customWidth="1"/>
    <col min="9223" max="9223" width="15.5703125" style="11" bestFit="1" customWidth="1"/>
    <col min="9224" max="9224" width="23.28515625" style="11" bestFit="1" customWidth="1"/>
    <col min="9225" max="9225" width="15.85546875" style="11" bestFit="1" customWidth="1"/>
    <col min="9226" max="9226" width="15.5703125" style="11" bestFit="1" customWidth="1"/>
    <col min="9227" max="9227" width="7.28515625" style="11" bestFit="1" customWidth="1"/>
    <col min="9228" max="9466" width="9.140625" style="11"/>
    <col min="9467" max="9467" width="11" style="11" bestFit="1" customWidth="1"/>
    <col min="9468" max="9468" width="4.5703125" style="11" customWidth="1"/>
    <col min="9469" max="9469" width="43.140625" style="11" customWidth="1"/>
    <col min="9470" max="9473" width="12.7109375" style="11" customWidth="1"/>
    <col min="9474" max="9474" width="22.42578125" style="11" bestFit="1" customWidth="1"/>
    <col min="9475" max="9478" width="12.7109375" style="11" customWidth="1"/>
    <col min="9479" max="9479" width="15.5703125" style="11" bestFit="1" customWidth="1"/>
    <col min="9480" max="9480" width="23.28515625" style="11" bestFit="1" customWidth="1"/>
    <col min="9481" max="9481" width="15.85546875" style="11" bestFit="1" customWidth="1"/>
    <col min="9482" max="9482" width="15.5703125" style="11" bestFit="1" customWidth="1"/>
    <col min="9483" max="9483" width="7.28515625" style="11" bestFit="1" customWidth="1"/>
    <col min="9484" max="9722" width="9.140625" style="11"/>
    <col min="9723" max="9723" width="11" style="11" bestFit="1" customWidth="1"/>
    <col min="9724" max="9724" width="4.5703125" style="11" customWidth="1"/>
    <col min="9725" max="9725" width="43.140625" style="11" customWidth="1"/>
    <col min="9726" max="9729" width="12.7109375" style="11" customWidth="1"/>
    <col min="9730" max="9730" width="22.42578125" style="11" bestFit="1" customWidth="1"/>
    <col min="9731" max="9734" width="12.7109375" style="11" customWidth="1"/>
    <col min="9735" max="9735" width="15.5703125" style="11" bestFit="1" customWidth="1"/>
    <col min="9736" max="9736" width="23.28515625" style="11" bestFit="1" customWidth="1"/>
    <col min="9737" max="9737" width="15.85546875" style="11" bestFit="1" customWidth="1"/>
    <col min="9738" max="9738" width="15.5703125" style="11" bestFit="1" customWidth="1"/>
    <col min="9739" max="9739" width="7.28515625" style="11" bestFit="1" customWidth="1"/>
    <col min="9740" max="9978" width="9.140625" style="11"/>
    <col min="9979" max="9979" width="11" style="11" bestFit="1" customWidth="1"/>
    <col min="9980" max="9980" width="4.5703125" style="11" customWidth="1"/>
    <col min="9981" max="9981" width="43.140625" style="11" customWidth="1"/>
    <col min="9982" max="9985" width="12.7109375" style="11" customWidth="1"/>
    <col min="9986" max="9986" width="22.42578125" style="11" bestFit="1" customWidth="1"/>
    <col min="9987" max="9990" width="12.7109375" style="11" customWidth="1"/>
    <col min="9991" max="9991" width="15.5703125" style="11" bestFit="1" customWidth="1"/>
    <col min="9992" max="9992" width="23.28515625" style="11" bestFit="1" customWidth="1"/>
    <col min="9993" max="9993" width="15.85546875" style="11" bestFit="1" customWidth="1"/>
    <col min="9994" max="9994" width="15.5703125" style="11" bestFit="1" customWidth="1"/>
    <col min="9995" max="9995" width="7.28515625" style="11" bestFit="1" customWidth="1"/>
    <col min="9996" max="10234" width="9.140625" style="11"/>
    <col min="10235" max="10235" width="11" style="11" bestFit="1" customWidth="1"/>
    <col min="10236" max="10236" width="4.5703125" style="11" customWidth="1"/>
    <col min="10237" max="10237" width="43.140625" style="11" customWidth="1"/>
    <col min="10238" max="10241" width="12.7109375" style="11" customWidth="1"/>
    <col min="10242" max="10242" width="22.42578125" style="11" bestFit="1" customWidth="1"/>
    <col min="10243" max="10246" width="12.7109375" style="11" customWidth="1"/>
    <col min="10247" max="10247" width="15.5703125" style="11" bestFit="1" customWidth="1"/>
    <col min="10248" max="10248" width="23.28515625" style="11" bestFit="1" customWidth="1"/>
    <col min="10249" max="10249" width="15.85546875" style="11" bestFit="1" customWidth="1"/>
    <col min="10250" max="10250" width="15.5703125" style="11" bestFit="1" customWidth="1"/>
    <col min="10251" max="10251" width="7.28515625" style="11" bestFit="1" customWidth="1"/>
    <col min="10252" max="10490" width="9.140625" style="11"/>
    <col min="10491" max="10491" width="11" style="11" bestFit="1" customWidth="1"/>
    <col min="10492" max="10492" width="4.5703125" style="11" customWidth="1"/>
    <col min="10493" max="10493" width="43.140625" style="11" customWidth="1"/>
    <col min="10494" max="10497" width="12.7109375" style="11" customWidth="1"/>
    <col min="10498" max="10498" width="22.42578125" style="11" bestFit="1" customWidth="1"/>
    <col min="10499" max="10502" width="12.7109375" style="11" customWidth="1"/>
    <col min="10503" max="10503" width="15.5703125" style="11" bestFit="1" customWidth="1"/>
    <col min="10504" max="10504" width="23.28515625" style="11" bestFit="1" customWidth="1"/>
    <col min="10505" max="10505" width="15.85546875" style="11" bestFit="1" customWidth="1"/>
    <col min="10506" max="10506" width="15.5703125" style="11" bestFit="1" customWidth="1"/>
    <col min="10507" max="10507" width="7.28515625" style="11" bestFit="1" customWidth="1"/>
    <col min="10508" max="10746" width="9.140625" style="11"/>
    <col min="10747" max="10747" width="11" style="11" bestFit="1" customWidth="1"/>
    <col min="10748" max="10748" width="4.5703125" style="11" customWidth="1"/>
    <col min="10749" max="10749" width="43.140625" style="11" customWidth="1"/>
    <col min="10750" max="10753" width="12.7109375" style="11" customWidth="1"/>
    <col min="10754" max="10754" width="22.42578125" style="11" bestFit="1" customWidth="1"/>
    <col min="10755" max="10758" width="12.7109375" style="11" customWidth="1"/>
    <col min="10759" max="10759" width="15.5703125" style="11" bestFit="1" customWidth="1"/>
    <col min="10760" max="10760" width="23.28515625" style="11" bestFit="1" customWidth="1"/>
    <col min="10761" max="10761" width="15.85546875" style="11" bestFit="1" customWidth="1"/>
    <col min="10762" max="10762" width="15.5703125" style="11" bestFit="1" customWidth="1"/>
    <col min="10763" max="10763" width="7.28515625" style="11" bestFit="1" customWidth="1"/>
    <col min="10764" max="11002" width="9.140625" style="11"/>
    <col min="11003" max="11003" width="11" style="11" bestFit="1" customWidth="1"/>
    <col min="11004" max="11004" width="4.5703125" style="11" customWidth="1"/>
    <col min="11005" max="11005" width="43.140625" style="11" customWidth="1"/>
    <col min="11006" max="11009" width="12.7109375" style="11" customWidth="1"/>
    <col min="11010" max="11010" width="22.42578125" style="11" bestFit="1" customWidth="1"/>
    <col min="11011" max="11014" width="12.7109375" style="11" customWidth="1"/>
    <col min="11015" max="11015" width="15.5703125" style="11" bestFit="1" customWidth="1"/>
    <col min="11016" max="11016" width="23.28515625" style="11" bestFit="1" customWidth="1"/>
    <col min="11017" max="11017" width="15.85546875" style="11" bestFit="1" customWidth="1"/>
    <col min="11018" max="11018" width="15.5703125" style="11" bestFit="1" customWidth="1"/>
    <col min="11019" max="11019" width="7.28515625" style="11" bestFit="1" customWidth="1"/>
    <col min="11020" max="11258" width="9.140625" style="11"/>
    <col min="11259" max="11259" width="11" style="11" bestFit="1" customWidth="1"/>
    <col min="11260" max="11260" width="4.5703125" style="11" customWidth="1"/>
    <col min="11261" max="11261" width="43.140625" style="11" customWidth="1"/>
    <col min="11262" max="11265" width="12.7109375" style="11" customWidth="1"/>
    <col min="11266" max="11266" width="22.42578125" style="11" bestFit="1" customWidth="1"/>
    <col min="11267" max="11270" width="12.7109375" style="11" customWidth="1"/>
    <col min="11271" max="11271" width="15.5703125" style="11" bestFit="1" customWidth="1"/>
    <col min="11272" max="11272" width="23.28515625" style="11" bestFit="1" customWidth="1"/>
    <col min="11273" max="11273" width="15.85546875" style="11" bestFit="1" customWidth="1"/>
    <col min="11274" max="11274" width="15.5703125" style="11" bestFit="1" customWidth="1"/>
    <col min="11275" max="11275" width="7.28515625" style="11" bestFit="1" customWidth="1"/>
    <col min="11276" max="11514" width="9.140625" style="11"/>
    <col min="11515" max="11515" width="11" style="11" bestFit="1" customWidth="1"/>
    <col min="11516" max="11516" width="4.5703125" style="11" customWidth="1"/>
    <col min="11517" max="11517" width="43.140625" style="11" customWidth="1"/>
    <col min="11518" max="11521" width="12.7109375" style="11" customWidth="1"/>
    <col min="11522" max="11522" width="22.42578125" style="11" bestFit="1" customWidth="1"/>
    <col min="11523" max="11526" width="12.7109375" style="11" customWidth="1"/>
    <col min="11527" max="11527" width="15.5703125" style="11" bestFit="1" customWidth="1"/>
    <col min="11528" max="11528" width="23.28515625" style="11" bestFit="1" customWidth="1"/>
    <col min="11529" max="11529" width="15.85546875" style="11" bestFit="1" customWidth="1"/>
    <col min="11530" max="11530" width="15.5703125" style="11" bestFit="1" customWidth="1"/>
    <col min="11531" max="11531" width="7.28515625" style="11" bestFit="1" customWidth="1"/>
    <col min="11532" max="11770" width="9.140625" style="11"/>
    <col min="11771" max="11771" width="11" style="11" bestFit="1" customWidth="1"/>
    <col min="11772" max="11772" width="4.5703125" style="11" customWidth="1"/>
    <col min="11773" max="11773" width="43.140625" style="11" customWidth="1"/>
    <col min="11774" max="11777" width="12.7109375" style="11" customWidth="1"/>
    <col min="11778" max="11778" width="22.42578125" style="11" bestFit="1" customWidth="1"/>
    <col min="11779" max="11782" width="12.7109375" style="11" customWidth="1"/>
    <col min="11783" max="11783" width="15.5703125" style="11" bestFit="1" customWidth="1"/>
    <col min="11784" max="11784" width="23.28515625" style="11" bestFit="1" customWidth="1"/>
    <col min="11785" max="11785" width="15.85546875" style="11" bestFit="1" customWidth="1"/>
    <col min="11786" max="11786" width="15.5703125" style="11" bestFit="1" customWidth="1"/>
    <col min="11787" max="11787" width="7.28515625" style="11" bestFit="1" customWidth="1"/>
    <col min="11788" max="12026" width="9.140625" style="11"/>
    <col min="12027" max="12027" width="11" style="11" bestFit="1" customWidth="1"/>
    <col min="12028" max="12028" width="4.5703125" style="11" customWidth="1"/>
    <col min="12029" max="12029" width="43.140625" style="11" customWidth="1"/>
    <col min="12030" max="12033" width="12.7109375" style="11" customWidth="1"/>
    <col min="12034" max="12034" width="22.42578125" style="11" bestFit="1" customWidth="1"/>
    <col min="12035" max="12038" width="12.7109375" style="11" customWidth="1"/>
    <col min="12039" max="12039" width="15.5703125" style="11" bestFit="1" customWidth="1"/>
    <col min="12040" max="12040" width="23.28515625" style="11" bestFit="1" customWidth="1"/>
    <col min="12041" max="12041" width="15.85546875" style="11" bestFit="1" customWidth="1"/>
    <col min="12042" max="12042" width="15.5703125" style="11" bestFit="1" customWidth="1"/>
    <col min="12043" max="12043" width="7.28515625" style="11" bestFit="1" customWidth="1"/>
    <col min="12044" max="12282" width="9.140625" style="11"/>
    <col min="12283" max="12283" width="11" style="11" bestFit="1" customWidth="1"/>
    <col min="12284" max="12284" width="4.5703125" style="11" customWidth="1"/>
    <col min="12285" max="12285" width="43.140625" style="11" customWidth="1"/>
    <col min="12286" max="12289" width="12.7109375" style="11" customWidth="1"/>
    <col min="12290" max="12290" width="22.42578125" style="11" bestFit="1" customWidth="1"/>
    <col min="12291" max="12294" width="12.7109375" style="11" customWidth="1"/>
    <col min="12295" max="12295" width="15.5703125" style="11" bestFit="1" customWidth="1"/>
    <col min="12296" max="12296" width="23.28515625" style="11" bestFit="1" customWidth="1"/>
    <col min="12297" max="12297" width="15.85546875" style="11" bestFit="1" customWidth="1"/>
    <col min="12298" max="12298" width="15.5703125" style="11" bestFit="1" customWidth="1"/>
    <col min="12299" max="12299" width="7.28515625" style="11" bestFit="1" customWidth="1"/>
    <col min="12300" max="12538" width="9.140625" style="11"/>
    <col min="12539" max="12539" width="11" style="11" bestFit="1" customWidth="1"/>
    <col min="12540" max="12540" width="4.5703125" style="11" customWidth="1"/>
    <col min="12541" max="12541" width="43.140625" style="11" customWidth="1"/>
    <col min="12542" max="12545" width="12.7109375" style="11" customWidth="1"/>
    <col min="12546" max="12546" width="22.42578125" style="11" bestFit="1" customWidth="1"/>
    <col min="12547" max="12550" width="12.7109375" style="11" customWidth="1"/>
    <col min="12551" max="12551" width="15.5703125" style="11" bestFit="1" customWidth="1"/>
    <col min="12552" max="12552" width="23.28515625" style="11" bestFit="1" customWidth="1"/>
    <col min="12553" max="12553" width="15.85546875" style="11" bestFit="1" customWidth="1"/>
    <col min="12554" max="12554" width="15.5703125" style="11" bestFit="1" customWidth="1"/>
    <col min="12555" max="12555" width="7.28515625" style="11" bestFit="1" customWidth="1"/>
    <col min="12556" max="12794" width="9.140625" style="11"/>
    <col min="12795" max="12795" width="11" style="11" bestFit="1" customWidth="1"/>
    <col min="12796" max="12796" width="4.5703125" style="11" customWidth="1"/>
    <col min="12797" max="12797" width="43.140625" style="11" customWidth="1"/>
    <col min="12798" max="12801" width="12.7109375" style="11" customWidth="1"/>
    <col min="12802" max="12802" width="22.42578125" style="11" bestFit="1" customWidth="1"/>
    <col min="12803" max="12806" width="12.7109375" style="11" customWidth="1"/>
    <col min="12807" max="12807" width="15.5703125" style="11" bestFit="1" customWidth="1"/>
    <col min="12808" max="12808" width="23.28515625" style="11" bestFit="1" customWidth="1"/>
    <col min="12809" max="12809" width="15.85546875" style="11" bestFit="1" customWidth="1"/>
    <col min="12810" max="12810" width="15.5703125" style="11" bestFit="1" customWidth="1"/>
    <col min="12811" max="12811" width="7.28515625" style="11" bestFit="1" customWidth="1"/>
    <col min="12812" max="13050" width="9.140625" style="11"/>
    <col min="13051" max="13051" width="11" style="11" bestFit="1" customWidth="1"/>
    <col min="13052" max="13052" width="4.5703125" style="11" customWidth="1"/>
    <col min="13053" max="13053" width="43.140625" style="11" customWidth="1"/>
    <col min="13054" max="13057" width="12.7109375" style="11" customWidth="1"/>
    <col min="13058" max="13058" width="22.42578125" style="11" bestFit="1" customWidth="1"/>
    <col min="13059" max="13062" width="12.7109375" style="11" customWidth="1"/>
    <col min="13063" max="13063" width="15.5703125" style="11" bestFit="1" customWidth="1"/>
    <col min="13064" max="13064" width="23.28515625" style="11" bestFit="1" customWidth="1"/>
    <col min="13065" max="13065" width="15.85546875" style="11" bestFit="1" customWidth="1"/>
    <col min="13066" max="13066" width="15.5703125" style="11" bestFit="1" customWidth="1"/>
    <col min="13067" max="13067" width="7.28515625" style="11" bestFit="1" customWidth="1"/>
    <col min="13068" max="13306" width="9.140625" style="11"/>
    <col min="13307" max="13307" width="11" style="11" bestFit="1" customWidth="1"/>
    <col min="13308" max="13308" width="4.5703125" style="11" customWidth="1"/>
    <col min="13309" max="13309" width="43.140625" style="11" customWidth="1"/>
    <col min="13310" max="13313" width="12.7109375" style="11" customWidth="1"/>
    <col min="13314" max="13314" width="22.42578125" style="11" bestFit="1" customWidth="1"/>
    <col min="13315" max="13318" width="12.7109375" style="11" customWidth="1"/>
    <col min="13319" max="13319" width="15.5703125" style="11" bestFit="1" customWidth="1"/>
    <col min="13320" max="13320" width="23.28515625" style="11" bestFit="1" customWidth="1"/>
    <col min="13321" max="13321" width="15.85546875" style="11" bestFit="1" customWidth="1"/>
    <col min="13322" max="13322" width="15.5703125" style="11" bestFit="1" customWidth="1"/>
    <col min="13323" max="13323" width="7.28515625" style="11" bestFit="1" customWidth="1"/>
    <col min="13324" max="13562" width="9.140625" style="11"/>
    <col min="13563" max="13563" width="11" style="11" bestFit="1" customWidth="1"/>
    <col min="13564" max="13564" width="4.5703125" style="11" customWidth="1"/>
    <col min="13565" max="13565" width="43.140625" style="11" customWidth="1"/>
    <col min="13566" max="13569" width="12.7109375" style="11" customWidth="1"/>
    <col min="13570" max="13570" width="22.42578125" style="11" bestFit="1" customWidth="1"/>
    <col min="13571" max="13574" width="12.7109375" style="11" customWidth="1"/>
    <col min="13575" max="13575" width="15.5703125" style="11" bestFit="1" customWidth="1"/>
    <col min="13576" max="13576" width="23.28515625" style="11" bestFit="1" customWidth="1"/>
    <col min="13577" max="13577" width="15.85546875" style="11" bestFit="1" customWidth="1"/>
    <col min="13578" max="13578" width="15.5703125" style="11" bestFit="1" customWidth="1"/>
    <col min="13579" max="13579" width="7.28515625" style="11" bestFit="1" customWidth="1"/>
    <col min="13580" max="13818" width="9.140625" style="11"/>
    <col min="13819" max="13819" width="11" style="11" bestFit="1" customWidth="1"/>
    <col min="13820" max="13820" width="4.5703125" style="11" customWidth="1"/>
    <col min="13821" max="13821" width="43.140625" style="11" customWidth="1"/>
    <col min="13822" max="13825" width="12.7109375" style="11" customWidth="1"/>
    <col min="13826" max="13826" width="22.42578125" style="11" bestFit="1" customWidth="1"/>
    <col min="13827" max="13830" width="12.7109375" style="11" customWidth="1"/>
    <col min="13831" max="13831" width="15.5703125" style="11" bestFit="1" customWidth="1"/>
    <col min="13832" max="13832" width="23.28515625" style="11" bestFit="1" customWidth="1"/>
    <col min="13833" max="13833" width="15.85546875" style="11" bestFit="1" customWidth="1"/>
    <col min="13834" max="13834" width="15.5703125" style="11" bestFit="1" customWidth="1"/>
    <col min="13835" max="13835" width="7.28515625" style="11" bestFit="1" customWidth="1"/>
    <col min="13836" max="14074" width="9.140625" style="11"/>
    <col min="14075" max="14075" width="11" style="11" bestFit="1" customWidth="1"/>
    <col min="14076" max="14076" width="4.5703125" style="11" customWidth="1"/>
    <col min="14077" max="14077" width="43.140625" style="11" customWidth="1"/>
    <col min="14078" max="14081" width="12.7109375" style="11" customWidth="1"/>
    <col min="14082" max="14082" width="22.42578125" style="11" bestFit="1" customWidth="1"/>
    <col min="14083" max="14086" width="12.7109375" style="11" customWidth="1"/>
    <col min="14087" max="14087" width="15.5703125" style="11" bestFit="1" customWidth="1"/>
    <col min="14088" max="14088" width="23.28515625" style="11" bestFit="1" customWidth="1"/>
    <col min="14089" max="14089" width="15.85546875" style="11" bestFit="1" customWidth="1"/>
    <col min="14090" max="14090" width="15.5703125" style="11" bestFit="1" customWidth="1"/>
    <col min="14091" max="14091" width="7.28515625" style="11" bestFit="1" customWidth="1"/>
    <col min="14092" max="14330" width="9.140625" style="11"/>
    <col min="14331" max="14331" width="11" style="11" bestFit="1" customWidth="1"/>
    <col min="14332" max="14332" width="4.5703125" style="11" customWidth="1"/>
    <col min="14333" max="14333" width="43.140625" style="11" customWidth="1"/>
    <col min="14334" max="14337" width="12.7109375" style="11" customWidth="1"/>
    <col min="14338" max="14338" width="22.42578125" style="11" bestFit="1" customWidth="1"/>
    <col min="14339" max="14342" width="12.7109375" style="11" customWidth="1"/>
    <col min="14343" max="14343" width="15.5703125" style="11" bestFit="1" customWidth="1"/>
    <col min="14344" max="14344" width="23.28515625" style="11" bestFit="1" customWidth="1"/>
    <col min="14345" max="14345" width="15.85546875" style="11" bestFit="1" customWidth="1"/>
    <col min="14346" max="14346" width="15.5703125" style="11" bestFit="1" customWidth="1"/>
    <col min="14347" max="14347" width="7.28515625" style="11" bestFit="1" customWidth="1"/>
    <col min="14348" max="14586" width="9.140625" style="11"/>
    <col min="14587" max="14587" width="11" style="11" bestFit="1" customWidth="1"/>
    <col min="14588" max="14588" width="4.5703125" style="11" customWidth="1"/>
    <col min="14589" max="14589" width="43.140625" style="11" customWidth="1"/>
    <col min="14590" max="14593" width="12.7109375" style="11" customWidth="1"/>
    <col min="14594" max="14594" width="22.42578125" style="11" bestFit="1" customWidth="1"/>
    <col min="14595" max="14598" width="12.7109375" style="11" customWidth="1"/>
    <col min="14599" max="14599" width="15.5703125" style="11" bestFit="1" customWidth="1"/>
    <col min="14600" max="14600" width="23.28515625" style="11" bestFit="1" customWidth="1"/>
    <col min="14601" max="14601" width="15.85546875" style="11" bestFit="1" customWidth="1"/>
    <col min="14602" max="14602" width="15.5703125" style="11" bestFit="1" customWidth="1"/>
    <col min="14603" max="14603" width="7.28515625" style="11" bestFit="1" customWidth="1"/>
    <col min="14604" max="14842" width="9.140625" style="11"/>
    <col min="14843" max="14843" width="11" style="11" bestFit="1" customWidth="1"/>
    <col min="14844" max="14844" width="4.5703125" style="11" customWidth="1"/>
    <col min="14845" max="14845" width="43.140625" style="11" customWidth="1"/>
    <col min="14846" max="14849" width="12.7109375" style="11" customWidth="1"/>
    <col min="14850" max="14850" width="22.42578125" style="11" bestFit="1" customWidth="1"/>
    <col min="14851" max="14854" width="12.7109375" style="11" customWidth="1"/>
    <col min="14855" max="14855" width="15.5703125" style="11" bestFit="1" customWidth="1"/>
    <col min="14856" max="14856" width="23.28515625" style="11" bestFit="1" customWidth="1"/>
    <col min="14857" max="14857" width="15.85546875" style="11" bestFit="1" customWidth="1"/>
    <col min="14858" max="14858" width="15.5703125" style="11" bestFit="1" customWidth="1"/>
    <col min="14859" max="14859" width="7.28515625" style="11" bestFit="1" customWidth="1"/>
    <col min="14860" max="15098" width="9.140625" style="11"/>
    <col min="15099" max="15099" width="11" style="11" bestFit="1" customWidth="1"/>
    <col min="15100" max="15100" width="4.5703125" style="11" customWidth="1"/>
    <col min="15101" max="15101" width="43.140625" style="11" customWidth="1"/>
    <col min="15102" max="15105" width="12.7109375" style="11" customWidth="1"/>
    <col min="15106" max="15106" width="22.42578125" style="11" bestFit="1" customWidth="1"/>
    <col min="15107" max="15110" width="12.7109375" style="11" customWidth="1"/>
    <col min="15111" max="15111" width="15.5703125" style="11" bestFit="1" customWidth="1"/>
    <col min="15112" max="15112" width="23.28515625" style="11" bestFit="1" customWidth="1"/>
    <col min="15113" max="15113" width="15.85546875" style="11" bestFit="1" customWidth="1"/>
    <col min="15114" max="15114" width="15.5703125" style="11" bestFit="1" customWidth="1"/>
    <col min="15115" max="15115" width="7.28515625" style="11" bestFit="1" customWidth="1"/>
    <col min="15116" max="15354" width="9.140625" style="11"/>
    <col min="15355" max="15355" width="11" style="11" bestFit="1" customWidth="1"/>
    <col min="15356" max="15356" width="4.5703125" style="11" customWidth="1"/>
    <col min="15357" max="15357" width="43.140625" style="11" customWidth="1"/>
    <col min="15358" max="15361" width="12.7109375" style="11" customWidth="1"/>
    <col min="15362" max="15362" width="22.42578125" style="11" bestFit="1" customWidth="1"/>
    <col min="15363" max="15366" width="12.7109375" style="11" customWidth="1"/>
    <col min="15367" max="15367" width="15.5703125" style="11" bestFit="1" customWidth="1"/>
    <col min="15368" max="15368" width="23.28515625" style="11" bestFit="1" customWidth="1"/>
    <col min="15369" max="15369" width="15.85546875" style="11" bestFit="1" customWidth="1"/>
    <col min="15370" max="15370" width="15.5703125" style="11" bestFit="1" customWidth="1"/>
    <col min="15371" max="15371" width="7.28515625" style="11" bestFit="1" customWidth="1"/>
    <col min="15372" max="15610" width="9.140625" style="11"/>
    <col min="15611" max="15611" width="11" style="11" bestFit="1" customWidth="1"/>
    <col min="15612" max="15612" width="4.5703125" style="11" customWidth="1"/>
    <col min="15613" max="15613" width="43.140625" style="11" customWidth="1"/>
    <col min="15614" max="15617" width="12.7109375" style="11" customWidth="1"/>
    <col min="15618" max="15618" width="22.42578125" style="11" bestFit="1" customWidth="1"/>
    <col min="15619" max="15622" width="12.7109375" style="11" customWidth="1"/>
    <col min="15623" max="15623" width="15.5703125" style="11" bestFit="1" customWidth="1"/>
    <col min="15624" max="15624" width="23.28515625" style="11" bestFit="1" customWidth="1"/>
    <col min="15625" max="15625" width="15.85546875" style="11" bestFit="1" customWidth="1"/>
    <col min="15626" max="15626" width="15.5703125" style="11" bestFit="1" customWidth="1"/>
    <col min="15627" max="15627" width="7.28515625" style="11" bestFit="1" customWidth="1"/>
    <col min="15628" max="15866" width="9.140625" style="11"/>
    <col min="15867" max="15867" width="11" style="11" bestFit="1" customWidth="1"/>
    <col min="15868" max="15868" width="4.5703125" style="11" customWidth="1"/>
    <col min="15869" max="15869" width="43.140625" style="11" customWidth="1"/>
    <col min="15870" max="15873" width="12.7109375" style="11" customWidth="1"/>
    <col min="15874" max="15874" width="22.42578125" style="11" bestFit="1" customWidth="1"/>
    <col min="15875" max="15878" width="12.7109375" style="11" customWidth="1"/>
    <col min="15879" max="15879" width="15.5703125" style="11" bestFit="1" customWidth="1"/>
    <col min="15880" max="15880" width="23.28515625" style="11" bestFit="1" customWidth="1"/>
    <col min="15881" max="15881" width="15.85546875" style="11" bestFit="1" customWidth="1"/>
    <col min="15882" max="15882" width="15.5703125" style="11" bestFit="1" customWidth="1"/>
    <col min="15883" max="15883" width="7.28515625" style="11" bestFit="1" customWidth="1"/>
    <col min="15884" max="16122" width="9.140625" style="11"/>
    <col min="16123" max="16123" width="11" style="11" bestFit="1" customWidth="1"/>
    <col min="16124" max="16124" width="4.5703125" style="11" customWidth="1"/>
    <col min="16125" max="16125" width="43.140625" style="11" customWidth="1"/>
    <col min="16126" max="16129" width="12.7109375" style="11" customWidth="1"/>
    <col min="16130" max="16130" width="22.42578125" style="11" bestFit="1" customWidth="1"/>
    <col min="16131" max="16134" width="12.7109375" style="11" customWidth="1"/>
    <col min="16135" max="16135" width="15.5703125" style="11" bestFit="1" customWidth="1"/>
    <col min="16136" max="16136" width="23.28515625" style="11" bestFit="1" customWidth="1"/>
    <col min="16137" max="16137" width="15.85546875" style="11" bestFit="1" customWidth="1"/>
    <col min="16138" max="16138" width="15.5703125" style="11" bestFit="1" customWidth="1"/>
    <col min="16139" max="16139" width="7.28515625" style="11" bestFit="1" customWidth="1"/>
    <col min="16140" max="16384" width="9.140625" style="11"/>
  </cols>
  <sheetData>
    <row r="1" spans="1:16" hidden="1" outlineLevel="1">
      <c r="D1" s="17" t="s">
        <v>614</v>
      </c>
      <c r="E1" s="17"/>
      <c r="I1" s="17" t="s">
        <v>615</v>
      </c>
      <c r="J1" s="729">
        <v>1</v>
      </c>
      <c r="K1" s="11" t="s">
        <v>661</v>
      </c>
      <c r="O1" s="729">
        <f ca="1">O70/O69</f>
        <v>0.77483174770808305</v>
      </c>
      <c r="P1" s="11" t="s">
        <v>856</v>
      </c>
    </row>
    <row r="2" spans="1:16" ht="13.5" customHeight="1" collapsed="1">
      <c r="D2" s="17"/>
      <c r="E2" s="17"/>
    </row>
    <row r="3" spans="1:16" ht="78.75" hidden="1" outlineLevel="1">
      <c r="D3" s="17"/>
      <c r="E3" s="730" t="s">
        <v>616</v>
      </c>
      <c r="G3" s="731" t="s">
        <v>617</v>
      </c>
      <c r="H3" s="731" t="s">
        <v>344</v>
      </c>
      <c r="I3" s="17" t="str">
        <f>Years!A$7</f>
        <v>2024-25</v>
      </c>
      <c r="J3" s="17"/>
    </row>
    <row r="4" spans="1:16" ht="13.5" hidden="1" customHeight="1" outlineLevel="1">
      <c r="D4" s="17"/>
      <c r="E4" s="17"/>
      <c r="F4" s="19" t="s">
        <v>618</v>
      </c>
      <c r="G4" s="17"/>
      <c r="H4" s="19" t="s">
        <v>619</v>
      </c>
      <c r="I4" s="17"/>
      <c r="J4" s="17"/>
      <c r="K4" s="17"/>
      <c r="L4" s="17"/>
      <c r="M4" s="17"/>
      <c r="N4" s="17"/>
      <c r="O4" s="17"/>
    </row>
    <row r="5" spans="1:16" ht="13.5" hidden="1" customHeight="1" outlineLevel="1">
      <c r="D5" s="17"/>
      <c r="E5" s="17"/>
      <c r="F5" s="19" t="s">
        <v>620</v>
      </c>
      <c r="G5" s="19"/>
      <c r="H5" s="19" t="s">
        <v>618</v>
      </c>
      <c r="I5" s="19"/>
      <c r="J5" s="17"/>
      <c r="K5" s="17"/>
      <c r="L5" s="17"/>
      <c r="M5" s="17"/>
      <c r="N5" s="17"/>
      <c r="O5" s="17"/>
    </row>
    <row r="6" spans="1:16" hidden="1" outlineLevel="1">
      <c r="E6" s="19" t="s">
        <v>621</v>
      </c>
      <c r="F6" s="19" t="s">
        <v>621</v>
      </c>
      <c r="G6" s="732" t="s">
        <v>622</v>
      </c>
      <c r="H6" s="19" t="s">
        <v>620</v>
      </c>
      <c r="I6" s="19"/>
      <c r="J6" s="17"/>
      <c r="K6" s="17"/>
      <c r="L6" s="17"/>
      <c r="M6" s="17"/>
      <c r="N6" s="19"/>
      <c r="O6" s="733"/>
    </row>
    <row r="7" spans="1:16" hidden="1" outlineLevel="1">
      <c r="E7" s="19" t="s">
        <v>623</v>
      </c>
      <c r="F7" s="19" t="s">
        <v>623</v>
      </c>
      <c r="G7" s="19" t="s">
        <v>624</v>
      </c>
      <c r="H7" s="732" t="s">
        <v>622</v>
      </c>
      <c r="I7" s="19" t="s">
        <v>625</v>
      </c>
      <c r="J7" s="17"/>
      <c r="K7" s="17"/>
      <c r="L7" s="17"/>
      <c r="M7" s="17"/>
      <c r="N7" s="19"/>
      <c r="O7" s="19"/>
    </row>
    <row r="8" spans="1:16" ht="31.5" hidden="1" outlineLevel="1">
      <c r="G8" s="730" t="s">
        <v>626</v>
      </c>
    </row>
    <row r="9" spans="1:16" hidden="1" outlineLevel="1">
      <c r="C9" s="10" t="s">
        <v>627</v>
      </c>
      <c r="D9" s="11" t="s">
        <v>374</v>
      </c>
      <c r="E9" s="721"/>
      <c r="F9" s="721"/>
      <c r="G9" s="721">
        <v>238957.01848758373</v>
      </c>
      <c r="H9" s="45">
        <f ca="1">VLOOKUP($H$3, INDIRECT("'" &amp; LEFT($D9,1) &amp; "S_Detail'!$A$1:$AA$178"), MATCH(I$3, INDIRECT("'" &amp; LEFT($D9,1) &amp; "S_Detail'!$U$4:$AA$4"), 0)+20, 0)</f>
        <v>19773.897851331294</v>
      </c>
      <c r="I9" s="45">
        <f ca="1">+H9*G9</f>
        <v>4725111674.4321642</v>
      </c>
      <c r="J9" s="45"/>
      <c r="K9" s="45"/>
      <c r="L9" s="45"/>
      <c r="M9" s="26"/>
      <c r="N9" s="734"/>
      <c r="O9" s="735"/>
    </row>
    <row r="10" spans="1:16" hidden="1" outlineLevel="1">
      <c r="C10" s="211" t="s">
        <v>628</v>
      </c>
      <c r="D10" s="11" t="s">
        <v>375</v>
      </c>
      <c r="E10" s="721"/>
      <c r="F10" s="721"/>
      <c r="G10" s="721">
        <v>133782.97631735177</v>
      </c>
      <c r="H10" s="45">
        <f ca="1">VLOOKUP($H$3, INDIRECT("'" &amp; LEFT($D10,1) &amp; "S_Detail'!$A$1:$AA$178"), MATCH(I$3, INDIRECT("'" &amp; LEFT($D10,1) &amp; "S_Detail'!$U$4:$AA$4"), 0)+20, 0)</f>
        <v>19334.177703618563</v>
      </c>
      <c r="I10" s="45">
        <f ca="1">+H10*G10</f>
        <v>2586583837.8386731</v>
      </c>
      <c r="J10" s="45"/>
      <c r="K10" s="45"/>
      <c r="L10" s="45"/>
      <c r="M10" s="26"/>
      <c r="N10" s="734"/>
      <c r="O10" s="735"/>
    </row>
    <row r="11" spans="1:16" hidden="1" outlineLevel="1">
      <c r="C11" s="211" t="s">
        <v>629</v>
      </c>
      <c r="D11" s="11" t="s">
        <v>376</v>
      </c>
      <c r="E11" s="721"/>
      <c r="F11" s="721"/>
      <c r="G11" s="721">
        <v>178049.0051950645</v>
      </c>
      <c r="H11" s="45">
        <f ca="1">VLOOKUP($H$3, INDIRECT("'" &amp; LEFT($D11,1) &amp; "S_Detail'!$A$1:$AA$178"), MATCH(I$3, INDIRECT("'" &amp; LEFT($D11,1) &amp; "S_Detail'!$U$4:$AA$4"), 0)+20, 0)</f>
        <v>18295.24623522301</v>
      </c>
      <c r="I11" s="45">
        <f ca="1">+H11*G11</f>
        <v>3257450391.980206</v>
      </c>
      <c r="J11" s="45"/>
      <c r="K11" s="45"/>
      <c r="L11" s="45"/>
      <c r="M11" s="26"/>
      <c r="N11" s="734"/>
      <c r="O11" s="735"/>
    </row>
    <row r="12" spans="1:16" hidden="1" outlineLevel="1">
      <c r="E12" s="721"/>
      <c r="F12" s="721"/>
      <c r="G12" s="721"/>
      <c r="H12" s="45"/>
      <c r="I12" s="45"/>
      <c r="J12" s="45"/>
      <c r="K12" s="45"/>
      <c r="L12" s="45"/>
    </row>
    <row r="13" spans="1:16" hidden="1" outlineLevel="1">
      <c r="D13" s="11" t="s">
        <v>737</v>
      </c>
      <c r="E13" s="721">
        <f ca="1">VLOOKUP($E3, Enrollment!$B$1:$I$15, MATCH(I3, Enrollment!$B$2:$I$2,0),0)</f>
        <v>669810</v>
      </c>
      <c r="F13" s="45">
        <f ca="1">+I13/E13</f>
        <v>15831.572989729988</v>
      </c>
      <c r="G13" s="721">
        <f>SUM(G9:G11)</f>
        <v>550789</v>
      </c>
      <c r="H13" s="45">
        <f ca="1">+I13/G13</f>
        <v>19252.646483954915</v>
      </c>
      <c r="I13" s="45">
        <f ca="1">SUM(I9:I12)+35000000</f>
        <v>10604145904.251043</v>
      </c>
      <c r="J13" s="45"/>
      <c r="K13" s="45"/>
      <c r="L13" s="45"/>
      <c r="M13" s="75"/>
      <c r="N13" s="45"/>
    </row>
    <row r="14" spans="1:16" hidden="1" outlineLevel="1">
      <c r="D14" s="11" t="s">
        <v>631</v>
      </c>
      <c r="E14" s="721"/>
      <c r="F14" s="45"/>
      <c r="G14" s="721"/>
      <c r="H14" s="45"/>
      <c r="I14" s="45">
        <f ca="1">G13*INDEX(ES_Detail!$A$1:$AA$179,MATCH("diff",ES_Detail!A$1:A$179,0),MATCH(I3,ES_Detail!$A$4:$AA$4,0))</f>
        <v>643988583.90726459</v>
      </c>
      <c r="J14" s="153">
        <f ca="1">I14/I13</f>
        <v>6.0729887133022117E-2</v>
      </c>
      <c r="K14" s="45"/>
      <c r="L14" s="45"/>
      <c r="M14" s="75"/>
      <c r="N14" s="45"/>
    </row>
    <row r="15" spans="1:16" hidden="1" outlineLevel="1">
      <c r="D15" s="11" t="s">
        <v>735</v>
      </c>
      <c r="E15" s="721"/>
      <c r="F15" s="45"/>
      <c r="G15" s="721"/>
      <c r="H15" s="45"/>
      <c r="I15" s="45">
        <f ca="1">+I13+I14</f>
        <v>11248134488.158308</v>
      </c>
      <c r="J15" s="45"/>
      <c r="K15" s="45"/>
      <c r="L15" s="45"/>
      <c r="N15" s="45"/>
    </row>
    <row r="16" spans="1:16" hidden="1" outlineLevel="1">
      <c r="A16" s="11" t="s">
        <v>736</v>
      </c>
      <c r="E16" s="721"/>
      <c r="F16" s="45"/>
      <c r="G16" s="721"/>
      <c r="I16" s="45"/>
      <c r="J16" s="736"/>
      <c r="K16" s="736"/>
      <c r="L16" s="736"/>
    </row>
    <row r="17" spans="2:16" hidden="1" outlineLevel="1">
      <c r="E17" s="721"/>
      <c r="F17" s="45"/>
      <c r="G17" s="721"/>
      <c r="H17" s="737" t="s">
        <v>632</v>
      </c>
      <c r="I17" s="736">
        <f ca="1">+I15-N15</f>
        <v>11248134488.158308</v>
      </c>
      <c r="N17" s="736"/>
      <c r="O17" s="45"/>
    </row>
    <row r="18" spans="2:16" hidden="1" outlineLevel="1">
      <c r="D18" s="10" t="s">
        <v>1111</v>
      </c>
      <c r="H18" s="737"/>
      <c r="I18" s="738"/>
      <c r="O18" s="153"/>
    </row>
    <row r="19" spans="2:16" hidden="1" outlineLevel="1">
      <c r="D19" s="10" t="s">
        <v>633</v>
      </c>
    </row>
    <row r="20" spans="2:16" hidden="1" outlineLevel="1" collapsed="1">
      <c r="D20" s="53"/>
      <c r="E20" s="53"/>
      <c r="F20" s="739"/>
      <c r="G20" s="739"/>
      <c r="H20" s="739"/>
      <c r="I20" s="740" t="str">
        <f>Years!B$7</f>
        <v>2025-26</v>
      </c>
      <c r="J20" s="53"/>
      <c r="K20" s="740"/>
      <c r="L20" s="739"/>
      <c r="M20" s="739"/>
      <c r="N20" s="741" t="str">
        <f>Years!C$7</f>
        <v>2026-27</v>
      </c>
      <c r="O20" s="741" t="s">
        <v>662</v>
      </c>
    </row>
    <row r="21" spans="2:16" hidden="1" outlineLevel="1">
      <c r="D21" s="240"/>
      <c r="E21" s="240"/>
      <c r="F21" s="19" t="s">
        <v>618</v>
      </c>
      <c r="G21" s="17"/>
      <c r="H21" s="17"/>
      <c r="I21" s="17"/>
      <c r="J21" s="240"/>
      <c r="K21" s="19" t="s">
        <v>618</v>
      </c>
      <c r="L21" s="17"/>
      <c r="M21" s="17"/>
      <c r="N21" s="742"/>
      <c r="O21" s="742"/>
    </row>
    <row r="22" spans="2:16" hidden="1" outlineLevel="1">
      <c r="D22" s="240"/>
      <c r="E22" s="240"/>
      <c r="F22" s="19" t="s">
        <v>620</v>
      </c>
      <c r="G22" s="19"/>
      <c r="H22" s="19" t="s">
        <v>618</v>
      </c>
      <c r="I22" s="19"/>
      <c r="J22" s="240"/>
      <c r="K22" s="19" t="s">
        <v>620</v>
      </c>
      <c r="L22" s="19"/>
      <c r="M22" s="19" t="s">
        <v>618</v>
      </c>
      <c r="N22" s="258"/>
      <c r="O22" s="742"/>
    </row>
    <row r="23" spans="2:16" hidden="1" outlineLevel="1">
      <c r="D23" s="240"/>
      <c r="E23" s="241" t="s">
        <v>621</v>
      </c>
      <c r="F23" s="19" t="s">
        <v>621</v>
      </c>
      <c r="G23" s="732" t="s">
        <v>622</v>
      </c>
      <c r="H23" s="19" t="s">
        <v>620</v>
      </c>
      <c r="I23" s="19"/>
      <c r="J23" s="241" t="s">
        <v>621</v>
      </c>
      <c r="K23" s="19" t="s">
        <v>621</v>
      </c>
      <c r="L23" s="732" t="s">
        <v>622</v>
      </c>
      <c r="M23" s="19" t="s">
        <v>620</v>
      </c>
      <c r="N23" s="258"/>
      <c r="O23" s="742"/>
    </row>
    <row r="24" spans="2:16" ht="16.5" hidden="1" outlineLevel="1" thickBot="1">
      <c r="D24" s="743"/>
      <c r="E24" s="244" t="s">
        <v>623</v>
      </c>
      <c r="F24" s="16" t="s">
        <v>623</v>
      </c>
      <c r="G24" s="16" t="s">
        <v>624</v>
      </c>
      <c r="H24" s="744" t="s">
        <v>622</v>
      </c>
      <c r="I24" s="16" t="s">
        <v>618</v>
      </c>
      <c r="J24" s="244" t="s">
        <v>623</v>
      </c>
      <c r="K24" s="16" t="s">
        <v>623</v>
      </c>
      <c r="L24" s="16" t="s">
        <v>624</v>
      </c>
      <c r="M24" s="744" t="s">
        <v>622</v>
      </c>
      <c r="N24" s="245" t="s">
        <v>618</v>
      </c>
      <c r="O24" s="745"/>
    </row>
    <row r="25" spans="2:16" hidden="1" outlineLevel="1">
      <c r="B25" s="98" t="s">
        <v>1117</v>
      </c>
      <c r="C25" s="10" t="s">
        <v>627</v>
      </c>
      <c r="D25" s="117" t="s">
        <v>374</v>
      </c>
      <c r="E25" s="746"/>
      <c r="F25" s="721"/>
      <c r="G25" s="721">
        <f>VLOOKUP($C25, Enrollment!$A$1:$I$15, MATCH(I20, Enrollment!$A$2:$I$2,0),0)</f>
        <v>231929</v>
      </c>
      <c r="H25" s="45">
        <f ca="1">VLOOKUP($H$3, INDIRECT("'" &amp; LEFT($D25,1) &amp; "S_Detail'!$A$1:$AA$178"), MATCH(I20, INDIRECT("'" &amp; LEFT($D25,1) &amp; "S_Detail'!$U$4:$AA$4"), 0)+20, 0)</f>
        <v>20892.749809320685</v>
      </c>
      <c r="I25" s="45">
        <f ca="1">+H25*G25</f>
        <v>4845634570.5259371</v>
      </c>
      <c r="J25" s="746"/>
      <c r="K25" s="45"/>
      <c r="L25" s="721">
        <f>VLOOKUP($C25, Enrollment!$A$1:$I$15, MATCH(N20, Enrollment!$A$2:$I$2,0),0)</f>
        <v>233267.36449222505</v>
      </c>
      <c r="M25" s="45">
        <f ca="1">VLOOKUP($H$3, INDIRECT("'" &amp; LEFT($D25,1) &amp; "S_Detail'!$A$1:$AA$178"), MATCH(N20, INDIRECT("'" &amp; LEFT($D25,1) &amp; "S_Detail'!$U$4:$AA$4"), 0)+20, 0)</f>
        <v>21820.133379141957</v>
      </c>
      <c r="N25" s="747">
        <f ca="1">+L25*M25</f>
        <v>5089925006.2212734</v>
      </c>
      <c r="O25" s="251">
        <f ca="1">+I25+N25</f>
        <v>9935559576.7472115</v>
      </c>
    </row>
    <row r="26" spans="2:16" hidden="1" outlineLevel="1">
      <c r="B26" s="11" t="s">
        <v>673</v>
      </c>
      <c r="C26" s="211" t="s">
        <v>628</v>
      </c>
      <c r="D26" s="117" t="s">
        <v>375</v>
      </c>
      <c r="E26" s="746"/>
      <c r="F26" s="721"/>
      <c r="G26" s="721">
        <f>VLOOKUP($C26, Enrollment!$A$1:$I$15, MATCH(I20, Enrollment!$A$2:$I$2,0),0)</f>
        <v>127854</v>
      </c>
      <c r="H26" s="45">
        <f ca="1">VLOOKUP($H$3, INDIRECT("'" &amp; LEFT($D26,1) &amp; "S_Detail'!$A$1:$AA$178"), MATCH(I20, INDIRECT("'" &amp; LEFT($D26,1) &amp; "S_Detail'!$U$4:$AA$4"), 0)+20, 0)</f>
        <v>20460.420675245958</v>
      </c>
      <c r="I26" s="45">
        <f ca="1">+H26*G26</f>
        <v>2615946625.0128965</v>
      </c>
      <c r="J26" s="746"/>
      <c r="K26" s="45"/>
      <c r="L26" s="721">
        <f>VLOOKUP($C26, Enrollment!$A$1:$I$15, MATCH(N20, Enrollment!$A$2:$I$2,0),0)</f>
        <v>128591.79153874221</v>
      </c>
      <c r="M26" s="45">
        <f ca="1">VLOOKUP($H$3, INDIRECT("'" &amp; LEFT($D26,1) &amp; "S_Detail'!$A$1:$AA$178"), MATCH(N20, INDIRECT("'" &amp; LEFT($D26,1) &amp; "S_Detail'!$U$4:$AA$4"), 0)+20, 0)</f>
        <v>21347.433282523551</v>
      </c>
      <c r="N26" s="747">
        <f ca="1">+L26*M26</f>
        <v>2745104690.5534759</v>
      </c>
      <c r="O26" s="251">
        <f ca="1">+I26+N26</f>
        <v>5361051315.5663719</v>
      </c>
    </row>
    <row r="27" spans="2:16" hidden="1" outlineLevel="1">
      <c r="B27" s="11" t="s">
        <v>674</v>
      </c>
      <c r="C27" s="211" t="s">
        <v>629</v>
      </c>
      <c r="D27" s="117" t="s">
        <v>376</v>
      </c>
      <c r="E27" s="746"/>
      <c r="F27" s="721"/>
      <c r="G27" s="721">
        <f>VLOOKUP($C27, Enrollment!$A$1:$I$15, MATCH(I20, Enrollment!$A$2:$I$2,0),0)</f>
        <v>167399.84999999998</v>
      </c>
      <c r="H27" s="45">
        <f ca="1">VLOOKUP($H$3, INDIRECT("'" &amp; LEFT($D27,1) &amp; "S_Detail'!$A$1:$AA$178"), MATCH(I20, INDIRECT("'" &amp; LEFT($D27,1) &amp; "S_Detail'!$U$4:$AA$4"), 0)+20, 0)</f>
        <v>19338.447387603635</v>
      </c>
      <c r="I27" s="45">
        <f ca="1">+H27*G27</f>
        <v>3237253191.9177399</v>
      </c>
      <c r="J27" s="746"/>
      <c r="K27" s="45"/>
      <c r="L27" s="721">
        <f>VLOOKUP($C27, Enrollment!$A$1:$I$15, MATCH(N20, Enrollment!$A$2:$I$2,0),0)</f>
        <v>168365.84396903275</v>
      </c>
      <c r="M27" s="45">
        <f ca="1">VLOOKUP($H$3, INDIRECT("'" &amp; LEFT($D27,1) &amp; "S_Detail'!$A$1:$AA$178"), MATCH(N20, INDIRECT("'" &amp; LEFT($D27,1) &amp; "S_Detail'!$U$4:$AA$4"), 0)+20, 0)</f>
        <v>20158.633663498793</v>
      </c>
      <c r="N27" s="747">
        <f ca="1">+L27*M27</f>
        <v>3394025370.017529</v>
      </c>
      <c r="O27" s="251">
        <f ca="1">+I27+N27</f>
        <v>6631278561.9352684</v>
      </c>
    </row>
    <row r="28" spans="2:16" hidden="1" outlineLevel="1">
      <c r="B28" s="11" t="s">
        <v>672</v>
      </c>
      <c r="D28" s="117"/>
      <c r="E28" s="746"/>
      <c r="F28" s="721"/>
      <c r="G28" s="721"/>
      <c r="H28" s="45"/>
      <c r="I28" s="45"/>
      <c r="J28" s="746"/>
      <c r="K28" s="721"/>
      <c r="L28" s="721"/>
      <c r="M28" s="45"/>
      <c r="N28" s="747"/>
      <c r="O28" s="118"/>
    </row>
    <row r="29" spans="2:16" hidden="1" outlineLevel="1">
      <c r="D29" s="117" t="s">
        <v>630</v>
      </c>
      <c r="E29" s="746">
        <f ca="1">VLOOKUP($E$3, Enrollment!$B$1:$I$15, MATCH(I20, Enrollment!$B$2:$I$2,0),0)</f>
        <v>667464</v>
      </c>
      <c r="F29" s="45">
        <f ca="1">+I29/E29</f>
        <v>16029.080800547406</v>
      </c>
      <c r="G29" s="721">
        <f>SUM(G25:G27)</f>
        <v>527182.85</v>
      </c>
      <c r="H29" s="45">
        <f ca="1">+I29/G29</f>
        <v>20294.352116076185</v>
      </c>
      <c r="I29" s="45">
        <f ca="1">SUM(I25:I28)</f>
        <v>10698834387.456573</v>
      </c>
      <c r="J29" s="746">
        <f ca="1">VLOOKUP($E$3, Enrollment!$B$1:$I$15, MATCH(N20, Enrollment!$B$2:$I$2,0),0)</f>
        <v>660728</v>
      </c>
      <c r="K29" s="45">
        <f ca="1">+N29/J29</f>
        <v>16994.973827039688</v>
      </c>
      <c r="L29" s="721">
        <f>SUM(L25:L27)</f>
        <v>530225</v>
      </c>
      <c r="M29" s="45">
        <f ca="1">+N29/L29</f>
        <v>21177.905732080304</v>
      </c>
      <c r="N29" s="747">
        <f ca="1">SUM(N25:N28)</f>
        <v>11229055066.792278</v>
      </c>
      <c r="O29" s="251">
        <f ca="1">+I29+N29</f>
        <v>21927889454.248852</v>
      </c>
    </row>
    <row r="30" spans="2:16" hidden="1" outlineLevel="1">
      <c r="D30" s="748" t="s">
        <v>634</v>
      </c>
      <c r="E30" s="749"/>
      <c r="F30" s="750"/>
      <c r="G30" s="751"/>
      <c r="H30" s="750"/>
      <c r="I30" s="750">
        <f ca="1">G29*INDEX(ES_Detail!$A$1:$AA$179,MATCH("diff",ES_Detail!$A$1:$A$179,0),MATCH(I20,ES_Detail!$A$4:$AA$4,0))</f>
        <v>672646969.39068866</v>
      </c>
      <c r="J30" s="749"/>
      <c r="K30" s="750"/>
      <c r="L30" s="751"/>
      <c r="M30" s="750"/>
      <c r="N30" s="752">
        <f ca="1">L29*INDEX(ES_Detail!$A$1:$AA$179,MATCH("diff",ES_Detail!$A$1:$A$179,0),MATCH(N20,ES_Detail!$A$4:$AA$4,0))</f>
        <v>689579147.06739998</v>
      </c>
      <c r="O30" s="753">
        <f ca="1">+I30+N30</f>
        <v>1362226116.4580886</v>
      </c>
    </row>
    <row r="31" spans="2:16" hidden="1" outlineLevel="1">
      <c r="D31" s="240" t="s">
        <v>635</v>
      </c>
      <c r="E31" s="754"/>
      <c r="F31" s="45"/>
      <c r="G31" s="721"/>
      <c r="H31" s="45"/>
      <c r="I31" s="736">
        <f ca="1">+I29+I30</f>
        <v>11371481356.847261</v>
      </c>
      <c r="J31" s="754"/>
      <c r="K31" s="719"/>
      <c r="L31" s="721"/>
      <c r="M31" s="45"/>
      <c r="N31" s="755">
        <f ca="1">+N29+N30</f>
        <v>11918634213.859678</v>
      </c>
      <c r="O31" s="755">
        <f ca="1">SUM(O29:O30)</f>
        <v>23290115570.70694</v>
      </c>
      <c r="P31" s="45"/>
    </row>
    <row r="32" spans="2:16" hidden="1" outlineLevel="1">
      <c r="B32" s="226" t="s">
        <v>218</v>
      </c>
      <c r="D32" s="117" t="s">
        <v>636</v>
      </c>
      <c r="E32" s="117"/>
      <c r="I32" s="45">
        <f ca="1">VLOOKUP($B32, RevenueForecasts!$A$2:$F$18, MATCH(I20, RevenueForecasts!$A$2:$D$2,0),0)</f>
        <v>1236242928.4452004</v>
      </c>
      <c r="J32" s="754"/>
      <c r="K32" s="45"/>
      <c r="L32" s="721"/>
      <c r="M32" s="45"/>
      <c r="N32" s="747">
        <f ca="1">VLOOKUP($B32, RevenueForecasts!$A$2:$F$18, MATCH(N20, RevenueForecasts!$A$2:$D$2,0),0)</f>
        <v>1322877224.4194498</v>
      </c>
      <c r="O32" s="747">
        <f ca="1">+I32+N32</f>
        <v>2559120152.8646502</v>
      </c>
    </row>
    <row r="33" spans="2:16" hidden="1" outlineLevel="1">
      <c r="B33" s="226" t="s">
        <v>669</v>
      </c>
      <c r="D33" s="117" t="s">
        <v>637</v>
      </c>
      <c r="E33" s="117"/>
      <c r="I33" s="45">
        <f ca="1">VLOOKUP($B33, RevenueForecasts!$A$2:$F$18, MATCH(I20, RevenueForecasts!$A$2:$D$2,0),0)</f>
        <v>922770675.48691106</v>
      </c>
      <c r="J33" s="754"/>
      <c r="K33" s="45"/>
      <c r="L33" s="721"/>
      <c r="M33" s="45"/>
      <c r="N33" s="747">
        <f ca="1">VLOOKUP($B33, RevenueForecasts!$A$2:$F$18, MATCH(N20, RevenueForecasts!$A$2:$D$2,0),0)</f>
        <v>988896806.58644712</v>
      </c>
      <c r="O33" s="747">
        <f ca="1">+I33+N33</f>
        <v>1911667482.0733581</v>
      </c>
    </row>
    <row r="34" spans="2:16" hidden="1" outlineLevel="1">
      <c r="B34" s="226" t="s">
        <v>225</v>
      </c>
      <c r="D34" s="117" t="s">
        <v>638</v>
      </c>
      <c r="E34" s="117"/>
      <c r="I34" s="45">
        <f ca="1">VLOOKUP($B34, RevenueForecasts!$A$2:$F$18, MATCH(I20, RevenueForecasts!$A$2:$D$2,0),0)</f>
        <v>11611891.685445422</v>
      </c>
      <c r="J34" s="754"/>
      <c r="K34" s="45"/>
      <c r="L34" s="721"/>
      <c r="M34" s="45"/>
      <c r="N34" s="747">
        <f ca="1">VLOOKUP($B34, RevenueForecasts!$A$2:$F$18, MATCH(N20, RevenueForecasts!$A$2:$D$2,0),0)</f>
        <v>12107326.703127088</v>
      </c>
      <c r="O34" s="747">
        <f ca="1">+I34+N34</f>
        <v>23719218.38857251</v>
      </c>
    </row>
    <row r="35" spans="2:16" hidden="1" outlineLevel="1">
      <c r="B35" s="11" t="s">
        <v>1112</v>
      </c>
      <c r="D35" s="748" t="s">
        <v>639</v>
      </c>
      <c r="E35" s="748"/>
      <c r="F35" s="15"/>
      <c r="G35" s="15"/>
      <c r="H35" s="15"/>
      <c r="I35" s="750">
        <f ca="1">VLOOKUP($B35, PayrollBenefits!$C$1:$CZ$18, MATCH(I20,PayrollBenefits!$C$2:$J$2,0),0)</f>
        <v>-198751251.57317159</v>
      </c>
      <c r="J35" s="749"/>
      <c r="K35" s="750"/>
      <c r="L35" s="751"/>
      <c r="M35" s="750"/>
      <c r="N35" s="752">
        <f ca="1">VLOOKUP($B35, PayrollBenefits!$C$1:$CZ$17, MATCH(N20,PayrollBenefits!$C$2:$J$2,0),0)</f>
        <v>-202553000.53705567</v>
      </c>
      <c r="O35" s="752">
        <f ca="1">+I35+N35</f>
        <v>-401304252.11022723</v>
      </c>
    </row>
    <row r="36" spans="2:16" hidden="1" outlineLevel="1">
      <c r="D36" s="240" t="s">
        <v>640</v>
      </c>
      <c r="E36" s="117"/>
      <c r="I36" s="736">
        <f ca="1">+I31-I32-I33-I34-I35</f>
        <v>9399607112.8028755</v>
      </c>
      <c r="J36" s="754"/>
      <c r="K36" s="45"/>
      <c r="L36" s="721"/>
      <c r="M36" s="45"/>
      <c r="N36" s="755">
        <f ca="1">+N31-N32-N33-N34-N35</f>
        <v>9797305856.6877098</v>
      </c>
      <c r="O36" s="755">
        <f ca="1">+O31-O32-O33-O34-O35</f>
        <v>19196912969.490585</v>
      </c>
    </row>
    <row r="37" spans="2:16" hidden="1" outlineLevel="1">
      <c r="B37" s="11" t="s">
        <v>667</v>
      </c>
      <c r="D37" s="60" t="s">
        <v>1113</v>
      </c>
      <c r="E37" s="117"/>
      <c r="I37" s="130">
        <f ca="1">I36*VLOOKUP($B37, RevenueForecasts!$A$2:$F$18,MATCH('Scale-Up'!I20,RevenueForecasts!$A$2:$D$2,0),0)</f>
        <v>8953125774.9447384</v>
      </c>
      <c r="J37" s="754"/>
      <c r="K37" s="45"/>
      <c r="L37" s="721"/>
      <c r="M37" s="45"/>
      <c r="N37" s="251">
        <f ca="1">N36*VLOOKUP($B37, RevenueForecasts!$A$2:$F$18,MATCH('Scale-Up'!N20,RevenueForecasts!$A$2:$D$2,0),0)</f>
        <v>9331933828.4950428</v>
      </c>
      <c r="O37" s="251">
        <f ca="1">+N37+I37</f>
        <v>18285059603.439781</v>
      </c>
    </row>
    <row r="38" spans="2:16" hidden="1" outlineLevel="1">
      <c r="D38" s="60" t="s">
        <v>1114</v>
      </c>
      <c r="E38" s="117"/>
      <c r="I38" s="130">
        <f ca="1">I36-I37</f>
        <v>446481337.85813713</v>
      </c>
      <c r="J38" s="754"/>
      <c r="K38" s="45"/>
      <c r="L38" s="721"/>
      <c r="M38" s="45"/>
      <c r="N38" s="251">
        <f ca="1">N36-N37</f>
        <v>465372028.19266701</v>
      </c>
      <c r="O38" s="251">
        <f ca="1">+N38+I38</f>
        <v>911853366.05080414</v>
      </c>
    </row>
    <row r="39" spans="2:16" hidden="1" outlineLevel="1">
      <c r="B39" s="164" t="s">
        <v>675</v>
      </c>
      <c r="D39" s="117" t="s">
        <v>641</v>
      </c>
      <c r="E39" s="117"/>
      <c r="I39" s="45">
        <f>VLOOKUP($B39, RevenueForecasts!$A$2:$F$18, MATCH(I20, RevenueForecasts!$A$2:$D$2,0),0)</f>
        <v>2748262919</v>
      </c>
      <c r="J39" s="754"/>
      <c r="K39" s="45"/>
      <c r="L39" s="721"/>
      <c r="M39" s="45"/>
      <c r="N39" s="747">
        <f>VLOOKUP($B39, RevenueForecasts!$A$2:$F$18, MATCH(N20, RevenueForecasts!$A$2:$D$2,0),0)</f>
        <v>2865645794</v>
      </c>
      <c r="O39" s="747">
        <f>+N39+I39</f>
        <v>5613908713</v>
      </c>
    </row>
    <row r="40" spans="2:16" hidden="1" outlineLevel="1">
      <c r="B40" s="10" t="s">
        <v>676</v>
      </c>
      <c r="D40" s="117" t="s">
        <v>642</v>
      </c>
      <c r="E40" s="117"/>
      <c r="I40" s="45">
        <f ca="1">VLOOKUP($B40, 'K-12_assumptions'!$A$1:$L$189, MATCH(I20, 'K-12_assumptions'!$A$6:$L$6,0),0)*(10^6)</f>
        <v>55000000</v>
      </c>
      <c r="J40" s="754"/>
      <c r="K40" s="45"/>
      <c r="L40" s="721"/>
      <c r="M40" s="45"/>
      <c r="N40" s="747">
        <f ca="1">VLOOKUP($B40, 'K-12_assumptions'!$A$1:$L$189, MATCH(N20, 'K-12_assumptions'!$A$6:$L$6,0),0)*(10^6)</f>
        <v>55000000</v>
      </c>
      <c r="O40" s="747">
        <f ca="1">+N40+I40</f>
        <v>110000000</v>
      </c>
    </row>
    <row r="41" spans="2:16" ht="16.5" hidden="1" outlineLevel="1" thickBot="1">
      <c r="D41" s="756" t="s">
        <v>643</v>
      </c>
      <c r="E41" s="756"/>
      <c r="F41" s="154"/>
      <c r="G41" s="154"/>
      <c r="H41" s="154"/>
      <c r="I41" s="208"/>
      <c r="J41" s="757"/>
      <c r="K41" s="208"/>
      <c r="L41" s="758"/>
      <c r="M41" s="208"/>
      <c r="N41" s="759"/>
      <c r="O41" s="759">
        <v>0</v>
      </c>
    </row>
    <row r="42" spans="2:16" ht="16.5" hidden="1" outlineLevel="1" thickBot="1">
      <c r="D42" s="743" t="s">
        <v>644</v>
      </c>
      <c r="E42" s="41"/>
      <c r="F42" s="41"/>
      <c r="G42" s="41"/>
      <c r="H42" s="41"/>
      <c r="I42" s="760">
        <f ca="1">+I36-I39+I40</f>
        <v>6706344193.8028755</v>
      </c>
      <c r="J42" s="761"/>
      <c r="K42" s="762"/>
      <c r="L42" s="763"/>
      <c r="M42" s="762"/>
      <c r="N42" s="764">
        <f ca="1">+N36-N39+N40</f>
        <v>6986660062.6877098</v>
      </c>
      <c r="O42" s="764">
        <f ca="1">+O36-O39+O40</f>
        <v>13693004256.490585</v>
      </c>
    </row>
    <row r="43" spans="2:16" hidden="1" outlineLevel="1">
      <c r="D43" s="17"/>
      <c r="H43" s="765" t="s">
        <v>645</v>
      </c>
      <c r="I43" s="766">
        <f>0.49*O43</f>
        <v>5566126918.0999994</v>
      </c>
      <c r="M43" s="765" t="s">
        <v>645</v>
      </c>
      <c r="N43" s="736">
        <f>0.51*O43</f>
        <v>5793315771.9000006</v>
      </c>
      <c r="O43" s="767">
        <v>11359442690</v>
      </c>
      <c r="P43" s="11" t="s">
        <v>927</v>
      </c>
    </row>
    <row r="44" spans="2:16" hidden="1" outlineLevel="1">
      <c r="D44" s="17"/>
      <c r="I44" s="768">
        <f ca="1">+I42-I43</f>
        <v>1140217275.7028761</v>
      </c>
      <c r="M44" s="765"/>
      <c r="N44" s="768">
        <f ca="1">+N42-N43</f>
        <v>1193344290.7877092</v>
      </c>
      <c r="O44" s="768">
        <f ca="1">+O42-O43</f>
        <v>2333561566.4905853</v>
      </c>
    </row>
    <row r="45" spans="2:16" ht="15.95" hidden="1" customHeight="1" outlineLevel="1">
      <c r="I45" s="769">
        <f ca="1">+I44/I43</f>
        <v>0.20484931308251411</v>
      </c>
      <c r="L45" s="770"/>
      <c r="N45" s="769">
        <f ca="1">+N44/N43</f>
        <v>0.205986405328694</v>
      </c>
      <c r="O45" s="769">
        <f ca="1">+O44/O43</f>
        <v>0.20542923012806585</v>
      </c>
    </row>
    <row r="46" spans="2:16" ht="16.5" collapsed="1" thickBot="1">
      <c r="J46" s="10"/>
    </row>
    <row r="47" spans="2:16">
      <c r="D47" s="53"/>
      <c r="E47" s="53"/>
      <c r="F47" s="739"/>
      <c r="G47" s="739"/>
      <c r="H47" s="739"/>
      <c r="I47" s="740" t="str">
        <f>Years!D$7</f>
        <v>2027-28</v>
      </c>
      <c r="J47" s="53"/>
      <c r="K47" s="740"/>
      <c r="L47" s="739"/>
      <c r="M47" s="739"/>
      <c r="N47" s="741" t="str">
        <f>Years!E$7</f>
        <v>2028-29</v>
      </c>
      <c r="O47" s="741" t="s">
        <v>662</v>
      </c>
    </row>
    <row r="48" spans="2:16">
      <c r="D48" s="240"/>
      <c r="E48" s="240"/>
      <c r="F48" s="19" t="s">
        <v>618</v>
      </c>
      <c r="G48" s="17"/>
      <c r="H48" s="17"/>
      <c r="I48" s="17"/>
      <c r="J48" s="240"/>
      <c r="K48" s="19" t="s">
        <v>618</v>
      </c>
      <c r="L48" s="17"/>
      <c r="M48" s="17"/>
      <c r="N48" s="742"/>
      <c r="O48" s="742"/>
    </row>
    <row r="49" spans="1:16">
      <c r="D49" s="240"/>
      <c r="E49" s="240"/>
      <c r="F49" s="19" t="s">
        <v>620</v>
      </c>
      <c r="G49" s="19"/>
      <c r="H49" s="19" t="s">
        <v>618</v>
      </c>
      <c r="I49" s="19"/>
      <c r="J49" s="240"/>
      <c r="K49" s="19" t="s">
        <v>620</v>
      </c>
      <c r="L49" s="19"/>
      <c r="M49" s="19" t="s">
        <v>618</v>
      </c>
      <c r="N49" s="258"/>
      <c r="O49" s="742"/>
    </row>
    <row r="50" spans="1:16">
      <c r="D50" s="240"/>
      <c r="E50" s="241" t="s">
        <v>621</v>
      </c>
      <c r="F50" s="19" t="s">
        <v>621</v>
      </c>
      <c r="G50" s="732" t="s">
        <v>622</v>
      </c>
      <c r="H50" s="19" t="s">
        <v>620</v>
      </c>
      <c r="I50" s="19"/>
      <c r="J50" s="241" t="s">
        <v>621</v>
      </c>
      <c r="K50" s="19" t="s">
        <v>621</v>
      </c>
      <c r="L50" s="732" t="s">
        <v>622</v>
      </c>
      <c r="M50" s="19" t="s">
        <v>620</v>
      </c>
      <c r="N50" s="258"/>
      <c r="O50" s="742"/>
    </row>
    <row r="51" spans="1:16" ht="16.5" thickBot="1">
      <c r="D51" s="743"/>
      <c r="E51" s="244" t="s">
        <v>623</v>
      </c>
      <c r="F51" s="16" t="s">
        <v>623</v>
      </c>
      <c r="G51" s="16" t="s">
        <v>624</v>
      </c>
      <c r="H51" s="744" t="s">
        <v>622</v>
      </c>
      <c r="I51" s="16" t="s">
        <v>618</v>
      </c>
      <c r="J51" s="244" t="s">
        <v>623</v>
      </c>
      <c r="K51" s="16" t="s">
        <v>623</v>
      </c>
      <c r="L51" s="16" t="s">
        <v>624</v>
      </c>
      <c r="M51" s="744" t="s">
        <v>622</v>
      </c>
      <c r="N51" s="245" t="s">
        <v>618</v>
      </c>
      <c r="O51" s="745"/>
    </row>
    <row r="52" spans="1:16">
      <c r="C52" s="10" t="s">
        <v>627</v>
      </c>
      <c r="D52" s="117" t="s">
        <v>374</v>
      </c>
      <c r="E52" s="746"/>
      <c r="F52" s="721"/>
      <c r="G52" s="721">
        <f>VLOOKUP($C52, Enrollment!$A$1:$I$15, MATCH(I47, Enrollment!$A$2:$I$2,0),0)</f>
        <v>232247.14285375559</v>
      </c>
      <c r="H52" s="45">
        <f ca="1">VLOOKUP($H$3, INDIRECT("'" &amp; LEFT($D52,1) &amp; "S_Detail'!$A$1:$AA$178"), MATCH(I47, INDIRECT("'" &amp; LEFT($D52,1) &amp; "S_Detail'!$U$4:$AA$4"), 0)+20, 0)</f>
        <v>25174.533309180348</v>
      </c>
      <c r="I52" s="45">
        <f ca="1">+G52*H52</f>
        <v>5846713433.7338371</v>
      </c>
      <c r="J52" s="746"/>
      <c r="K52" s="45"/>
      <c r="L52" s="721">
        <f>VLOOKUP($C52, Enrollment!$A$1:$I$15, MATCH(N47, Enrollment!$A$2:$I$2,0),0)</f>
        <v>231231.76055897874</v>
      </c>
      <c r="M52" s="45">
        <f ca="1">VLOOKUP($H$3, INDIRECT("'" &amp; LEFT($D52,1) &amp; "S_Detail'!$A$1:$AA$178"), MATCH(N47, INDIRECT("'" &amp; LEFT($D52,1) &amp; "S_Detail'!$U$4:$AA$4"), 0)+20, 0)</f>
        <v>26219.317419386542</v>
      </c>
      <c r="N52" s="747">
        <f ca="1">+L52*M52</f>
        <v>6062738927.5394487</v>
      </c>
      <c r="O52" s="251">
        <f ca="1">+I52+N52</f>
        <v>11909452361.273285</v>
      </c>
    </row>
    <row r="53" spans="1:16">
      <c r="C53" s="211" t="s">
        <v>628</v>
      </c>
      <c r="D53" s="117" t="s">
        <v>375</v>
      </c>
      <c r="E53" s="746"/>
      <c r="F53" s="721"/>
      <c r="G53" s="721">
        <f>VLOOKUP($C53, Enrollment!$A$1:$I$15, MATCH(I47, Enrollment!$A$2:$I$2,0),0)</f>
        <v>128029.38055363524</v>
      </c>
      <c r="H53" s="45">
        <f ca="1">VLOOKUP($H$3, INDIRECT("'" &amp; LEFT($D53,1) &amp; "S_Detail'!$A$1:$AA$178"), MATCH(I47, INDIRECT("'" &amp; LEFT($D53,1) &amp; "S_Detail'!$U$4:$AA$4"), 0)+20, 0)</f>
        <v>23652.752746329526</v>
      </c>
      <c r="I53" s="45">
        <f ca="1">+G53*H53</f>
        <v>3028247282.500864</v>
      </c>
      <c r="J53" s="746"/>
      <c r="K53" s="45"/>
      <c r="L53" s="721">
        <f>VLOOKUP($C53, Enrollment!$A$1:$I$15, MATCH(N47, Enrollment!$A$2:$I$2,0),0)</f>
        <v>127469.6373222308</v>
      </c>
      <c r="M53" s="45">
        <f ca="1">VLOOKUP($H$3, INDIRECT("'" &amp; LEFT($D53,1) &amp; "S_Detail'!$A$1:$AA$178"), MATCH(N47, INDIRECT("'" &amp; LEFT($D53,1) &amp; "S_Detail'!$U$4:$AA$4"), 0)+20, 0)</f>
        <v>24636.556441425244</v>
      </c>
      <c r="N53" s="747">
        <f ca="1">+L53*M53</f>
        <v>3140412914.4571452</v>
      </c>
      <c r="O53" s="251">
        <f ca="1">+I53+N53</f>
        <v>6168660196.9580097</v>
      </c>
    </row>
    <row r="54" spans="1:16">
      <c r="C54" s="211" t="s">
        <v>629</v>
      </c>
      <c r="D54" s="117" t="s">
        <v>376</v>
      </c>
      <c r="E54" s="746"/>
      <c r="F54" s="721"/>
      <c r="G54" s="721">
        <f>VLOOKUP($C54, Enrollment!$A$1:$I$15, MATCH(I47, Enrollment!$A$2:$I$2,0),0)</f>
        <v>167629.47659260916</v>
      </c>
      <c r="H54" s="45">
        <f ca="1">VLOOKUP($H$3, INDIRECT("'" &amp; LEFT($D54,1) &amp; "S_Detail'!$A$1:$AA$178"), MATCH(I47, INDIRECT("'" &amp; LEFT($D54,1) &amp; "S_Detail'!$U$4:$AA$4"), 0)+20, 0)</f>
        <v>22170.042211364198</v>
      </c>
      <c r="I54" s="45">
        <f ca="1">+G54*H54</f>
        <v>3716352571.927032</v>
      </c>
      <c r="J54" s="746"/>
      <c r="K54" s="45"/>
      <c r="L54" s="721">
        <f>VLOOKUP($C54, Enrollment!$A$1:$I$15, MATCH(N47, Enrollment!$A$2:$I$2,0),0)</f>
        <v>166896.60211879044</v>
      </c>
      <c r="M54" s="45">
        <f ca="1">VLOOKUP($H$3, INDIRECT("'" &amp; LEFT($D54,1) &amp; "S_Detail'!$A$1:$AA$178"), MATCH(N47, INDIRECT("'" &amp; LEFT($D54,1) &amp; "S_Detail'!$U$4:$AA$4"), 0)+20, 0)</f>
        <v>23086.99239256862</v>
      </c>
      <c r="N54" s="747">
        <f ca="1">+L54*M54</f>
        <v>3853140583.4620667</v>
      </c>
      <c r="O54" s="251">
        <f ca="1">+I54+N54</f>
        <v>7569493155.3890991</v>
      </c>
    </row>
    <row r="55" spans="1:16">
      <c r="D55" s="117"/>
      <c r="E55" s="746"/>
      <c r="F55" s="721"/>
      <c r="G55" s="721"/>
      <c r="H55" s="45"/>
      <c r="I55" s="45"/>
      <c r="J55" s="746"/>
      <c r="K55" s="721"/>
      <c r="L55" s="721"/>
      <c r="M55" s="45"/>
      <c r="N55" s="747"/>
      <c r="O55" s="118"/>
    </row>
    <row r="56" spans="1:16">
      <c r="A56" s="10" t="s">
        <v>694</v>
      </c>
      <c r="D56" s="117" t="s">
        <v>630</v>
      </c>
      <c r="E56" s="746">
        <f ca="1">VLOOKUP($E$3, Enrollment!$B$1:$I$15, MATCH(I47, Enrollment!$B$2:$I$2,0),0)</f>
        <v>654060</v>
      </c>
      <c r="F56" s="45">
        <f ca="1">+I56/E56</f>
        <v>19251.006464486032</v>
      </c>
      <c r="G56" s="721">
        <f>SUM(G52:G54)</f>
        <v>527906</v>
      </c>
      <c r="H56" s="45">
        <f ca="1">+I56/G56</f>
        <v>23851.430535287975</v>
      </c>
      <c r="I56" s="45">
        <f ca="1">SUM(I52:I55)*J1</f>
        <v>12591313288.161734</v>
      </c>
      <c r="J56" s="746">
        <f ca="1">VLOOKUP($E$3, Enrollment!$B$1:$I$15, MATCH(N47, Enrollment!$B$2:$I$2,0),0)</f>
        <v>647460</v>
      </c>
      <c r="K56" s="45">
        <f ca="1">+N56/J56</f>
        <v>20165.403925275168</v>
      </c>
      <c r="L56" s="721">
        <f>SUM(L52:L54)</f>
        <v>525598</v>
      </c>
      <c r="M56" s="45">
        <f ca="1">+N56/L56</f>
        <v>24840.833537149418</v>
      </c>
      <c r="N56" s="747">
        <f ca="1">SUM(N52:N55)*J1</f>
        <v>13056292425.45866</v>
      </c>
      <c r="O56" s="251">
        <f ca="1">+I56+N56</f>
        <v>25647605713.620392</v>
      </c>
      <c r="P56" s="227"/>
    </row>
    <row r="57" spans="1:16">
      <c r="A57" s="10" t="s">
        <v>695</v>
      </c>
      <c r="B57" s="10"/>
      <c r="D57" s="748" t="s">
        <v>634</v>
      </c>
      <c r="E57" s="749"/>
      <c r="F57" s="750"/>
      <c r="G57" s="751"/>
      <c r="H57" s="750"/>
      <c r="I57" s="750">
        <f ca="1">G56*INDEX(ES_Detail!$A$1:$AA$179,MATCH("diff",ES_Detail!$A$1:$A$179,0),MATCH(I47,ES_Detail!$A$4:$AA$4,0))</f>
        <v>690105692.8325156</v>
      </c>
      <c r="J57" s="749"/>
      <c r="K57" s="750"/>
      <c r="L57" s="751"/>
      <c r="M57" s="750"/>
      <c r="N57" s="752">
        <f ca="1">L56*INDEX(ES_Detail!$A$1:$AA$179,MATCH("diff",ES_Detail!$A$1:$A$179,0),MATCH(N47,ES_Detail!$A$4:$AA$4,0))</f>
        <v>739098288.75949359</v>
      </c>
      <c r="O57" s="753">
        <f ca="1">+I57+N57</f>
        <v>1429203981.5920091</v>
      </c>
      <c r="P57" s="227"/>
    </row>
    <row r="58" spans="1:16">
      <c r="D58" s="240" t="s">
        <v>635</v>
      </c>
      <c r="E58" s="754"/>
      <c r="F58" s="45"/>
      <c r="G58" s="721"/>
      <c r="H58" s="45"/>
      <c r="I58" s="736">
        <f ca="1">+I57+I56</f>
        <v>13281418980.994249</v>
      </c>
      <c r="J58" s="754"/>
      <c r="K58" s="719"/>
      <c r="L58" s="721"/>
      <c r="M58" s="45"/>
      <c r="N58" s="755">
        <f ca="1">+N57+N56</f>
        <v>13795390714.218153</v>
      </c>
      <c r="O58" s="755">
        <f ca="1">+O56+O57</f>
        <v>27076809695.212402</v>
      </c>
      <c r="P58" s="45"/>
    </row>
    <row r="59" spans="1:16">
      <c r="A59" s="10" t="s">
        <v>699</v>
      </c>
      <c r="B59" s="226" t="s">
        <v>218</v>
      </c>
      <c r="D59" s="117" t="s">
        <v>636</v>
      </c>
      <c r="E59" s="117"/>
      <c r="I59" s="45">
        <f ca="1">VLOOKUP($B59, RevenueForecasts!$A$2:$H$18, MATCH(I47, RevenueForecasts!$A$2:$G$2,0),0)</f>
        <v>1411112936.3625567</v>
      </c>
      <c r="J59" s="754"/>
      <c r="K59" s="45"/>
      <c r="L59" s="721"/>
      <c r="M59" s="45"/>
      <c r="N59" s="747">
        <f ca="1">VLOOKUP($B59, RevenueForecasts!$A$2:$H$18, MATCH(N47, RevenueForecasts!$A$2:$G$2,0),0)</f>
        <v>1502130236.4410532</v>
      </c>
      <c r="O59" s="747">
        <f ca="1">+I59+N59</f>
        <v>2913243172.8036098</v>
      </c>
      <c r="P59" s="227"/>
    </row>
    <row r="60" spans="1:16">
      <c r="A60" s="10" t="s">
        <v>701</v>
      </c>
      <c r="B60" s="226" t="s">
        <v>669</v>
      </c>
      <c r="D60" s="117" t="s">
        <v>637</v>
      </c>
      <c r="E60" s="117"/>
      <c r="I60" s="45">
        <f ca="1">VLOOKUP($B60, RevenueForecasts!$A$2:$H$18, MATCH(I47, RevenueForecasts!$A$2:$G$2,0),0)</f>
        <v>1067288060.5785795</v>
      </c>
      <c r="J60" s="754"/>
      <c r="K60" s="45"/>
      <c r="L60" s="721"/>
      <c r="M60" s="45"/>
      <c r="N60" s="747">
        <f ca="1">VLOOKUP($B60, RevenueForecasts!$A$2:$H$18, MATCH(N47, RevenueForecasts!$A$2:$G$2,0),0)</f>
        <v>1156684634.9881868</v>
      </c>
      <c r="O60" s="747">
        <f ca="1">+I60+N60</f>
        <v>2223972695.5667663</v>
      </c>
      <c r="P60" s="771"/>
    </row>
    <row r="61" spans="1:16">
      <c r="A61" s="10" t="s">
        <v>703</v>
      </c>
      <c r="B61" s="226" t="s">
        <v>225</v>
      </c>
      <c r="D61" s="117" t="s">
        <v>638</v>
      </c>
      <c r="E61" s="117"/>
      <c r="I61" s="45">
        <f ca="1">VLOOKUP($B61, RevenueForecasts!$A$2:$H$18, MATCH(I47, RevenueForecasts!$A$2:$G$2,0),0)</f>
        <v>12623900.038612122</v>
      </c>
      <c r="J61" s="754"/>
      <c r="K61" s="45"/>
      <c r="L61" s="721"/>
      <c r="M61" s="45"/>
      <c r="N61" s="747">
        <f ca="1">VLOOKUP($B61, RevenueForecasts!$A$2:$H$18, MATCH(N47, RevenueForecasts!$A$2:$G$2,0),0)</f>
        <v>13162513.583094342</v>
      </c>
      <c r="O61" s="747">
        <f ca="1">+I61+N61</f>
        <v>25786413.621706463</v>
      </c>
      <c r="P61" s="728"/>
    </row>
    <row r="62" spans="1:16">
      <c r="A62" s="10" t="s">
        <v>704</v>
      </c>
      <c r="B62" s="11" t="s">
        <v>1112</v>
      </c>
      <c r="D62" s="748" t="s">
        <v>639</v>
      </c>
      <c r="E62" s="748"/>
      <c r="F62" s="15"/>
      <c r="G62" s="15"/>
      <c r="H62" s="15"/>
      <c r="I62" s="750">
        <f ca="1">VLOOKUP($B62, PayrollBenefits!$C$1:$CZ$18, MATCH(I47,PayrollBenefits!$C$2:$J$2,0),0)</f>
        <v>-210032902.23540348</v>
      </c>
      <c r="J62" s="749"/>
      <c r="K62" s="750"/>
      <c r="L62" s="751"/>
      <c r="M62" s="750"/>
      <c r="N62" s="752">
        <f ca="1">VLOOKUP($B62, PayrollBenefits!$C$1:$CZ$17, MATCH(N47,PayrollBenefits!$C$2:$J$2,0),0)</f>
        <v>-35187574.992319345</v>
      </c>
      <c r="O62" s="752">
        <f ca="1">+I62+N62</f>
        <v>-245220477.22772282</v>
      </c>
      <c r="P62" s="728"/>
    </row>
    <row r="63" spans="1:16" s="10" customFormat="1">
      <c r="A63" s="11"/>
      <c r="D63" s="240" t="s">
        <v>646</v>
      </c>
      <c r="E63" s="117"/>
      <c r="F63" s="11"/>
      <c r="G63" s="11"/>
      <c r="H63" s="11"/>
      <c r="I63" s="736">
        <f ca="1">+I58-I59-I60-I61-I62</f>
        <v>11000426986.249905</v>
      </c>
      <c r="J63" s="754"/>
      <c r="K63" s="45"/>
      <c r="L63" s="721"/>
      <c r="M63" s="45"/>
      <c r="N63" s="755">
        <f ca="1">+N58-N59-N60-N61-N62</f>
        <v>11158600904.198139</v>
      </c>
      <c r="O63" s="755">
        <f ca="1">+O58-O59-O60-O61-O62</f>
        <v>22159027890.44804</v>
      </c>
      <c r="P63" s="772"/>
    </row>
    <row r="64" spans="1:16">
      <c r="B64" s="11" t="s">
        <v>667</v>
      </c>
      <c r="D64" s="60" t="s">
        <v>1113</v>
      </c>
      <c r="E64" s="117"/>
      <c r="I64" s="87">
        <f ca="1">I63*VLOOKUP($B64, RevenueForecasts!$A$2:$H$18,MATCH('Scale-Up'!I47,RevenueForecasts!$A$2:$G$2,0),0)</f>
        <v>10477906704.403034</v>
      </c>
      <c r="J64" s="754"/>
      <c r="K64" s="45"/>
      <c r="L64" s="721"/>
      <c r="M64" s="45"/>
      <c r="N64" s="773">
        <f ca="1">N63*VLOOKUP($B64, RevenueForecasts!$A$2:$H$18,MATCH('Scale-Up'!N47,RevenueForecasts!$A$2:$G$2,0),0)</f>
        <v>10628567361.248728</v>
      </c>
      <c r="O64" s="251">
        <f ca="1">+I64+N64</f>
        <v>21106474065.651764</v>
      </c>
      <c r="P64" s="728"/>
    </row>
    <row r="65" spans="1:17">
      <c r="D65" s="60" t="s">
        <v>1114</v>
      </c>
      <c r="E65" s="117"/>
      <c r="I65" s="130">
        <f ca="1">I63-I64</f>
        <v>522520281.84687042</v>
      </c>
      <c r="J65" s="754"/>
      <c r="K65" s="45"/>
      <c r="L65" s="721"/>
      <c r="M65" s="45"/>
      <c r="N65" s="251">
        <f ca="1">N63-N64</f>
        <v>530033542.94941139</v>
      </c>
      <c r="O65" s="251">
        <f ca="1">+I65+N65</f>
        <v>1052553824.7962818</v>
      </c>
      <c r="P65" s="728"/>
    </row>
    <row r="66" spans="1:17">
      <c r="A66" s="10" t="s">
        <v>706</v>
      </c>
      <c r="B66" s="164" t="s">
        <v>675</v>
      </c>
      <c r="D66" s="117" t="s">
        <v>641</v>
      </c>
      <c r="E66" s="117"/>
      <c r="I66" s="45">
        <f>VLOOKUP($B66, RevenueForecasts!$A$2:$H$18, MATCH(I47, RevenueForecasts!$A$2:$G$2,0),0)</f>
        <v>2974815317</v>
      </c>
      <c r="J66" s="754"/>
      <c r="K66" s="45"/>
      <c r="L66" s="721"/>
      <c r="M66" s="45"/>
      <c r="N66" s="747">
        <f>VLOOKUP($B66, RevenueForecasts!$A$2:$H$18, MATCH(N47, RevenueForecasts!$A$2:$G$2,0),0)</f>
        <v>3086268868</v>
      </c>
      <c r="O66" s="747">
        <f>+I66+N66</f>
        <v>6061084185</v>
      </c>
      <c r="P66" s="227"/>
    </row>
    <row r="67" spans="1:17">
      <c r="A67" s="10" t="s">
        <v>697</v>
      </c>
      <c r="B67" s="10" t="s">
        <v>676</v>
      </c>
      <c r="D67" s="117" t="s">
        <v>647</v>
      </c>
      <c r="E67" s="117"/>
      <c r="I67" s="45">
        <f ca="1">VLOOKUP($B67, 'K-12_assumptions'!$A$1:$L$189, MATCH(I47, 'K-12_assumptions'!$A$6:$L$6,0),0)*(10^6)</f>
        <v>55000000</v>
      </c>
      <c r="J67" s="754"/>
      <c r="K67" s="45"/>
      <c r="L67" s="721"/>
      <c r="M67" s="45"/>
      <c r="N67" s="747">
        <f ca="1">VLOOKUP($B67, 'K-12_assumptions'!$A$1:$L$189, MATCH(N47, 'K-12_assumptions'!$A$6:$L$6,0),0)*(10^6)</f>
        <v>55000000</v>
      </c>
      <c r="O67" s="747">
        <f ca="1">+I67+N67</f>
        <v>110000000</v>
      </c>
      <c r="P67" s="227"/>
    </row>
    <row r="68" spans="1:17" ht="16.5" thickBot="1">
      <c r="D68" s="756" t="s">
        <v>643</v>
      </c>
      <c r="E68" s="756"/>
      <c r="F68" s="154"/>
      <c r="G68" s="154"/>
      <c r="H68" s="154"/>
      <c r="I68" s="208"/>
      <c r="J68" s="757"/>
      <c r="K68" s="208"/>
      <c r="L68" s="758"/>
      <c r="M68" s="208"/>
      <c r="N68" s="759"/>
      <c r="O68" s="759">
        <v>0</v>
      </c>
    </row>
    <row r="69" spans="1:17" ht="17.25" thickTop="1" thickBot="1">
      <c r="D69" s="743" t="s">
        <v>644</v>
      </c>
      <c r="E69" s="41"/>
      <c r="F69" s="41"/>
      <c r="G69" s="41"/>
      <c r="H69" s="41"/>
      <c r="I69" s="760">
        <f ca="1">+I63-I66+I67</f>
        <v>8080611669.2499046</v>
      </c>
      <c r="J69" s="761"/>
      <c r="K69" s="762"/>
      <c r="L69" s="763"/>
      <c r="M69" s="762"/>
      <c r="N69" s="764">
        <f ca="1">+N63-N66+N67</f>
        <v>8127332036.1981392</v>
      </c>
      <c r="O69" s="764">
        <f ca="1">+O63-O66+O67</f>
        <v>16207943705.44804</v>
      </c>
      <c r="P69" s="772" t="s">
        <v>935</v>
      </c>
    </row>
    <row r="70" spans="1:17">
      <c r="D70" s="17"/>
      <c r="H70" s="765" t="s">
        <v>645</v>
      </c>
      <c r="I70" s="766">
        <f>0.49*O70</f>
        <v>6153630380.542799</v>
      </c>
      <c r="M70" s="765" t="s">
        <v>645</v>
      </c>
      <c r="N70" s="736">
        <f>0.51*O70</f>
        <v>6404798967.5037289</v>
      </c>
      <c r="O70" s="774">
        <v>12558429348.046528</v>
      </c>
      <c r="P70" s="11" t="s">
        <v>928</v>
      </c>
      <c r="Q70" s="80"/>
    </row>
    <row r="71" spans="1:17">
      <c r="D71" s="17"/>
      <c r="I71" s="768"/>
      <c r="M71" s="765"/>
      <c r="N71" s="768"/>
      <c r="O71" s="768"/>
    </row>
    <row r="72" spans="1:17" ht="15.95" customHeight="1">
      <c r="I72" s="769"/>
      <c r="L72" s="770"/>
      <c r="N72" s="769"/>
      <c r="O72" s="775">
        <f ca="1">O69-O70</f>
        <v>3649514357.4015121</v>
      </c>
      <c r="P72" s="153" t="s">
        <v>939</v>
      </c>
    </row>
    <row r="73" spans="1:17">
      <c r="D73" s="17"/>
      <c r="E73" s="776"/>
      <c r="F73" s="45"/>
      <c r="G73" s="721"/>
      <c r="H73" s="45"/>
      <c r="I73" s="736"/>
      <c r="J73" s="77"/>
      <c r="K73" s="777"/>
    </row>
  </sheetData>
  <sheetProtection sheet="1" objects="1" scenarios="1"/>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189"/>
  <sheetViews>
    <sheetView topLeftCell="A2" zoomScale="110" zoomScaleNormal="110" workbookViewId="0">
      <pane xSplit="8" ySplit="5" topLeftCell="I7" activePane="bottomRight" state="frozen"/>
      <selection activeCell="I7" sqref="I7"/>
      <selection pane="topRight" activeCell="I7" sqref="I7"/>
      <selection pane="bottomLeft" activeCell="I7" sqref="I7"/>
      <selection pane="bottomRight" activeCell="I7" sqref="I7"/>
    </sheetView>
  </sheetViews>
  <sheetFormatPr defaultColWidth="12.7109375" defaultRowHeight="15" customHeight="1" outlineLevelRow="1" outlineLevelCol="1"/>
  <cols>
    <col min="1" max="1" width="18" style="11" hidden="1" customWidth="1" outlineLevel="1"/>
    <col min="2" max="2" width="26.5703125" style="304" hidden="1" customWidth="1" outlineLevel="1"/>
    <col min="3" max="3" width="19" style="304" hidden="1" customWidth="1" outlineLevel="1"/>
    <col min="4" max="4" width="21" style="304" hidden="1" customWidth="1" outlineLevel="1"/>
    <col min="5" max="5" width="5.140625" style="304" hidden="1" customWidth="1" outlineLevel="1"/>
    <col min="6" max="6" width="10.140625" style="304" hidden="1" customWidth="1" outlineLevel="1"/>
    <col min="7" max="7" width="52.7109375" style="65" customWidth="1" collapsed="1"/>
    <col min="8" max="8" width="52.7109375" style="11" customWidth="1"/>
    <col min="9" max="16" width="12.7109375" style="11" customWidth="1"/>
    <col min="17" max="17" width="22" style="11" hidden="1" customWidth="1" outlineLevel="1"/>
    <col min="18" max="18" width="8.5703125" style="11" hidden="1" customWidth="1" outlineLevel="1"/>
    <col min="19" max="19" width="22.85546875" style="11" hidden="1" customWidth="1" outlineLevel="1"/>
    <col min="20" max="20" width="52.140625" style="11" hidden="1" customWidth="1" outlineLevel="1"/>
    <col min="21" max="21" width="12.7109375" style="11" customWidth="1" collapsed="1"/>
    <col min="22" max="27" width="12.7109375" style="11" customWidth="1"/>
    <col min="28" max="28" width="6.140625" style="11" hidden="1" customWidth="1" outlineLevel="1"/>
    <col min="29" max="29" width="2" style="11" hidden="1" customWidth="1" outlineLevel="1"/>
    <col min="30" max="30" width="12.7109375" style="11" collapsed="1"/>
    <col min="31" max="16384" width="12.7109375" style="11"/>
  </cols>
  <sheetData>
    <row r="1" spans="1:27" ht="15" hidden="1" customHeight="1" outlineLevel="1" thickBot="1">
      <c r="A1" s="304"/>
    </row>
    <row r="2" spans="1:27" ht="15" customHeight="1" collapsed="1">
      <c r="A2" s="304"/>
      <c r="C2" s="304" t="s">
        <v>384</v>
      </c>
      <c r="D2" s="177"/>
      <c r="E2" s="177"/>
      <c r="F2" s="177"/>
      <c r="G2" s="305" t="s">
        <v>279</v>
      </c>
      <c r="H2" s="305">
        <f>VLOOKUP($F$3, $B$2:$C$5, MATCH("School Size", $B$2:$C$2,0),0)</f>
        <v>360</v>
      </c>
      <c r="I2" s="306"/>
      <c r="J2" s="306"/>
      <c r="K2" s="306"/>
      <c r="L2" s="307"/>
      <c r="M2" s="307"/>
      <c r="N2" s="307"/>
      <c r="O2" s="307"/>
      <c r="P2" s="307"/>
      <c r="Q2" s="307"/>
      <c r="R2" s="307"/>
      <c r="S2" s="307"/>
      <c r="T2" s="307"/>
      <c r="U2" s="308"/>
      <c r="V2" s="308"/>
      <c r="W2" s="308"/>
      <c r="X2" s="308"/>
      <c r="Y2" s="308"/>
      <c r="Z2" s="308"/>
      <c r="AA2" s="309"/>
    </row>
    <row r="3" spans="1:27" ht="15" customHeight="1">
      <c r="A3" s="304"/>
      <c r="B3" s="177" t="s">
        <v>374</v>
      </c>
      <c r="C3" s="304">
        <f>VLOOKUP($B3, ComputerAssumptions!$A$2:$B$5, MATCH($C$2, ComputerAssumptions!$A$2:$B$2,0),0)</f>
        <v>360</v>
      </c>
      <c r="D3" s="177"/>
      <c r="E3" s="177"/>
      <c r="F3" s="177" t="s">
        <v>374</v>
      </c>
      <c r="G3" s="310" t="str">
        <f>$F$3 &amp; " School"</f>
        <v>Elementary School</v>
      </c>
      <c r="H3" s="311" t="s">
        <v>281</v>
      </c>
      <c r="I3" s="312" t="s">
        <v>350</v>
      </c>
      <c r="J3" s="313"/>
      <c r="K3" s="313"/>
      <c r="L3" s="313"/>
      <c r="M3" s="313"/>
      <c r="N3" s="313"/>
      <c r="O3" s="313"/>
      <c r="P3" s="314"/>
      <c r="Q3" s="315"/>
      <c r="R3" s="315"/>
      <c r="S3" s="316"/>
      <c r="T3" s="316"/>
      <c r="U3" s="317" t="s">
        <v>348</v>
      </c>
      <c r="V3" s="318"/>
      <c r="W3" s="318"/>
      <c r="X3" s="318"/>
      <c r="Y3" s="318"/>
      <c r="Z3" s="318"/>
      <c r="AA3" s="319"/>
    </row>
    <row r="4" spans="1:27" ht="15" customHeight="1" thickBot="1">
      <c r="A4" s="304"/>
      <c r="B4" s="177" t="s">
        <v>375</v>
      </c>
      <c r="C4" s="304">
        <f>VLOOKUP($B4, ComputerAssumptions!$A$2:$B$5, MATCH($C$2, ComputerAssumptions!$A$2:$B$2,0),0)</f>
        <v>500</v>
      </c>
      <c r="D4" s="320"/>
      <c r="E4" s="320"/>
      <c r="F4" s="320"/>
      <c r="G4" s="321" t="s">
        <v>280</v>
      </c>
      <c r="H4" s="322"/>
      <c r="I4" s="323" t="str">
        <f>Years!A7</f>
        <v>2024-25</v>
      </c>
      <c r="J4" s="323" t="str">
        <f>Years!B7</f>
        <v>2025-26</v>
      </c>
      <c r="K4" s="323" t="str">
        <f>Years!C7</f>
        <v>2026-27</v>
      </c>
      <c r="L4" s="323" t="str">
        <f>Years!D7</f>
        <v>2027-28</v>
      </c>
      <c r="M4" s="323" t="str">
        <f>Years!E7</f>
        <v>2028-29</v>
      </c>
      <c r="N4" s="323" t="str">
        <f>Years!F7</f>
        <v>2029-30</v>
      </c>
      <c r="O4" s="323" t="str">
        <f>Years!G7</f>
        <v>2030-31</v>
      </c>
      <c r="P4" s="324" t="s">
        <v>282</v>
      </c>
      <c r="Q4" s="325"/>
      <c r="R4" s="325"/>
      <c r="S4" s="323"/>
      <c r="T4" s="323"/>
      <c r="U4" s="326" t="str">
        <f t="shared" ref="U4:AA4" si="0">I4</f>
        <v>2024-25</v>
      </c>
      <c r="V4" s="327" t="str">
        <f t="shared" si="0"/>
        <v>2025-26</v>
      </c>
      <c r="W4" s="327" t="str">
        <f t="shared" si="0"/>
        <v>2026-27</v>
      </c>
      <c r="X4" s="327" t="str">
        <f t="shared" si="0"/>
        <v>2027-28</v>
      </c>
      <c r="Y4" s="327" t="str">
        <f t="shared" si="0"/>
        <v>2028-29</v>
      </c>
      <c r="Z4" s="327" t="str">
        <f t="shared" si="0"/>
        <v>2029-30</v>
      </c>
      <c r="AA4" s="328" t="str">
        <f t="shared" si="0"/>
        <v>2030-31</v>
      </c>
    </row>
    <row r="5" spans="1:27" ht="15" hidden="1" customHeight="1" outlineLevel="1">
      <c r="A5" s="304"/>
      <c r="B5" s="320" t="s">
        <v>376</v>
      </c>
      <c r="C5" s="304">
        <f>VLOOKUP($B5, ComputerAssumptions!$A$2:$B$5, MATCH($C$2, ComputerAssumptions!$A$2:$B$2,0),0)</f>
        <v>1000</v>
      </c>
      <c r="D5" s="11"/>
      <c r="E5" s="11"/>
      <c r="F5" s="11"/>
      <c r="G5" s="329"/>
      <c r="H5" s="330"/>
      <c r="I5" s="331"/>
      <c r="J5" s="331"/>
      <c r="K5" s="331"/>
      <c r="L5" s="331"/>
      <c r="M5" s="331"/>
      <c r="N5" s="331"/>
      <c r="O5" s="331"/>
      <c r="P5" s="332"/>
      <c r="Q5" s="331"/>
      <c r="R5" s="331"/>
      <c r="T5" s="333"/>
      <c r="U5" s="333"/>
      <c r="V5" s="334"/>
      <c r="W5" s="334"/>
      <c r="X5" s="334"/>
      <c r="Y5" s="334"/>
      <c r="Z5" s="334"/>
      <c r="AA5" s="334"/>
    </row>
    <row r="6" spans="1:27" ht="15" hidden="1" customHeight="1" outlineLevel="1" thickBot="1">
      <c r="A6" s="320"/>
      <c r="B6" s="320"/>
      <c r="D6" s="11"/>
      <c r="E6" s="11"/>
      <c r="F6" s="11"/>
      <c r="G6" s="329"/>
      <c r="H6" s="330"/>
      <c r="I6" s="331"/>
      <c r="J6" s="331"/>
      <c r="K6" s="331"/>
      <c r="L6" s="331"/>
      <c r="M6" s="331"/>
      <c r="N6" s="331"/>
      <c r="O6" s="331"/>
      <c r="P6" s="332"/>
      <c r="Q6" s="331"/>
      <c r="R6" s="331"/>
      <c r="T6" s="333"/>
      <c r="U6" s="333"/>
      <c r="V6" s="334"/>
      <c r="W6" s="334"/>
      <c r="X6" s="334"/>
      <c r="Y6" s="334"/>
      <c r="Z6" s="334"/>
      <c r="AA6" s="334"/>
    </row>
    <row r="7" spans="1:27" ht="15" customHeight="1" collapsed="1">
      <c r="A7" s="320"/>
      <c r="B7" s="335" t="s">
        <v>948</v>
      </c>
      <c r="D7" s="304" t="s">
        <v>250</v>
      </c>
      <c r="G7" s="336" t="s">
        <v>283</v>
      </c>
      <c r="H7" s="337">
        <f t="shared" ref="H7:H13" ca="1" si="1">INDEX(INDIRECT($S$7 &amp; $S$8), MATCH($T7, INDIRECT($S$7 &amp; $S$9), 0), MATCH(I$4, INDIRECT($S$7 &amp; $S$10), 0))</f>
        <v>81660</v>
      </c>
      <c r="I7" s="338">
        <f t="shared" ref="I7:O12" ca="1" si="2">INDEX(INDIRECT($B$7 &amp; $B$8), MATCH($D7, INDIRECT($B$7 &amp; $B$9), 0), MATCH(I$4, INDIRECT($B$7 &amp; $B$10), 0))</f>
        <v>5.9308841843088489E-2</v>
      </c>
      <c r="J7" s="338">
        <f t="shared" ca="1" si="2"/>
        <v>5.7261817291207384E-2</v>
      </c>
      <c r="K7" s="338">
        <f t="shared" ca="1" si="2"/>
        <v>7.0447760849378316E-2</v>
      </c>
      <c r="L7" s="338">
        <f t="shared" ca="1" si="2"/>
        <v>4.1579598884074587E-2</v>
      </c>
      <c r="M7" s="338">
        <f t="shared" ca="1" si="2"/>
        <v>4.4945720794081545E-2</v>
      </c>
      <c r="N7" s="338">
        <f t="shared" ca="1" si="2"/>
        <v>2.4679257929887566E-2</v>
      </c>
      <c r="O7" s="338">
        <f t="shared" ca="1" si="2"/>
        <v>5.2393302574846645E-2</v>
      </c>
      <c r="P7" s="339"/>
      <c r="Q7" s="340"/>
      <c r="R7" s="340"/>
      <c r="S7" s="341" t="s">
        <v>948</v>
      </c>
      <c r="T7" s="342" t="s">
        <v>236</v>
      </c>
      <c r="U7" s="343">
        <f t="shared" ref="U7:U12" ca="1" si="3">INDEX(INDIRECT($S$7 &amp; $S$8), MATCH($T7, INDIRECT($S$7 &amp; $S$9), 0), MATCH(U$4, INDIRECT($S$7 &amp; $S$10), 0))</f>
        <v>81660</v>
      </c>
      <c r="V7" s="343">
        <f t="shared" ref="V7:AA12" ca="1" si="4">U7*(1+J7)</f>
        <v>86336</v>
      </c>
      <c r="W7" s="343">
        <f t="shared" ca="1" si="4"/>
        <v>92418.177880691932</v>
      </c>
      <c r="X7" s="343">
        <f t="shared" ca="1" si="4"/>
        <v>96260.888646568157</v>
      </c>
      <c r="Y7" s="343">
        <f t="shared" ca="1" si="4"/>
        <v>100587.40367106699</v>
      </c>
      <c r="Z7" s="343">
        <f t="shared" ca="1" si="4"/>
        <v>103069.82615076296</v>
      </c>
      <c r="AA7" s="344">
        <f t="shared" ca="1" si="4"/>
        <v>108469.99473861673</v>
      </c>
    </row>
    <row r="8" spans="1:27" ht="15" customHeight="1">
      <c r="A8" s="320"/>
      <c r="B8" s="335" t="s">
        <v>417</v>
      </c>
      <c r="D8" s="304" t="s">
        <v>252</v>
      </c>
      <c r="G8" s="345" t="s">
        <v>284</v>
      </c>
      <c r="H8" s="346">
        <f t="shared" ca="1" si="1"/>
        <v>139550</v>
      </c>
      <c r="I8" s="347">
        <f t="shared" ca="1" si="2"/>
        <v>4.5703880221213078E-2</v>
      </c>
      <c r="J8" s="347">
        <f t="shared" ca="1" si="2"/>
        <v>5.1825575979074889E-2</v>
      </c>
      <c r="K8" s="347">
        <f t="shared" ca="1" si="2"/>
        <v>5.2738529701662484E-2</v>
      </c>
      <c r="L8" s="347">
        <f t="shared" ca="1" si="2"/>
        <v>4.1313245307906366E-2</v>
      </c>
      <c r="M8" s="347">
        <f t="shared" ca="1" si="2"/>
        <v>3.7784331107246771E-2</v>
      </c>
      <c r="N8" s="347">
        <f t="shared" ca="1" si="2"/>
        <v>3.9128222957597769E-2</v>
      </c>
      <c r="O8" s="347">
        <f t="shared" ca="1" si="2"/>
        <v>4.004798957319089E-2</v>
      </c>
      <c r="P8" s="348"/>
      <c r="Q8" s="349"/>
      <c r="R8" s="349"/>
      <c r="S8" s="333" t="s">
        <v>417</v>
      </c>
      <c r="T8" s="350" t="s">
        <v>240</v>
      </c>
      <c r="U8" s="351">
        <f t="shared" ca="1" si="3"/>
        <v>139550</v>
      </c>
      <c r="V8" s="351">
        <f t="shared" ca="1" si="4"/>
        <v>146782.25912787989</v>
      </c>
      <c r="W8" s="351">
        <f t="shared" ca="1" si="4"/>
        <v>154523.3396605727</v>
      </c>
      <c r="X8" s="351">
        <f t="shared" ca="1" si="4"/>
        <v>160907.20029776689</v>
      </c>
      <c r="Y8" s="351">
        <f t="shared" ca="1" si="4"/>
        <v>166986.97123135778</v>
      </c>
      <c r="Z8" s="351">
        <f t="shared" ca="1" si="4"/>
        <v>173520.87467271232</v>
      </c>
      <c r="AA8" s="352">
        <f t="shared" ca="1" si="4"/>
        <v>180470.03685233608</v>
      </c>
    </row>
    <row r="9" spans="1:27" ht="15" customHeight="1">
      <c r="A9" s="320"/>
      <c r="B9" s="335" t="s">
        <v>418</v>
      </c>
      <c r="D9" s="304" t="s">
        <v>251</v>
      </c>
      <c r="G9" s="345" t="s">
        <v>285</v>
      </c>
      <c r="H9" s="346">
        <f t="shared" ca="1" si="1"/>
        <v>128760</v>
      </c>
      <c r="I9" s="347">
        <f t="shared" ca="1" si="2"/>
        <v>4.9887878664329088E-2</v>
      </c>
      <c r="J9" s="347">
        <f t="shared" ca="1" si="2"/>
        <v>4.8721194845945393E-2</v>
      </c>
      <c r="K9" s="347">
        <f t="shared" ca="1" si="2"/>
        <v>5.3637233778851989E-2</v>
      </c>
      <c r="L9" s="347">
        <f t="shared" ca="1" si="2"/>
        <v>3.6566725385370091E-2</v>
      </c>
      <c r="M9" s="347">
        <f t="shared" ca="1" si="2"/>
        <v>3.5345931053278212E-2</v>
      </c>
      <c r="N9" s="347">
        <f t="shared" ca="1" si="2"/>
        <v>3.7075282692875078E-2</v>
      </c>
      <c r="O9" s="347">
        <f t="shared" ca="1" si="2"/>
        <v>3.8305673517575967E-2</v>
      </c>
      <c r="P9" s="348"/>
      <c r="Q9" s="349"/>
      <c r="R9" s="349"/>
      <c r="S9" s="333" t="s">
        <v>418</v>
      </c>
      <c r="T9" s="350" t="s">
        <v>242</v>
      </c>
      <c r="U9" s="351">
        <f t="shared" ca="1" si="3"/>
        <v>128760</v>
      </c>
      <c r="V9" s="351">
        <f t="shared" ca="1" si="4"/>
        <v>135033.34104836392</v>
      </c>
      <c r="W9" s="351">
        <f t="shared" ca="1" si="4"/>
        <v>142276.15593011447</v>
      </c>
      <c r="X9" s="351">
        <f t="shared" ca="1" si="4"/>
        <v>147478.72905289708</v>
      </c>
      <c r="Y9" s="351">
        <f t="shared" ca="1" si="4"/>
        <v>152691.50204182588</v>
      </c>
      <c r="Z9" s="351">
        <f t="shared" ca="1" si="4"/>
        <v>158352.5826448263</v>
      </c>
      <c r="AA9" s="352">
        <f t="shared" ca="1" si="4"/>
        <v>164418.38497628397</v>
      </c>
    </row>
    <row r="10" spans="1:27" ht="15" customHeight="1">
      <c r="A10" s="320"/>
      <c r="B10" s="335" t="s">
        <v>349</v>
      </c>
      <c r="D10" s="304" t="s">
        <v>250</v>
      </c>
      <c r="G10" s="345" t="s">
        <v>286</v>
      </c>
      <c r="H10" s="346">
        <f t="shared" ca="1" si="1"/>
        <v>84114.457464438587</v>
      </c>
      <c r="I10" s="347">
        <f t="shared" ca="1" si="2"/>
        <v>5.9308841843088489E-2</v>
      </c>
      <c r="J10" s="347">
        <f t="shared" ca="1" si="2"/>
        <v>5.7261817291207384E-2</v>
      </c>
      <c r="K10" s="347">
        <f t="shared" ca="1" si="2"/>
        <v>7.0447760849378316E-2</v>
      </c>
      <c r="L10" s="347">
        <f t="shared" ca="1" si="2"/>
        <v>4.1579598884074587E-2</v>
      </c>
      <c r="M10" s="347">
        <f t="shared" ca="1" si="2"/>
        <v>4.4945720794081545E-2</v>
      </c>
      <c r="N10" s="347">
        <f t="shared" ca="1" si="2"/>
        <v>2.4679257929887566E-2</v>
      </c>
      <c r="O10" s="347">
        <f t="shared" ca="1" si="2"/>
        <v>5.2393302574846645E-2</v>
      </c>
      <c r="P10" s="348"/>
      <c r="Q10" s="349"/>
      <c r="R10" s="349"/>
      <c r="S10" s="333" t="s">
        <v>349</v>
      </c>
      <c r="T10" s="350" t="s">
        <v>238</v>
      </c>
      <c r="U10" s="351">
        <f t="shared" ca="1" si="3"/>
        <v>84114.457464438587</v>
      </c>
      <c r="V10" s="351">
        <f t="shared" ca="1" si="4"/>
        <v>88931.004159316304</v>
      </c>
      <c r="W10" s="351">
        <f t="shared" ca="1" si="4"/>
        <v>95195.994272426891</v>
      </c>
      <c r="X10" s="351">
        <f t="shared" ca="1" si="4"/>
        <v>99154.205529645056</v>
      </c>
      <c r="Y10" s="351">
        <f t="shared" ca="1" si="4"/>
        <v>103610.76276693946</v>
      </c>
      <c r="Z10" s="351">
        <f t="shared" ca="1" si="4"/>
        <v>106167.79950557715</v>
      </c>
      <c r="AA10" s="352">
        <f t="shared" ca="1" si="4"/>
        <v>111730.28114877851</v>
      </c>
    </row>
    <row r="11" spans="1:27" ht="15" customHeight="1">
      <c r="A11" s="320"/>
      <c r="D11" s="304" t="s">
        <v>269</v>
      </c>
      <c r="G11" s="345" t="s">
        <v>287</v>
      </c>
      <c r="H11" s="353">
        <f t="shared" ca="1" si="1"/>
        <v>26.257861826323364</v>
      </c>
      <c r="I11" s="347">
        <f t="shared" ca="1" si="2"/>
        <v>2.9095091077493085E-2</v>
      </c>
      <c r="J11" s="347">
        <f t="shared" ca="1" si="2"/>
        <v>2.8327327327327345E-2</v>
      </c>
      <c r="K11" s="347">
        <f t="shared" ca="1" si="2"/>
        <v>2.3800350774627277E-2</v>
      </c>
      <c r="L11" s="347">
        <f t="shared" ca="1" si="2"/>
        <v>2.843641040297229E-2</v>
      </c>
      <c r="M11" s="347">
        <f t="shared" ca="1" si="2"/>
        <v>2.4922114047288058E-2</v>
      </c>
      <c r="N11" s="347">
        <f t="shared" ca="1" si="2"/>
        <v>2.3819885900570381E-2</v>
      </c>
      <c r="O11" s="347">
        <f t="shared" ca="1" si="2"/>
        <v>2.4107569721115607E-2</v>
      </c>
      <c r="P11" s="348"/>
      <c r="Q11" s="349"/>
      <c r="R11" s="349"/>
      <c r="T11" s="350" t="s">
        <v>245</v>
      </c>
      <c r="U11" s="354">
        <f t="shared" ca="1" si="3"/>
        <v>26.257861826323364</v>
      </c>
      <c r="V11" s="354">
        <f t="shared" ca="1" si="4"/>
        <v>27.001676873193361</v>
      </c>
      <c r="W11" s="354">
        <f t="shared" ca="1" si="4"/>
        <v>27.6443262542785</v>
      </c>
      <c r="X11" s="354">
        <f t="shared" ca="1" si="4"/>
        <v>28.430431660958821</v>
      </c>
      <c r="Y11" s="354">
        <f t="shared" ca="1" si="4"/>
        <v>29.13897812122687</v>
      </c>
      <c r="Z11" s="354">
        <f t="shared" ca="1" si="4"/>
        <v>29.833065255333707</v>
      </c>
      <c r="AA11" s="355">
        <f t="shared" ca="1" si="4"/>
        <v>30.552267955971253</v>
      </c>
    </row>
    <row r="12" spans="1:27" ht="15" customHeight="1">
      <c r="A12" s="320"/>
      <c r="D12" s="304" t="s">
        <v>269</v>
      </c>
      <c r="G12" s="345" t="s">
        <v>288</v>
      </c>
      <c r="H12" s="353">
        <f t="shared" ca="1" si="1"/>
        <v>21.797802197802195</v>
      </c>
      <c r="I12" s="347">
        <f t="shared" ca="1" si="2"/>
        <v>2.9095091077493085E-2</v>
      </c>
      <c r="J12" s="347">
        <f t="shared" ca="1" si="2"/>
        <v>2.8327327327327345E-2</v>
      </c>
      <c r="K12" s="347">
        <f t="shared" ca="1" si="2"/>
        <v>2.3800350774627277E-2</v>
      </c>
      <c r="L12" s="347">
        <f t="shared" ca="1" si="2"/>
        <v>2.843641040297229E-2</v>
      </c>
      <c r="M12" s="347">
        <f t="shared" ca="1" si="2"/>
        <v>2.4922114047288058E-2</v>
      </c>
      <c r="N12" s="347">
        <f t="shared" ca="1" si="2"/>
        <v>2.3819885900570381E-2</v>
      </c>
      <c r="O12" s="347">
        <f t="shared" ca="1" si="2"/>
        <v>2.4107569721115607E-2</v>
      </c>
      <c r="P12" s="348"/>
      <c r="Q12" s="349"/>
      <c r="R12" s="349"/>
      <c r="T12" s="350" t="s">
        <v>243</v>
      </c>
      <c r="U12" s="354">
        <f t="shared" ca="1" si="3"/>
        <v>21.797802197802195</v>
      </c>
      <c r="V12" s="354">
        <f t="shared" ca="1" si="4"/>
        <v>22.415275675675677</v>
      </c>
      <c r="W12" s="354">
        <f t="shared" ca="1" si="4"/>
        <v>22.948767099466725</v>
      </c>
      <c r="X12" s="354">
        <f t="shared" ca="1" si="4"/>
        <v>23.601347658949386</v>
      </c>
      <c r="Y12" s="354">
        <f t="shared" ca="1" si="4"/>
        <v>24.18954313697542</v>
      </c>
      <c r="Z12" s="354">
        <f t="shared" ca="1" si="4"/>
        <v>24.765735294485097</v>
      </c>
      <c r="AA12" s="355">
        <f t="shared" ca="1" si="4"/>
        <v>25.362776984791587</v>
      </c>
    </row>
    <row r="13" spans="1:27" ht="15" customHeight="1">
      <c r="A13" s="320"/>
      <c r="C13" s="177"/>
      <c r="D13" s="177"/>
      <c r="E13" s="177"/>
      <c r="F13" s="177"/>
      <c r="G13" s="356" t="s">
        <v>289</v>
      </c>
      <c r="H13" s="357">
        <f t="shared" ca="1" si="1"/>
        <v>27.570754917639533</v>
      </c>
      <c r="I13" s="347"/>
      <c r="J13" s="347">
        <f ca="1">V13/U13-1</f>
        <v>2.8327327327327456E-2</v>
      </c>
      <c r="K13" s="347">
        <f ca="1">W13/V13-1</f>
        <v>2.3800350774627166E-2</v>
      </c>
      <c r="L13" s="347">
        <f ca="1">X13/W13-1</f>
        <v>2.8436410402972179E-2</v>
      </c>
      <c r="M13" s="347">
        <f ca="1">Y13/X13-1</f>
        <v>2.4922114047288391E-2</v>
      </c>
      <c r="N13" s="347">
        <f t="shared" ref="N13:O13" ca="1" si="5">Z13/Y13-1</f>
        <v>2.381988590057027E-2</v>
      </c>
      <c r="O13" s="347">
        <f t="shared" ca="1" si="5"/>
        <v>2.4107569721115496E-2</v>
      </c>
      <c r="P13" s="358"/>
      <c r="Q13" s="359"/>
      <c r="R13" s="359"/>
      <c r="S13" s="235"/>
      <c r="T13" s="360" t="s">
        <v>247</v>
      </c>
      <c r="U13" s="361">
        <f ca="1">U11*1.05</f>
        <v>27.570754917639533</v>
      </c>
      <c r="V13" s="361">
        <f t="shared" ref="V13:AA13" ca="1" si="6">V11*1.05</f>
        <v>28.351760716853029</v>
      </c>
      <c r="W13" s="361">
        <f t="shared" ca="1" si="6"/>
        <v>29.026542566992426</v>
      </c>
      <c r="X13" s="361">
        <f t="shared" ca="1" si="6"/>
        <v>29.851953244006761</v>
      </c>
      <c r="Y13" s="361">
        <f t="shared" ca="1" si="6"/>
        <v>30.595927027288216</v>
      </c>
      <c r="Z13" s="361">
        <f t="shared" ca="1" si="6"/>
        <v>31.324718518100394</v>
      </c>
      <c r="AA13" s="362">
        <f t="shared" ca="1" si="6"/>
        <v>32.079881353769814</v>
      </c>
    </row>
    <row r="14" spans="1:27" ht="15" hidden="1" customHeight="1" outlineLevel="1">
      <c r="A14" s="320"/>
      <c r="C14" s="177"/>
      <c r="D14" s="177"/>
      <c r="E14" s="177"/>
      <c r="F14" s="177"/>
      <c r="G14" s="345"/>
      <c r="H14" s="353"/>
      <c r="I14" s="349"/>
      <c r="J14" s="349"/>
      <c r="K14" s="349"/>
      <c r="L14" s="349"/>
      <c r="M14" s="349"/>
      <c r="N14" s="349"/>
      <c r="O14" s="349"/>
      <c r="P14" s="348"/>
      <c r="Q14" s="349"/>
      <c r="R14" s="349"/>
      <c r="S14" s="350"/>
      <c r="T14" s="350"/>
      <c r="U14" s="363"/>
      <c r="V14" s="363"/>
      <c r="W14" s="363"/>
      <c r="X14" s="363"/>
      <c r="Y14" s="363"/>
      <c r="Z14" s="363"/>
      <c r="AA14" s="363"/>
    </row>
    <row r="15" spans="1:27" ht="15" hidden="1" customHeight="1" outlineLevel="1">
      <c r="A15" s="304"/>
      <c r="C15" s="177"/>
      <c r="D15" s="177"/>
      <c r="E15" s="177"/>
      <c r="F15" s="177"/>
      <c r="G15" s="345"/>
      <c r="H15" s="353"/>
      <c r="I15" s="349"/>
      <c r="J15" s="349"/>
      <c r="K15" s="349"/>
      <c r="L15" s="349"/>
      <c r="M15" s="349"/>
      <c r="N15" s="349"/>
      <c r="O15" s="349"/>
      <c r="P15" s="348"/>
      <c r="Q15" s="349"/>
      <c r="R15" s="349"/>
      <c r="S15" s="350"/>
      <c r="T15" s="350"/>
      <c r="U15" s="363"/>
      <c r="V15" s="363"/>
      <c r="W15" s="363"/>
      <c r="X15" s="363"/>
      <c r="Y15" s="363"/>
      <c r="Z15" s="363"/>
      <c r="AA15" s="363"/>
    </row>
    <row r="16" spans="1:27" ht="15" hidden="1" customHeight="1" outlineLevel="1" thickBot="1">
      <c r="A16" s="304"/>
      <c r="B16" s="335" t="s">
        <v>952</v>
      </c>
      <c r="C16" s="177"/>
      <c r="G16" s="345"/>
      <c r="H16" s="364"/>
      <c r="I16" s="365"/>
      <c r="J16" s="365"/>
      <c r="K16" s="365"/>
      <c r="L16" s="365"/>
      <c r="M16" s="365"/>
      <c r="N16" s="365"/>
      <c r="O16" s="365"/>
      <c r="P16" s="364"/>
      <c r="Q16" s="365"/>
      <c r="R16" s="365"/>
      <c r="S16" s="366" t="s">
        <v>952</v>
      </c>
      <c r="T16" s="26" t="s">
        <v>291</v>
      </c>
      <c r="U16" s="347">
        <f ca="1">INDEX(INDIRECT($S$16 &amp; $S$17), MATCH($T16, INDIRECT($S$16 &amp; $S$18), 0), MATCH(U$4, INDIRECT($S$16 &amp; $S$19), 0))</f>
        <v>3.4000000000000002E-2</v>
      </c>
      <c r="V16" s="347">
        <f t="shared" ref="V16:AA16" ca="1" si="7">INDEX(INDIRECT($S$16 &amp; $S$17), MATCH($T16, INDIRECT($S$16 &amp; $S$18), 0), MATCH(V$4, INDIRECT($S$16 &amp; $S$19), 0))</f>
        <v>3.4000000000000002E-2</v>
      </c>
      <c r="W16" s="347">
        <f t="shared" ca="1" si="7"/>
        <v>3.4000000000000002E-2</v>
      </c>
      <c r="X16" s="347">
        <f t="shared" ca="1" si="7"/>
        <v>3.4000000000000002E-2</v>
      </c>
      <c r="Y16" s="347">
        <f t="shared" ca="1" si="7"/>
        <v>3.4000000000000002E-2</v>
      </c>
      <c r="Z16" s="347">
        <f t="shared" ca="1" si="7"/>
        <v>3.4000000000000002E-2</v>
      </c>
      <c r="AA16" s="347">
        <f t="shared" ca="1" si="7"/>
        <v>3.4000000000000002E-2</v>
      </c>
    </row>
    <row r="17" spans="1:30" ht="15" customHeight="1" collapsed="1">
      <c r="A17" s="304"/>
      <c r="B17" s="335" t="s">
        <v>501</v>
      </c>
      <c r="C17" s="177"/>
      <c r="D17" s="304" t="s">
        <v>290</v>
      </c>
      <c r="G17" s="336" t="s">
        <v>292</v>
      </c>
      <c r="H17" s="367" t="s">
        <v>292</v>
      </c>
      <c r="I17" s="368">
        <f ca="1">INDEX(INDIRECT($B$16 &amp; $B$17), MATCH($D17, INDIRECT($B$16 &amp; $B$18), 0), MATCH(I$4, INDIRECT($B$16 &amp; $B$19), 0))</f>
        <v>20131</v>
      </c>
      <c r="J17" s="369"/>
      <c r="K17" s="369"/>
      <c r="L17" s="369"/>
      <c r="M17" s="369"/>
      <c r="N17" s="369"/>
      <c r="O17" s="370"/>
      <c r="P17" s="337"/>
      <c r="Q17" s="371"/>
      <c r="R17" s="371"/>
      <c r="S17" s="366" t="s">
        <v>600</v>
      </c>
      <c r="T17" s="75"/>
      <c r="U17" s="368">
        <f ca="1">I17</f>
        <v>20131</v>
      </c>
      <c r="V17" s="343">
        <f t="shared" ref="V17:AA17" ca="1" si="8">U17*(1+V16)</f>
        <v>20815.454000000002</v>
      </c>
      <c r="W17" s="343">
        <f t="shared" ca="1" si="8"/>
        <v>21523.179436000002</v>
      </c>
      <c r="X17" s="343">
        <f t="shared" ca="1" si="8"/>
        <v>22254.967536824002</v>
      </c>
      <c r="Y17" s="343">
        <f t="shared" ca="1" si="8"/>
        <v>23011.636433076019</v>
      </c>
      <c r="Z17" s="343">
        <f t="shared" ca="1" si="8"/>
        <v>23794.032071800604</v>
      </c>
      <c r="AA17" s="344">
        <f t="shared" ca="1" si="8"/>
        <v>24603.029162241826</v>
      </c>
    </row>
    <row r="18" spans="1:30" s="304" customFormat="1" ht="15" customHeight="1">
      <c r="B18" s="335" t="s">
        <v>503</v>
      </c>
      <c r="C18" s="177"/>
      <c r="D18" s="177" t="s">
        <v>293</v>
      </c>
      <c r="E18" s="177"/>
      <c r="F18" s="177"/>
      <c r="G18" s="372" t="s">
        <v>294</v>
      </c>
      <c r="H18" s="373" t="s">
        <v>294</v>
      </c>
      <c r="I18" s="374">
        <f ca="1">INDEX(INDIRECT($B$16 &amp; $B$17), MATCH($D18, INDIRECT($B$16 &amp; $B$18), 0), MATCH(I$4, INDIRECT($B$16 &amp; $B$19), 0))</f>
        <v>0.35142824379017512</v>
      </c>
      <c r="J18" s="347">
        <f t="shared" ref="J18:O19" ca="1" si="9">INDEX(INDIRECT($B$16 &amp; $B$17), MATCH($D18, INDIRECT($B$16 &amp; $B$18), 0), MATCH(J$4, INDIRECT($B$16 &amp; $B$19), 0))</f>
        <v>0.36487979557608557</v>
      </c>
      <c r="K18" s="347">
        <f t="shared" ca="1" si="9"/>
        <v>0.36487979557608557</v>
      </c>
      <c r="L18" s="347">
        <f t="shared" ca="1" si="9"/>
        <v>0.34397979557608555</v>
      </c>
      <c r="M18" s="347">
        <f t="shared" ca="1" si="9"/>
        <v>0.34397979557608555</v>
      </c>
      <c r="N18" s="347">
        <f t="shared" ca="1" si="9"/>
        <v>0.34397979557608555</v>
      </c>
      <c r="O18" s="375">
        <f t="shared" ca="1" si="9"/>
        <v>0.34397979557608555</v>
      </c>
      <c r="P18" s="376"/>
      <c r="Q18" s="377"/>
      <c r="R18" s="377"/>
      <c r="S18" s="366" t="s">
        <v>599</v>
      </c>
      <c r="T18" s="378"/>
      <c r="U18" s="374">
        <f ca="1">I18</f>
        <v>0.35142824379017512</v>
      </c>
      <c r="V18" s="347">
        <f t="shared" ref="V18:AA19" ca="1" si="10">J18</f>
        <v>0.36487979557608557</v>
      </c>
      <c r="W18" s="347">
        <f t="shared" ca="1" si="10"/>
        <v>0.36487979557608557</v>
      </c>
      <c r="X18" s="347">
        <f t="shared" ca="1" si="10"/>
        <v>0.34397979557608555</v>
      </c>
      <c r="Y18" s="347">
        <f t="shared" ca="1" si="10"/>
        <v>0.34397979557608555</v>
      </c>
      <c r="Z18" s="347">
        <f t="shared" ca="1" si="10"/>
        <v>0.34397979557608555</v>
      </c>
      <c r="AA18" s="375">
        <f t="shared" ca="1" si="10"/>
        <v>0.34397979557608555</v>
      </c>
      <c r="AC18" s="11"/>
      <c r="AD18" s="11"/>
    </row>
    <row r="19" spans="1:30" ht="15" customHeight="1">
      <c r="A19" s="304"/>
      <c r="B19" s="335" t="s">
        <v>502</v>
      </c>
      <c r="C19" s="177"/>
      <c r="D19" s="177" t="s">
        <v>295</v>
      </c>
      <c r="E19" s="177"/>
      <c r="F19" s="177"/>
      <c r="G19" s="356" t="s">
        <v>296</v>
      </c>
      <c r="H19" s="379" t="s">
        <v>296</v>
      </c>
      <c r="I19" s="380">
        <f ca="1">INDEX(INDIRECT($B$16 &amp; $B$17), MATCH($D19, INDIRECT($B$16 &amp; $B$18), 0), MATCH(I$4, INDIRECT($B$16 &amp; $B$19), 0))</f>
        <v>420</v>
      </c>
      <c r="J19" s="381">
        <f t="shared" ca="1" si="9"/>
        <v>420</v>
      </c>
      <c r="K19" s="381">
        <f t="shared" ca="1" si="9"/>
        <v>420</v>
      </c>
      <c r="L19" s="381">
        <f t="shared" ca="1" si="9"/>
        <v>420</v>
      </c>
      <c r="M19" s="381">
        <f t="shared" ca="1" si="9"/>
        <v>420</v>
      </c>
      <c r="N19" s="381">
        <f t="shared" ca="1" si="9"/>
        <v>420</v>
      </c>
      <c r="O19" s="382">
        <f t="shared" ca="1" si="9"/>
        <v>420</v>
      </c>
      <c r="P19" s="383"/>
      <c r="Q19" s="371"/>
      <c r="R19" s="371"/>
      <c r="S19" s="366" t="s">
        <v>502</v>
      </c>
      <c r="T19" s="384"/>
      <c r="U19" s="380">
        <f ca="1">I19</f>
        <v>420</v>
      </c>
      <c r="V19" s="381">
        <f t="shared" ca="1" si="10"/>
        <v>420</v>
      </c>
      <c r="W19" s="381">
        <f t="shared" ca="1" si="10"/>
        <v>420</v>
      </c>
      <c r="X19" s="381">
        <f t="shared" ca="1" si="10"/>
        <v>420</v>
      </c>
      <c r="Y19" s="381">
        <f t="shared" ca="1" si="10"/>
        <v>420</v>
      </c>
      <c r="Z19" s="381">
        <f t="shared" ca="1" si="10"/>
        <v>420</v>
      </c>
      <c r="AA19" s="382">
        <f t="shared" ca="1" si="10"/>
        <v>420</v>
      </c>
    </row>
    <row r="20" spans="1:30" ht="15" hidden="1" customHeight="1" outlineLevel="1">
      <c r="A20" s="304"/>
      <c r="C20" s="177"/>
      <c r="D20" s="177"/>
      <c r="E20" s="177"/>
      <c r="F20" s="177"/>
      <c r="G20" s="345"/>
      <c r="H20" s="330"/>
      <c r="I20" s="371"/>
      <c r="J20" s="371"/>
      <c r="K20" s="371"/>
      <c r="L20" s="371"/>
      <c r="M20" s="371"/>
      <c r="N20" s="371"/>
      <c r="O20" s="371"/>
      <c r="P20" s="346"/>
      <c r="Q20" s="371"/>
      <c r="R20" s="371"/>
      <c r="S20" s="384"/>
      <c r="T20" s="384"/>
      <c r="U20" s="371"/>
      <c r="V20" s="371"/>
      <c r="W20" s="371"/>
      <c r="X20" s="371"/>
      <c r="Y20" s="371"/>
      <c r="Z20" s="371"/>
      <c r="AA20" s="371"/>
    </row>
    <row r="21" spans="1:30" ht="15" hidden="1" customHeight="1" outlineLevel="1">
      <c r="A21" s="177"/>
      <c r="C21" s="177"/>
      <c r="D21" s="177"/>
      <c r="E21" s="177"/>
      <c r="F21" s="177"/>
      <c r="G21" s="345"/>
      <c r="H21" s="330"/>
      <c r="I21" s="371"/>
      <c r="J21" s="371"/>
      <c r="K21" s="371"/>
      <c r="L21" s="371"/>
      <c r="M21" s="371"/>
      <c r="N21" s="371"/>
      <c r="O21" s="371"/>
      <c r="P21" s="346"/>
      <c r="Q21" s="371"/>
      <c r="R21" s="371"/>
      <c r="S21" s="384"/>
      <c r="T21" s="384"/>
      <c r="U21" s="371"/>
      <c r="V21" s="371"/>
      <c r="W21" s="371"/>
      <c r="X21" s="371"/>
      <c r="Y21" s="371"/>
      <c r="Z21" s="371"/>
      <c r="AA21" s="371"/>
    </row>
    <row r="22" spans="1:30" ht="15" hidden="1" customHeight="1" outlineLevel="1" thickBot="1">
      <c r="A22" s="177"/>
      <c r="C22" s="177"/>
      <c r="D22" s="177"/>
      <c r="E22" s="177"/>
      <c r="F22" s="177"/>
      <c r="G22" s="345"/>
      <c r="H22" s="330"/>
      <c r="I22" s="371"/>
      <c r="J22" s="371"/>
      <c r="K22" s="371"/>
      <c r="L22" s="371"/>
      <c r="M22" s="371"/>
      <c r="N22" s="371"/>
      <c r="O22" s="371"/>
      <c r="P22" s="346"/>
      <c r="Q22" s="371"/>
      <c r="R22" s="371"/>
      <c r="S22" s="366" t="s">
        <v>952</v>
      </c>
      <c r="T22" s="384" t="s">
        <v>304</v>
      </c>
      <c r="U22" s="347">
        <f t="shared" ref="U22:AA22" ca="1" si="11">INDEX(INDIRECT($S$22 &amp; $S$23), MATCH($T22, INDIRECT($S$22 &amp; $S$24), 0), MATCH(U$4, INDIRECT($S$22 &amp; $S$25), 0))</f>
        <v>4.6282437901751152E-3</v>
      </c>
      <c r="V22" s="347">
        <f t="shared" ca="1" si="11"/>
        <v>5.1797955760855708E-3</v>
      </c>
      <c r="W22" s="347">
        <f t="shared" ca="1" si="11"/>
        <v>5.1797955760855708E-3</v>
      </c>
      <c r="X22" s="347">
        <f t="shared" ca="1" si="11"/>
        <v>5.1797955760855708E-3</v>
      </c>
      <c r="Y22" s="347">
        <f t="shared" ca="1" si="11"/>
        <v>5.1797955760855708E-3</v>
      </c>
      <c r="Z22" s="347">
        <f t="shared" ca="1" si="11"/>
        <v>5.1797955760855708E-3</v>
      </c>
      <c r="AA22" s="347">
        <f t="shared" ca="1" si="11"/>
        <v>5.1797955760855708E-3</v>
      </c>
    </row>
    <row r="23" spans="1:30" ht="15" customHeight="1" collapsed="1">
      <c r="A23" s="177"/>
      <c r="B23" s="385" t="s">
        <v>385</v>
      </c>
      <c r="C23" s="177" t="s">
        <v>59</v>
      </c>
      <c r="D23" s="177" t="s">
        <v>13</v>
      </c>
      <c r="E23" s="386">
        <f>IF(LEFT($F$3)="E", (1/6)*$H$2,0)</f>
        <v>60</v>
      </c>
      <c r="F23" s="304">
        <f>IF(LEFT($G$3, 1)="E", 1, 0)</f>
        <v>1</v>
      </c>
      <c r="G23" s="336" t="s">
        <v>297</v>
      </c>
      <c r="H23" s="387" t="s">
        <v>400</v>
      </c>
      <c r="I23" s="369">
        <f ca="1">CEILING($F23*IF(VLOOKUP($C23,INDIRECT($B$23 &amp; $B$24), MATCH(I$4,INDIRECT($B$23 &amp; $B$25),0)+6, 0)="Y",$E23/VLOOKUP($D23,INDIRECT($B$23 &amp; $B$24), MATCH(I$4,INDIRECT($B$23 &amp; $B$25),0)+6, 0),(0.5*$E23)/VLOOKUP($D23,INDIRECT($B$23 &amp; $B$24), MATCH(I$4,INDIRECT($B$23 &amp; $B$25),0)+6, 0)), $F23)</f>
        <v>3</v>
      </c>
      <c r="J23" s="369">
        <f t="shared" ref="J23:O26" ca="1" si="12">CEILING($F23*IF(VLOOKUP($C23,INDIRECT($B$23 &amp; $B$24), MATCH(J$4,INDIRECT($B$23 &amp; $B$25),0)+6, 0)="Y",$E23/VLOOKUP($D23,INDIRECT($B$23 &amp; $B$24), MATCH(J$4,INDIRECT($B$23 &amp; $B$25),0)+6, 0),(0.5*$E23)/VLOOKUP($D23,INDIRECT($B$23 &amp; $B$24), MATCH(J$4,INDIRECT($B$23 &amp; $B$25),0)+6, 0)), $F23)</f>
        <v>3</v>
      </c>
      <c r="K23" s="369">
        <f t="shared" ca="1" si="12"/>
        <v>3</v>
      </c>
      <c r="L23" s="369">
        <f t="shared" ca="1" si="12"/>
        <v>3</v>
      </c>
      <c r="M23" s="369">
        <f t="shared" ca="1" si="12"/>
        <v>3</v>
      </c>
      <c r="N23" s="369">
        <f t="shared" ca="1" si="12"/>
        <v>3</v>
      </c>
      <c r="O23" s="369">
        <f t="shared" ca="1" si="12"/>
        <v>3</v>
      </c>
      <c r="P23" s="388"/>
      <c r="Q23" s="371"/>
      <c r="R23" s="371"/>
      <c r="S23" s="366" t="s">
        <v>600</v>
      </c>
      <c r="T23" s="384"/>
      <c r="U23" s="368">
        <f t="shared" ref="U23:U32" ca="1" si="13">((U$7*(1+U$18))+U$17+U$19)*I23</f>
        <v>392725.89116371708</v>
      </c>
      <c r="V23" s="343">
        <f t="shared" ref="V23:V32" ca="1" si="14">((V$7*(1+V$18))+V$17+V$19)*J23</f>
        <v>417221.14809257083</v>
      </c>
      <c r="W23" s="343">
        <f t="shared" ref="W23:W32" ca="1" si="15">((W$7*(1+W$18))+W$17+W$19)*K23</f>
        <v>444248.64950793935</v>
      </c>
      <c r="X23" s="343">
        <f t="shared" ref="X23:X32" ca="1" si="16">((X$7*(1+X$18))+X$17+X$19)*L23</f>
        <v>456142.97094603302</v>
      </c>
      <c r="Y23" s="343">
        <f t="shared" ref="Y23:Y32" ca="1" si="17">((Y$7*(1+Y$18))+Y$17+Y$19)*M23</f>
        <v>475857.22396933747</v>
      </c>
      <c r="Z23" s="343">
        <f t="shared" ref="Z23:Z32" ca="1" si="18">((Z$7*(1+Z$18))+Z$17+Z$19)*N23</f>
        <v>488213.38785589708</v>
      </c>
      <c r="AA23" s="344">
        <f t="shared" ref="AA23:AA32" ca="1" si="19">((AA$7*(1+AA$18))+AA$17+AA$19)*O23</f>
        <v>512413.53155156103</v>
      </c>
      <c r="AC23" s="11">
        <v>1</v>
      </c>
    </row>
    <row r="24" spans="1:30" ht="15" customHeight="1">
      <c r="A24" s="177"/>
      <c r="B24" s="177" t="s">
        <v>386</v>
      </c>
      <c r="C24" s="177" t="s">
        <v>59</v>
      </c>
      <c r="D24" s="177" t="s">
        <v>14</v>
      </c>
      <c r="E24" s="386">
        <f>IF(LEFT($F$3)="E", (1/6)*$H$2, 0)</f>
        <v>60</v>
      </c>
      <c r="F24" s="304">
        <f>IF(LEFT($G$3, 1)="E", 1, 0)</f>
        <v>1</v>
      </c>
      <c r="G24" s="345"/>
      <c r="H24" s="389" t="s">
        <v>401</v>
      </c>
      <c r="I24" s="390">
        <f ca="1">CEILING($F24*IF(VLOOKUP($C24,INDIRECT($B$23 &amp; $B$24), MATCH(I$4,INDIRECT($B$23 &amp; $B$25),0)+6, 0)="Y",$E24/VLOOKUP($D24,INDIRECT($B$23 &amp; $B$24), MATCH(I$4,INDIRECT($B$23 &amp; $B$25),0)+6, 0),(0.5*$E24)/VLOOKUP($D24,INDIRECT($B$23 &amp; $B$24), MATCH(I$4,INDIRECT($B$23 &amp; $B$25),0)+6, 0)), $F24)</f>
        <v>3</v>
      </c>
      <c r="J24" s="390">
        <f t="shared" ca="1" si="12"/>
        <v>3</v>
      </c>
      <c r="K24" s="390">
        <f t="shared" ca="1" si="12"/>
        <v>3</v>
      </c>
      <c r="L24" s="390">
        <f t="shared" ca="1" si="12"/>
        <v>3</v>
      </c>
      <c r="M24" s="390">
        <f t="shared" ca="1" si="12"/>
        <v>3</v>
      </c>
      <c r="N24" s="390">
        <f t="shared" ca="1" si="12"/>
        <v>3</v>
      </c>
      <c r="O24" s="390">
        <f t="shared" ca="1" si="12"/>
        <v>3</v>
      </c>
      <c r="P24" s="391"/>
      <c r="Q24" s="371"/>
      <c r="R24" s="371"/>
      <c r="S24" s="371" t="s">
        <v>599</v>
      </c>
      <c r="T24" s="390"/>
      <c r="U24" s="392">
        <f t="shared" ca="1" si="13"/>
        <v>392725.89116371708</v>
      </c>
      <c r="V24" s="351">
        <f t="shared" ca="1" si="14"/>
        <v>417221.14809257083</v>
      </c>
      <c r="W24" s="351">
        <f t="shared" ca="1" si="15"/>
        <v>444248.64950793935</v>
      </c>
      <c r="X24" s="351">
        <f t="shared" ca="1" si="16"/>
        <v>456142.97094603302</v>
      </c>
      <c r="Y24" s="351">
        <f t="shared" ca="1" si="17"/>
        <v>475857.22396933747</v>
      </c>
      <c r="Z24" s="351">
        <f t="shared" ca="1" si="18"/>
        <v>488213.38785589708</v>
      </c>
      <c r="AA24" s="352">
        <f t="shared" ca="1" si="19"/>
        <v>512413.53155156103</v>
      </c>
      <c r="AC24" s="11">
        <v>1</v>
      </c>
    </row>
    <row r="25" spans="1:30" ht="15" customHeight="1">
      <c r="A25" s="177"/>
      <c r="B25" s="177" t="s">
        <v>387</v>
      </c>
      <c r="C25" s="177" t="s">
        <v>59</v>
      </c>
      <c r="D25" s="177" t="s">
        <v>63</v>
      </c>
      <c r="E25" s="386">
        <f>IF(LEFT($F$3)="E", (2/6)*$H$2,0)</f>
        <v>120</v>
      </c>
      <c r="F25" s="304">
        <f>IF(LEFT($G$3, 1)="E", 1, 0)</f>
        <v>1</v>
      </c>
      <c r="G25" s="345"/>
      <c r="H25" s="389" t="s">
        <v>402</v>
      </c>
      <c r="I25" s="390">
        <f ca="1">CEILING($F25*IF(VLOOKUP($C25,INDIRECT($B$23 &amp; $B$24), MATCH(I$4,INDIRECT($B$23 &amp; $B$25),0)+6, 0)="Y",$E25/VLOOKUP($D25,INDIRECT($B$23 &amp; $B$24), MATCH(I$4,INDIRECT($B$23 &amp; $B$25),0)+6, 0),(0.5*$E25)/VLOOKUP($D25,INDIRECT($B$23 &amp; $B$24), MATCH(I$4,INDIRECT($B$23 &amp; $B$25),0)+6, 0)), $F25)</f>
        <v>6</v>
      </c>
      <c r="J25" s="390">
        <f t="shared" ca="1" si="12"/>
        <v>6</v>
      </c>
      <c r="K25" s="390">
        <f t="shared" ca="1" si="12"/>
        <v>6</v>
      </c>
      <c r="L25" s="390">
        <f t="shared" ca="1" si="12"/>
        <v>6</v>
      </c>
      <c r="M25" s="390">
        <f t="shared" ca="1" si="12"/>
        <v>6</v>
      </c>
      <c r="N25" s="390">
        <f t="shared" ca="1" si="12"/>
        <v>6</v>
      </c>
      <c r="O25" s="390">
        <f t="shared" ca="1" si="12"/>
        <v>6</v>
      </c>
      <c r="P25" s="391"/>
      <c r="Q25" s="371"/>
      <c r="R25" s="371"/>
      <c r="S25" s="366" t="s">
        <v>502</v>
      </c>
      <c r="T25" s="390"/>
      <c r="U25" s="392">
        <f t="shared" ca="1" si="13"/>
        <v>785451.78232743416</v>
      </c>
      <c r="V25" s="351">
        <f t="shared" ca="1" si="14"/>
        <v>834442.29618514166</v>
      </c>
      <c r="W25" s="351">
        <f t="shared" ca="1" si="15"/>
        <v>888497.2990158787</v>
      </c>
      <c r="X25" s="351">
        <f t="shared" ca="1" si="16"/>
        <v>912285.94189206604</v>
      </c>
      <c r="Y25" s="351">
        <f t="shared" ca="1" si="17"/>
        <v>951714.44793867494</v>
      </c>
      <c r="Z25" s="351">
        <f t="shared" ca="1" si="18"/>
        <v>976426.77571179415</v>
      </c>
      <c r="AA25" s="352">
        <f t="shared" ca="1" si="19"/>
        <v>1024827.0631031221</v>
      </c>
      <c r="AC25" s="11">
        <v>1</v>
      </c>
    </row>
    <row r="26" spans="1:30" ht="15" customHeight="1">
      <c r="A26" s="177"/>
      <c r="B26" s="177"/>
      <c r="C26" s="177" t="s">
        <v>59</v>
      </c>
      <c r="D26" s="177" t="s">
        <v>64</v>
      </c>
      <c r="E26" s="386">
        <f>IF(LEFT($F$3)="E", (2/6)*$H$2, 0)</f>
        <v>120</v>
      </c>
      <c r="F26" s="304">
        <f>IF(LEFT($G$3, 1)="E", 1, 0)</f>
        <v>1</v>
      </c>
      <c r="G26" s="345"/>
      <c r="H26" s="389" t="s">
        <v>403</v>
      </c>
      <c r="I26" s="390">
        <f ca="1">CEILING($F26*IF(VLOOKUP($C26,INDIRECT($B$23 &amp; $B$24), MATCH(I$4,INDIRECT($B$23 &amp; $B$25),0)+6, 0)="Y",$E26/VLOOKUP($D26,INDIRECT($B$23 &amp; $B$24), MATCH(I$4,INDIRECT($B$23 &amp; $B$25),0)+6, 0),(0.5*$E26)/VLOOKUP($D26,INDIRECT($B$23 &amp; $B$24), MATCH(I$4,INDIRECT($B$23 &amp; $B$25),0)+6, 0)), $F26)</f>
        <v>6</v>
      </c>
      <c r="J26" s="390">
        <f t="shared" ca="1" si="12"/>
        <v>6</v>
      </c>
      <c r="K26" s="390">
        <f t="shared" ca="1" si="12"/>
        <v>6</v>
      </c>
      <c r="L26" s="390">
        <f t="shared" ca="1" si="12"/>
        <v>6</v>
      </c>
      <c r="M26" s="390">
        <f t="shared" ca="1" si="12"/>
        <v>6</v>
      </c>
      <c r="N26" s="390">
        <f t="shared" ca="1" si="12"/>
        <v>6</v>
      </c>
      <c r="O26" s="390">
        <f t="shared" ca="1" si="12"/>
        <v>6</v>
      </c>
      <c r="P26" s="391"/>
      <c r="Q26" s="371"/>
      <c r="R26" s="371"/>
      <c r="S26" s="371"/>
      <c r="T26" s="390"/>
      <c r="U26" s="392">
        <f t="shared" ca="1" si="13"/>
        <v>785451.78232743416</v>
      </c>
      <c r="V26" s="351">
        <f t="shared" ca="1" si="14"/>
        <v>834442.29618514166</v>
      </c>
      <c r="W26" s="351">
        <f t="shared" ca="1" si="15"/>
        <v>888497.2990158787</v>
      </c>
      <c r="X26" s="351">
        <f t="shared" ca="1" si="16"/>
        <v>912285.94189206604</v>
      </c>
      <c r="Y26" s="351">
        <f t="shared" ca="1" si="17"/>
        <v>951714.44793867494</v>
      </c>
      <c r="Z26" s="351">
        <f t="shared" ca="1" si="18"/>
        <v>976426.77571179415</v>
      </c>
      <c r="AA26" s="352">
        <f t="shared" ca="1" si="19"/>
        <v>1024827.0631031221</v>
      </c>
      <c r="AC26" s="11">
        <v>1</v>
      </c>
    </row>
    <row r="27" spans="1:30" ht="15" customHeight="1">
      <c r="A27" s="177"/>
      <c r="B27" s="177"/>
      <c r="C27" s="177" t="s">
        <v>59</v>
      </c>
      <c r="D27" s="177" t="str">
        <f>LEFT($G$3,1) &amp; "S_ProgramStaff"</f>
        <v>ES_ProgramStaff</v>
      </c>
      <c r="E27" s="177"/>
      <c r="F27" s="304">
        <f>IF(LEFT($G$3, 1)="E", 1, 0)</f>
        <v>1</v>
      </c>
      <c r="G27" s="345"/>
      <c r="H27" s="372" t="s">
        <v>397</v>
      </c>
      <c r="I27" s="390">
        <f t="shared" ref="I27:O27" ca="1" si="20">$F27*VLOOKUP($D27,INDIRECT($B$23 &amp; $B$24), MATCH(I$4,INDIRECT($B$23 &amp; $B$25),0)+6, 0)</f>
        <v>3</v>
      </c>
      <c r="J27" s="390">
        <f t="shared" ca="1" si="20"/>
        <v>3</v>
      </c>
      <c r="K27" s="390">
        <f t="shared" ca="1" si="20"/>
        <v>3</v>
      </c>
      <c r="L27" s="390">
        <f t="shared" ca="1" si="20"/>
        <v>4.5</v>
      </c>
      <c r="M27" s="390">
        <f t="shared" ca="1" si="20"/>
        <v>4.5</v>
      </c>
      <c r="N27" s="390">
        <f t="shared" ca="1" si="20"/>
        <v>3</v>
      </c>
      <c r="O27" s="390">
        <f t="shared" ca="1" si="20"/>
        <v>3</v>
      </c>
      <c r="P27" s="391"/>
      <c r="Q27" s="371"/>
      <c r="R27" s="371"/>
      <c r="S27" s="390"/>
      <c r="T27" s="390"/>
      <c r="U27" s="392">
        <f t="shared" ca="1" si="13"/>
        <v>392725.89116371708</v>
      </c>
      <c r="V27" s="351">
        <f t="shared" ca="1" si="14"/>
        <v>417221.14809257083</v>
      </c>
      <c r="W27" s="351">
        <f t="shared" ca="1" si="15"/>
        <v>444248.64950793935</v>
      </c>
      <c r="X27" s="351">
        <f t="shared" ca="1" si="16"/>
        <v>684214.45641904953</v>
      </c>
      <c r="Y27" s="351">
        <f t="shared" ca="1" si="17"/>
        <v>713785.83595400618</v>
      </c>
      <c r="Z27" s="351">
        <f t="shared" ca="1" si="18"/>
        <v>488213.38785589708</v>
      </c>
      <c r="AA27" s="352">
        <f t="shared" ca="1" si="19"/>
        <v>512413.53155156103</v>
      </c>
      <c r="AC27" s="11">
        <v>1</v>
      </c>
    </row>
    <row r="28" spans="1:30" ht="15" customHeight="1">
      <c r="A28" s="177"/>
      <c r="B28" s="177"/>
      <c r="C28" s="177"/>
      <c r="D28" s="110" t="str">
        <f>LEFT($G$3,1) &amp; "S_CoreStaff"</f>
        <v>ES_CoreStaff</v>
      </c>
      <c r="E28" s="177"/>
      <c r="F28" s="304">
        <f>IF(LEFT($G$3, 1)="E", 0, 1)</f>
        <v>0</v>
      </c>
      <c r="G28" s="345"/>
      <c r="H28" s="389" t="s">
        <v>399</v>
      </c>
      <c r="I28" s="390">
        <f t="shared" ref="I28:O28" ca="1" si="21">IFERROR($F28*VLOOKUP($D28,INDIRECT($B$23 &amp; $B$24), MATCH(I$4,INDIRECT($B$23 &amp; $B$25),0)+6, 0),0)</f>
        <v>0</v>
      </c>
      <c r="J28" s="390">
        <f t="shared" ca="1" si="21"/>
        <v>0</v>
      </c>
      <c r="K28" s="390">
        <f t="shared" ca="1" si="21"/>
        <v>0</v>
      </c>
      <c r="L28" s="390">
        <f t="shared" ca="1" si="21"/>
        <v>0</v>
      </c>
      <c r="M28" s="390">
        <f t="shared" ca="1" si="21"/>
        <v>0</v>
      </c>
      <c r="N28" s="390">
        <f t="shared" ca="1" si="21"/>
        <v>0</v>
      </c>
      <c r="O28" s="390">
        <f t="shared" ca="1" si="21"/>
        <v>0</v>
      </c>
      <c r="P28" s="391"/>
      <c r="Q28" s="371"/>
      <c r="R28" s="371"/>
      <c r="S28" s="390"/>
      <c r="T28" s="390"/>
      <c r="U28" s="392">
        <f t="shared" ca="1" si="13"/>
        <v>0</v>
      </c>
      <c r="V28" s="351">
        <f t="shared" ca="1" si="14"/>
        <v>0</v>
      </c>
      <c r="W28" s="351">
        <f t="shared" ca="1" si="15"/>
        <v>0</v>
      </c>
      <c r="X28" s="351">
        <f t="shared" ca="1" si="16"/>
        <v>0</v>
      </c>
      <c r="Y28" s="351">
        <f t="shared" ca="1" si="17"/>
        <v>0</v>
      </c>
      <c r="Z28" s="351">
        <f t="shared" ca="1" si="18"/>
        <v>0</v>
      </c>
      <c r="AA28" s="352">
        <f t="shared" ca="1" si="19"/>
        <v>0</v>
      </c>
      <c r="AC28" s="11">
        <v>1</v>
      </c>
    </row>
    <row r="29" spans="1:30" ht="15" customHeight="1">
      <c r="A29" s="177"/>
      <c r="B29" s="177"/>
      <c r="C29" s="177"/>
      <c r="D29" s="110" t="str">
        <f>LEFT($G$3,1) &amp; "S_ProgramStaff"</f>
        <v>ES_ProgramStaff</v>
      </c>
      <c r="E29" s="177"/>
      <c r="F29" s="304">
        <f>IF(LEFT($G$3, 1)="E", 0, 1)</f>
        <v>0</v>
      </c>
      <c r="G29" s="336"/>
      <c r="H29" s="387" t="s">
        <v>398</v>
      </c>
      <c r="I29" s="369">
        <f t="shared" ref="I29:O29" ca="1" si="22">$F29*VLOOKUP($D29,INDIRECT($B$23 &amp; $B$24), MATCH(I$4,INDIRECT($B$23 &amp; $B$25),0)+6, 0)</f>
        <v>0</v>
      </c>
      <c r="J29" s="369">
        <f t="shared" ca="1" si="22"/>
        <v>0</v>
      </c>
      <c r="K29" s="369">
        <f t="shared" ca="1" si="22"/>
        <v>0</v>
      </c>
      <c r="L29" s="369">
        <f t="shared" ca="1" si="22"/>
        <v>0</v>
      </c>
      <c r="M29" s="369">
        <f t="shared" ca="1" si="22"/>
        <v>0</v>
      </c>
      <c r="N29" s="369">
        <f t="shared" ca="1" si="22"/>
        <v>0</v>
      </c>
      <c r="O29" s="369">
        <f t="shared" ca="1" si="22"/>
        <v>0</v>
      </c>
      <c r="P29" s="388"/>
      <c r="Q29" s="393"/>
      <c r="R29" s="393"/>
      <c r="S29" s="369"/>
      <c r="T29" s="369"/>
      <c r="U29" s="343">
        <f t="shared" ca="1" si="13"/>
        <v>0</v>
      </c>
      <c r="V29" s="343">
        <f t="shared" ca="1" si="14"/>
        <v>0</v>
      </c>
      <c r="W29" s="343">
        <f t="shared" ca="1" si="15"/>
        <v>0</v>
      </c>
      <c r="X29" s="343">
        <f t="shared" ca="1" si="16"/>
        <v>0</v>
      </c>
      <c r="Y29" s="343">
        <f t="shared" ca="1" si="17"/>
        <v>0</v>
      </c>
      <c r="Z29" s="343">
        <f t="shared" ca="1" si="18"/>
        <v>0</v>
      </c>
      <c r="AA29" s="344">
        <f t="shared" ca="1" si="19"/>
        <v>0</v>
      </c>
      <c r="AC29" s="11">
        <v>1</v>
      </c>
    </row>
    <row r="30" spans="1:30" ht="15" customHeight="1">
      <c r="A30" s="177"/>
      <c r="B30" s="177"/>
      <c r="C30" s="177"/>
      <c r="D30" s="373" t="str">
        <f>LEFT($G$3,1) &amp; "S_librarian"</f>
        <v>ES_librarian</v>
      </c>
      <c r="E30" s="177"/>
      <c r="G30" s="345"/>
      <c r="H30" s="372" t="s">
        <v>298</v>
      </c>
      <c r="I30" s="390">
        <f t="shared" ref="I30:O32" ca="1" si="23">VLOOKUP($D30,INDIRECT($B$23 &amp; $B$24), MATCH(I$4,INDIRECT($B$23 &amp; $B$25),0)+6, 0)</f>
        <v>0.75</v>
      </c>
      <c r="J30" s="390">
        <f t="shared" ca="1" si="23"/>
        <v>0.75</v>
      </c>
      <c r="K30" s="390">
        <f t="shared" ca="1" si="23"/>
        <v>0.75</v>
      </c>
      <c r="L30" s="390">
        <f t="shared" ca="1" si="23"/>
        <v>1</v>
      </c>
      <c r="M30" s="390">
        <f t="shared" ca="1" si="23"/>
        <v>1</v>
      </c>
      <c r="N30" s="390">
        <f t="shared" ca="1" si="23"/>
        <v>0.75</v>
      </c>
      <c r="O30" s="390">
        <f t="shared" ca="1" si="23"/>
        <v>0.75</v>
      </c>
      <c r="P30" s="391"/>
      <c r="Q30" s="371"/>
      <c r="R30" s="371"/>
      <c r="S30" s="390"/>
      <c r="T30" s="390"/>
      <c r="U30" s="351">
        <f t="shared" ca="1" si="13"/>
        <v>98181.472790929271</v>
      </c>
      <c r="V30" s="351">
        <f t="shared" ca="1" si="14"/>
        <v>104305.28702314271</v>
      </c>
      <c r="W30" s="351">
        <f t="shared" ca="1" si="15"/>
        <v>111062.16237698484</v>
      </c>
      <c r="X30" s="351">
        <f t="shared" ca="1" si="16"/>
        <v>152047.65698201102</v>
      </c>
      <c r="Y30" s="351">
        <f t="shared" ca="1" si="17"/>
        <v>158619.07465644582</v>
      </c>
      <c r="Z30" s="351">
        <f t="shared" ca="1" si="18"/>
        <v>122053.34696397427</v>
      </c>
      <c r="AA30" s="352">
        <f t="shared" ca="1" si="19"/>
        <v>128103.38288789026</v>
      </c>
      <c r="AC30" s="11">
        <v>1</v>
      </c>
    </row>
    <row r="31" spans="1:30" ht="15" customHeight="1">
      <c r="A31" s="177"/>
      <c r="B31" s="177"/>
      <c r="C31" s="177"/>
      <c r="D31" s="177" t="str">
        <f>LEFT($G$3,1) &amp; "S_ESL"</f>
        <v>ES_ESL</v>
      </c>
      <c r="E31" s="177"/>
      <c r="G31" s="345"/>
      <c r="H31" s="389" t="s">
        <v>299</v>
      </c>
      <c r="I31" s="390">
        <f t="shared" ca="1" si="23"/>
        <v>0.5</v>
      </c>
      <c r="J31" s="390">
        <f t="shared" ca="1" si="23"/>
        <v>0.5</v>
      </c>
      <c r="K31" s="390">
        <f t="shared" ca="1" si="23"/>
        <v>0.5</v>
      </c>
      <c r="L31" s="390">
        <f t="shared" ca="1" si="23"/>
        <v>1</v>
      </c>
      <c r="M31" s="390">
        <f t="shared" ca="1" si="23"/>
        <v>1</v>
      </c>
      <c r="N31" s="390">
        <f t="shared" ca="1" si="23"/>
        <v>0.5</v>
      </c>
      <c r="O31" s="390">
        <f t="shared" ca="1" si="23"/>
        <v>0.5</v>
      </c>
      <c r="P31" s="391"/>
      <c r="Q31" s="390"/>
      <c r="R31" s="390"/>
      <c r="S31" s="394" t="s">
        <v>944</v>
      </c>
      <c r="T31" s="394"/>
      <c r="U31" s="351">
        <f t="shared" ca="1" si="13"/>
        <v>65454.315193952847</v>
      </c>
      <c r="V31" s="351">
        <f t="shared" ca="1" si="14"/>
        <v>69536.858015428472</v>
      </c>
      <c r="W31" s="351">
        <f t="shared" ca="1" si="15"/>
        <v>74041.441584656553</v>
      </c>
      <c r="X31" s="351">
        <f t="shared" ca="1" si="16"/>
        <v>152047.65698201102</v>
      </c>
      <c r="Y31" s="351">
        <f t="shared" ca="1" si="17"/>
        <v>158619.07465644582</v>
      </c>
      <c r="Z31" s="351">
        <f t="shared" ca="1" si="18"/>
        <v>81368.897975982851</v>
      </c>
      <c r="AA31" s="352">
        <f t="shared" ca="1" si="19"/>
        <v>85402.255258593505</v>
      </c>
      <c r="AC31" s="11">
        <v>1</v>
      </c>
    </row>
    <row r="32" spans="1:30" ht="15" customHeight="1">
      <c r="A32" s="177"/>
      <c r="B32" s="177"/>
      <c r="C32" s="177"/>
      <c r="D32" s="177" t="str">
        <f>LEFT($G$3,1) &amp; "S_SpEd"</f>
        <v>ES_SpEd</v>
      </c>
      <c r="E32" s="177"/>
      <c r="G32" s="345"/>
      <c r="H32" s="372" t="s">
        <v>300</v>
      </c>
      <c r="I32" s="390">
        <f t="shared" ca="1" si="23"/>
        <v>3</v>
      </c>
      <c r="J32" s="390">
        <f t="shared" ca="1" si="23"/>
        <v>3</v>
      </c>
      <c r="K32" s="390">
        <f t="shared" ca="1" si="23"/>
        <v>3</v>
      </c>
      <c r="L32" s="390">
        <f t="shared" ca="1" si="23"/>
        <v>3</v>
      </c>
      <c r="M32" s="390">
        <f t="shared" ca="1" si="23"/>
        <v>3</v>
      </c>
      <c r="N32" s="390">
        <f t="shared" ca="1" si="23"/>
        <v>3</v>
      </c>
      <c r="O32" s="390">
        <f t="shared" ca="1" si="23"/>
        <v>3</v>
      </c>
      <c r="P32" s="391"/>
      <c r="Q32" s="390"/>
      <c r="R32" s="390"/>
      <c r="S32" s="390" t="s">
        <v>390</v>
      </c>
      <c r="T32" s="390"/>
      <c r="U32" s="351">
        <f t="shared" ca="1" si="13"/>
        <v>392725.89116371708</v>
      </c>
      <c r="V32" s="351">
        <f t="shared" ca="1" si="14"/>
        <v>417221.14809257083</v>
      </c>
      <c r="W32" s="351">
        <f t="shared" ca="1" si="15"/>
        <v>444248.64950793935</v>
      </c>
      <c r="X32" s="351">
        <f t="shared" ca="1" si="16"/>
        <v>456142.97094603302</v>
      </c>
      <c r="Y32" s="351">
        <f t="shared" ca="1" si="17"/>
        <v>475857.22396933747</v>
      </c>
      <c r="Z32" s="351">
        <f t="shared" ca="1" si="18"/>
        <v>488213.38785589708</v>
      </c>
      <c r="AA32" s="352">
        <f t="shared" ca="1" si="19"/>
        <v>512413.53155156103</v>
      </c>
      <c r="AC32" s="11">
        <v>1</v>
      </c>
    </row>
    <row r="33" spans="1:29" ht="15" customHeight="1">
      <c r="A33" s="177"/>
      <c r="B33" s="177"/>
      <c r="C33" s="177"/>
      <c r="D33" s="177"/>
      <c r="E33" s="177"/>
      <c r="G33" s="345"/>
      <c r="H33" s="389" t="s">
        <v>301</v>
      </c>
      <c r="I33" s="390"/>
      <c r="J33" s="390"/>
      <c r="K33" s="390"/>
      <c r="L33" s="390"/>
      <c r="M33" s="390"/>
      <c r="N33" s="390"/>
      <c r="O33" s="390"/>
      <c r="P33" s="395">
        <f ca="1">INDEX(INDIRECT($S$31 &amp; $S$32),MATCH($T33,INDIRECT($S$31 &amp; $S$33),0),MATCH($G$3,INDIRECT($S$31 &amp; $S$34),0))</f>
        <v>116.56651303627083</v>
      </c>
      <c r="Q33" s="390"/>
      <c r="R33" s="390"/>
      <c r="S33" s="390" t="s">
        <v>391</v>
      </c>
      <c r="T33" s="177" t="s">
        <v>389</v>
      </c>
      <c r="U33" s="351">
        <f ca="1">$P33*$H$2</f>
        <v>41963.9446930575</v>
      </c>
      <c r="V33" s="351">
        <f t="shared" ref="V33:AA34" ca="1" si="24">U33*(1+J$7)</f>
        <v>44366.876426889692</v>
      </c>
      <c r="W33" s="351">
        <f t="shared" ca="1" si="24"/>
        <v>47492.423527045139</v>
      </c>
      <c r="X33" s="351">
        <f t="shared" ca="1" si="24"/>
        <v>49467.139447332265</v>
      </c>
      <c r="Y33" s="351">
        <f t="shared" ca="1" si="24"/>
        <v>51690.475685413956</v>
      </c>
      <c r="Z33" s="351">
        <f t="shared" ca="1" si="24"/>
        <v>52966.15826737287</v>
      </c>
      <c r="AA33" s="352">
        <f t="shared" ca="1" si="24"/>
        <v>55741.230223702551</v>
      </c>
      <c r="AC33" s="11">
        <v>1</v>
      </c>
    </row>
    <row r="34" spans="1:29" ht="15" customHeight="1">
      <c r="A34" s="177"/>
      <c r="B34" s="177"/>
      <c r="C34" s="177"/>
      <c r="D34" s="177"/>
      <c r="E34" s="177"/>
      <c r="G34" s="345"/>
      <c r="H34" s="389" t="s">
        <v>302</v>
      </c>
      <c r="I34" s="390"/>
      <c r="J34" s="390"/>
      <c r="K34" s="390"/>
      <c r="L34" s="390"/>
      <c r="M34" s="390"/>
      <c r="N34" s="390"/>
      <c r="O34" s="390"/>
      <c r="P34" s="395">
        <f ca="1">INDEX(INDIRECT($S$31 &amp; $S$32),MATCH($T34,INDIRECT($S$31 &amp; $S$33),0),MATCH($G$3,INDIRECT($S$31 &amp; $S$34),0))</f>
        <v>21.815971729866863</v>
      </c>
      <c r="Q34" s="390"/>
      <c r="R34" s="390"/>
      <c r="S34" s="390" t="s">
        <v>392</v>
      </c>
      <c r="T34" s="177" t="s">
        <v>388</v>
      </c>
      <c r="U34" s="351">
        <f ca="1">$P34*$H$2</f>
        <v>7853.7498227520709</v>
      </c>
      <c r="V34" s="351">
        <f t="shared" ca="1" si="24"/>
        <v>8303.4698101533522</v>
      </c>
      <c r="W34" s="351">
        <f t="shared" ca="1" si="24"/>
        <v>8888.4306655590681</v>
      </c>
      <c r="X34" s="351">
        <f t="shared" ca="1" si="24"/>
        <v>9258.0080473419221</v>
      </c>
      <c r="Y34" s="351">
        <f t="shared" ca="1" si="24"/>
        <v>9674.1158921471124</v>
      </c>
      <c r="Z34" s="351">
        <f t="shared" ca="1" si="24"/>
        <v>9912.8658934930354</v>
      </c>
      <c r="AA34" s="352">
        <f t="shared" ca="1" si="24"/>
        <v>10432.233675634694</v>
      </c>
      <c r="AC34" s="11">
        <v>1</v>
      </c>
    </row>
    <row r="35" spans="1:29" ht="15" customHeight="1">
      <c r="A35" s="177"/>
      <c r="B35" s="177"/>
      <c r="C35" s="177"/>
      <c r="D35" s="177" t="str">
        <f>LEFT($G$3,1) &amp; "S_ASSP"</f>
        <v>ES_ASSP</v>
      </c>
      <c r="E35" s="177"/>
      <c r="F35" s="304">
        <f>IF(LEFT($G$3, 1)="E", 0, 1)</f>
        <v>0</v>
      </c>
      <c r="G35" s="345"/>
      <c r="H35" s="372" t="s">
        <v>303</v>
      </c>
      <c r="I35" s="390">
        <f t="shared" ref="I35:O35" ca="1" si="25">IFERROR($F35*VLOOKUP($D35,INDIRECT($B$23 &amp; $B$24), MATCH(I$4,INDIRECT($B$23 &amp; $B$25),0)+6, 0),0)</f>
        <v>0</v>
      </c>
      <c r="J35" s="390">
        <f t="shared" ca="1" si="25"/>
        <v>0</v>
      </c>
      <c r="K35" s="390">
        <f t="shared" ca="1" si="25"/>
        <v>0</v>
      </c>
      <c r="L35" s="390">
        <f t="shared" ca="1" si="25"/>
        <v>0</v>
      </c>
      <c r="M35" s="390">
        <f t="shared" ca="1" si="25"/>
        <v>0</v>
      </c>
      <c r="N35" s="390">
        <f t="shared" ca="1" si="25"/>
        <v>0</v>
      </c>
      <c r="O35" s="390">
        <f t="shared" ca="1" si="25"/>
        <v>0</v>
      </c>
      <c r="P35" s="391"/>
      <c r="Q35" s="390"/>
      <c r="R35" s="390"/>
      <c r="S35" s="390"/>
      <c r="T35" s="390"/>
      <c r="U35" s="351">
        <f t="shared" ref="U35:AA35" ca="1" si="26">((U$7*(1+U$18))+U$17+U$19)*I35</f>
        <v>0</v>
      </c>
      <c r="V35" s="351">
        <f t="shared" ca="1" si="26"/>
        <v>0</v>
      </c>
      <c r="W35" s="351">
        <f t="shared" ca="1" si="26"/>
        <v>0</v>
      </c>
      <c r="X35" s="351">
        <f t="shared" ca="1" si="26"/>
        <v>0</v>
      </c>
      <c r="Y35" s="351">
        <f t="shared" ca="1" si="26"/>
        <v>0</v>
      </c>
      <c r="Z35" s="351">
        <f t="shared" ca="1" si="26"/>
        <v>0</v>
      </c>
      <c r="AA35" s="352">
        <f t="shared" ca="1" si="26"/>
        <v>0</v>
      </c>
      <c r="AC35" s="11">
        <v>1</v>
      </c>
    </row>
    <row r="36" spans="1:29" ht="15" customHeight="1">
      <c r="A36" s="177"/>
      <c r="B36" s="177"/>
      <c r="C36" s="177"/>
      <c r="D36" s="177" t="str">
        <f>LEFT($G$3,1) &amp; "S_Couns"</f>
        <v>ES_Couns</v>
      </c>
      <c r="E36" s="177"/>
      <c r="F36" s="304">
        <v>1</v>
      </c>
      <c r="G36" s="345"/>
      <c r="H36" s="389" t="s">
        <v>157</v>
      </c>
      <c r="I36" s="390">
        <f t="shared" ref="I36:O37" ca="1" si="27">VLOOKUP($D36,INDIRECT($B$23 &amp; $B$24), MATCH(I$4,INDIRECT($B$23 &amp; $B$25),0)+6, 0)</f>
        <v>1</v>
      </c>
      <c r="J36" s="390">
        <f t="shared" ca="1" si="27"/>
        <v>1</v>
      </c>
      <c r="K36" s="390">
        <f t="shared" ca="1" si="27"/>
        <v>1</v>
      </c>
      <c r="L36" s="390">
        <f t="shared" ca="1" si="27"/>
        <v>1.44</v>
      </c>
      <c r="M36" s="390">
        <f t="shared" ca="1" si="27"/>
        <v>1.44</v>
      </c>
      <c r="N36" s="390">
        <f t="shared" ca="1" si="27"/>
        <v>1</v>
      </c>
      <c r="O36" s="390">
        <f t="shared" ca="1" si="27"/>
        <v>1</v>
      </c>
      <c r="P36" s="391"/>
      <c r="Q36" s="390"/>
      <c r="R36" s="390"/>
      <c r="S36" s="390"/>
      <c r="T36" s="390"/>
      <c r="U36" s="351">
        <f t="shared" ref="U36:AA36" ca="1" si="28">((U$10*(1+U$18))+U$17+U$19)*I36</f>
        <v>134225.65352852963</v>
      </c>
      <c r="V36" s="351">
        <f t="shared" ca="1" si="28"/>
        <v>142615.58477734367</v>
      </c>
      <c r="W36" s="351">
        <f t="shared" ca="1" si="28"/>
        <v>151874.26863821223</v>
      </c>
      <c r="X36" s="351">
        <f t="shared" ca="1" si="28"/>
        <v>224548.15163769433</v>
      </c>
      <c r="Y36" s="351">
        <f t="shared" ca="1" si="28"/>
        <v>234262.66780234023</v>
      </c>
      <c r="Z36" s="351">
        <f t="shared" ca="1" si="28"/>
        <v>166901.409548069</v>
      </c>
      <c r="AA36" s="352">
        <f t="shared" ca="1" si="28"/>
        <v>175186.2695802357</v>
      </c>
      <c r="AC36" s="11">
        <v>1</v>
      </c>
    </row>
    <row r="37" spans="1:29" ht="15" customHeight="1">
      <c r="A37" s="177"/>
      <c r="B37" s="177"/>
      <c r="C37" s="177"/>
      <c r="D37" s="177" t="str">
        <f>LEFT($G$3,1) &amp; "S_InstAsst"</f>
        <v>ES_InstAsst</v>
      </c>
      <c r="E37" s="177"/>
      <c r="F37" s="304">
        <v>1</v>
      </c>
      <c r="G37" s="345"/>
      <c r="H37" s="389" t="s">
        <v>305</v>
      </c>
      <c r="I37" s="390">
        <f t="shared" ca="1" si="27"/>
        <v>1.4</v>
      </c>
      <c r="J37" s="390">
        <f t="shared" ca="1" si="27"/>
        <v>1.4</v>
      </c>
      <c r="K37" s="390">
        <f t="shared" ca="1" si="27"/>
        <v>1.4</v>
      </c>
      <c r="L37" s="390">
        <f t="shared" ca="1" si="27"/>
        <v>2</v>
      </c>
      <c r="M37" s="390">
        <f t="shared" ca="1" si="27"/>
        <v>2</v>
      </c>
      <c r="N37" s="390">
        <f t="shared" ca="1" si="27"/>
        <v>1.4</v>
      </c>
      <c r="O37" s="390">
        <f t="shared" ca="1" si="27"/>
        <v>1.4</v>
      </c>
      <c r="P37" s="391"/>
      <c r="Q37" s="390"/>
      <c r="R37" s="390"/>
      <c r="S37" s="390"/>
      <c r="T37" s="390"/>
      <c r="U37" s="351">
        <f t="shared" ref="U37:AA37" ca="1" si="29">((U$12*8*185*(1+U$18-U$22))+U$17+U$19)*I37</f>
        <v>89599.68415999999</v>
      </c>
      <c r="V37" s="351">
        <f t="shared" ca="1" si="29"/>
        <v>92880.15589663999</v>
      </c>
      <c r="W37" s="351">
        <f t="shared" ca="1" si="29"/>
        <v>95373.976041700254</v>
      </c>
      <c r="X37" s="351">
        <f t="shared" ca="1" si="29"/>
        <v>138878.48844122025</v>
      </c>
      <c r="Y37" s="351">
        <f t="shared" ca="1" si="29"/>
        <v>142722.75550742878</v>
      </c>
      <c r="Z37" s="351">
        <f t="shared" ca="1" si="29"/>
        <v>102599.63610671661</v>
      </c>
      <c r="AA37" s="352">
        <f t="shared" ca="1" si="29"/>
        <v>105388.42186117772</v>
      </c>
      <c r="AC37" s="11">
        <v>1</v>
      </c>
    </row>
    <row r="38" spans="1:29" ht="15" customHeight="1">
      <c r="A38" s="177"/>
      <c r="B38" s="177"/>
      <c r="C38" s="177"/>
      <c r="D38" s="10" t="s">
        <v>77</v>
      </c>
      <c r="E38" s="177"/>
      <c r="F38" s="304">
        <f>IF(LEFT($G$3, 1)="H", 1, 0)</f>
        <v>0</v>
      </c>
      <c r="G38" s="356"/>
      <c r="H38" s="396" t="s">
        <v>306</v>
      </c>
      <c r="I38" s="397">
        <f t="shared" ref="I38:O38" ca="1" si="30">$F38*VLOOKUP($D38,INDIRECT($B$23 &amp; $B$24), MATCH(I$4,INDIRECT($B$23 &amp; $B$25),0)+6, 0)</f>
        <v>0</v>
      </c>
      <c r="J38" s="397">
        <f t="shared" ca="1" si="30"/>
        <v>0</v>
      </c>
      <c r="K38" s="397">
        <f t="shared" ca="1" si="30"/>
        <v>0</v>
      </c>
      <c r="L38" s="397">
        <f t="shared" ca="1" si="30"/>
        <v>0</v>
      </c>
      <c r="M38" s="397">
        <f t="shared" ca="1" si="30"/>
        <v>0</v>
      </c>
      <c r="N38" s="397">
        <f t="shared" ca="1" si="30"/>
        <v>0</v>
      </c>
      <c r="O38" s="397">
        <f t="shared" ca="1" si="30"/>
        <v>0</v>
      </c>
      <c r="P38" s="398"/>
      <c r="Q38" s="397"/>
      <c r="R38" s="397"/>
      <c r="S38" s="397"/>
      <c r="T38" s="397"/>
      <c r="U38" s="381">
        <f t="shared" ref="U38:AA38" ca="1" si="31">((U$7*(1+U$18))+U$17+U$19)*I38</f>
        <v>0</v>
      </c>
      <c r="V38" s="381">
        <f t="shared" ca="1" si="31"/>
        <v>0</v>
      </c>
      <c r="W38" s="381">
        <f t="shared" ca="1" si="31"/>
        <v>0</v>
      </c>
      <c r="X38" s="381">
        <f t="shared" ca="1" si="31"/>
        <v>0</v>
      </c>
      <c r="Y38" s="381">
        <f t="shared" ca="1" si="31"/>
        <v>0</v>
      </c>
      <c r="Z38" s="381">
        <f t="shared" ca="1" si="31"/>
        <v>0</v>
      </c>
      <c r="AA38" s="382">
        <f t="shared" ca="1" si="31"/>
        <v>0</v>
      </c>
      <c r="AC38" s="11">
        <v>1</v>
      </c>
    </row>
    <row r="39" spans="1:29" ht="15" hidden="1" customHeight="1" outlineLevel="1">
      <c r="A39" s="10"/>
      <c r="B39" s="10"/>
      <c r="C39" s="177"/>
      <c r="D39" s="177"/>
      <c r="E39" s="177"/>
      <c r="G39" s="345"/>
      <c r="H39" s="389"/>
      <c r="I39" s="390"/>
      <c r="J39" s="390"/>
      <c r="K39" s="390"/>
      <c r="L39" s="390"/>
      <c r="M39" s="390"/>
      <c r="N39" s="390"/>
      <c r="O39" s="390"/>
      <c r="P39" s="391"/>
      <c r="Q39" s="390"/>
      <c r="R39" s="390"/>
      <c r="S39" s="390"/>
      <c r="T39" s="390"/>
      <c r="U39" s="351"/>
      <c r="V39" s="351"/>
      <c r="W39" s="351"/>
      <c r="X39" s="351"/>
      <c r="Y39" s="351"/>
      <c r="Z39" s="351"/>
      <c r="AA39" s="351"/>
      <c r="AC39" s="11">
        <v>0</v>
      </c>
    </row>
    <row r="40" spans="1:29" ht="15" hidden="1" customHeight="1" outlineLevel="1" thickBot="1">
      <c r="A40" s="10"/>
      <c r="B40" s="10"/>
      <c r="C40" s="177"/>
      <c r="D40" s="177"/>
      <c r="E40" s="177"/>
      <c r="G40" s="345"/>
      <c r="H40" s="389"/>
      <c r="I40" s="390"/>
      <c r="J40" s="390"/>
      <c r="K40" s="390"/>
      <c r="L40" s="390"/>
      <c r="M40" s="390"/>
      <c r="N40" s="390"/>
      <c r="O40" s="390"/>
      <c r="P40" s="391"/>
      <c r="Q40" s="390"/>
      <c r="R40" s="390"/>
      <c r="S40" s="390"/>
      <c r="T40" s="390"/>
      <c r="U40" s="351"/>
      <c r="V40" s="351"/>
      <c r="W40" s="351"/>
      <c r="X40" s="351"/>
      <c r="Y40" s="351"/>
      <c r="Z40" s="351"/>
      <c r="AA40" s="351"/>
      <c r="AC40" s="11">
        <v>0</v>
      </c>
    </row>
    <row r="41" spans="1:29" ht="15" hidden="1" customHeight="1" outlineLevel="1">
      <c r="A41" s="10"/>
      <c r="B41" s="10"/>
      <c r="G41" s="345"/>
      <c r="H41" s="389"/>
      <c r="I41" s="390"/>
      <c r="J41" s="390"/>
      <c r="K41" s="390"/>
      <c r="L41" s="390"/>
      <c r="M41" s="390"/>
      <c r="N41" s="390"/>
      <c r="O41" s="390"/>
      <c r="P41" s="399"/>
      <c r="Q41" s="75"/>
      <c r="R41" s="75"/>
      <c r="S41" s="400" t="s">
        <v>385</v>
      </c>
      <c r="T41" s="75" t="str">
        <f>LEFT($G$3,1) &amp; "S_AIT"</f>
        <v>ES_AIT</v>
      </c>
      <c r="U41" s="390">
        <f t="shared" ref="U41:AA41" ca="1" si="32">INDEX(INDIRECT($S$41 &amp; $S$42), MATCH($T$41, INDIRECT($S$41 &amp; $S$43), 0), MATCH(U$4, INDIRECT($S$41 &amp; $S$44),0))</f>
        <v>2</v>
      </c>
      <c r="V41" s="390">
        <f t="shared" ca="1" si="32"/>
        <v>2</v>
      </c>
      <c r="W41" s="390">
        <f t="shared" ca="1" si="32"/>
        <v>2</v>
      </c>
      <c r="X41" s="390">
        <f t="shared" ca="1" si="32"/>
        <v>6</v>
      </c>
      <c r="Y41" s="390">
        <f t="shared" ca="1" si="32"/>
        <v>6</v>
      </c>
      <c r="Z41" s="390">
        <f t="shared" ca="1" si="32"/>
        <v>2</v>
      </c>
      <c r="AA41" s="390">
        <f t="shared" ca="1" si="32"/>
        <v>2</v>
      </c>
      <c r="AC41" s="11">
        <v>0</v>
      </c>
    </row>
    <row r="42" spans="1:29" ht="15" hidden="1" customHeight="1" outlineLevel="1">
      <c r="A42" s="10"/>
      <c r="B42" s="10"/>
      <c r="G42" s="345"/>
      <c r="H42" s="389"/>
      <c r="I42" s="390"/>
      <c r="J42" s="390"/>
      <c r="K42" s="390"/>
      <c r="L42" s="390"/>
      <c r="M42" s="390"/>
      <c r="N42" s="390"/>
      <c r="O42" s="390"/>
      <c r="P42" s="399"/>
      <c r="Q42" s="75"/>
      <c r="R42" s="75"/>
      <c r="S42" s="401" t="s">
        <v>414</v>
      </c>
      <c r="T42" s="351" t="s">
        <v>9</v>
      </c>
      <c r="U42" s="390">
        <f t="shared" ref="U42:AA42" ca="1" si="33">INDEX(INDIRECT($S$41 &amp; $S$42), MATCH($T$41, INDIRECT($S$41 &amp; $S$43), 0), MATCH($T$42, INDIRECT($S$41 &amp; $S$44),0))</f>
        <v>6</v>
      </c>
      <c r="V42" s="390">
        <f t="shared" ca="1" si="33"/>
        <v>6</v>
      </c>
      <c r="W42" s="390">
        <f t="shared" ca="1" si="33"/>
        <v>6</v>
      </c>
      <c r="X42" s="390">
        <f t="shared" ca="1" si="33"/>
        <v>6</v>
      </c>
      <c r="Y42" s="390">
        <f t="shared" ca="1" si="33"/>
        <v>6</v>
      </c>
      <c r="Z42" s="390">
        <f t="shared" ca="1" si="33"/>
        <v>6</v>
      </c>
      <c r="AA42" s="390">
        <f t="shared" ca="1" si="33"/>
        <v>6</v>
      </c>
      <c r="AC42" s="11">
        <v>0</v>
      </c>
    </row>
    <row r="43" spans="1:29" ht="15" hidden="1" customHeight="1" outlineLevel="1">
      <c r="A43" s="10"/>
      <c r="B43" s="10"/>
      <c r="G43" s="345"/>
      <c r="H43" s="389"/>
      <c r="I43" s="390"/>
      <c r="J43" s="390"/>
      <c r="K43" s="390"/>
      <c r="L43" s="390"/>
      <c r="M43" s="390"/>
      <c r="N43" s="390"/>
      <c r="O43" s="390"/>
      <c r="P43" s="399"/>
      <c r="Q43" s="75"/>
      <c r="R43" s="75"/>
      <c r="S43" s="401" t="s">
        <v>415</v>
      </c>
      <c r="T43" s="75" t="str">
        <f>T41 &amp; "/" &amp;T42</f>
        <v>ES_AIT/QEM</v>
      </c>
      <c r="U43" s="402">
        <f ca="1">U41/U42</f>
        <v>0.33333333333333331</v>
      </c>
      <c r="V43" s="402">
        <f t="shared" ref="V43:AA43" ca="1" si="34">V41/V42</f>
        <v>0.33333333333333331</v>
      </c>
      <c r="W43" s="402">
        <f t="shared" ca="1" si="34"/>
        <v>0.33333333333333331</v>
      </c>
      <c r="X43" s="402">
        <f t="shared" ca="1" si="34"/>
        <v>1</v>
      </c>
      <c r="Y43" s="402">
        <f t="shared" ca="1" si="34"/>
        <v>1</v>
      </c>
      <c r="Z43" s="402">
        <f t="shared" ca="1" si="34"/>
        <v>0.33333333333333331</v>
      </c>
      <c r="AA43" s="402">
        <f t="shared" ca="1" si="34"/>
        <v>0.33333333333333331</v>
      </c>
      <c r="AC43" s="11">
        <v>0</v>
      </c>
    </row>
    <row r="44" spans="1:29" ht="15" hidden="1" customHeight="1" outlineLevel="1">
      <c r="A44" s="10"/>
      <c r="B44" s="10"/>
      <c r="G44" s="345"/>
      <c r="H44" s="389"/>
      <c r="I44" s="390"/>
      <c r="J44" s="390"/>
      <c r="K44" s="390"/>
      <c r="L44" s="390"/>
      <c r="M44" s="390"/>
      <c r="N44" s="390"/>
      <c r="O44" s="390"/>
      <c r="P44" s="399"/>
      <c r="Q44" s="75"/>
      <c r="R44" s="75"/>
      <c r="S44" s="401" t="s">
        <v>416</v>
      </c>
      <c r="T44" s="401" t="s">
        <v>250</v>
      </c>
      <c r="U44" s="347">
        <f t="shared" ref="U44:AA44" ca="1" si="35">VLOOKUP($T44, $D$7:$O$12, MATCH(U$4, $D$4:$O$4, 0), 0)</f>
        <v>5.9308841843088489E-2</v>
      </c>
      <c r="V44" s="347">
        <f t="shared" ca="1" si="35"/>
        <v>5.7261817291207384E-2</v>
      </c>
      <c r="W44" s="347">
        <f t="shared" ca="1" si="35"/>
        <v>7.0447760849378316E-2</v>
      </c>
      <c r="X44" s="347">
        <f t="shared" ca="1" si="35"/>
        <v>4.1579598884074587E-2</v>
      </c>
      <c r="Y44" s="347">
        <f t="shared" ca="1" si="35"/>
        <v>4.4945720794081545E-2</v>
      </c>
      <c r="Z44" s="347">
        <f t="shared" ca="1" si="35"/>
        <v>2.4679257929887566E-2</v>
      </c>
      <c r="AA44" s="347">
        <f t="shared" ca="1" si="35"/>
        <v>5.2393302574846645E-2</v>
      </c>
      <c r="AB44" s="90"/>
      <c r="AC44" s="11">
        <v>0</v>
      </c>
    </row>
    <row r="45" spans="1:29" ht="15" hidden="1" customHeight="1" outlineLevel="1">
      <c r="A45" s="10"/>
      <c r="B45" s="10"/>
      <c r="G45" s="345"/>
      <c r="H45" s="389"/>
      <c r="I45" s="390"/>
      <c r="J45" s="390"/>
      <c r="K45" s="390"/>
      <c r="L45" s="390"/>
      <c r="M45" s="390"/>
      <c r="N45" s="390"/>
      <c r="O45" s="390"/>
      <c r="P45" s="399"/>
      <c r="Q45" s="75"/>
      <c r="R45" s="75"/>
      <c r="S45" s="394" t="s">
        <v>951</v>
      </c>
      <c r="T45" s="75" t="s">
        <v>425</v>
      </c>
      <c r="U45" s="347"/>
      <c r="V45" s="347">
        <f ca="1">V44</f>
        <v>5.7261817291207384E-2</v>
      </c>
      <c r="W45" s="347">
        <f ca="1">(1+V45)*(1+W44)-1</f>
        <v>0.13174354495091745</v>
      </c>
      <c r="X45" s="347">
        <f ca="1">(1+W45)*(1+X44)-1</f>
        <v>0.17880098758961727</v>
      </c>
      <c r="Y45" s="347">
        <f ca="1">(1+X45)*(1+Y44)-1</f>
        <v>0.23178304764960789</v>
      </c>
      <c r="Z45" s="347">
        <f ca="1">(1+Y45)*(1+Z44)-1</f>
        <v>0.26218253919621559</v>
      </c>
      <c r="AA45" s="347">
        <f ca="1">(1+Z45)*(1+AA44)-1</f>
        <v>0.32831245087701122</v>
      </c>
      <c r="AB45" s="90"/>
      <c r="AC45" s="11">
        <v>0</v>
      </c>
    </row>
    <row r="46" spans="1:29" ht="15" hidden="1" customHeight="1" outlineLevel="1">
      <c r="A46" s="10"/>
      <c r="B46" s="10"/>
      <c r="G46" s="345"/>
      <c r="H46" s="389"/>
      <c r="I46" s="390"/>
      <c r="J46" s="390"/>
      <c r="K46" s="390"/>
      <c r="L46" s="390"/>
      <c r="M46" s="390"/>
      <c r="N46" s="390"/>
      <c r="O46" s="390"/>
      <c r="P46" s="399"/>
      <c r="Q46" s="75"/>
      <c r="R46" s="75"/>
      <c r="S46" s="75" t="s">
        <v>827</v>
      </c>
      <c r="T46" s="75" t="s">
        <v>269</v>
      </c>
      <c r="U46" s="347">
        <f t="shared" ref="U46:AA46" ca="1" si="36">VLOOKUP($T46, $D$7:$O$12, MATCH(U$4, $D$4:$O$4, 0), 0)</f>
        <v>2.9095091077493085E-2</v>
      </c>
      <c r="V46" s="347">
        <f t="shared" ca="1" si="36"/>
        <v>2.8327327327327345E-2</v>
      </c>
      <c r="W46" s="347">
        <f t="shared" ca="1" si="36"/>
        <v>2.3800350774627277E-2</v>
      </c>
      <c r="X46" s="347">
        <f t="shared" ca="1" si="36"/>
        <v>2.843641040297229E-2</v>
      </c>
      <c r="Y46" s="347">
        <f t="shared" ca="1" si="36"/>
        <v>2.4922114047288058E-2</v>
      </c>
      <c r="Z46" s="347">
        <f t="shared" ca="1" si="36"/>
        <v>2.3819885900570381E-2</v>
      </c>
      <c r="AA46" s="347">
        <f t="shared" ca="1" si="36"/>
        <v>2.4107569721115607E-2</v>
      </c>
      <c r="AB46" s="90"/>
      <c r="AC46" s="11">
        <v>0</v>
      </c>
    </row>
    <row r="47" spans="1:29" ht="15" hidden="1" customHeight="1" outlineLevel="1">
      <c r="A47" s="10"/>
      <c r="B47" s="10"/>
      <c r="G47" s="345"/>
      <c r="H47" s="389"/>
      <c r="I47" s="390"/>
      <c r="J47" s="390"/>
      <c r="K47" s="390"/>
      <c r="L47" s="390"/>
      <c r="M47" s="390"/>
      <c r="N47" s="390"/>
      <c r="O47" s="390"/>
      <c r="P47" s="399"/>
      <c r="Q47" s="75"/>
      <c r="R47" s="75"/>
      <c r="S47" s="75" t="s">
        <v>828</v>
      </c>
      <c r="T47" s="75" t="s">
        <v>426</v>
      </c>
      <c r="U47" s="347"/>
      <c r="V47" s="347">
        <f ca="1">V46</f>
        <v>2.8327327327327345E-2</v>
      </c>
      <c r="W47" s="347">
        <f ca="1">(1+V47)*(1+W46)-1</f>
        <v>5.2801878428852644E-2</v>
      </c>
      <c r="X47" s="347">
        <f ca="1">(1+W47)*(1+X46)-1</f>
        <v>8.2739784716875597E-2</v>
      </c>
      <c r="Y47" s="347">
        <f ca="1">(1+X47)*(1+Y46)-1</f>
        <v>0.10972394911512584</v>
      </c>
      <c r="Z47" s="347">
        <f ca="1">(1+Y47)*(1+Z46)-1</f>
        <v>0.13615744696417842</v>
      </c>
      <c r="AA47" s="347">
        <f ca="1">(1+Z47)*(1+AA46)-1</f>
        <v>0.16354744183103187</v>
      </c>
      <c r="AB47" s="90"/>
      <c r="AC47" s="11">
        <v>0</v>
      </c>
    </row>
    <row r="48" spans="1:29" ht="15" hidden="1" customHeight="1" outlineLevel="1">
      <c r="A48" s="10"/>
      <c r="B48" s="10"/>
      <c r="G48" s="345"/>
      <c r="H48" s="389"/>
      <c r="I48" s="390"/>
      <c r="J48" s="390"/>
      <c r="K48" s="390"/>
      <c r="L48" s="390"/>
      <c r="M48" s="390"/>
      <c r="N48" s="390"/>
      <c r="O48" s="390"/>
      <c r="P48" s="399"/>
      <c r="Q48" s="75"/>
      <c r="R48" s="75"/>
      <c r="S48" s="75" t="s">
        <v>826</v>
      </c>
      <c r="T48" s="75" t="s">
        <v>258</v>
      </c>
      <c r="U48" s="347">
        <f t="shared" ref="U48:AA48" ca="1" si="37">VLOOKUP($T48,INDIRECT($S$45 &amp; $S$46), MATCH(U$4, INDIRECT($S$45 &amp; $S$48), 0), 0)</f>
        <v>2.450980392156854E-2</v>
      </c>
      <c r="V48" s="347">
        <f t="shared" ca="1" si="37"/>
        <v>2.8708133971291794E-2</v>
      </c>
      <c r="W48" s="347">
        <f t="shared" ca="1" si="37"/>
        <v>2.7906976744185963E-2</v>
      </c>
      <c r="X48" s="347">
        <f t="shared" ca="1" si="37"/>
        <v>2.4886877828054432E-2</v>
      </c>
      <c r="Y48" s="347">
        <f t="shared" ca="1" si="37"/>
        <v>2.3546725533480473E-2</v>
      </c>
      <c r="Z48" s="347">
        <f t="shared" ca="1" si="37"/>
        <v>2.2286125089863384E-2</v>
      </c>
      <c r="AA48" s="347">
        <f t="shared" ca="1" si="37"/>
        <v>2.2503516174402272E-2</v>
      </c>
      <c r="AB48" s="90"/>
      <c r="AC48" s="11">
        <v>0</v>
      </c>
    </row>
    <row r="49" spans="1:29" ht="15" hidden="1" customHeight="1" outlineLevel="1" thickBot="1">
      <c r="A49" s="10"/>
      <c r="B49" s="10"/>
      <c r="G49" s="345"/>
      <c r="H49" s="389"/>
      <c r="I49" s="390"/>
      <c r="J49" s="390"/>
      <c r="K49" s="390"/>
      <c r="L49" s="390"/>
      <c r="M49" s="390"/>
      <c r="N49" s="390"/>
      <c r="O49" s="390"/>
      <c r="P49" s="399"/>
      <c r="Q49" s="75"/>
      <c r="R49" s="75"/>
      <c r="S49" s="75"/>
      <c r="T49" s="75" t="s">
        <v>419</v>
      </c>
      <c r="U49" s="347"/>
      <c r="V49" s="347">
        <f ca="1">V48</f>
        <v>2.8708133971291794E-2</v>
      </c>
      <c r="W49" s="347">
        <f ca="1">(1+V49)*(1+W48)-1</f>
        <v>5.7416267942583588E-2</v>
      </c>
      <c r="X49" s="347">
        <f ca="1">(1+W49)*(1+X48)-1</f>
        <v>8.373205741626788E-2</v>
      </c>
      <c r="Y49" s="347">
        <f ca="1">(1+X49)*(1+Y48)-1</f>
        <v>0.10925039872408293</v>
      </c>
      <c r="Z49" s="347">
        <f ca="1">(1+Y49)*(1+Z48)-1</f>
        <v>0.13397129186602874</v>
      </c>
      <c r="AA49" s="347">
        <f ca="1">(1+Z49)*(1+AA48)-1</f>
        <v>0.15948963317384379</v>
      </c>
      <c r="AB49" s="90"/>
      <c r="AC49" s="11">
        <v>0</v>
      </c>
    </row>
    <row r="50" spans="1:29" ht="15" hidden="1" customHeight="1" outlineLevel="1">
      <c r="A50" s="10"/>
      <c r="B50" s="10"/>
      <c r="G50" s="345"/>
      <c r="H50" s="389"/>
      <c r="I50" s="390"/>
      <c r="J50" s="390"/>
      <c r="K50" s="390"/>
      <c r="L50" s="390"/>
      <c r="M50" s="75"/>
      <c r="N50" s="390"/>
      <c r="O50" s="390"/>
      <c r="P50" s="391"/>
      <c r="Q50" s="390"/>
      <c r="R50" s="390"/>
      <c r="S50" s="390"/>
      <c r="T50" s="390"/>
      <c r="U50" s="390"/>
      <c r="V50" s="390"/>
      <c r="W50" s="390"/>
      <c r="X50" s="390"/>
      <c r="Y50" s="390"/>
      <c r="Z50" s="390"/>
      <c r="AA50" s="390"/>
      <c r="AB50" s="390"/>
      <c r="AC50" s="11">
        <v>0</v>
      </c>
    </row>
    <row r="51" spans="1:29" ht="15" hidden="1" customHeight="1" outlineLevel="1" thickBot="1">
      <c r="A51" s="10"/>
      <c r="B51" s="403" t="s">
        <v>1061</v>
      </c>
      <c r="G51" s="345"/>
      <c r="H51" s="389"/>
      <c r="I51" s="390"/>
      <c r="J51" s="390"/>
      <c r="K51" s="390"/>
      <c r="L51" s="390"/>
      <c r="M51" s="390"/>
      <c r="N51" s="390"/>
      <c r="O51" s="390"/>
      <c r="P51" s="391"/>
      <c r="Q51" s="390"/>
      <c r="R51" s="390"/>
      <c r="S51" s="390"/>
      <c r="T51" s="390"/>
      <c r="U51" s="390"/>
      <c r="V51" s="390"/>
      <c r="W51" s="390"/>
      <c r="X51" s="390"/>
      <c r="Y51" s="390"/>
      <c r="Z51" s="390"/>
      <c r="AA51" s="390"/>
      <c r="AB51" s="390"/>
      <c r="AC51" s="11">
        <v>0</v>
      </c>
    </row>
    <row r="52" spans="1:29" ht="15" customHeight="1" collapsed="1">
      <c r="A52" s="10"/>
      <c r="B52" s="304" t="s">
        <v>851</v>
      </c>
      <c r="C52" s="177" t="str">
        <f>LEFT($G$3,1) &amp; "S_SumSchool"</f>
        <v>ES_SumSchool</v>
      </c>
      <c r="F52" s="177">
        <v>30</v>
      </c>
      <c r="G52" s="336" t="s">
        <v>307</v>
      </c>
      <c r="H52" s="387" t="s">
        <v>393</v>
      </c>
      <c r="I52" s="369">
        <f t="shared" ref="I52:O53" ca="1" si="38">INDEX(INDIRECT($B$51 &amp; $B$52), MATCH($C52, INDIRECT($B$51 &amp; $B$53),0), MATCH(I$4, INDIRECT($B$51 &amp; $B$54),0))</f>
        <v>3</v>
      </c>
      <c r="J52" s="369">
        <f t="shared" ca="1" si="38"/>
        <v>3</v>
      </c>
      <c r="K52" s="369">
        <f t="shared" ca="1" si="38"/>
        <v>3</v>
      </c>
      <c r="L52" s="369">
        <f t="shared" ca="1" si="38"/>
        <v>3</v>
      </c>
      <c r="M52" s="369">
        <f t="shared" ca="1" si="38"/>
        <v>3</v>
      </c>
      <c r="N52" s="369">
        <f t="shared" ca="1" si="38"/>
        <v>3</v>
      </c>
      <c r="O52" s="369">
        <f t="shared" ca="1" si="38"/>
        <v>3</v>
      </c>
      <c r="P52" s="404">
        <f ca="1">INDEX(INDIRECT($S$52 &amp; $S$53), MATCH($T52, INDIRECT($S$52 &amp; $S$54),0), MATCH(I$4, INDIRECT($S$52 &amp; $S$55),0))</f>
        <v>578.84046315789476</v>
      </c>
      <c r="Q52" s="369"/>
      <c r="R52" s="369"/>
      <c r="S52" s="405" t="s">
        <v>948</v>
      </c>
      <c r="T52" s="406" t="s">
        <v>421</v>
      </c>
      <c r="U52" s="343">
        <f ca="1">$P52*$F52*I52*U43</f>
        <v>17365.213894736844</v>
      </c>
      <c r="V52" s="343">
        <f t="shared" ref="V52:AA52" ca="1" si="39">$P52*$F52*J52*V43*(1+V45)</f>
        <v>18359.577600000001</v>
      </c>
      <c r="W52" s="343">
        <f t="shared" ca="1" si="39"/>
        <v>19652.968732060403</v>
      </c>
      <c r="X52" s="343">
        <f t="shared" ca="1" si="39"/>
        <v>61410.393866462204</v>
      </c>
      <c r="Y52" s="343">
        <f t="shared" ca="1" si="39"/>
        <v>64170.528283038802</v>
      </c>
      <c r="Z52" s="343">
        <f t="shared" ca="1" si="39"/>
        <v>21918.069767344354</v>
      </c>
      <c r="AA52" s="344">
        <f t="shared" ca="1" si="39"/>
        <v>23066.429828521428</v>
      </c>
      <c r="AB52" s="390"/>
      <c r="AC52" s="11">
        <v>1</v>
      </c>
    </row>
    <row r="53" spans="1:29" ht="15" customHeight="1">
      <c r="A53" s="10"/>
      <c r="B53" s="304" t="s">
        <v>852</v>
      </c>
      <c r="C53" s="177" t="str">
        <f>LEFT($G$3,1) &amp; "S_ClsfdSumSchool"</f>
        <v>ES_ClsfdSumSchool</v>
      </c>
      <c r="F53" s="177">
        <v>30</v>
      </c>
      <c r="G53" s="407"/>
      <c r="H53" s="389" t="s">
        <v>309</v>
      </c>
      <c r="I53" s="390">
        <f t="shared" ca="1" si="38"/>
        <v>7</v>
      </c>
      <c r="J53" s="390">
        <f t="shared" ca="1" si="38"/>
        <v>7</v>
      </c>
      <c r="K53" s="390">
        <f t="shared" ca="1" si="38"/>
        <v>7</v>
      </c>
      <c r="L53" s="390">
        <f t="shared" ca="1" si="38"/>
        <v>7</v>
      </c>
      <c r="M53" s="390">
        <f t="shared" ca="1" si="38"/>
        <v>7</v>
      </c>
      <c r="N53" s="390">
        <f t="shared" ca="1" si="38"/>
        <v>7</v>
      </c>
      <c r="O53" s="390">
        <f t="shared" ca="1" si="38"/>
        <v>7</v>
      </c>
      <c r="P53" s="395">
        <f ca="1">INDEX(INDIRECT($S$52 &amp; $S$53), MATCH($T53, INDIRECT($S$52 &amp; $S$54),0), MATCH(I$4, INDIRECT($S$52 &amp; $S$55),0))</f>
        <v>298.6884298467935</v>
      </c>
      <c r="Q53" s="390"/>
      <c r="R53" s="390"/>
      <c r="S53" s="401" t="s">
        <v>428</v>
      </c>
      <c r="T53" s="390" t="s">
        <v>308</v>
      </c>
      <c r="U53" s="351">
        <f ca="1">$P53*$F53*I53*U43</f>
        <v>20908.19008927554</v>
      </c>
      <c r="V53" s="351">
        <f t="shared" ref="V53:AA53" ca="1" si="40">$P53*$F53*J53*V43*(1+V47)</f>
        <v>21500.463233756433</v>
      </c>
      <c r="W53" s="351">
        <f t="shared" ca="1" si="40"/>
        <v>22012.181800536808</v>
      </c>
      <c r="X53" s="351">
        <f t="shared" ca="1" si="40"/>
        <v>67914.387708245136</v>
      </c>
      <c r="Y53" s="351">
        <f t="shared" ca="1" si="40"/>
        <v>69606.957824161771</v>
      </c>
      <c r="Z53" s="351">
        <f t="shared" ca="1" si="40"/>
        <v>23754.995872473035</v>
      </c>
      <c r="AA53" s="352">
        <f t="shared" ca="1" si="40"/>
        <v>24327.67109169349</v>
      </c>
      <c r="AB53" s="390"/>
      <c r="AC53" s="11">
        <v>1</v>
      </c>
    </row>
    <row r="54" spans="1:29" ht="15" customHeight="1">
      <c r="A54" s="10"/>
      <c r="B54" s="304" t="s">
        <v>773</v>
      </c>
      <c r="C54" s="177" t="str">
        <f>LEFT($G$3,1) &amp; "S_SumSchlSupplies"</f>
        <v>ES_SumSchlSupplies</v>
      </c>
      <c r="F54" s="177">
        <f>IF(LEFT($F$3,1) = "E", 0.2*(5/6)*$H$2, 0.2*$H$2)</f>
        <v>60.000000000000007</v>
      </c>
      <c r="G54" s="407"/>
      <c r="H54" s="389" t="s">
        <v>310</v>
      </c>
      <c r="I54" s="390"/>
      <c r="J54" s="390"/>
      <c r="K54" s="390"/>
      <c r="L54" s="390"/>
      <c r="M54" s="390"/>
      <c r="N54" s="390"/>
      <c r="O54" s="390"/>
      <c r="P54" s="395">
        <f ca="1">INDEX(INDIRECT($B$51 &amp; $B$52), MATCH($C54, INDIRECT($B$51 &amp; $B$53),0), MATCH(P$4, INDIRECT($B$51 &amp; $B$54),0))</f>
        <v>24</v>
      </c>
      <c r="Q54" s="390"/>
      <c r="R54" s="390"/>
      <c r="S54" s="401" t="s">
        <v>272</v>
      </c>
      <c r="T54" s="401"/>
      <c r="U54" s="351">
        <f ca="1">$P54*$F54*U43</f>
        <v>480.00000000000006</v>
      </c>
      <c r="V54" s="351">
        <f t="shared" ref="V54:AA54" ca="1" si="41">$P54*$F54*V43*(1+V49)</f>
        <v>493.77990430622015</v>
      </c>
      <c r="W54" s="351">
        <f t="shared" ca="1" si="41"/>
        <v>507.55980861244018</v>
      </c>
      <c r="X54" s="351">
        <f t="shared" ca="1" si="41"/>
        <v>1560.5741626794261</v>
      </c>
      <c r="Y54" s="351">
        <f t="shared" ca="1" si="41"/>
        <v>1597.3205741626796</v>
      </c>
      <c r="Z54" s="351">
        <f t="shared" ca="1" si="41"/>
        <v>544.3062200956939</v>
      </c>
      <c r="AA54" s="352">
        <f t="shared" ca="1" si="41"/>
        <v>556.55502392344511</v>
      </c>
      <c r="AB54" s="390"/>
      <c r="AC54" s="11">
        <v>1</v>
      </c>
    </row>
    <row r="55" spans="1:29" ht="15" hidden="1" customHeight="1" outlineLevel="1">
      <c r="A55" s="10"/>
      <c r="B55" s="177"/>
      <c r="C55" s="177"/>
      <c r="F55" s="177"/>
      <c r="G55" s="407"/>
      <c r="H55" s="391"/>
      <c r="I55" s="390"/>
      <c r="J55" s="390"/>
      <c r="K55" s="390"/>
      <c r="L55" s="390"/>
      <c r="M55" s="390"/>
      <c r="N55" s="390"/>
      <c r="O55" s="390"/>
      <c r="P55" s="391"/>
      <c r="Q55" s="390"/>
      <c r="R55" s="390"/>
      <c r="S55" s="401" t="s">
        <v>349</v>
      </c>
      <c r="T55" s="390"/>
      <c r="U55" s="390"/>
      <c r="V55" s="390"/>
      <c r="W55" s="390"/>
      <c r="X55" s="390"/>
      <c r="Y55" s="390"/>
      <c r="Z55" s="390"/>
      <c r="AA55" s="408"/>
      <c r="AB55" s="390"/>
      <c r="AC55" s="11">
        <v>0</v>
      </c>
    </row>
    <row r="56" spans="1:29" ht="15" hidden="1" customHeight="1" outlineLevel="1">
      <c r="A56" s="304"/>
      <c r="G56" s="407"/>
      <c r="H56" s="409"/>
      <c r="I56" s="304"/>
      <c r="J56" s="304"/>
      <c r="K56" s="304"/>
      <c r="L56" s="304"/>
      <c r="M56" s="304"/>
      <c r="N56" s="304"/>
      <c r="O56" s="304"/>
      <c r="P56" s="409"/>
      <c r="Q56" s="304"/>
      <c r="R56" s="304"/>
      <c r="S56" s="304"/>
      <c r="T56" s="304"/>
      <c r="U56" s="304"/>
      <c r="V56" s="304"/>
      <c r="W56" s="304"/>
      <c r="X56" s="304"/>
      <c r="Y56" s="304"/>
      <c r="Z56" s="304"/>
      <c r="AA56" s="410"/>
      <c r="AB56" s="304"/>
      <c r="AC56" s="11">
        <v>0</v>
      </c>
    </row>
    <row r="57" spans="1:29" ht="15" customHeight="1" collapsed="1">
      <c r="A57" s="304"/>
      <c r="B57" s="403" t="s">
        <v>385</v>
      </c>
      <c r="C57" s="177" t="str">
        <f>LEFT($G$3,1) &amp; "S_atRisk"</f>
        <v>ES_atRisk</v>
      </c>
      <c r="F57" s="177">
        <f>IF(LEFT($F$3,1) = "E", $H$2-$F54, $H$2)</f>
        <v>300</v>
      </c>
      <c r="G57" s="411"/>
      <c r="H57" s="396" t="s">
        <v>404</v>
      </c>
      <c r="I57" s="397">
        <f t="shared" ref="I57:O57" ca="1" si="42">INDEX(INDIRECT($B$57&amp;$B$58),MATCH($C57,INDIRECT($B$57&amp;$B$59),0),MATCH(I$4,INDIRECT($B$57&amp;$B$60),0))</f>
        <v>0.1</v>
      </c>
      <c r="J57" s="397">
        <f t="shared" ca="1" si="42"/>
        <v>0.1</v>
      </c>
      <c r="K57" s="397">
        <f t="shared" ca="1" si="42"/>
        <v>0.1</v>
      </c>
      <c r="L57" s="397">
        <f t="shared" ca="1" si="42"/>
        <v>0.2</v>
      </c>
      <c r="M57" s="397">
        <f t="shared" ca="1" si="42"/>
        <v>0.2</v>
      </c>
      <c r="N57" s="397">
        <f t="shared" ca="1" si="42"/>
        <v>0.1</v>
      </c>
      <c r="O57" s="397">
        <f t="shared" ca="1" si="42"/>
        <v>0.1</v>
      </c>
      <c r="P57" s="412">
        <f ca="1">INDEX(INDIRECT($B$51 &amp; $B$52), MATCH($C57, INDIRECT($B$51 &amp; $B$53),0), MATCH(P$4, INDIRECT($B$51 &amp; $B$54),0))</f>
        <v>222</v>
      </c>
      <c r="Q57" s="397"/>
      <c r="R57" s="397"/>
      <c r="S57" s="397"/>
      <c r="T57" s="413"/>
      <c r="U57" s="381">
        <f ca="1">$P57*I57*$F$57</f>
        <v>6660.0000000000009</v>
      </c>
      <c r="V57" s="381">
        <f t="shared" ref="V57:AA57" ca="1" si="43">$P57*J57*$F$57*(1+V45)</f>
        <v>7041.3637031594426</v>
      </c>
      <c r="W57" s="381">
        <f t="shared" ca="1" si="43"/>
        <v>7537.4120093731108</v>
      </c>
      <c r="X57" s="381">
        <f t="shared" ca="1" si="43"/>
        <v>15701.629154693705</v>
      </c>
      <c r="Y57" s="381">
        <f t="shared" ca="1" si="43"/>
        <v>16407.350194692779</v>
      </c>
      <c r="Z57" s="381">
        <f t="shared" ca="1" si="43"/>
        <v>8406.1357110467961</v>
      </c>
      <c r="AA57" s="382">
        <f t="shared" ca="1" si="43"/>
        <v>8846.5609228408957</v>
      </c>
      <c r="AB57" s="351"/>
      <c r="AC57" s="11">
        <v>1</v>
      </c>
    </row>
    <row r="58" spans="1:29" ht="15" hidden="1" customHeight="1" outlineLevel="1">
      <c r="A58" s="304"/>
      <c r="B58" s="304" t="s">
        <v>414</v>
      </c>
      <c r="G58" s="407"/>
      <c r="H58" s="389"/>
      <c r="I58" s="390"/>
      <c r="J58" s="390"/>
      <c r="K58" s="390"/>
      <c r="L58" s="390"/>
      <c r="M58" s="390"/>
      <c r="N58" s="390"/>
      <c r="O58" s="390"/>
      <c r="P58" s="391"/>
      <c r="Q58" s="390"/>
      <c r="R58" s="390"/>
      <c r="S58" s="390"/>
      <c r="T58" s="390"/>
      <c r="U58" s="351"/>
      <c r="V58" s="351"/>
      <c r="W58" s="351"/>
      <c r="X58" s="351"/>
      <c r="Y58" s="351"/>
      <c r="Z58" s="351"/>
      <c r="AA58" s="351"/>
      <c r="AB58" s="351"/>
      <c r="AC58" s="11">
        <v>0</v>
      </c>
    </row>
    <row r="59" spans="1:29" ht="15" hidden="1" customHeight="1" outlineLevel="1">
      <c r="A59" s="304"/>
      <c r="B59" s="304" t="s">
        <v>415</v>
      </c>
      <c r="G59" s="407"/>
      <c r="H59" s="389"/>
      <c r="I59" s="390"/>
      <c r="J59" s="390"/>
      <c r="K59" s="390"/>
      <c r="L59" s="390"/>
      <c r="M59" s="390"/>
      <c r="N59" s="390"/>
      <c r="O59" s="390"/>
      <c r="P59" s="391"/>
      <c r="Q59" s="390"/>
      <c r="R59" s="390"/>
      <c r="S59" s="390"/>
      <c r="T59" s="390"/>
      <c r="U59" s="351"/>
      <c r="V59" s="351"/>
      <c r="W59" s="351"/>
      <c r="X59" s="351"/>
      <c r="Y59" s="351"/>
      <c r="Z59" s="351"/>
      <c r="AA59" s="351"/>
      <c r="AB59" s="351"/>
      <c r="AC59" s="11">
        <v>0</v>
      </c>
    </row>
    <row r="60" spans="1:29" ht="15" hidden="1" customHeight="1" outlineLevel="1" thickBot="1">
      <c r="A60" s="304"/>
      <c r="B60" s="304" t="s">
        <v>416</v>
      </c>
      <c r="G60" s="407"/>
      <c r="H60" s="389"/>
      <c r="I60" s="390"/>
      <c r="J60" s="390"/>
      <c r="K60" s="390"/>
      <c r="L60" s="390"/>
      <c r="M60" s="390"/>
      <c r="N60" s="390"/>
      <c r="O60" s="390"/>
      <c r="P60" s="391"/>
      <c r="Q60" s="390"/>
      <c r="R60" s="390"/>
      <c r="S60" s="390"/>
      <c r="T60" s="390"/>
      <c r="U60" s="351"/>
      <c r="V60" s="351"/>
      <c r="W60" s="351"/>
      <c r="X60" s="351"/>
      <c r="Y60" s="351"/>
      <c r="Z60" s="351"/>
      <c r="AA60" s="351"/>
      <c r="AB60" s="351"/>
      <c r="AC60" s="11">
        <v>0</v>
      </c>
    </row>
    <row r="61" spans="1:29" ht="15" hidden="1" customHeight="1" outlineLevel="1">
      <c r="A61" s="304"/>
      <c r="B61" s="177"/>
      <c r="C61" s="177"/>
      <c r="D61" s="177"/>
      <c r="E61" s="177"/>
      <c r="F61" s="177"/>
      <c r="G61" s="414"/>
      <c r="H61" s="414"/>
      <c r="I61" s="177"/>
      <c r="J61" s="177"/>
      <c r="K61" s="177"/>
      <c r="L61" s="177"/>
      <c r="M61" s="177"/>
      <c r="N61" s="177"/>
      <c r="O61" s="177"/>
      <c r="P61" s="414"/>
      <c r="Q61" s="177"/>
      <c r="R61" s="177"/>
      <c r="S61" s="177"/>
      <c r="T61" s="177"/>
      <c r="U61" s="177"/>
      <c r="V61" s="177"/>
      <c r="W61" s="177"/>
      <c r="X61" s="177"/>
      <c r="Y61" s="177"/>
      <c r="Z61" s="177"/>
      <c r="AA61" s="177"/>
      <c r="AB61" s="177"/>
      <c r="AC61" s="11">
        <v>0</v>
      </c>
    </row>
    <row r="62" spans="1:29" ht="15" hidden="1" customHeight="1" outlineLevel="1" thickBot="1">
      <c r="B62" s="403" t="s">
        <v>385</v>
      </c>
      <c r="C62" s="177"/>
      <c r="D62" s="177"/>
      <c r="E62" s="177"/>
      <c r="F62" s="177"/>
      <c r="G62" s="414"/>
      <c r="H62" s="414"/>
      <c r="I62" s="177"/>
      <c r="J62" s="177"/>
      <c r="K62" s="177"/>
      <c r="L62" s="177"/>
      <c r="M62" s="177"/>
      <c r="N62" s="177"/>
      <c r="O62" s="177"/>
      <c r="P62" s="414"/>
      <c r="Q62" s="177"/>
      <c r="R62" s="177"/>
      <c r="S62" s="415" t="s">
        <v>952</v>
      </c>
      <c r="T62" s="384" t="s">
        <v>304</v>
      </c>
      <c r="U62" s="402">
        <f t="shared" ref="U62:AA62" ca="1" si="44">INDEX(INDIRECT($S$62 &amp; $S$63), MATCH($T62, INDIRECT($S$62 &amp; $S$64), 0), MATCH(U$4, INDIRECT($S$62 &amp; $S$65), 0))</f>
        <v>4.6282437901751152E-3</v>
      </c>
      <c r="V62" s="402">
        <f t="shared" ca="1" si="44"/>
        <v>5.1797955760855708E-3</v>
      </c>
      <c r="W62" s="402">
        <f t="shared" ca="1" si="44"/>
        <v>5.1797955760855708E-3</v>
      </c>
      <c r="X62" s="402">
        <f t="shared" ca="1" si="44"/>
        <v>5.1797955760855708E-3</v>
      </c>
      <c r="Y62" s="402">
        <f t="shared" ca="1" si="44"/>
        <v>5.1797955760855708E-3</v>
      </c>
      <c r="Z62" s="402">
        <f t="shared" ca="1" si="44"/>
        <v>5.1797955760855708E-3</v>
      </c>
      <c r="AA62" s="402">
        <f t="shared" ca="1" si="44"/>
        <v>5.1797955760855708E-3</v>
      </c>
      <c r="AB62" s="177"/>
      <c r="AC62" s="11">
        <v>0</v>
      </c>
    </row>
    <row r="63" spans="1:29" ht="15" customHeight="1" collapsed="1">
      <c r="B63" s="304" t="s">
        <v>414</v>
      </c>
      <c r="C63" s="177" t="str">
        <f>LEFT($G$3,1) &amp; "S_InstImp"</f>
        <v>ES_InstImp</v>
      </c>
      <c r="D63" s="177"/>
      <c r="E63" s="403"/>
      <c r="F63" s="403"/>
      <c r="G63" s="416" t="s">
        <v>311</v>
      </c>
      <c r="H63" s="416" t="s">
        <v>311</v>
      </c>
      <c r="I63" s="417">
        <f t="shared" ref="I63:O63" ca="1" si="45">INDEX(INDIRECT($B$62&amp;$B$63),MATCH($C63,INDIRECT($B$62&amp;$B$64),0),MATCH(I$4,INDIRECT($B$62&amp;$B$65),0))</f>
        <v>1</v>
      </c>
      <c r="J63" s="417">
        <f t="shared" ca="1" si="45"/>
        <v>1</v>
      </c>
      <c r="K63" s="417">
        <f t="shared" ca="1" si="45"/>
        <v>1</v>
      </c>
      <c r="L63" s="417">
        <f t="shared" ca="1" si="45"/>
        <v>2</v>
      </c>
      <c r="M63" s="417">
        <f t="shared" ca="1" si="45"/>
        <v>2</v>
      </c>
      <c r="N63" s="417">
        <f t="shared" ca="1" si="45"/>
        <v>1</v>
      </c>
      <c r="O63" s="417">
        <f t="shared" ca="1" si="45"/>
        <v>1</v>
      </c>
      <c r="P63" s="418"/>
      <c r="Q63" s="419"/>
      <c r="R63" s="419"/>
      <c r="S63" s="420" t="s">
        <v>600</v>
      </c>
      <c r="T63" s="420"/>
      <c r="U63" s="421">
        <f t="shared" ref="U63:AA63" ca="1" si="46">(U7*(1+U18-U62)+U17+U19)*I63</f>
        <v>130530.68799999999</v>
      </c>
      <c r="V63" s="421">
        <f t="shared" ca="1" si="46"/>
        <v>138626.51320000002</v>
      </c>
      <c r="W63" s="421">
        <f t="shared" ca="1" si="46"/>
        <v>147604.17590037684</v>
      </c>
      <c r="X63" s="421">
        <f t="shared" ca="1" si="46"/>
        <v>303098.09051369893</v>
      </c>
      <c r="Y63" s="421">
        <f t="shared" ca="1" si="46"/>
        <v>316196.10493580101</v>
      </c>
      <c r="Z63" s="421">
        <f t="shared" ca="1" si="46"/>
        <v>162203.91532244207</v>
      </c>
      <c r="AA63" s="422">
        <f t="shared" ca="1" si="46"/>
        <v>170242.65811830189</v>
      </c>
      <c r="AC63" s="11">
        <v>1</v>
      </c>
    </row>
    <row r="64" spans="1:29" ht="15" hidden="1" customHeight="1" outlineLevel="1">
      <c r="B64" s="304" t="s">
        <v>415</v>
      </c>
      <c r="C64" s="177"/>
      <c r="D64" s="177"/>
      <c r="G64" s="407"/>
      <c r="H64" s="389"/>
      <c r="I64" s="423"/>
      <c r="J64" s="423"/>
      <c r="K64" s="423"/>
      <c r="L64" s="423"/>
      <c r="M64" s="423"/>
      <c r="N64" s="423"/>
      <c r="O64" s="423"/>
      <c r="P64" s="395"/>
      <c r="Q64" s="354"/>
      <c r="R64" s="354"/>
      <c r="S64" s="371" t="s">
        <v>599</v>
      </c>
      <c r="T64" s="371"/>
      <c r="U64" s="371"/>
      <c r="V64" s="371"/>
      <c r="W64" s="371"/>
      <c r="X64" s="371"/>
      <c r="Y64" s="371"/>
      <c r="Z64" s="371"/>
      <c r="AA64" s="371"/>
      <c r="AC64" s="11">
        <v>0</v>
      </c>
    </row>
    <row r="65" spans="1:29" ht="15" hidden="1" customHeight="1" outlineLevel="1">
      <c r="B65" s="304" t="s">
        <v>416</v>
      </c>
      <c r="C65" s="177"/>
      <c r="D65" s="177"/>
      <c r="G65" s="407"/>
      <c r="H65" s="389"/>
      <c r="I65" s="423"/>
      <c r="J65" s="423"/>
      <c r="K65" s="423"/>
      <c r="L65" s="423"/>
      <c r="M65" s="423"/>
      <c r="N65" s="423"/>
      <c r="O65" s="423"/>
      <c r="P65" s="395"/>
      <c r="Q65" s="354"/>
      <c r="R65" s="354"/>
      <c r="S65" s="371" t="s">
        <v>502</v>
      </c>
      <c r="T65" s="371"/>
      <c r="U65" s="371"/>
      <c r="V65" s="371"/>
      <c r="W65" s="371"/>
      <c r="X65" s="371"/>
      <c r="Y65" s="371"/>
      <c r="Z65" s="371"/>
      <c r="AA65" s="371"/>
      <c r="AC65" s="11">
        <v>0</v>
      </c>
    </row>
    <row r="66" spans="1:29" ht="15" hidden="1" customHeight="1" outlineLevel="1">
      <c r="B66" s="11"/>
      <c r="C66" s="177"/>
      <c r="D66" s="177"/>
      <c r="E66" s="177"/>
      <c r="F66" s="177"/>
      <c r="G66" s="330"/>
      <c r="H66" s="330"/>
      <c r="P66" s="391"/>
      <c r="Q66" s="390"/>
      <c r="R66" s="390"/>
      <c r="S66" s="390"/>
      <c r="AC66" s="11">
        <v>0</v>
      </c>
    </row>
    <row r="67" spans="1:29" ht="15" hidden="1" customHeight="1" outlineLevel="1" thickBot="1">
      <c r="B67" s="11"/>
      <c r="C67" s="11"/>
      <c r="D67" s="11"/>
      <c r="E67" s="11"/>
      <c r="F67" s="11"/>
      <c r="G67" s="330"/>
      <c r="H67" s="330"/>
      <c r="P67" s="330"/>
      <c r="AC67" s="11">
        <v>0</v>
      </c>
    </row>
    <row r="68" spans="1:29" ht="15" customHeight="1" collapsed="1">
      <c r="B68" s="403" t="s">
        <v>385</v>
      </c>
      <c r="C68" s="177" t="str">
        <f t="shared" ref="C68:C87" si="47">LEFT($G$3,1) &amp; "S" &amp; D68</f>
        <v>ES_Clsfd</v>
      </c>
      <c r="D68" s="11" t="s">
        <v>522</v>
      </c>
      <c r="E68" s="403"/>
      <c r="F68" s="403"/>
      <c r="G68" s="336" t="s">
        <v>312</v>
      </c>
      <c r="H68" s="387" t="s">
        <v>314</v>
      </c>
      <c r="I68" s="369">
        <f t="shared" ref="I68:O68" ca="1" si="48">IFERROR(INDEX(INDIRECT($B$68 &amp; $B$69), MATCH($C68, INDIRECT($B$68 &amp; $B$70),0), MATCH(I$4, INDIRECT($B$68 &amp; $B$71), 0)),0)-I69-I70</f>
        <v>3</v>
      </c>
      <c r="J68" s="369">
        <f t="shared" ca="1" si="48"/>
        <v>3</v>
      </c>
      <c r="K68" s="369">
        <f t="shared" ca="1" si="48"/>
        <v>3</v>
      </c>
      <c r="L68" s="369">
        <f t="shared" ca="1" si="48"/>
        <v>4</v>
      </c>
      <c r="M68" s="369">
        <f t="shared" ca="1" si="48"/>
        <v>4</v>
      </c>
      <c r="N68" s="369">
        <f t="shared" ca="1" si="48"/>
        <v>3</v>
      </c>
      <c r="O68" s="369">
        <f t="shared" ca="1" si="48"/>
        <v>3</v>
      </c>
      <c r="P68" s="424"/>
      <c r="Q68" s="369">
        <v>8</v>
      </c>
      <c r="R68" s="369"/>
      <c r="S68" s="369">
        <v>185</v>
      </c>
      <c r="T68" s="342" t="s">
        <v>245</v>
      </c>
      <c r="U68" s="425">
        <f t="shared" ref="U68:Z68" ca="1" si="49">IF(LEFT($G$3,1)="E", (VLOOKUP($T68, $T$7:$AA$13, MATCH(U$4, $S$4:$AA$4,0),0)*$Q68*$S68*(1+U$18-U$22)+U$17+U$19)*I68, 0)</f>
        <v>223117.41135290667</v>
      </c>
      <c r="V68" s="425">
        <f t="shared" ca="1" si="49"/>
        <v>230597.03941126462</v>
      </c>
      <c r="W68" s="425">
        <f t="shared" ca="1" si="49"/>
        <v>237465.98751456136</v>
      </c>
      <c r="X68" s="425">
        <f t="shared" ca="1" si="49"/>
        <v>321646.55248679133</v>
      </c>
      <c r="Y68" s="425">
        <f t="shared" ca="1" si="49"/>
        <v>330174.3516942414</v>
      </c>
      <c r="Z68" s="425">
        <f t="shared" ca="1" si="49"/>
        <v>254253.08716257894</v>
      </c>
      <c r="AA68" s="426">
        <f ca="1">IF(LEFT($G$3,1)="E", (VLOOKUP($T68, $T$7:$AA$13, MATCH(AA$4, $T$4:$AA$4,0),0)*$Q68*$S68*(1+AA$18-AA$22)+AA$17+AA$19)*O68, 0)</f>
        <v>256680.07843390261</v>
      </c>
      <c r="AC68" s="11">
        <v>1</v>
      </c>
    </row>
    <row r="69" spans="1:29" ht="15" customHeight="1">
      <c r="A69" s="177"/>
      <c r="B69" s="304" t="s">
        <v>414</v>
      </c>
      <c r="C69" s="177" t="str">
        <f t="shared" si="47"/>
        <v>ES_SpEdStaff</v>
      </c>
      <c r="D69" s="177" t="s">
        <v>505</v>
      </c>
      <c r="E69" s="177"/>
      <c r="F69" s="177"/>
      <c r="G69" s="345"/>
      <c r="H69" s="389" t="s">
        <v>313</v>
      </c>
      <c r="I69" s="390">
        <f t="shared" ref="I69:O78" ca="1" si="50">IFERROR(INDEX(INDIRECT($B$73 &amp; $B$74), MATCH($C69, INDIRECT($B$73 &amp; $B$75),0), MATCH(I$4, INDIRECT($B$73 &amp; $B$76), 0)),0)</f>
        <v>5</v>
      </c>
      <c r="J69" s="390">
        <f t="shared" ca="1" si="50"/>
        <v>5</v>
      </c>
      <c r="K69" s="390">
        <f t="shared" ca="1" si="50"/>
        <v>5</v>
      </c>
      <c r="L69" s="390">
        <f t="shared" ca="1" si="50"/>
        <v>5</v>
      </c>
      <c r="M69" s="390">
        <f t="shared" ca="1" si="50"/>
        <v>5</v>
      </c>
      <c r="N69" s="390">
        <f t="shared" ca="1" si="50"/>
        <v>5</v>
      </c>
      <c r="O69" s="390">
        <f t="shared" ca="1" si="50"/>
        <v>5</v>
      </c>
      <c r="P69" s="391"/>
      <c r="Q69" s="390">
        <v>8</v>
      </c>
      <c r="R69" s="390"/>
      <c r="S69" s="390">
        <v>185</v>
      </c>
      <c r="T69" s="350" t="s">
        <v>245</v>
      </c>
      <c r="U69" s="427">
        <f t="shared" ref="U69:U87" ca="1" si="51">(VLOOKUP($T69, $T$7:$AA$13, MATCH(U$4, $S$4:$AA$4,0),0)*$Q69*$S69*(1+$U$18-$U$22)+$U$17+$U$19)*I69</f>
        <v>371862.35225484445</v>
      </c>
      <c r="V69" s="427">
        <f t="shared" ref="V69:V87" ca="1" si="52">(VLOOKUP($T69, $T$7:$AA$13, MATCH(V$4, $S$4:$AA$4,0),0)*$Q69*$S69*(1+V$18-V$22)+V$17+V$19)*J69</f>
        <v>384328.39901877439</v>
      </c>
      <c r="W69" s="427">
        <f t="shared" ref="W69:W87" ca="1" si="53">(VLOOKUP($T69, $T$7:$AA$13, MATCH(W$4, $S$4:$AA$4,0),0)*$Q69*$S69*(1+W$18-W$22)+W$17+W$19)*K69</f>
        <v>395776.64585760224</v>
      </c>
      <c r="X69" s="427">
        <f t="shared" ref="X69:X87" ca="1" si="54">(VLOOKUP($T69, $T$7:$AA$13, MATCH(X$4, $S$4:$AA$4,0),0)*$Q69*$S69*(1+X$18-X$22)+X$17+X$19)*L69</f>
        <v>402058.19060848915</v>
      </c>
      <c r="Y69" s="427">
        <f t="shared" ref="Y69:Y87" ca="1" si="55">(VLOOKUP($T69, $T$7:$AA$13, MATCH(Y$4, $S$4:$AA$4,0),0)*$Q69*$S69*(1+Y$18-Y$22)+Y$17+Y$19)*M69</f>
        <v>412717.93961780175</v>
      </c>
      <c r="Z69" s="427">
        <f t="shared" ref="Z69:Z87" ca="1" si="56">(VLOOKUP($T69, $T$7:$AA$13, MATCH(Z$4, $S$4:$AA$4,0),0)*$Q69*$S69*(1+Z$18-Z$22)+Z$17+Z$19)*N69</f>
        <v>423755.14527096495</v>
      </c>
      <c r="AA69" s="428">
        <f t="shared" ref="AA69:AA87" ca="1" si="57">(VLOOKUP($T69, $T$7:$AA$13, MATCH(AA$4, $T$4:$AA$4,0),0)*$Q69*$S69*(1+AA$18-AA$22)+AA$17+AA$19)*O69</f>
        <v>427800.13072317105</v>
      </c>
      <c r="AB69" s="350"/>
      <c r="AC69" s="11">
        <v>1</v>
      </c>
    </row>
    <row r="70" spans="1:29" ht="15" customHeight="1">
      <c r="A70" s="177"/>
      <c r="B70" s="304" t="s">
        <v>415</v>
      </c>
      <c r="C70" s="177" t="str">
        <f t="shared" si="47"/>
        <v>ES_PrinSec</v>
      </c>
      <c r="D70" s="177" t="s">
        <v>506</v>
      </c>
      <c r="E70" s="177"/>
      <c r="F70" s="177"/>
      <c r="G70" s="345"/>
      <c r="H70" s="389" t="s">
        <v>358</v>
      </c>
      <c r="I70" s="390">
        <f t="shared" ca="1" si="50"/>
        <v>1</v>
      </c>
      <c r="J70" s="390">
        <f t="shared" ca="1" si="50"/>
        <v>1</v>
      </c>
      <c r="K70" s="390">
        <f t="shared" ca="1" si="50"/>
        <v>1</v>
      </c>
      <c r="L70" s="390">
        <f t="shared" ca="1" si="50"/>
        <v>1</v>
      </c>
      <c r="M70" s="390">
        <f t="shared" ca="1" si="50"/>
        <v>1</v>
      </c>
      <c r="N70" s="390">
        <f t="shared" ca="1" si="50"/>
        <v>1</v>
      </c>
      <c r="O70" s="390">
        <f t="shared" ca="1" si="50"/>
        <v>1</v>
      </c>
      <c r="P70" s="391"/>
      <c r="Q70" s="390">
        <v>8</v>
      </c>
      <c r="R70" s="390"/>
      <c r="S70" s="390">
        <f>IF(LEFT($G$3, 1) = "E", 210,260)</f>
        <v>210</v>
      </c>
      <c r="T70" s="350" t="s">
        <v>247</v>
      </c>
      <c r="U70" s="427">
        <f t="shared" ca="1" si="51"/>
        <v>84700.374240208868</v>
      </c>
      <c r="V70" s="427">
        <f t="shared" ca="1" si="52"/>
        <v>87540.669079610539</v>
      </c>
      <c r="W70" s="427">
        <f t="shared" ca="1" si="53"/>
        <v>90133.876823471684</v>
      </c>
      <c r="X70" s="427">
        <f t="shared" ca="1" si="54"/>
        <v>91490.837071768226</v>
      </c>
      <c r="Y70" s="427">
        <f t="shared" ca="1" si="55"/>
        <v>93886.692128491151</v>
      </c>
      <c r="Z70" s="427">
        <f t="shared" ca="1" si="56"/>
        <v>96367.587934598007</v>
      </c>
      <c r="AA70" s="428">
        <f t="shared" ca="1" si="57"/>
        <v>97176.58502503924</v>
      </c>
      <c r="AB70" s="350"/>
      <c r="AC70" s="11">
        <v>1</v>
      </c>
    </row>
    <row r="71" spans="1:29" ht="15" customHeight="1">
      <c r="A71" s="177"/>
      <c r="B71" s="304" t="s">
        <v>416</v>
      </c>
      <c r="C71" s="177" t="str">
        <f t="shared" si="47"/>
        <v>ES_AltEdTeenParent</v>
      </c>
      <c r="D71" s="177" t="s">
        <v>515</v>
      </c>
      <c r="E71" s="177"/>
      <c r="F71" s="177"/>
      <c r="G71" s="345"/>
      <c r="H71" s="389" t="s">
        <v>405</v>
      </c>
      <c r="I71" s="390">
        <f t="shared" ca="1" si="50"/>
        <v>0</v>
      </c>
      <c r="J71" s="390">
        <f t="shared" ca="1" si="50"/>
        <v>0</v>
      </c>
      <c r="K71" s="390">
        <f t="shared" ca="1" si="50"/>
        <v>0</v>
      </c>
      <c r="L71" s="390">
        <f t="shared" ca="1" si="50"/>
        <v>0</v>
      </c>
      <c r="M71" s="390">
        <f t="shared" ca="1" si="50"/>
        <v>0</v>
      </c>
      <c r="N71" s="390">
        <f t="shared" ca="1" si="50"/>
        <v>0</v>
      </c>
      <c r="O71" s="390">
        <f t="shared" ca="1" si="50"/>
        <v>0</v>
      </c>
      <c r="P71" s="391"/>
      <c r="Q71" s="390">
        <v>8</v>
      </c>
      <c r="R71" s="390"/>
      <c r="S71" s="390">
        <v>220</v>
      </c>
      <c r="T71" s="350" t="s">
        <v>245</v>
      </c>
      <c r="U71" s="427">
        <f t="shared" ca="1" si="51"/>
        <v>0</v>
      </c>
      <c r="V71" s="427">
        <f t="shared" ca="1" si="52"/>
        <v>0</v>
      </c>
      <c r="W71" s="427">
        <f t="shared" ca="1" si="53"/>
        <v>0</v>
      </c>
      <c r="X71" s="427">
        <f t="shared" ca="1" si="54"/>
        <v>0</v>
      </c>
      <c r="Y71" s="427">
        <f t="shared" ca="1" si="55"/>
        <v>0</v>
      </c>
      <c r="Z71" s="427">
        <f t="shared" ca="1" si="56"/>
        <v>0</v>
      </c>
      <c r="AA71" s="428">
        <f t="shared" ca="1" si="57"/>
        <v>0</v>
      </c>
      <c r="AB71" s="350"/>
      <c r="AC71" s="11">
        <v>1</v>
      </c>
    </row>
    <row r="72" spans="1:29" ht="15" customHeight="1">
      <c r="A72" s="177"/>
      <c r="B72" s="177"/>
      <c r="C72" s="177" t="str">
        <f t="shared" si="47"/>
        <v>ES_CounsOffice</v>
      </c>
      <c r="D72" s="177" t="s">
        <v>516</v>
      </c>
      <c r="E72" s="177"/>
      <c r="F72" s="177"/>
      <c r="G72" s="345"/>
      <c r="H72" s="389" t="s">
        <v>360</v>
      </c>
      <c r="I72" s="390">
        <f t="shared" ca="1" si="50"/>
        <v>0</v>
      </c>
      <c r="J72" s="390">
        <f t="shared" ca="1" si="50"/>
        <v>0</v>
      </c>
      <c r="K72" s="390">
        <f t="shared" ca="1" si="50"/>
        <v>0</v>
      </c>
      <c r="L72" s="390">
        <f t="shared" ca="1" si="50"/>
        <v>0</v>
      </c>
      <c r="M72" s="390">
        <f t="shared" ca="1" si="50"/>
        <v>0</v>
      </c>
      <c r="N72" s="390">
        <f t="shared" ca="1" si="50"/>
        <v>0</v>
      </c>
      <c r="O72" s="390">
        <f t="shared" ca="1" si="50"/>
        <v>0</v>
      </c>
      <c r="P72" s="391"/>
      <c r="Q72" s="390">
        <v>8</v>
      </c>
      <c r="R72" s="390"/>
      <c r="S72" s="390">
        <v>220</v>
      </c>
      <c r="T72" s="350" t="s">
        <v>245</v>
      </c>
      <c r="U72" s="427">
        <f t="shared" ca="1" si="51"/>
        <v>0</v>
      </c>
      <c r="V72" s="427">
        <f t="shared" ca="1" si="52"/>
        <v>0</v>
      </c>
      <c r="W72" s="427">
        <f t="shared" ca="1" si="53"/>
        <v>0</v>
      </c>
      <c r="X72" s="427">
        <f t="shared" ca="1" si="54"/>
        <v>0</v>
      </c>
      <c r="Y72" s="427">
        <f t="shared" ca="1" si="55"/>
        <v>0</v>
      </c>
      <c r="Z72" s="427">
        <f t="shared" ca="1" si="56"/>
        <v>0</v>
      </c>
      <c r="AA72" s="428">
        <f t="shared" ca="1" si="57"/>
        <v>0</v>
      </c>
      <c r="AB72" s="350"/>
      <c r="AC72" s="11">
        <v>1</v>
      </c>
    </row>
    <row r="73" spans="1:29" ht="15" customHeight="1">
      <c r="A73" s="177"/>
      <c r="B73" s="385" t="s">
        <v>1061</v>
      </c>
      <c r="C73" s="177" t="str">
        <f t="shared" si="47"/>
        <v>ES_S2W_Coord</v>
      </c>
      <c r="D73" s="177" t="s">
        <v>517</v>
      </c>
      <c r="E73" s="177"/>
      <c r="F73" s="177"/>
      <c r="G73" s="345"/>
      <c r="H73" s="389" t="s">
        <v>361</v>
      </c>
      <c r="I73" s="390">
        <f t="shared" ca="1" si="50"/>
        <v>0</v>
      </c>
      <c r="J73" s="390">
        <f t="shared" ca="1" si="50"/>
        <v>0</v>
      </c>
      <c r="K73" s="390">
        <f t="shared" ca="1" si="50"/>
        <v>0</v>
      </c>
      <c r="L73" s="390">
        <f t="shared" ca="1" si="50"/>
        <v>0</v>
      </c>
      <c r="M73" s="390">
        <f t="shared" ca="1" si="50"/>
        <v>0</v>
      </c>
      <c r="N73" s="390">
        <f t="shared" ca="1" si="50"/>
        <v>0</v>
      </c>
      <c r="O73" s="390">
        <f t="shared" ca="1" si="50"/>
        <v>0</v>
      </c>
      <c r="P73" s="391"/>
      <c r="Q73" s="390">
        <v>8</v>
      </c>
      <c r="R73" s="390"/>
      <c r="S73" s="390">
        <v>220</v>
      </c>
      <c r="T73" s="350" t="s">
        <v>245</v>
      </c>
      <c r="U73" s="427">
        <f t="shared" ca="1" si="51"/>
        <v>0</v>
      </c>
      <c r="V73" s="427">
        <f t="shared" ca="1" si="52"/>
        <v>0</v>
      </c>
      <c r="W73" s="427">
        <f t="shared" ca="1" si="53"/>
        <v>0</v>
      </c>
      <c r="X73" s="427">
        <f t="shared" ca="1" si="54"/>
        <v>0</v>
      </c>
      <c r="Y73" s="427">
        <f t="shared" ca="1" si="55"/>
        <v>0</v>
      </c>
      <c r="Z73" s="427">
        <f t="shared" ca="1" si="56"/>
        <v>0</v>
      </c>
      <c r="AA73" s="428">
        <f t="shared" ca="1" si="57"/>
        <v>0</v>
      </c>
      <c r="AB73" s="350"/>
      <c r="AC73" s="11">
        <v>1</v>
      </c>
    </row>
    <row r="74" spans="1:29" ht="15" customHeight="1">
      <c r="A74" s="177"/>
      <c r="B74" s="177" t="s">
        <v>830</v>
      </c>
      <c r="C74" s="177" t="str">
        <f t="shared" si="47"/>
        <v>ES_Registrar</v>
      </c>
      <c r="D74" s="177" t="s">
        <v>518</v>
      </c>
      <c r="E74" s="177"/>
      <c r="F74" s="177"/>
      <c r="G74" s="345"/>
      <c r="H74" s="389" t="s">
        <v>362</v>
      </c>
      <c r="I74" s="390">
        <f t="shared" ca="1" si="50"/>
        <v>0</v>
      </c>
      <c r="J74" s="390">
        <f t="shared" ca="1" si="50"/>
        <v>0</v>
      </c>
      <c r="K74" s="390">
        <f t="shared" ca="1" si="50"/>
        <v>0</v>
      </c>
      <c r="L74" s="390">
        <f t="shared" ca="1" si="50"/>
        <v>0</v>
      </c>
      <c r="M74" s="390">
        <f t="shared" ca="1" si="50"/>
        <v>0</v>
      </c>
      <c r="N74" s="390">
        <f t="shared" ca="1" si="50"/>
        <v>0</v>
      </c>
      <c r="O74" s="390">
        <f t="shared" ca="1" si="50"/>
        <v>0</v>
      </c>
      <c r="P74" s="391"/>
      <c r="Q74" s="390">
        <v>8</v>
      </c>
      <c r="R74" s="390"/>
      <c r="S74" s="390">
        <v>260</v>
      </c>
      <c r="T74" s="350" t="s">
        <v>245</v>
      </c>
      <c r="U74" s="427">
        <f t="shared" ca="1" si="51"/>
        <v>0</v>
      </c>
      <c r="V74" s="427">
        <f t="shared" ca="1" si="52"/>
        <v>0</v>
      </c>
      <c r="W74" s="427">
        <f t="shared" ca="1" si="53"/>
        <v>0</v>
      </c>
      <c r="X74" s="427">
        <f t="shared" ca="1" si="54"/>
        <v>0</v>
      </c>
      <c r="Y74" s="427">
        <f t="shared" ca="1" si="55"/>
        <v>0</v>
      </c>
      <c r="Z74" s="427">
        <f t="shared" ca="1" si="56"/>
        <v>0</v>
      </c>
      <c r="AA74" s="428">
        <f t="shared" ca="1" si="57"/>
        <v>0</v>
      </c>
      <c r="AB74" s="350"/>
      <c r="AC74" s="11">
        <v>1</v>
      </c>
    </row>
    <row r="75" spans="1:29" ht="15" customHeight="1">
      <c r="A75" s="177"/>
      <c r="B75" s="177" t="s">
        <v>831</v>
      </c>
      <c r="C75" s="177" t="str">
        <f t="shared" si="47"/>
        <v>ES_Attendance</v>
      </c>
      <c r="D75" s="177" t="s">
        <v>508</v>
      </c>
      <c r="E75" s="177"/>
      <c r="F75" s="177"/>
      <c r="G75" s="345"/>
      <c r="H75" s="389" t="s">
        <v>363</v>
      </c>
      <c r="I75" s="390">
        <f t="shared" ca="1" si="50"/>
        <v>0</v>
      </c>
      <c r="J75" s="390">
        <f t="shared" ca="1" si="50"/>
        <v>0</v>
      </c>
      <c r="K75" s="390">
        <f t="shared" ca="1" si="50"/>
        <v>0</v>
      </c>
      <c r="L75" s="390">
        <f t="shared" ca="1" si="50"/>
        <v>0</v>
      </c>
      <c r="M75" s="390">
        <f t="shared" ca="1" si="50"/>
        <v>0</v>
      </c>
      <c r="N75" s="390">
        <f t="shared" ca="1" si="50"/>
        <v>0</v>
      </c>
      <c r="O75" s="390">
        <f t="shared" ca="1" si="50"/>
        <v>0</v>
      </c>
      <c r="P75" s="391"/>
      <c r="Q75" s="390">
        <v>8</v>
      </c>
      <c r="R75" s="390"/>
      <c r="S75" s="390">
        <v>185</v>
      </c>
      <c r="T75" s="350" t="s">
        <v>245</v>
      </c>
      <c r="U75" s="427">
        <f t="shared" ca="1" si="51"/>
        <v>0</v>
      </c>
      <c r="V75" s="427">
        <f t="shared" ca="1" si="52"/>
        <v>0</v>
      </c>
      <c r="W75" s="427">
        <f t="shared" ca="1" si="53"/>
        <v>0</v>
      </c>
      <c r="X75" s="427">
        <f t="shared" ca="1" si="54"/>
        <v>0</v>
      </c>
      <c r="Y75" s="427">
        <f t="shared" ca="1" si="55"/>
        <v>0</v>
      </c>
      <c r="Z75" s="427">
        <f t="shared" ca="1" si="56"/>
        <v>0</v>
      </c>
      <c r="AA75" s="428">
        <f t="shared" ca="1" si="57"/>
        <v>0</v>
      </c>
      <c r="AB75" s="350"/>
      <c r="AC75" s="11">
        <v>1</v>
      </c>
    </row>
    <row r="76" spans="1:29" ht="15" customHeight="1">
      <c r="A76" s="177"/>
      <c r="B76" s="177" t="s">
        <v>773</v>
      </c>
      <c r="C76" s="177" t="str">
        <f t="shared" si="47"/>
        <v>ES_CommOutreach</v>
      </c>
      <c r="D76" s="177" t="s">
        <v>509</v>
      </c>
      <c r="E76" s="177"/>
      <c r="F76" s="177"/>
      <c r="G76" s="345"/>
      <c r="H76" s="389" t="s">
        <v>364</v>
      </c>
      <c r="I76" s="390">
        <f t="shared" ca="1" si="50"/>
        <v>0</v>
      </c>
      <c r="J76" s="390">
        <f t="shared" ca="1" si="50"/>
        <v>0</v>
      </c>
      <c r="K76" s="390">
        <f t="shared" ca="1" si="50"/>
        <v>0</v>
      </c>
      <c r="L76" s="390">
        <f t="shared" ca="1" si="50"/>
        <v>0</v>
      </c>
      <c r="M76" s="390">
        <f t="shared" ca="1" si="50"/>
        <v>0</v>
      </c>
      <c r="N76" s="390">
        <f t="shared" ca="1" si="50"/>
        <v>0</v>
      </c>
      <c r="O76" s="390">
        <f t="shared" ca="1" si="50"/>
        <v>0</v>
      </c>
      <c r="P76" s="391"/>
      <c r="Q76" s="390">
        <v>8</v>
      </c>
      <c r="R76" s="390"/>
      <c r="S76" s="390">
        <v>185</v>
      </c>
      <c r="T76" s="350" t="s">
        <v>245</v>
      </c>
      <c r="U76" s="427">
        <f t="shared" ca="1" si="51"/>
        <v>0</v>
      </c>
      <c r="V76" s="427">
        <f t="shared" ca="1" si="52"/>
        <v>0</v>
      </c>
      <c r="W76" s="427">
        <f t="shared" ca="1" si="53"/>
        <v>0</v>
      </c>
      <c r="X76" s="427">
        <f t="shared" ca="1" si="54"/>
        <v>0</v>
      </c>
      <c r="Y76" s="427">
        <f t="shared" ca="1" si="55"/>
        <v>0</v>
      </c>
      <c r="Z76" s="427">
        <f t="shared" ca="1" si="56"/>
        <v>0</v>
      </c>
      <c r="AA76" s="428">
        <f t="shared" ca="1" si="57"/>
        <v>0</v>
      </c>
      <c r="AB76" s="350"/>
      <c r="AC76" s="11">
        <v>1</v>
      </c>
    </row>
    <row r="77" spans="1:29" ht="15" customHeight="1">
      <c r="A77" s="177"/>
      <c r="B77" s="177"/>
      <c r="C77" s="177" t="str">
        <f t="shared" si="47"/>
        <v>ES_FamResCenCoord</v>
      </c>
      <c r="D77" s="177" t="s">
        <v>510</v>
      </c>
      <c r="E77" s="177"/>
      <c r="F77" s="177"/>
      <c r="G77" s="345"/>
      <c r="H77" s="389" t="s">
        <v>365</v>
      </c>
      <c r="I77" s="390">
        <f t="shared" ca="1" si="50"/>
        <v>1</v>
      </c>
      <c r="J77" s="390">
        <f t="shared" ca="1" si="50"/>
        <v>1</v>
      </c>
      <c r="K77" s="390">
        <f t="shared" ca="1" si="50"/>
        <v>1</v>
      </c>
      <c r="L77" s="390">
        <f t="shared" ca="1" si="50"/>
        <v>1</v>
      </c>
      <c r="M77" s="390">
        <f t="shared" ca="1" si="50"/>
        <v>1</v>
      </c>
      <c r="N77" s="390">
        <f t="shared" ca="1" si="50"/>
        <v>1</v>
      </c>
      <c r="O77" s="390">
        <f t="shared" ca="1" si="50"/>
        <v>1</v>
      </c>
      <c r="P77" s="391"/>
      <c r="Q77" s="390">
        <v>8</v>
      </c>
      <c r="R77" s="390"/>
      <c r="S77" s="390">
        <v>185</v>
      </c>
      <c r="T77" s="350" t="s">
        <v>245</v>
      </c>
      <c r="U77" s="427">
        <f t="shared" ca="1" si="51"/>
        <v>74372.470450968889</v>
      </c>
      <c r="V77" s="427">
        <f t="shared" ca="1" si="52"/>
        <v>76865.679803754872</v>
      </c>
      <c r="W77" s="427">
        <f t="shared" ca="1" si="53"/>
        <v>79155.329171520454</v>
      </c>
      <c r="X77" s="427">
        <f t="shared" ca="1" si="54"/>
        <v>80411.638121697833</v>
      </c>
      <c r="Y77" s="427">
        <f t="shared" ca="1" si="55"/>
        <v>82543.58792356035</v>
      </c>
      <c r="Z77" s="427">
        <f t="shared" ca="1" si="56"/>
        <v>84751.029054192986</v>
      </c>
      <c r="AA77" s="428">
        <f t="shared" ca="1" si="57"/>
        <v>85560.026144634205</v>
      </c>
      <c r="AB77" s="350"/>
      <c r="AC77" s="11">
        <v>1</v>
      </c>
    </row>
    <row r="78" spans="1:29" ht="15" customHeight="1">
      <c r="A78" s="177"/>
      <c r="B78" s="177"/>
      <c r="C78" s="177" t="str">
        <f t="shared" si="47"/>
        <v>ES_DeptSupport</v>
      </c>
      <c r="D78" s="177" t="s">
        <v>519</v>
      </c>
      <c r="E78" s="177"/>
      <c r="F78" s="177"/>
      <c r="G78" s="345"/>
      <c r="H78" s="389" t="s">
        <v>366</v>
      </c>
      <c r="I78" s="390">
        <f t="shared" ca="1" si="50"/>
        <v>0</v>
      </c>
      <c r="J78" s="390">
        <f t="shared" ca="1" si="50"/>
        <v>0</v>
      </c>
      <c r="K78" s="390">
        <f t="shared" ca="1" si="50"/>
        <v>0</v>
      </c>
      <c r="L78" s="390">
        <f t="shared" ca="1" si="50"/>
        <v>0</v>
      </c>
      <c r="M78" s="390">
        <f t="shared" ca="1" si="50"/>
        <v>0</v>
      </c>
      <c r="N78" s="390">
        <f t="shared" ca="1" si="50"/>
        <v>0</v>
      </c>
      <c r="O78" s="390">
        <f t="shared" ca="1" si="50"/>
        <v>0</v>
      </c>
      <c r="P78" s="391"/>
      <c r="Q78" s="390">
        <v>8</v>
      </c>
      <c r="R78" s="390"/>
      <c r="S78" s="390">
        <v>185</v>
      </c>
      <c r="T78" s="350" t="s">
        <v>245</v>
      </c>
      <c r="U78" s="427">
        <f t="shared" ca="1" si="51"/>
        <v>0</v>
      </c>
      <c r="V78" s="427">
        <f t="shared" ca="1" si="52"/>
        <v>0</v>
      </c>
      <c r="W78" s="427">
        <f t="shared" ca="1" si="53"/>
        <v>0</v>
      </c>
      <c r="X78" s="427">
        <f t="shared" ca="1" si="54"/>
        <v>0</v>
      </c>
      <c r="Y78" s="427">
        <f t="shared" ca="1" si="55"/>
        <v>0</v>
      </c>
      <c r="Z78" s="427">
        <f t="shared" ca="1" si="56"/>
        <v>0</v>
      </c>
      <c r="AA78" s="428">
        <f t="shared" ca="1" si="57"/>
        <v>0</v>
      </c>
      <c r="AB78" s="350"/>
      <c r="AC78" s="11">
        <v>1</v>
      </c>
    </row>
    <row r="79" spans="1:29" ht="15" customHeight="1">
      <c r="A79" s="177"/>
      <c r="B79" s="177"/>
      <c r="C79" s="177" t="str">
        <f t="shared" si="47"/>
        <v>ES_Bookkeeper</v>
      </c>
      <c r="D79" s="177" t="s">
        <v>520</v>
      </c>
      <c r="E79" s="177"/>
      <c r="F79" s="177"/>
      <c r="G79" s="345"/>
      <c r="H79" s="389" t="s">
        <v>367</v>
      </c>
      <c r="I79" s="390">
        <f t="shared" ref="I79:O86" ca="1" si="58">IFERROR(INDEX(INDIRECT($B$73 &amp; $B$74), MATCH($C79, INDIRECT($B$73 &amp; $B$75),0), MATCH(I$4, INDIRECT($B$73 &amp; $B$76), 0)),0)</f>
        <v>0</v>
      </c>
      <c r="J79" s="390">
        <f t="shared" ca="1" si="58"/>
        <v>0</v>
      </c>
      <c r="K79" s="390">
        <f t="shared" ca="1" si="58"/>
        <v>0</v>
      </c>
      <c r="L79" s="390">
        <f t="shared" ca="1" si="58"/>
        <v>0</v>
      </c>
      <c r="M79" s="390">
        <f t="shared" ca="1" si="58"/>
        <v>0</v>
      </c>
      <c r="N79" s="390">
        <f t="shared" ca="1" si="58"/>
        <v>0</v>
      </c>
      <c r="O79" s="390">
        <f t="shared" ca="1" si="58"/>
        <v>0</v>
      </c>
      <c r="P79" s="391"/>
      <c r="Q79" s="390">
        <v>8</v>
      </c>
      <c r="R79" s="390"/>
      <c r="S79" s="390">
        <v>260</v>
      </c>
      <c r="T79" s="350" t="s">
        <v>245</v>
      </c>
      <c r="U79" s="427">
        <f t="shared" ca="1" si="51"/>
        <v>0</v>
      </c>
      <c r="V79" s="427">
        <f t="shared" ca="1" si="52"/>
        <v>0</v>
      </c>
      <c r="W79" s="427">
        <f t="shared" ca="1" si="53"/>
        <v>0</v>
      </c>
      <c r="X79" s="427">
        <f t="shared" ca="1" si="54"/>
        <v>0</v>
      </c>
      <c r="Y79" s="427">
        <f t="shared" ca="1" si="55"/>
        <v>0</v>
      </c>
      <c r="Z79" s="427">
        <f t="shared" ca="1" si="56"/>
        <v>0</v>
      </c>
      <c r="AA79" s="428">
        <f t="shared" ca="1" si="57"/>
        <v>0</v>
      </c>
      <c r="AB79" s="350"/>
      <c r="AC79" s="11">
        <v>1</v>
      </c>
    </row>
    <row r="80" spans="1:29" ht="15" customHeight="1">
      <c r="A80" s="177"/>
      <c r="B80" s="177"/>
      <c r="C80" s="177" t="str">
        <f t="shared" si="47"/>
        <v>ES_Vol_Coord</v>
      </c>
      <c r="D80" s="177" t="s">
        <v>511</v>
      </c>
      <c r="E80" s="177"/>
      <c r="F80" s="177"/>
      <c r="G80" s="345"/>
      <c r="H80" s="389" t="s">
        <v>368</v>
      </c>
      <c r="I80" s="390">
        <f t="shared" ca="1" si="58"/>
        <v>0</v>
      </c>
      <c r="J80" s="390">
        <f t="shared" ca="1" si="58"/>
        <v>0</v>
      </c>
      <c r="K80" s="390">
        <f t="shared" ca="1" si="58"/>
        <v>0</v>
      </c>
      <c r="L80" s="390">
        <f t="shared" ca="1" si="58"/>
        <v>0</v>
      </c>
      <c r="M80" s="390">
        <f t="shared" ca="1" si="58"/>
        <v>0</v>
      </c>
      <c r="N80" s="390">
        <f t="shared" ca="1" si="58"/>
        <v>0</v>
      </c>
      <c r="O80" s="390">
        <f t="shared" ca="1" si="58"/>
        <v>0</v>
      </c>
      <c r="P80" s="391"/>
      <c r="Q80" s="390">
        <v>8</v>
      </c>
      <c r="R80" s="390"/>
      <c r="S80" s="390">
        <v>220</v>
      </c>
      <c r="T80" s="350" t="s">
        <v>245</v>
      </c>
      <c r="U80" s="427">
        <f t="shared" ca="1" si="51"/>
        <v>0</v>
      </c>
      <c r="V80" s="427">
        <f t="shared" ca="1" si="52"/>
        <v>0</v>
      </c>
      <c r="W80" s="427">
        <f t="shared" ca="1" si="53"/>
        <v>0</v>
      </c>
      <c r="X80" s="427">
        <f t="shared" ca="1" si="54"/>
        <v>0</v>
      </c>
      <c r="Y80" s="427">
        <f t="shared" ca="1" si="55"/>
        <v>0</v>
      </c>
      <c r="Z80" s="427">
        <f t="shared" ca="1" si="56"/>
        <v>0</v>
      </c>
      <c r="AA80" s="428">
        <f t="shared" ca="1" si="57"/>
        <v>0</v>
      </c>
      <c r="AB80" s="350"/>
      <c r="AC80" s="11">
        <v>1</v>
      </c>
    </row>
    <row r="81" spans="1:29" ht="15" customHeight="1">
      <c r="A81" s="177"/>
      <c r="B81" s="177"/>
      <c r="C81" s="177" t="str">
        <f t="shared" si="47"/>
        <v>ES_HlthClrk</v>
      </c>
      <c r="D81" s="177" t="s">
        <v>521</v>
      </c>
      <c r="E81" s="177"/>
      <c r="F81" s="177"/>
      <c r="G81" s="345"/>
      <c r="H81" s="389" t="s">
        <v>369</v>
      </c>
      <c r="I81" s="390">
        <f t="shared" ca="1" si="58"/>
        <v>0</v>
      </c>
      <c r="J81" s="390">
        <f t="shared" ca="1" si="58"/>
        <v>0</v>
      </c>
      <c r="K81" s="390">
        <f t="shared" ca="1" si="58"/>
        <v>0</v>
      </c>
      <c r="L81" s="390">
        <f t="shared" ca="1" si="58"/>
        <v>0</v>
      </c>
      <c r="M81" s="390">
        <f t="shared" ca="1" si="58"/>
        <v>0</v>
      </c>
      <c r="N81" s="390">
        <f t="shared" ca="1" si="58"/>
        <v>0</v>
      </c>
      <c r="O81" s="390">
        <f t="shared" ca="1" si="58"/>
        <v>0</v>
      </c>
      <c r="P81" s="391"/>
      <c r="Q81" s="390">
        <v>8</v>
      </c>
      <c r="R81" s="390"/>
      <c r="S81" s="390">
        <v>185</v>
      </c>
      <c r="T81" s="350" t="s">
        <v>245</v>
      </c>
      <c r="U81" s="427">
        <f t="shared" ca="1" si="51"/>
        <v>0</v>
      </c>
      <c r="V81" s="427">
        <f t="shared" ca="1" si="52"/>
        <v>0</v>
      </c>
      <c r="W81" s="427">
        <f t="shared" ca="1" si="53"/>
        <v>0</v>
      </c>
      <c r="X81" s="427">
        <f t="shared" ca="1" si="54"/>
        <v>0</v>
      </c>
      <c r="Y81" s="427">
        <f t="shared" ca="1" si="55"/>
        <v>0</v>
      </c>
      <c r="Z81" s="427">
        <f t="shared" ca="1" si="56"/>
        <v>0</v>
      </c>
      <c r="AA81" s="428">
        <f t="shared" ca="1" si="57"/>
        <v>0</v>
      </c>
      <c r="AB81" s="350"/>
      <c r="AC81" s="11">
        <v>1</v>
      </c>
    </row>
    <row r="82" spans="1:29" ht="15" customHeight="1">
      <c r="A82" s="177"/>
      <c r="B82" s="177"/>
      <c r="C82" s="177" t="str">
        <f t="shared" si="47"/>
        <v>ES_MediaCentAsst</v>
      </c>
      <c r="D82" s="177" t="s">
        <v>512</v>
      </c>
      <c r="E82" s="177"/>
      <c r="F82" s="177"/>
      <c r="G82" s="345"/>
      <c r="H82" s="389" t="s">
        <v>370</v>
      </c>
      <c r="I82" s="390">
        <f t="shared" ca="1" si="58"/>
        <v>1</v>
      </c>
      <c r="J82" s="390">
        <f t="shared" ca="1" si="58"/>
        <v>1</v>
      </c>
      <c r="K82" s="390">
        <f t="shared" ca="1" si="58"/>
        <v>1</v>
      </c>
      <c r="L82" s="390">
        <f t="shared" ca="1" si="58"/>
        <v>1</v>
      </c>
      <c r="M82" s="390">
        <f t="shared" ca="1" si="58"/>
        <v>1</v>
      </c>
      <c r="N82" s="390">
        <f t="shared" ca="1" si="58"/>
        <v>1</v>
      </c>
      <c r="O82" s="390">
        <f t="shared" ca="1" si="58"/>
        <v>1</v>
      </c>
      <c r="P82" s="391"/>
      <c r="Q82" s="390">
        <v>8</v>
      </c>
      <c r="R82" s="390"/>
      <c r="S82" s="390">
        <v>220</v>
      </c>
      <c r="T82" s="350" t="s">
        <v>245</v>
      </c>
      <c r="U82" s="427">
        <f t="shared" ca="1" si="51"/>
        <v>84554.9108065576</v>
      </c>
      <c r="V82" s="427">
        <f t="shared" ca="1" si="52"/>
        <v>87390.317117978761</v>
      </c>
      <c r="W82" s="427">
        <f t="shared" ca="1" si="53"/>
        <v>89979.249391754056</v>
      </c>
      <c r="X82" s="427">
        <f t="shared" ca="1" si="54"/>
        <v>91334.792016133419</v>
      </c>
      <c r="Y82" s="427">
        <f t="shared" ca="1" si="55"/>
        <v>93726.930097435776</v>
      </c>
      <c r="Z82" s="427">
        <f t="shared" ca="1" si="56"/>
        <v>96203.974429240188</v>
      </c>
      <c r="AA82" s="428">
        <f t="shared" ca="1" si="57"/>
        <v>97012.971519681421</v>
      </c>
      <c r="AB82" s="350"/>
      <c r="AC82" s="11">
        <v>1</v>
      </c>
    </row>
    <row r="83" spans="1:29" ht="15" customHeight="1">
      <c r="A83" s="177"/>
      <c r="B83" s="177"/>
      <c r="C83" s="177" t="str">
        <f t="shared" si="47"/>
        <v>ES_Receptionist</v>
      </c>
      <c r="D83" s="177" t="s">
        <v>513</v>
      </c>
      <c r="E83" s="177"/>
      <c r="F83" s="177"/>
      <c r="G83" s="345"/>
      <c r="H83" s="389" t="s">
        <v>371</v>
      </c>
      <c r="I83" s="390">
        <f t="shared" ca="1" si="58"/>
        <v>0</v>
      </c>
      <c r="J83" s="390">
        <f t="shared" ca="1" si="58"/>
        <v>0</v>
      </c>
      <c r="K83" s="390">
        <f t="shared" ca="1" si="58"/>
        <v>0</v>
      </c>
      <c r="L83" s="390">
        <f t="shared" ca="1" si="58"/>
        <v>0</v>
      </c>
      <c r="M83" s="390">
        <f t="shared" ca="1" si="58"/>
        <v>0</v>
      </c>
      <c r="N83" s="390">
        <f t="shared" ca="1" si="58"/>
        <v>0</v>
      </c>
      <c r="O83" s="390">
        <f t="shared" ca="1" si="58"/>
        <v>0</v>
      </c>
      <c r="P83" s="391"/>
      <c r="Q83" s="390">
        <v>8</v>
      </c>
      <c r="R83" s="390"/>
      <c r="S83" s="390">
        <v>185</v>
      </c>
      <c r="T83" s="350" t="s">
        <v>245</v>
      </c>
      <c r="U83" s="427">
        <f t="shared" ca="1" si="51"/>
        <v>0</v>
      </c>
      <c r="V83" s="427">
        <f t="shared" ca="1" si="52"/>
        <v>0</v>
      </c>
      <c r="W83" s="427">
        <f t="shared" ca="1" si="53"/>
        <v>0</v>
      </c>
      <c r="X83" s="427">
        <f t="shared" ca="1" si="54"/>
        <v>0</v>
      </c>
      <c r="Y83" s="427">
        <f t="shared" ca="1" si="55"/>
        <v>0</v>
      </c>
      <c r="Z83" s="427">
        <f t="shared" ca="1" si="56"/>
        <v>0</v>
      </c>
      <c r="AA83" s="428">
        <f t="shared" ca="1" si="57"/>
        <v>0</v>
      </c>
      <c r="AB83" s="350"/>
      <c r="AC83" s="11">
        <v>1</v>
      </c>
    </row>
    <row r="84" spans="1:29" ht="15" customHeight="1">
      <c r="A84" s="177"/>
      <c r="B84" s="177"/>
      <c r="C84" s="177" t="str">
        <f t="shared" si="47"/>
        <v>ES_AddlSupport</v>
      </c>
      <c r="D84" s="177" t="s">
        <v>524</v>
      </c>
      <c r="E84" s="177"/>
      <c r="F84" s="177"/>
      <c r="G84" s="345"/>
      <c r="H84" s="389" t="s">
        <v>523</v>
      </c>
      <c r="I84" s="390">
        <f t="shared" ca="1" si="58"/>
        <v>0</v>
      </c>
      <c r="J84" s="390">
        <f t="shared" ca="1" si="58"/>
        <v>0</v>
      </c>
      <c r="K84" s="390">
        <f t="shared" ca="1" si="58"/>
        <v>0</v>
      </c>
      <c r="L84" s="390">
        <f t="shared" ca="1" si="58"/>
        <v>0</v>
      </c>
      <c r="M84" s="390">
        <f t="shared" ca="1" si="58"/>
        <v>0</v>
      </c>
      <c r="N84" s="390">
        <f t="shared" ca="1" si="58"/>
        <v>0</v>
      </c>
      <c r="O84" s="390">
        <f t="shared" ca="1" si="58"/>
        <v>0</v>
      </c>
      <c r="P84" s="391"/>
      <c r="Q84" s="390">
        <v>8</v>
      </c>
      <c r="R84" s="390"/>
      <c r="S84" s="390">
        <v>185</v>
      </c>
      <c r="T84" s="350" t="s">
        <v>245</v>
      </c>
      <c r="U84" s="427">
        <f t="shared" ca="1" si="51"/>
        <v>0</v>
      </c>
      <c r="V84" s="427">
        <f t="shared" ca="1" si="52"/>
        <v>0</v>
      </c>
      <c r="W84" s="427">
        <f t="shared" ca="1" si="53"/>
        <v>0</v>
      </c>
      <c r="X84" s="427">
        <f t="shared" ca="1" si="54"/>
        <v>0</v>
      </c>
      <c r="Y84" s="427">
        <f t="shared" ca="1" si="55"/>
        <v>0</v>
      </c>
      <c r="Z84" s="427">
        <f t="shared" ca="1" si="56"/>
        <v>0</v>
      </c>
      <c r="AA84" s="428">
        <f t="shared" ca="1" si="57"/>
        <v>0</v>
      </c>
      <c r="AB84" s="350"/>
      <c r="AC84" s="11">
        <v>1</v>
      </c>
    </row>
    <row r="85" spans="1:29" ht="15" customHeight="1">
      <c r="A85" s="177"/>
      <c r="B85" s="177"/>
      <c r="C85" s="177" t="str">
        <f t="shared" si="47"/>
        <v>ES_CampusMonitor</v>
      </c>
      <c r="D85" s="177" t="s">
        <v>514</v>
      </c>
      <c r="E85" s="177"/>
      <c r="F85" s="177"/>
      <c r="G85" s="345"/>
      <c r="H85" s="389" t="s">
        <v>372</v>
      </c>
      <c r="I85" s="390">
        <f t="shared" ca="1" si="58"/>
        <v>0</v>
      </c>
      <c r="J85" s="390">
        <f t="shared" ca="1" si="58"/>
        <v>0</v>
      </c>
      <c r="K85" s="390">
        <f t="shared" ca="1" si="58"/>
        <v>0</v>
      </c>
      <c r="L85" s="390">
        <f t="shared" ca="1" si="58"/>
        <v>0</v>
      </c>
      <c r="M85" s="390">
        <f t="shared" ca="1" si="58"/>
        <v>0</v>
      </c>
      <c r="N85" s="390">
        <f t="shared" ca="1" si="58"/>
        <v>0</v>
      </c>
      <c r="O85" s="390">
        <f t="shared" ca="1" si="58"/>
        <v>0</v>
      </c>
      <c r="P85" s="391"/>
      <c r="Q85" s="390">
        <v>8</v>
      </c>
      <c r="R85" s="390"/>
      <c r="S85" s="390">
        <v>185</v>
      </c>
      <c r="T85" s="350" t="s">
        <v>245</v>
      </c>
      <c r="U85" s="427">
        <f t="shared" ca="1" si="51"/>
        <v>0</v>
      </c>
      <c r="V85" s="427">
        <f t="shared" ca="1" si="52"/>
        <v>0</v>
      </c>
      <c r="W85" s="427">
        <f t="shared" ca="1" si="53"/>
        <v>0</v>
      </c>
      <c r="X85" s="427">
        <f t="shared" ca="1" si="54"/>
        <v>0</v>
      </c>
      <c r="Y85" s="427">
        <f t="shared" ca="1" si="55"/>
        <v>0</v>
      </c>
      <c r="Z85" s="427">
        <f t="shared" ca="1" si="56"/>
        <v>0</v>
      </c>
      <c r="AA85" s="428">
        <f t="shared" ca="1" si="57"/>
        <v>0</v>
      </c>
      <c r="AB85" s="350"/>
      <c r="AC85" s="11">
        <v>1</v>
      </c>
    </row>
    <row r="86" spans="1:29" ht="15" customHeight="1">
      <c r="A86" s="177"/>
      <c r="B86" s="177"/>
      <c r="C86" s="177" t="str">
        <f t="shared" si="47"/>
        <v>ES_Nurse</v>
      </c>
      <c r="D86" s="177" t="s">
        <v>507</v>
      </c>
      <c r="E86" s="177"/>
      <c r="F86" s="177"/>
      <c r="G86" s="345"/>
      <c r="H86" s="372" t="s">
        <v>359</v>
      </c>
      <c r="I86" s="390">
        <f t="shared" ca="1" si="58"/>
        <v>0.48</v>
      </c>
      <c r="J86" s="390">
        <f t="shared" ca="1" si="58"/>
        <v>0.48</v>
      </c>
      <c r="K86" s="390">
        <f t="shared" ca="1" si="58"/>
        <v>0.48</v>
      </c>
      <c r="L86" s="390">
        <f t="shared" ca="1" si="58"/>
        <v>0.48</v>
      </c>
      <c r="M86" s="390">
        <f t="shared" ca="1" si="58"/>
        <v>0.48</v>
      </c>
      <c r="N86" s="390">
        <f t="shared" ca="1" si="58"/>
        <v>0.48</v>
      </c>
      <c r="O86" s="390">
        <f t="shared" ca="1" si="58"/>
        <v>0.48</v>
      </c>
      <c r="P86" s="391"/>
      <c r="Q86" s="390">
        <v>1</v>
      </c>
      <c r="R86" s="390"/>
      <c r="S86" s="390">
        <v>1</v>
      </c>
      <c r="T86" s="350" t="s">
        <v>236</v>
      </c>
      <c r="U86" s="427">
        <f t="shared" ca="1" si="51"/>
        <v>65677.595904000002</v>
      </c>
      <c r="V86" s="427">
        <f t="shared" ca="1" si="52"/>
        <v>70510.29622290087</v>
      </c>
      <c r="W86" s="427">
        <f t="shared" ca="1" si="53"/>
        <v>73357.972669794588</v>
      </c>
      <c r="X86" s="427">
        <f t="shared" ca="1" si="54"/>
        <v>75523.864114391268</v>
      </c>
      <c r="Y86" s="427">
        <f t="shared" ca="1" si="55"/>
        <v>77482.329448184391</v>
      </c>
      <c r="Z86" s="427">
        <f t="shared" ca="1" si="56"/>
        <v>81328.157293373122</v>
      </c>
      <c r="AA86" s="428">
        <f t="shared" ca="1" si="57"/>
        <v>81716.475896784905</v>
      </c>
      <c r="AB86" s="350"/>
      <c r="AC86" s="11">
        <v>1</v>
      </c>
    </row>
    <row r="87" spans="1:29" ht="15" customHeight="1">
      <c r="B87" s="11"/>
      <c r="C87" s="177" t="str">
        <f t="shared" si="47"/>
        <v>ES_Clsfd</v>
      </c>
      <c r="D87" s="11" t="s">
        <v>522</v>
      </c>
      <c r="E87" s="11" t="s">
        <v>8</v>
      </c>
      <c r="F87" s="11">
        <f ca="1">INDEX(INDIRECT($B$68&amp;$B$69),MATCH($C87,INDIRECT($B$68&amp;$B$70),0),MATCH(E$87,INDIRECT($B$68&amp;$B$71),0))</f>
        <v>9</v>
      </c>
      <c r="G87" s="429"/>
      <c r="H87" s="430" t="s">
        <v>373</v>
      </c>
      <c r="I87" s="397">
        <f t="shared" ref="I87:O87" ca="1" si="59">IFERROR(INDEX(INDIRECT($B$68&amp;$B$69),MATCH($C87,INDIRECT($B$68&amp;$B$70),0),MATCH(I$4,INDIRECT($B$68&amp;$B$71),0)),0)-$F87</f>
        <v>0</v>
      </c>
      <c r="J87" s="397">
        <f t="shared" ca="1" si="59"/>
        <v>0</v>
      </c>
      <c r="K87" s="397">
        <f t="shared" ca="1" si="59"/>
        <v>0</v>
      </c>
      <c r="L87" s="397">
        <f t="shared" ca="1" si="59"/>
        <v>1</v>
      </c>
      <c r="M87" s="397">
        <f t="shared" ca="1" si="59"/>
        <v>1</v>
      </c>
      <c r="N87" s="397">
        <f t="shared" ca="1" si="59"/>
        <v>0</v>
      </c>
      <c r="O87" s="397">
        <f t="shared" ca="1" si="59"/>
        <v>0</v>
      </c>
      <c r="P87" s="398"/>
      <c r="Q87" s="397">
        <v>8</v>
      </c>
      <c r="R87" s="397"/>
      <c r="S87" s="397">
        <v>185</v>
      </c>
      <c r="T87" s="360" t="s">
        <v>245</v>
      </c>
      <c r="U87" s="431">
        <f t="shared" ca="1" si="51"/>
        <v>0</v>
      </c>
      <c r="V87" s="431">
        <f t="shared" ca="1" si="52"/>
        <v>0</v>
      </c>
      <c r="W87" s="431">
        <f t="shared" ca="1" si="53"/>
        <v>0</v>
      </c>
      <c r="X87" s="431">
        <f t="shared" ca="1" si="54"/>
        <v>80411.638121697833</v>
      </c>
      <c r="Y87" s="431">
        <f t="shared" ca="1" si="55"/>
        <v>82543.58792356035</v>
      </c>
      <c r="Z87" s="431">
        <f t="shared" ca="1" si="56"/>
        <v>0</v>
      </c>
      <c r="AA87" s="432">
        <f t="shared" ca="1" si="57"/>
        <v>0</v>
      </c>
      <c r="AB87" s="350"/>
      <c r="AC87" s="11">
        <v>1</v>
      </c>
    </row>
    <row r="88" spans="1:29" ht="15" hidden="1" customHeight="1" outlineLevel="1">
      <c r="B88" s="11"/>
      <c r="C88" s="177"/>
      <c r="D88" s="11"/>
      <c r="E88" s="11"/>
      <c r="F88" s="11"/>
      <c r="G88" s="433"/>
      <c r="H88" s="434"/>
      <c r="I88" s="390"/>
      <c r="J88" s="390"/>
      <c r="K88" s="390"/>
      <c r="L88" s="390"/>
      <c r="M88" s="390"/>
      <c r="N88" s="390"/>
      <c r="O88" s="390"/>
      <c r="P88" s="391"/>
      <c r="Q88" s="390"/>
      <c r="R88" s="390"/>
      <c r="S88" s="390"/>
      <c r="T88" s="350"/>
      <c r="U88" s="427"/>
      <c r="V88" s="427"/>
      <c r="W88" s="427"/>
      <c r="X88" s="427"/>
      <c r="Y88" s="427"/>
      <c r="Z88" s="427"/>
      <c r="AA88" s="427"/>
      <c r="AB88" s="350"/>
      <c r="AC88" s="11">
        <v>0</v>
      </c>
    </row>
    <row r="89" spans="1:29" ht="15" hidden="1" customHeight="1" outlineLevel="1" thickBot="1">
      <c r="B89" s="11"/>
      <c r="C89" s="177"/>
      <c r="D89" s="11"/>
      <c r="E89" s="11"/>
      <c r="F89" s="11"/>
      <c r="G89" s="433"/>
      <c r="H89" s="434"/>
      <c r="I89" s="390"/>
      <c r="J89" s="390"/>
      <c r="K89" s="390"/>
      <c r="L89" s="390"/>
      <c r="M89" s="390"/>
      <c r="N89" s="390"/>
      <c r="O89" s="390"/>
      <c r="P89" s="391"/>
      <c r="Q89" s="390"/>
      <c r="R89" s="390"/>
      <c r="S89" s="390"/>
      <c r="T89" s="350"/>
      <c r="U89" s="427"/>
      <c r="V89" s="427"/>
      <c r="W89" s="427"/>
      <c r="X89" s="427"/>
      <c r="Y89" s="427"/>
      <c r="Z89" s="427"/>
      <c r="AA89" s="427"/>
      <c r="AB89" s="350"/>
      <c r="AC89" s="11">
        <v>0</v>
      </c>
    </row>
    <row r="90" spans="1:29" ht="15" customHeight="1" collapsed="1">
      <c r="A90" s="177"/>
      <c r="B90" s="385" t="s">
        <v>1061</v>
      </c>
      <c r="C90" s="177" t="str">
        <f>LEFT($G$3,1) &amp; "S" &amp; D90</f>
        <v>ES_Prin</v>
      </c>
      <c r="D90" s="177" t="s">
        <v>525</v>
      </c>
      <c r="E90" s="177"/>
      <c r="F90" s="177"/>
      <c r="G90" s="336" t="s">
        <v>315</v>
      </c>
      <c r="H90" s="387" t="s">
        <v>249</v>
      </c>
      <c r="I90" s="369">
        <f ca="1">IFERROR(INDEX(INDIRECT($B$90 &amp; $B$91), MATCH($C90, INDIRECT($B$73 &amp; $B$92),0), MATCH(I$4, INDIRECT($B$73 &amp; $B$93), 0)),0)</f>
        <v>1</v>
      </c>
      <c r="J90" s="369">
        <f t="shared" ref="J90:O92" ca="1" si="60">IFERROR(INDEX(INDIRECT($B$73 &amp; $B$74), MATCH($C90, INDIRECT($B$73 &amp; $B$75),0), MATCH(J$4, INDIRECT($B$73 &amp; $B$76), 0)),0)</f>
        <v>1</v>
      </c>
      <c r="K90" s="369">
        <f t="shared" ca="1" si="60"/>
        <v>1</v>
      </c>
      <c r="L90" s="369">
        <f t="shared" ca="1" si="60"/>
        <v>1</v>
      </c>
      <c r="M90" s="369">
        <f t="shared" ca="1" si="60"/>
        <v>1</v>
      </c>
      <c r="N90" s="369">
        <f t="shared" ca="1" si="60"/>
        <v>1</v>
      </c>
      <c r="O90" s="369">
        <f t="shared" ca="1" si="60"/>
        <v>1</v>
      </c>
      <c r="P90" s="388"/>
      <c r="Q90" s="369">
        <v>1</v>
      </c>
      <c r="R90" s="369"/>
      <c r="S90" s="369">
        <v>1</v>
      </c>
      <c r="T90" s="342" t="s">
        <v>240</v>
      </c>
      <c r="U90" s="425">
        <f ca="1">(VLOOKUP($T90, $T$7:$AA$13, MATCH(U$4, $S$4:$AA$4,0),0)*$Q90*$S90*(1+$U$18-$U$22)+$U$17+$U$19)*I90</f>
        <v>218237.34659342864</v>
      </c>
      <c r="V90" s="425">
        <f t="shared" ref="V90:Z91" ca="1" si="61">(VLOOKUP($T90, $T$7:$AA$13, MATCH(V$4, $S$4:$AA$4,0),0)*$Q90*$S90*(1+V$18-V$22)+V$17+V$19)*J90</f>
        <v>231340.83893648072</v>
      </c>
      <c r="W90" s="425">
        <f t="shared" ca="1" si="61"/>
        <v>240728.69968087366</v>
      </c>
      <c r="X90" s="425">
        <f t="shared" ca="1" si="61"/>
        <v>246237.1246213658</v>
      </c>
      <c r="Y90" s="425">
        <f t="shared" ca="1" si="61"/>
        <v>255741.38344490327</v>
      </c>
      <c r="Z90" s="425">
        <f t="shared" ca="1" si="61"/>
        <v>265827.31740970816</v>
      </c>
      <c r="AA90" s="426">
        <f ca="1">(VLOOKUP($T90, $T$7:$AA$13, MATCH(AA$4, $T$4:$AA$4,0),0)*$Q90*$S90*(1+AA$18-AA$22)+AA$17+AA$19)*O90</f>
        <v>266636.3145001494</v>
      </c>
      <c r="AB90" s="350"/>
      <c r="AC90" s="11">
        <v>1</v>
      </c>
    </row>
    <row r="91" spans="1:29" ht="15" customHeight="1">
      <c r="A91" s="177"/>
      <c r="B91" s="177" t="s">
        <v>830</v>
      </c>
      <c r="C91" s="177" t="str">
        <f>LEFT($G$3,1) &amp; "S" &amp; D91</f>
        <v>ES_AsstPrin</v>
      </c>
      <c r="D91" s="177" t="s">
        <v>526</v>
      </c>
      <c r="E91" s="177"/>
      <c r="F91" s="177"/>
      <c r="G91" s="345"/>
      <c r="H91" s="389" t="s">
        <v>356</v>
      </c>
      <c r="I91" s="390">
        <f ca="1">IFERROR(INDEX(INDIRECT($B$73 &amp; $B$74), MATCH($C91, INDIRECT($B$73 &amp; $B$75),0), MATCH(I$4, INDIRECT($B$73 &amp; $B$76), 0)),0)</f>
        <v>0</v>
      </c>
      <c r="J91" s="390">
        <f t="shared" ca="1" si="60"/>
        <v>0</v>
      </c>
      <c r="K91" s="390">
        <f t="shared" ca="1" si="60"/>
        <v>0</v>
      </c>
      <c r="L91" s="390">
        <f t="shared" ca="1" si="60"/>
        <v>0</v>
      </c>
      <c r="M91" s="390">
        <f t="shared" ca="1" si="60"/>
        <v>0</v>
      </c>
      <c r="N91" s="390">
        <f t="shared" ca="1" si="60"/>
        <v>0</v>
      </c>
      <c r="O91" s="390">
        <f t="shared" ca="1" si="60"/>
        <v>0</v>
      </c>
      <c r="P91" s="391"/>
      <c r="Q91" s="390">
        <v>1</v>
      </c>
      <c r="R91" s="390"/>
      <c r="S91" s="390">
        <v>1</v>
      </c>
      <c r="T91" s="350" t="s">
        <v>242</v>
      </c>
      <c r="U91" s="427">
        <f ca="1">(VLOOKUP($T91, $T$7:$AA$13, MATCH(U$4, $S$4:$AA$4,0),0)*$Q91*$S91*(1+$U$18-$U$22)+$U$17+$U$19)*I91</f>
        <v>0</v>
      </c>
      <c r="V91" s="427">
        <f t="shared" ca="1" si="61"/>
        <v>0</v>
      </c>
      <c r="W91" s="427">
        <f t="shared" ca="1" si="61"/>
        <v>0</v>
      </c>
      <c r="X91" s="427">
        <f t="shared" ca="1" si="61"/>
        <v>0</v>
      </c>
      <c r="Y91" s="427">
        <f t="shared" ca="1" si="61"/>
        <v>0</v>
      </c>
      <c r="Z91" s="427">
        <f t="shared" ca="1" si="61"/>
        <v>0</v>
      </c>
      <c r="AA91" s="428">
        <f ca="1">(VLOOKUP($T91, $T$7:$AA$13, MATCH(AA$4, $T$4:$AA$4,0),0)*$Q91*$S91*(1+AA$18-AA$22)+AA$17+AA$19)*O91</f>
        <v>0</v>
      </c>
      <c r="AB91" s="350"/>
      <c r="AC91" s="11">
        <v>1</v>
      </c>
    </row>
    <row r="92" spans="1:29" ht="15" customHeight="1">
      <c r="A92" s="350"/>
      <c r="B92" s="177" t="s">
        <v>831</v>
      </c>
      <c r="C92" s="177" t="str">
        <f>LEFT($G$3,1) &amp; "S" &amp; D92</f>
        <v>ES_TchrLeadership</v>
      </c>
      <c r="D92" s="177" t="s">
        <v>527</v>
      </c>
      <c r="E92" s="177"/>
      <c r="F92" s="177"/>
      <c r="G92" s="345"/>
      <c r="H92" s="372" t="s">
        <v>357</v>
      </c>
      <c r="I92" s="351">
        <f ca="1">IFERROR(INDEX(INDIRECT($B$73 &amp; $B$74), MATCH($C92, INDIRECT($B$73 &amp; $B$75),0), MATCH(I$4, INDIRECT($B$73 &amp; $B$76), 0)),0)</f>
        <v>0</v>
      </c>
      <c r="J92" s="351">
        <f t="shared" ca="1" si="60"/>
        <v>0</v>
      </c>
      <c r="K92" s="351">
        <f t="shared" ca="1" si="60"/>
        <v>0</v>
      </c>
      <c r="L92" s="351">
        <f t="shared" ca="1" si="60"/>
        <v>0</v>
      </c>
      <c r="M92" s="351">
        <f t="shared" ca="1" si="60"/>
        <v>0</v>
      </c>
      <c r="N92" s="351">
        <f t="shared" ca="1" si="60"/>
        <v>0</v>
      </c>
      <c r="O92" s="351">
        <f t="shared" ca="1" si="60"/>
        <v>0</v>
      </c>
      <c r="P92" s="435"/>
      <c r="U92" s="427">
        <f t="shared" ref="U92:AA92" ca="1" si="62">I92*$H$2</f>
        <v>0</v>
      </c>
      <c r="V92" s="427">
        <f t="shared" ca="1" si="62"/>
        <v>0</v>
      </c>
      <c r="W92" s="427">
        <f t="shared" ca="1" si="62"/>
        <v>0</v>
      </c>
      <c r="X92" s="427">
        <f t="shared" ca="1" si="62"/>
        <v>0</v>
      </c>
      <c r="Y92" s="427">
        <f t="shared" ca="1" si="62"/>
        <v>0</v>
      </c>
      <c r="Z92" s="427">
        <f t="shared" ca="1" si="62"/>
        <v>0</v>
      </c>
      <c r="AA92" s="428">
        <f t="shared" ca="1" si="62"/>
        <v>0</v>
      </c>
      <c r="AB92" s="350"/>
      <c r="AC92" s="11">
        <v>1</v>
      </c>
    </row>
    <row r="93" spans="1:29" ht="15" hidden="1" customHeight="1" outlineLevel="1">
      <c r="A93" s="350"/>
      <c r="B93" s="177" t="s">
        <v>773</v>
      </c>
      <c r="C93" s="350"/>
      <c r="D93" s="350"/>
      <c r="E93" s="350"/>
      <c r="F93" s="350"/>
      <c r="G93" s="345"/>
      <c r="H93" s="436"/>
      <c r="I93" s="437"/>
      <c r="J93" s="437"/>
      <c r="K93" s="437"/>
      <c r="L93" s="437"/>
      <c r="M93" s="437"/>
      <c r="N93" s="437"/>
      <c r="O93" s="437"/>
      <c r="P93" s="436"/>
      <c r="Q93" s="350"/>
      <c r="R93" s="350"/>
      <c r="S93" s="350"/>
      <c r="T93" s="350"/>
      <c r="U93" s="350"/>
      <c r="V93" s="350"/>
      <c r="W93" s="350"/>
      <c r="X93" s="350"/>
      <c r="Y93" s="350"/>
      <c r="Z93" s="350"/>
      <c r="AA93" s="438"/>
      <c r="AB93" s="350"/>
      <c r="AC93" s="11">
        <v>0</v>
      </c>
    </row>
    <row r="94" spans="1:29" ht="15" hidden="1" customHeight="1" outlineLevel="1">
      <c r="A94" s="177"/>
      <c r="B94" s="403" t="s">
        <v>385</v>
      </c>
      <c r="C94" s="177"/>
      <c r="D94" s="177"/>
      <c r="G94" s="345"/>
      <c r="H94" s="372"/>
      <c r="I94" s="439"/>
      <c r="J94" s="439"/>
      <c r="K94" s="439"/>
      <c r="L94" s="439"/>
      <c r="M94" s="439"/>
      <c r="N94" s="439"/>
      <c r="O94" s="439"/>
      <c r="P94" s="440"/>
      <c r="Q94" s="441"/>
      <c r="R94" s="441"/>
      <c r="S94" s="441"/>
      <c r="T94" s="390"/>
      <c r="U94" s="427"/>
      <c r="V94" s="427"/>
      <c r="W94" s="427"/>
      <c r="X94" s="427"/>
      <c r="Y94" s="427"/>
      <c r="Z94" s="427"/>
      <c r="AA94" s="428"/>
      <c r="AB94" s="427"/>
      <c r="AC94" s="11">
        <v>0</v>
      </c>
    </row>
    <row r="95" spans="1:29" ht="15" hidden="1" customHeight="1" outlineLevel="1">
      <c r="A95" s="177"/>
      <c r="B95" s="304" t="s">
        <v>414</v>
      </c>
      <c r="C95" s="177"/>
      <c r="D95" s="177"/>
      <c r="G95" s="345"/>
      <c r="H95" s="372"/>
      <c r="I95" s="439"/>
      <c r="J95" s="439"/>
      <c r="K95" s="439"/>
      <c r="L95" s="439"/>
      <c r="M95" s="439"/>
      <c r="N95" s="439"/>
      <c r="O95" s="439"/>
      <c r="P95" s="440"/>
      <c r="Q95" s="441"/>
      <c r="R95" s="441"/>
      <c r="S95" s="441"/>
      <c r="T95" s="390"/>
      <c r="U95" s="427"/>
      <c r="V95" s="427"/>
      <c r="W95" s="427"/>
      <c r="X95" s="427"/>
      <c r="Y95" s="427"/>
      <c r="Z95" s="427"/>
      <c r="AA95" s="428"/>
      <c r="AB95" s="427"/>
      <c r="AC95" s="11">
        <v>0</v>
      </c>
    </row>
    <row r="96" spans="1:29" ht="15" hidden="1" customHeight="1" outlineLevel="1">
      <c r="A96" s="177"/>
      <c r="B96" s="304" t="s">
        <v>415</v>
      </c>
      <c r="C96" s="177"/>
      <c r="D96" s="177"/>
      <c r="G96" s="345"/>
      <c r="H96" s="372"/>
      <c r="I96" s="439"/>
      <c r="J96" s="439"/>
      <c r="K96" s="439"/>
      <c r="L96" s="439"/>
      <c r="M96" s="439"/>
      <c r="N96" s="439"/>
      <c r="O96" s="439"/>
      <c r="P96" s="440"/>
      <c r="Q96" s="441"/>
      <c r="R96" s="441"/>
      <c r="S96" s="441"/>
      <c r="T96" s="347" t="s">
        <v>419</v>
      </c>
      <c r="U96" s="347">
        <f ca="1">VLOOKUP($T96, $T$41:$AA$49, MATCH(U$4, $S$4:$AA$4,0),0)</f>
        <v>2.8708133971291794E-2</v>
      </c>
      <c r="V96" s="347">
        <f ca="1">VLOOKUP($T96, $T$41:$AA$49, MATCH(V$4, $S$4:$AA$4,0),0)</f>
        <v>5.7416267942583588E-2</v>
      </c>
      <c r="W96" s="347">
        <f ca="1">VLOOKUP($T96, $T$41:$AA$49, MATCH(W$4, $S$4:$AA$4,0),0)</f>
        <v>8.373205741626788E-2</v>
      </c>
      <c r="X96" s="347">
        <f ca="1">VLOOKUP($T96, $T$41:$AA$49, MATCH(X$4, $S$4:$AA$4,0),0)</f>
        <v>0.10925039872408293</v>
      </c>
      <c r="Y96" s="347">
        <f ca="1">VLOOKUP($T96, $T$41:$AA$49, MATCH(Y$4, $S$4:$AA$4,0),0)</f>
        <v>0.13397129186602874</v>
      </c>
      <c r="Z96" s="347">
        <f t="shared" ref="Z96" ca="1" si="63">VLOOKUP($T96, $T$41:$AA$49, MATCH(Z$4, $S$4:$AA$4,0),0)</f>
        <v>0.15948963317384379</v>
      </c>
      <c r="AA96" s="375">
        <f ca="1">VLOOKUP($T96, $T$41:$AA$49, MATCH(AA$4, $T$4:$AA$4,0),0)</f>
        <v>0.15948963317384379</v>
      </c>
      <c r="AB96" s="427"/>
      <c r="AC96" s="11">
        <v>0</v>
      </c>
    </row>
    <row r="97" spans="1:29" ht="15" customHeight="1" collapsed="1">
      <c r="A97" s="177"/>
      <c r="B97" s="304" t="s">
        <v>779</v>
      </c>
      <c r="C97" s="177" t="str">
        <f>LEFT($G$3,1) &amp; "S" &amp; D97</f>
        <v>ES_ParComOutreach</v>
      </c>
      <c r="D97" s="177" t="s">
        <v>528</v>
      </c>
      <c r="E97" s="177"/>
      <c r="F97" s="177"/>
      <c r="G97" s="345"/>
      <c r="H97" s="389" t="s">
        <v>317</v>
      </c>
      <c r="I97" s="351">
        <f t="shared" ref="I97:O97" ca="1" si="64">IFERROR(INDEX(INDIRECT($B$94 &amp; $B$95), MATCH($C97, INDIRECT($B$94 &amp; $B$96),0), MATCH(I$4, INDIRECT($B$94 &amp; $B$97), 0)),0)</f>
        <v>27.83</v>
      </c>
      <c r="J97" s="351">
        <f t="shared" ca="1" si="64"/>
        <v>28.628947368421048</v>
      </c>
      <c r="K97" s="351">
        <f t="shared" ca="1" si="64"/>
        <v>28.628947368421048</v>
      </c>
      <c r="L97" s="351">
        <f t="shared" ca="1" si="64"/>
        <v>30</v>
      </c>
      <c r="M97" s="351">
        <f t="shared" ca="1" si="64"/>
        <v>30</v>
      </c>
      <c r="N97" s="351">
        <f t="shared" ca="1" si="64"/>
        <v>28.628947368421048</v>
      </c>
      <c r="O97" s="351">
        <f t="shared" ca="1" si="64"/>
        <v>28.628947368421048</v>
      </c>
      <c r="P97" s="440"/>
      <c r="Q97" s="441"/>
      <c r="R97" s="441"/>
      <c r="S97" s="441"/>
      <c r="T97" s="390"/>
      <c r="U97" s="371">
        <f ca="1">I97*$H$2</f>
        <v>10018.799999999999</v>
      </c>
      <c r="V97" s="371">
        <f t="shared" ref="V97:AA97" ca="1" si="65">J97*$H$2*(1+V96)</f>
        <v>10898.177285318558</v>
      </c>
      <c r="W97" s="371">
        <f t="shared" ca="1" si="65"/>
        <v>11169.398891966757</v>
      </c>
      <c r="X97" s="371">
        <f t="shared" ca="1" si="65"/>
        <v>11979.904306220096</v>
      </c>
      <c r="Y97" s="371">
        <f t="shared" ca="1" si="65"/>
        <v>12246.889952153111</v>
      </c>
      <c r="Z97" s="371">
        <f t="shared" ca="1" si="65"/>
        <v>11950.188365650969</v>
      </c>
      <c r="AA97" s="442">
        <f t="shared" ca="1" si="65"/>
        <v>11950.188365650969</v>
      </c>
      <c r="AB97" s="427"/>
      <c r="AC97" s="11">
        <v>1</v>
      </c>
    </row>
    <row r="98" spans="1:29" ht="15" hidden="1" customHeight="1" outlineLevel="1">
      <c r="B98" s="443" t="s">
        <v>944</v>
      </c>
      <c r="C98" s="11"/>
      <c r="D98" s="11"/>
      <c r="E98" s="443"/>
      <c r="F98" s="443"/>
      <c r="G98" s="345"/>
      <c r="H98" s="444"/>
      <c r="I98" s="439"/>
      <c r="J98" s="439"/>
      <c r="K98" s="439"/>
      <c r="L98" s="439"/>
      <c r="M98" s="439"/>
      <c r="N98" s="439"/>
      <c r="O98" s="439"/>
      <c r="P98" s="440"/>
      <c r="Q98" s="441"/>
      <c r="R98" s="441"/>
      <c r="S98" s="441"/>
      <c r="T98" s="441"/>
      <c r="U98" s="441"/>
      <c r="V98" s="441"/>
      <c r="W98" s="441"/>
      <c r="X98" s="441"/>
      <c r="Y98" s="441"/>
      <c r="Z98" s="441"/>
      <c r="AA98" s="445"/>
      <c r="AB98" s="441"/>
      <c r="AC98" s="11">
        <v>0</v>
      </c>
    </row>
    <row r="99" spans="1:29" ht="15" hidden="1" customHeight="1" outlineLevel="1">
      <c r="B99" s="446" t="s">
        <v>390</v>
      </c>
      <c r="C99" s="11"/>
      <c r="D99" s="11"/>
      <c r="E99" s="446"/>
      <c r="F99" s="446"/>
      <c r="G99" s="345"/>
      <c r="H99" s="444"/>
      <c r="I99" s="439"/>
      <c r="J99" s="439"/>
      <c r="K99" s="439"/>
      <c r="L99" s="439"/>
      <c r="M99" s="439"/>
      <c r="N99" s="439"/>
      <c r="O99" s="439"/>
      <c r="P99" s="440"/>
      <c r="Q99" s="441"/>
      <c r="R99" s="441"/>
      <c r="S99" s="441"/>
      <c r="T99" s="441"/>
      <c r="U99" s="441"/>
      <c r="V99" s="441"/>
      <c r="W99" s="441"/>
      <c r="X99" s="441"/>
      <c r="Y99" s="441"/>
      <c r="Z99" s="441"/>
      <c r="AA99" s="445"/>
      <c r="AB99" s="441"/>
      <c r="AC99" s="11">
        <v>0</v>
      </c>
    </row>
    <row r="100" spans="1:29" ht="15" hidden="1" customHeight="1" outlineLevel="1">
      <c r="B100" s="446" t="s">
        <v>391</v>
      </c>
      <c r="C100" s="11"/>
      <c r="D100" s="11"/>
      <c r="E100" s="446"/>
      <c r="F100" s="446"/>
      <c r="G100" s="345"/>
      <c r="H100" s="444"/>
      <c r="I100" s="439"/>
      <c r="J100" s="439"/>
      <c r="K100" s="439"/>
      <c r="L100" s="439"/>
      <c r="M100" s="439"/>
      <c r="N100" s="439"/>
      <c r="O100" s="439"/>
      <c r="P100" s="440"/>
      <c r="Q100" s="441"/>
      <c r="R100" s="441"/>
      <c r="S100" s="441"/>
      <c r="T100" s="441"/>
      <c r="U100" s="441"/>
      <c r="V100" s="441"/>
      <c r="W100" s="441"/>
      <c r="X100" s="441"/>
      <c r="Y100" s="441"/>
      <c r="Z100" s="441"/>
      <c r="AA100" s="445"/>
      <c r="AB100" s="441"/>
      <c r="AC100" s="11">
        <v>0</v>
      </c>
    </row>
    <row r="101" spans="1:29" ht="15" hidden="1" customHeight="1" outlineLevel="1">
      <c r="B101" s="446" t="s">
        <v>392</v>
      </c>
      <c r="C101" s="11"/>
      <c r="D101" s="11"/>
      <c r="E101" s="446"/>
      <c r="F101" s="446"/>
      <c r="G101" s="345"/>
      <c r="H101" s="444"/>
      <c r="I101" s="439"/>
      <c r="J101" s="439"/>
      <c r="K101" s="439"/>
      <c r="L101" s="439"/>
      <c r="M101" s="439"/>
      <c r="N101" s="439"/>
      <c r="O101" s="439"/>
      <c r="P101" s="440"/>
      <c r="Q101" s="441"/>
      <c r="R101" s="441"/>
      <c r="S101" s="441"/>
      <c r="T101" s="441" t="s">
        <v>419</v>
      </c>
      <c r="U101" s="347">
        <f ca="1">VLOOKUP($T101, $T$41:$AA$49, MATCH(U$4, $S$4:$AA$4,0),0)</f>
        <v>2.8708133971291794E-2</v>
      </c>
      <c r="V101" s="347">
        <f ca="1">VLOOKUP($T101, $T$41:$AA$49, MATCH(V$4, $S$4:$AA$4,0),0)</f>
        <v>5.7416267942583588E-2</v>
      </c>
      <c r="W101" s="347">
        <f ca="1">VLOOKUP($T101, $T$41:$AA$49, MATCH(W$4, $S$4:$AA$4,0),0)</f>
        <v>8.373205741626788E-2</v>
      </c>
      <c r="X101" s="347">
        <f ca="1">VLOOKUP($T101, $T$41:$AA$49, MATCH(X$4, $S$4:$AA$4,0),0)</f>
        <v>0.10925039872408293</v>
      </c>
      <c r="Y101" s="347">
        <f ca="1">VLOOKUP($T101, $T$41:$AA$49, MATCH(Y$4, $S$4:$AA$4,0),0)</f>
        <v>0.13397129186602874</v>
      </c>
      <c r="Z101" s="347">
        <f t="shared" ref="Z101" ca="1" si="66">VLOOKUP($T101, $T$41:$AA$49, MATCH(Z$4, $S$4:$AA$4,0),0)</f>
        <v>0.15948963317384379</v>
      </c>
      <c r="AA101" s="375">
        <f ca="1">VLOOKUP($T101, $T$41:$AA$49, MATCH(AA$4, $T$4:$AA$4,0),0)</f>
        <v>0.15948963317384379</v>
      </c>
      <c r="AB101" s="441"/>
      <c r="AC101" s="11">
        <v>0</v>
      </c>
    </row>
    <row r="102" spans="1:29" ht="15" customHeight="1" collapsed="1">
      <c r="B102" s="74" t="s">
        <v>195</v>
      </c>
      <c r="C102" s="11"/>
      <c r="D102" s="446"/>
      <c r="E102" s="446"/>
      <c r="F102" s="446"/>
      <c r="G102" s="356"/>
      <c r="H102" s="396" t="s">
        <v>316</v>
      </c>
      <c r="I102" s="381">
        <f t="shared" ref="I102:O102" ca="1" si="67">INDEX(INDIRECT($B$98 &amp; $B$99), MATCH($B102, INDIRECT($B$98 &amp; $B$100),0), MATCH($G$3, INDIRECT($B$98 &amp; $B$101), 0))</f>
        <v>29.497036613034354</v>
      </c>
      <c r="J102" s="381">
        <f t="shared" ca="1" si="67"/>
        <v>29.497036613034354</v>
      </c>
      <c r="K102" s="381">
        <f t="shared" ca="1" si="67"/>
        <v>29.497036613034354</v>
      </c>
      <c r="L102" s="381">
        <f t="shared" ca="1" si="67"/>
        <v>29.497036613034354</v>
      </c>
      <c r="M102" s="381">
        <f t="shared" ca="1" si="67"/>
        <v>29.497036613034354</v>
      </c>
      <c r="N102" s="381">
        <f t="shared" ca="1" si="67"/>
        <v>29.497036613034354</v>
      </c>
      <c r="O102" s="381">
        <f t="shared" ca="1" si="67"/>
        <v>29.497036613034354</v>
      </c>
      <c r="P102" s="447"/>
      <c r="Q102" s="448"/>
      <c r="R102" s="448"/>
      <c r="S102" s="448"/>
      <c r="T102" s="448"/>
      <c r="U102" s="449">
        <f ca="1">I102*$H$2</f>
        <v>10618.933180692367</v>
      </c>
      <c r="V102" s="449">
        <f t="shared" ref="V102:AA102" ca="1" si="68">J102*$H$2*(1+V101)</f>
        <v>11228.632693459393</v>
      </c>
      <c r="W102" s="449">
        <f t="shared" ca="1" si="68"/>
        <v>11508.078303477612</v>
      </c>
      <c r="X102" s="449">
        <f t="shared" ca="1" si="68"/>
        <v>11779.055864707403</v>
      </c>
      <c r="Y102" s="449">
        <f t="shared" ca="1" si="68"/>
        <v>12041.565377148761</v>
      </c>
      <c r="Z102" s="449">
        <f t="shared" ca="1" si="68"/>
        <v>12312.542938378552</v>
      </c>
      <c r="AA102" s="450">
        <f t="shared" ca="1" si="68"/>
        <v>12312.542938378552</v>
      </c>
      <c r="AB102" s="441"/>
      <c r="AC102" s="11">
        <v>1</v>
      </c>
    </row>
    <row r="103" spans="1:29" ht="15" hidden="1" customHeight="1" outlineLevel="1">
      <c r="B103" s="74"/>
      <c r="C103" s="11"/>
      <c r="D103" s="446"/>
      <c r="E103" s="446"/>
      <c r="F103" s="446"/>
      <c r="G103" s="451"/>
      <c r="H103" s="451"/>
      <c r="I103" s="446"/>
      <c r="J103" s="446"/>
      <c r="K103" s="446"/>
      <c r="L103" s="446"/>
      <c r="M103" s="446"/>
      <c r="N103" s="446"/>
      <c r="O103" s="446"/>
      <c r="P103" s="451"/>
      <c r="Q103" s="446"/>
      <c r="R103" s="446"/>
      <c r="S103" s="446"/>
      <c r="T103" s="446"/>
      <c r="U103" s="446"/>
      <c r="V103" s="446"/>
      <c r="W103" s="446"/>
      <c r="X103" s="446"/>
      <c r="Y103" s="446"/>
      <c r="Z103" s="446"/>
      <c r="AA103" s="446"/>
      <c r="AB103" s="446"/>
      <c r="AC103" s="11">
        <v>0</v>
      </c>
    </row>
    <row r="104" spans="1:29" ht="15" hidden="1" customHeight="1" outlineLevel="1">
      <c r="A104" s="304"/>
      <c r="B104" s="304" t="s">
        <v>385</v>
      </c>
      <c r="D104" s="443" t="s">
        <v>1062</v>
      </c>
      <c r="G104" s="389"/>
      <c r="H104" s="389"/>
      <c r="I104" s="354"/>
      <c r="J104" s="354"/>
      <c r="K104" s="354"/>
      <c r="L104" s="354"/>
      <c r="M104" s="354"/>
      <c r="N104" s="354"/>
      <c r="O104" s="354"/>
      <c r="P104" s="440"/>
      <c r="Q104" s="443" t="s">
        <v>1062</v>
      </c>
      <c r="R104" s="443"/>
      <c r="S104" s="452" t="s">
        <v>951</v>
      </c>
      <c r="T104" s="441"/>
      <c r="U104" s="441"/>
      <c r="V104" s="441"/>
      <c r="W104" s="441"/>
      <c r="X104" s="441"/>
      <c r="Y104" s="441"/>
      <c r="Z104" s="441"/>
      <c r="AA104" s="441"/>
      <c r="AB104" s="441"/>
      <c r="AC104" s="11">
        <v>0</v>
      </c>
    </row>
    <row r="105" spans="1:29" ht="15" hidden="1" customHeight="1" outlineLevel="1">
      <c r="A105" s="304"/>
      <c r="B105" s="304" t="s">
        <v>414</v>
      </c>
      <c r="D105" s="446" t="s">
        <v>549</v>
      </c>
      <c r="G105" s="389"/>
      <c r="H105" s="389"/>
      <c r="I105" s="354"/>
      <c r="J105" s="354"/>
      <c r="K105" s="354"/>
      <c r="L105" s="354"/>
      <c r="M105" s="354"/>
      <c r="N105" s="354"/>
      <c r="O105" s="354"/>
      <c r="P105" s="440"/>
      <c r="Q105" s="446" t="s">
        <v>549</v>
      </c>
      <c r="R105" s="446"/>
      <c r="S105" s="441" t="s">
        <v>827</v>
      </c>
      <c r="T105" s="441"/>
      <c r="U105" s="441"/>
      <c r="V105" s="441"/>
      <c r="W105" s="441"/>
      <c r="X105" s="441"/>
      <c r="Y105" s="441"/>
      <c r="Z105" s="441"/>
      <c r="AA105" s="441"/>
      <c r="AB105" s="441"/>
      <c r="AC105" s="11">
        <v>0</v>
      </c>
    </row>
    <row r="106" spans="1:29" ht="15" hidden="1" customHeight="1" outlineLevel="1">
      <c r="A106" s="304"/>
      <c r="B106" s="304" t="s">
        <v>415</v>
      </c>
      <c r="D106" s="446" t="s">
        <v>267</v>
      </c>
      <c r="G106" s="389"/>
      <c r="H106" s="389"/>
      <c r="I106" s="354"/>
      <c r="J106" s="354"/>
      <c r="K106" s="354"/>
      <c r="L106" s="354"/>
      <c r="M106" s="354"/>
      <c r="N106" s="354"/>
      <c r="O106" s="354"/>
      <c r="P106" s="440"/>
      <c r="Q106" s="446" t="s">
        <v>267</v>
      </c>
      <c r="R106" s="446"/>
      <c r="S106" s="441" t="s">
        <v>828</v>
      </c>
      <c r="T106" s="441"/>
      <c r="U106" s="441"/>
      <c r="V106" s="441"/>
      <c r="W106" s="441"/>
      <c r="X106" s="441"/>
      <c r="Y106" s="441"/>
      <c r="Z106" s="441"/>
      <c r="AA106" s="441"/>
      <c r="AB106" s="441"/>
      <c r="AC106" s="11">
        <v>0</v>
      </c>
    </row>
    <row r="107" spans="1:29" ht="15" hidden="1" customHeight="1" outlineLevel="1" thickBot="1">
      <c r="A107" s="304"/>
      <c r="B107" s="304" t="s">
        <v>416</v>
      </c>
      <c r="D107" s="446" t="s">
        <v>542</v>
      </c>
      <c r="G107" s="389"/>
      <c r="H107" s="389"/>
      <c r="I107" s="354"/>
      <c r="J107" s="354"/>
      <c r="K107" s="354"/>
      <c r="L107" s="354"/>
      <c r="M107" s="354"/>
      <c r="N107" s="354"/>
      <c r="O107" s="354"/>
      <c r="P107" s="440"/>
      <c r="Q107" s="446" t="s">
        <v>542</v>
      </c>
      <c r="R107" s="446"/>
      <c r="S107" s="441" t="s">
        <v>826</v>
      </c>
      <c r="T107" s="441" t="s">
        <v>548</v>
      </c>
      <c r="U107" s="347">
        <f t="shared" ref="U107:AA107" ca="1" si="69">INDEX(INDIRECT($S$104 &amp; $S$105), MATCH($T$107, INDIRECT($S$104 &amp; $S$106), 0), MATCH(U$4,INDIRECT($S$104 &amp; $S$107),0))</f>
        <v>-4.3418524080574561E-2</v>
      </c>
      <c r="V107" s="347">
        <f t="shared" ca="1" si="69"/>
        <v>-3.9971619451295792E-2</v>
      </c>
      <c r="W107" s="347">
        <f t="shared" ca="1" si="69"/>
        <v>-3.6512294393833522E-2</v>
      </c>
      <c r="X107" s="347">
        <f t="shared" ca="1" si="69"/>
        <v>-3.3040504152950012E-2</v>
      </c>
      <c r="Y107" s="347">
        <f t="shared" ca="1" si="69"/>
        <v>-2.9556203812138304E-2</v>
      </c>
      <c r="Z107" s="347">
        <f t="shared" ca="1" si="69"/>
        <v>-2.6059348293041351E-2</v>
      </c>
      <c r="AA107" s="347">
        <f t="shared" ca="1" si="69"/>
        <v>-2.2549892354868595E-2</v>
      </c>
      <c r="AB107" s="441"/>
      <c r="AC107" s="11">
        <v>0</v>
      </c>
    </row>
    <row r="108" spans="1:29" ht="15" customHeight="1" collapsed="1">
      <c r="A108" s="304"/>
      <c r="B108" s="304" t="str">
        <f>LEFT($G$3,1) &amp; "S" &amp; C108</f>
        <v>ES_CompHardware</v>
      </c>
      <c r="C108" s="304" t="s">
        <v>529</v>
      </c>
      <c r="D108" s="182" t="s">
        <v>536</v>
      </c>
      <c r="F108" s="350">
        <f ca="1">INDEX(INDIRECT($D$104 &amp; $D$105), MATCH($F$3, INDIRECT($D$104 &amp; $D$106),0), MATCH($D108, INDIRECT($D$104 &amp; $D$107),0))</f>
        <v>401</v>
      </c>
      <c r="G108" s="336" t="s">
        <v>318</v>
      </c>
      <c r="H108" s="387" t="s">
        <v>406</v>
      </c>
      <c r="I108" s="453">
        <f t="shared" ref="I108:O109" ca="1" si="70">INDEX(INDIRECT($B$104 &amp; $B$105), MATCH($B108, INDIRECT($B$104 &amp; $B$106),0), MATCH(I$4, INDIRECT($B$104 &amp; $B$107), 0))</f>
        <v>0.2</v>
      </c>
      <c r="J108" s="453">
        <f t="shared" ca="1" si="70"/>
        <v>0.2</v>
      </c>
      <c r="K108" s="453">
        <f t="shared" ca="1" si="70"/>
        <v>0.2</v>
      </c>
      <c r="L108" s="453">
        <f t="shared" ca="1" si="70"/>
        <v>0.25</v>
      </c>
      <c r="M108" s="453">
        <f t="shared" ca="1" si="70"/>
        <v>0.25</v>
      </c>
      <c r="N108" s="453">
        <f t="shared" ca="1" si="70"/>
        <v>0.2</v>
      </c>
      <c r="O108" s="453">
        <f t="shared" ca="1" si="70"/>
        <v>0.2</v>
      </c>
      <c r="P108" s="454">
        <f ca="1">INDEX(INDIRECT($Q$104 &amp; $Q$105), MATCH($Q108, INDIRECT($Q$104 &amp; $Q$106),0), MATCH($D108, INDIRECT($Q$104 &amp; $Q$107),0))</f>
        <v>531.87678895801355</v>
      </c>
      <c r="Q108" s="455" t="s">
        <v>537</v>
      </c>
      <c r="R108" s="455"/>
      <c r="S108" s="456"/>
      <c r="T108" s="456"/>
      <c r="U108" s="393">
        <f t="shared" ref="U108:AA109" ca="1" si="71">$F108*$P108*I108*(1+U$107)</f>
        <v>40804.435399857059</v>
      </c>
      <c r="V108" s="393">
        <f t="shared" ca="1" si="71"/>
        <v>40951.468350855495</v>
      </c>
      <c r="W108" s="393">
        <f t="shared" ca="1" si="71"/>
        <v>41099.031114078207</v>
      </c>
      <c r="X108" s="393">
        <f t="shared" ca="1" si="71"/>
        <v>51558.906998284758</v>
      </c>
      <c r="Y108" s="393">
        <f t="shared" ca="1" si="71"/>
        <v>51744.69215060764</v>
      </c>
      <c r="Z108" s="393">
        <f t="shared" ca="1" si="71"/>
        <v>41544.917402538893</v>
      </c>
      <c r="AA108" s="457">
        <f t="shared" ca="1" si="71"/>
        <v>41694.618574600769</v>
      </c>
      <c r="AB108" s="441"/>
      <c r="AC108" s="11">
        <v>1</v>
      </c>
    </row>
    <row r="109" spans="1:29" ht="15" customHeight="1">
      <c r="A109" s="304"/>
      <c r="B109" s="304" t="str">
        <f>LEFT($G$3,1) &amp; "S" &amp; C109</f>
        <v>ES_CompSoftware</v>
      </c>
      <c r="C109" s="304" t="s">
        <v>530</v>
      </c>
      <c r="D109" s="182" t="s">
        <v>536</v>
      </c>
      <c r="F109" s="350">
        <f ca="1">INDEX(INDIRECT($D$104 &amp; $D$105), MATCH($F$3, INDIRECT($D$104 &amp; $D$106),0), MATCH($D109, INDIRECT($D$104 &amp; $D$107),0))</f>
        <v>401</v>
      </c>
      <c r="G109" s="356"/>
      <c r="H109" s="396" t="s">
        <v>319</v>
      </c>
      <c r="I109" s="458">
        <f t="shared" ca="1" si="70"/>
        <v>0.25</v>
      </c>
      <c r="J109" s="458">
        <f t="shared" ca="1" si="70"/>
        <v>0.25</v>
      </c>
      <c r="K109" s="458">
        <f t="shared" ca="1" si="70"/>
        <v>0.25</v>
      </c>
      <c r="L109" s="458">
        <f t="shared" ca="1" si="70"/>
        <v>0.5</v>
      </c>
      <c r="M109" s="458">
        <f t="shared" ca="1" si="70"/>
        <v>0.5</v>
      </c>
      <c r="N109" s="458">
        <f t="shared" ca="1" si="70"/>
        <v>0.25</v>
      </c>
      <c r="O109" s="458">
        <f t="shared" ca="1" si="70"/>
        <v>0.25</v>
      </c>
      <c r="P109" s="459">
        <f ca="1">INDEX(INDIRECT($Q$104 &amp; $Q$105), MATCH($Q109, INDIRECT($Q$104 &amp; $Q$106),0), MATCH($D109, INDIRECT($Q$104 &amp; $Q$107),0))</f>
        <v>530</v>
      </c>
      <c r="Q109" s="460" t="s">
        <v>539</v>
      </c>
      <c r="R109" s="460"/>
      <c r="S109" s="448"/>
      <c r="T109" s="448"/>
      <c r="U109" s="449">
        <f t="shared" ca="1" si="71"/>
        <v>50825.565269288869</v>
      </c>
      <c r="V109" s="449">
        <f t="shared" ca="1" si="71"/>
        <v>51008.707929504024</v>
      </c>
      <c r="W109" s="449">
        <f t="shared" ca="1" si="71"/>
        <v>51192.510518119641</v>
      </c>
      <c r="X109" s="449">
        <f t="shared" ca="1" si="71"/>
        <v>102753.95082618677</v>
      </c>
      <c r="Y109" s="449">
        <f t="shared" ca="1" si="71"/>
        <v>103124.21000190312</v>
      </c>
      <c r="Z109" s="449">
        <f t="shared" ca="1" si="71"/>
        <v>51747.90167681998</v>
      </c>
      <c r="AA109" s="450">
        <f t="shared" ca="1" si="71"/>
        <v>51934.367844454944</v>
      </c>
      <c r="AB109" s="441"/>
      <c r="AC109" s="11">
        <v>1</v>
      </c>
    </row>
    <row r="110" spans="1:29" ht="15" hidden="1" customHeight="1" outlineLevel="1">
      <c r="A110" s="304"/>
      <c r="G110" s="409"/>
      <c r="H110" s="409"/>
      <c r="I110" s="304"/>
      <c r="J110" s="304"/>
      <c r="K110" s="304"/>
      <c r="L110" s="304"/>
      <c r="M110" s="304"/>
      <c r="N110" s="304"/>
      <c r="O110" s="304"/>
      <c r="P110" s="409"/>
      <c r="Q110" s="304"/>
      <c r="R110" s="304"/>
      <c r="S110" s="304"/>
      <c r="T110" s="304"/>
      <c r="U110" s="304"/>
      <c r="V110" s="304"/>
      <c r="W110" s="304"/>
      <c r="X110" s="304"/>
      <c r="Y110" s="304"/>
      <c r="Z110" s="304"/>
      <c r="AA110" s="304"/>
      <c r="AB110" s="304"/>
      <c r="AC110" s="11">
        <v>0</v>
      </c>
    </row>
    <row r="111" spans="1:29" ht="15" hidden="1" customHeight="1" outlineLevel="1" thickBot="1">
      <c r="A111" s="461"/>
      <c r="B111" s="461"/>
      <c r="C111" s="461"/>
      <c r="D111" s="461"/>
      <c r="G111" s="389"/>
      <c r="H111" s="389"/>
      <c r="I111" s="462"/>
      <c r="J111" s="462"/>
      <c r="K111" s="462"/>
      <c r="L111" s="462"/>
      <c r="M111" s="462"/>
      <c r="N111" s="462"/>
      <c r="O111" s="462"/>
      <c r="P111" s="389"/>
      <c r="Q111" s="462"/>
      <c r="R111" s="462"/>
      <c r="S111" s="452" t="s">
        <v>951</v>
      </c>
      <c r="T111" s="441" t="s">
        <v>547</v>
      </c>
      <c r="U111" s="347">
        <f ca="1">INDEX(INDIRECT($S$111 &amp; $S$112), MATCH($T$111, INDIRECT($S$111 &amp; $S$113), 0), MATCH(U$4,INDIRECT($S$111 &amp; $S$114),0))</f>
        <v>7.1974335673871348E-2</v>
      </c>
      <c r="V111" s="347">
        <f t="shared" ref="V111:AA111" ca="1" si="72">INDEX(INDIRECT($S$111 &amp; $S$112), MATCH($T$111, INDIRECT($S$111 &amp; $S$113), 0), MATCH(V$4,INDIRECT($S$111 &amp; $S$114),0))</f>
        <v>9.9988752420327565E-2</v>
      </c>
      <c r="W111" s="347">
        <f t="shared" ca="1" si="72"/>
        <v>0.12873528328512296</v>
      </c>
      <c r="X111" s="347">
        <f t="shared" ca="1" si="72"/>
        <v>0.15823306095579937</v>
      </c>
      <c r="Y111" s="347">
        <f t="shared" ca="1" si="72"/>
        <v>0.18850171812354977</v>
      </c>
      <c r="Z111" s="347">
        <f t="shared" ca="1" si="72"/>
        <v>0.21956140055005324</v>
      </c>
      <c r="AA111" s="347">
        <f t="shared" ca="1" si="72"/>
        <v>0.25143278047578987</v>
      </c>
      <c r="AB111" s="347"/>
      <c r="AC111" s="11">
        <v>0</v>
      </c>
    </row>
    <row r="112" spans="1:29" ht="15" customHeight="1" collapsed="1">
      <c r="A112" s="461"/>
      <c r="B112" s="304" t="s">
        <v>385</v>
      </c>
      <c r="C112" s="177" t="str">
        <f>LEFT($G$3,1) &amp; "S" &amp; D112</f>
        <v>ES_TextsConsumables</v>
      </c>
      <c r="D112" s="304" t="s">
        <v>543</v>
      </c>
      <c r="E112" s="446"/>
      <c r="F112" s="446"/>
      <c r="G112" s="336" t="s">
        <v>320</v>
      </c>
      <c r="H112" s="387" t="s">
        <v>321</v>
      </c>
      <c r="I112" s="343">
        <f t="shared" ref="I112:O112" ca="1" si="73">INDEX(INDIRECT($B$112 &amp; $B$113), MATCH($C112, INDIRECT($B$112 &amp; $B$114),0), MATCH(I$4, INDIRECT($B$112 &amp; $B$115), 0))</f>
        <v>128.91999999999999</v>
      </c>
      <c r="J112" s="343">
        <f t="shared" ca="1" si="73"/>
        <v>132.62105263157892</v>
      </c>
      <c r="K112" s="343">
        <f t="shared" ca="1" si="73"/>
        <v>132.62105263157892</v>
      </c>
      <c r="L112" s="343">
        <f t="shared" ca="1" si="73"/>
        <v>132.62105263157892</v>
      </c>
      <c r="M112" s="343">
        <f t="shared" ca="1" si="73"/>
        <v>132.62105263157892</v>
      </c>
      <c r="N112" s="343">
        <f t="shared" ca="1" si="73"/>
        <v>132.62105263157892</v>
      </c>
      <c r="O112" s="343">
        <f t="shared" ca="1" si="73"/>
        <v>132.62105263157892</v>
      </c>
      <c r="P112" s="463"/>
      <c r="Q112" s="464"/>
      <c r="R112" s="464"/>
      <c r="S112" s="456" t="s">
        <v>827</v>
      </c>
      <c r="T112" s="456"/>
      <c r="U112" s="393">
        <f t="shared" ref="U112:AA112" ca="1" si="74">I112*$H$2*(1+U$111)</f>
        <v>49751.615287827175</v>
      </c>
      <c r="V112" s="393">
        <f t="shared" ca="1" si="74"/>
        <v>52517.399842397193</v>
      </c>
      <c r="W112" s="393">
        <f t="shared" ca="1" si="74"/>
        <v>53889.862108203517</v>
      </c>
      <c r="X112" s="393">
        <f t="shared" ca="1" si="74"/>
        <v>55298.191585195375</v>
      </c>
      <c r="Y112" s="393">
        <f t="shared" ca="1" si="74"/>
        <v>56743.325608314699</v>
      </c>
      <c r="Z112" s="393">
        <f t="shared" ca="1" si="74"/>
        <v>58226.226008324658</v>
      </c>
      <c r="AA112" s="457">
        <f t="shared" ca="1" si="74"/>
        <v>59747.879751970635</v>
      </c>
      <c r="AB112" s="461"/>
      <c r="AC112" s="11">
        <v>1</v>
      </c>
    </row>
    <row r="113" spans="1:29" ht="15" hidden="1" customHeight="1" outlineLevel="1">
      <c r="A113" s="461"/>
      <c r="B113" s="304" t="s">
        <v>414</v>
      </c>
      <c r="C113" s="177"/>
      <c r="E113" s="446"/>
      <c r="F113" s="446"/>
      <c r="G113" s="345"/>
      <c r="H113" s="451"/>
      <c r="I113" s="465"/>
      <c r="J113" s="465"/>
      <c r="K113" s="465"/>
      <c r="L113" s="465"/>
      <c r="M113" s="465"/>
      <c r="N113" s="465"/>
      <c r="O113" s="465"/>
      <c r="P113" s="451"/>
      <c r="Q113" s="446"/>
      <c r="R113" s="446"/>
      <c r="S113" s="441" t="s">
        <v>828</v>
      </c>
      <c r="T113" s="462" t="s">
        <v>419</v>
      </c>
      <c r="U113" s="377">
        <f ca="1">VLOOKUP($T113, $T$41:$AA$49, MATCH(U$4, $S$4:$AA$4,0),0)</f>
        <v>2.8708133971291794E-2</v>
      </c>
      <c r="V113" s="377">
        <f ca="1">VLOOKUP($T113, $T$41:$AA$49, MATCH(V$4, $S$4:$AA$4,0),0)</f>
        <v>5.7416267942583588E-2</v>
      </c>
      <c r="W113" s="377">
        <f ca="1">VLOOKUP($T113, $T$41:$AA$49, MATCH(W$4, $S$4:$AA$4,0),0)</f>
        <v>8.373205741626788E-2</v>
      </c>
      <c r="X113" s="377">
        <f ca="1">VLOOKUP($T113, $T$41:$AA$49, MATCH(X$4, $S$4:$AA$4,0),0)</f>
        <v>0.10925039872408293</v>
      </c>
      <c r="Y113" s="377">
        <f ca="1">VLOOKUP($T113, $T$41:$AA$49, MATCH(Y$4, $S$4:$AA$4,0),0)</f>
        <v>0.13397129186602874</v>
      </c>
      <c r="Z113" s="377">
        <f t="shared" ref="Z113" ca="1" si="75">VLOOKUP($T113, $T$41:$AA$49, MATCH(Z$4, $S$4:$AA$4,0),0)</f>
        <v>0.15948963317384379</v>
      </c>
      <c r="AA113" s="466">
        <f ca="1">VLOOKUP($T113, $T$41:$AA$49, MATCH(AA$4, $T$4:$AA$4,0),0)</f>
        <v>0.15948963317384379</v>
      </c>
      <c r="AB113" s="461"/>
      <c r="AC113" s="11">
        <v>0</v>
      </c>
    </row>
    <row r="114" spans="1:29" ht="15" customHeight="1" collapsed="1">
      <c r="A114" s="461"/>
      <c r="B114" s="304" t="s">
        <v>415</v>
      </c>
      <c r="C114" s="177" t="str">
        <f>LEFT($G$3,1) &amp; "S" &amp; D114</f>
        <v>ES_CME</v>
      </c>
      <c r="D114" s="304" t="s">
        <v>544</v>
      </c>
      <c r="E114" s="446"/>
      <c r="F114" s="446"/>
      <c r="G114" s="345"/>
      <c r="H114" s="389" t="s">
        <v>322</v>
      </c>
      <c r="I114" s="351">
        <f t="shared" ref="I114:O116" ca="1" si="76">INDEX(INDIRECT($B$112 &amp; $B$113), MATCH($C114, INDIRECT($B$112 &amp; $B$114),0), MATCH(I$4, INDIRECT($B$112 &amp; $B$115), 0))</f>
        <v>153.19999999999999</v>
      </c>
      <c r="J114" s="351">
        <f t="shared" ca="1" si="76"/>
        <v>157.5980861244019</v>
      </c>
      <c r="K114" s="351">
        <f t="shared" ca="1" si="76"/>
        <v>157.5980861244019</v>
      </c>
      <c r="L114" s="351">
        <f t="shared" ca="1" si="76"/>
        <v>157.5980861244019</v>
      </c>
      <c r="M114" s="351">
        <f t="shared" ca="1" si="76"/>
        <v>157.5980861244019</v>
      </c>
      <c r="N114" s="351">
        <f t="shared" ca="1" si="76"/>
        <v>157.5980861244019</v>
      </c>
      <c r="O114" s="351">
        <f t="shared" ca="1" si="76"/>
        <v>157.5980861244019</v>
      </c>
      <c r="P114" s="440"/>
      <c r="Q114" s="462"/>
      <c r="R114" s="462"/>
      <c r="S114" s="441" t="s">
        <v>826</v>
      </c>
      <c r="T114" s="462"/>
      <c r="U114" s="371">
        <f t="shared" ref="U114:AA116" ca="1" si="77">I114*$H$2*(1+U$113)</f>
        <v>56735.311004784679</v>
      </c>
      <c r="V114" s="371">
        <f t="shared" ca="1" si="77"/>
        <v>59992.840823241211</v>
      </c>
      <c r="W114" s="371">
        <f t="shared" ca="1" si="77"/>
        <v>61485.87532336713</v>
      </c>
      <c r="X114" s="371">
        <f t="shared" ca="1" si="77"/>
        <v>62933.666353792265</v>
      </c>
      <c r="Y114" s="371">
        <f t="shared" ca="1" si="77"/>
        <v>64336.213914516607</v>
      </c>
      <c r="Z114" s="371">
        <f t="shared" ca="1" si="77"/>
        <v>65784.004944941742</v>
      </c>
      <c r="AA114" s="442">
        <f t="shared" ca="1" si="77"/>
        <v>65784.004944941742</v>
      </c>
      <c r="AB114" s="461"/>
      <c r="AC114" s="11">
        <v>1</v>
      </c>
    </row>
    <row r="115" spans="1:29" ht="15" customHeight="1">
      <c r="A115" s="461"/>
      <c r="B115" s="304" t="s">
        <v>416</v>
      </c>
      <c r="C115" s="177" t="str">
        <f>LEFT($G$3,1) &amp; "S" &amp; D115</f>
        <v>ES_MediaMaterials</v>
      </c>
      <c r="D115" s="304" t="s">
        <v>545</v>
      </c>
      <c r="E115" s="177"/>
      <c r="F115" s="177"/>
      <c r="G115" s="345"/>
      <c r="H115" s="372" t="s">
        <v>323</v>
      </c>
      <c r="I115" s="351">
        <f t="shared" ca="1" si="76"/>
        <v>17.98</v>
      </c>
      <c r="J115" s="351">
        <f t="shared" ca="1" si="76"/>
        <v>18.496172248803827</v>
      </c>
      <c r="K115" s="351">
        <f t="shared" ca="1" si="76"/>
        <v>18.496172248803827</v>
      </c>
      <c r="L115" s="351">
        <f t="shared" ca="1" si="76"/>
        <v>28</v>
      </c>
      <c r="M115" s="351">
        <f t="shared" ca="1" si="76"/>
        <v>28</v>
      </c>
      <c r="N115" s="351">
        <f t="shared" ca="1" si="76"/>
        <v>18.496172248803827</v>
      </c>
      <c r="O115" s="351">
        <f t="shared" ca="1" si="76"/>
        <v>18.496172248803827</v>
      </c>
      <c r="P115" s="440"/>
      <c r="Q115" s="462"/>
      <c r="R115" s="462"/>
      <c r="S115" s="462"/>
      <c r="T115" s="462"/>
      <c r="U115" s="371">
        <f t="shared" ca="1" si="77"/>
        <v>6658.622009569378</v>
      </c>
      <c r="V115" s="371">
        <f t="shared" ca="1" si="77"/>
        <v>7040.9352349991977</v>
      </c>
      <c r="W115" s="371">
        <f t="shared" ca="1" si="77"/>
        <v>7216.1621299878661</v>
      </c>
      <c r="X115" s="371">
        <f t="shared" ca="1" si="77"/>
        <v>11181.244019138756</v>
      </c>
      <c r="Y115" s="371">
        <f t="shared" ca="1" si="77"/>
        <v>11430.43062200957</v>
      </c>
      <c r="Z115" s="371">
        <f t="shared" ca="1" si="77"/>
        <v>7720.6031913188808</v>
      </c>
      <c r="AA115" s="442">
        <f t="shared" ca="1" si="77"/>
        <v>7720.6031913188808</v>
      </c>
      <c r="AB115" s="461"/>
      <c r="AC115" s="11">
        <v>1</v>
      </c>
    </row>
    <row r="116" spans="1:29" ht="15" customHeight="1">
      <c r="A116" s="461"/>
      <c r="B116" s="461"/>
      <c r="C116" s="177" t="str">
        <f>LEFT($G$3,1) &amp; "S" &amp; D116</f>
        <v>ES_TeacherReimbExp</v>
      </c>
      <c r="D116" s="304" t="s">
        <v>546</v>
      </c>
      <c r="E116" s="177"/>
      <c r="F116" s="177"/>
      <c r="G116" s="356"/>
      <c r="H116" s="396" t="s">
        <v>324</v>
      </c>
      <c r="I116" s="381">
        <f t="shared" ca="1" si="76"/>
        <v>0</v>
      </c>
      <c r="J116" s="381">
        <f t="shared" ca="1" si="76"/>
        <v>0</v>
      </c>
      <c r="K116" s="381">
        <f t="shared" ca="1" si="76"/>
        <v>0</v>
      </c>
      <c r="L116" s="381">
        <f t="shared" ca="1" si="76"/>
        <v>22.5</v>
      </c>
      <c r="M116" s="381">
        <f t="shared" ca="1" si="76"/>
        <v>22.5</v>
      </c>
      <c r="N116" s="381">
        <f t="shared" ca="1" si="76"/>
        <v>0</v>
      </c>
      <c r="O116" s="381">
        <f t="shared" ca="1" si="76"/>
        <v>0</v>
      </c>
      <c r="P116" s="447"/>
      <c r="Q116" s="467"/>
      <c r="R116" s="467"/>
      <c r="S116" s="467"/>
      <c r="T116" s="467"/>
      <c r="U116" s="449">
        <f t="shared" ca="1" si="77"/>
        <v>0</v>
      </c>
      <c r="V116" s="449">
        <f t="shared" ca="1" si="77"/>
        <v>0</v>
      </c>
      <c r="W116" s="449">
        <f t="shared" ca="1" si="77"/>
        <v>0</v>
      </c>
      <c r="X116" s="449">
        <f t="shared" ca="1" si="77"/>
        <v>8984.9282296650726</v>
      </c>
      <c r="Y116" s="449">
        <f t="shared" ca="1" si="77"/>
        <v>9185.1674641148329</v>
      </c>
      <c r="Z116" s="449">
        <f t="shared" ca="1" si="77"/>
        <v>0</v>
      </c>
      <c r="AA116" s="450">
        <f t="shared" ca="1" si="77"/>
        <v>0</v>
      </c>
      <c r="AB116" s="461"/>
      <c r="AC116" s="11">
        <v>1</v>
      </c>
    </row>
    <row r="117" spans="1:29" ht="15" hidden="1" customHeight="1" outlineLevel="1">
      <c r="A117" s="461"/>
      <c r="B117" s="461"/>
      <c r="C117" s="461"/>
      <c r="D117" s="461"/>
      <c r="E117" s="461"/>
      <c r="F117" s="461"/>
      <c r="G117" s="468"/>
      <c r="H117" s="468"/>
      <c r="I117" s="461"/>
      <c r="J117" s="461"/>
      <c r="K117" s="461"/>
      <c r="L117" s="461"/>
      <c r="M117" s="461"/>
      <c r="N117" s="461"/>
      <c r="O117" s="461"/>
      <c r="P117" s="468"/>
      <c r="Q117" s="461"/>
      <c r="R117" s="461"/>
      <c r="S117" s="461"/>
      <c r="T117" s="461"/>
      <c r="U117" s="461"/>
      <c r="V117" s="461"/>
      <c r="W117" s="461"/>
      <c r="X117" s="461"/>
      <c r="Y117" s="461"/>
      <c r="Z117" s="461"/>
      <c r="AA117" s="461"/>
      <c r="AB117" s="461"/>
      <c r="AC117" s="11">
        <v>0</v>
      </c>
    </row>
    <row r="118" spans="1:29" ht="15" hidden="1" customHeight="1" outlineLevel="1">
      <c r="A118" s="461"/>
      <c r="B118" s="461"/>
      <c r="C118" s="461"/>
      <c r="D118" s="461"/>
      <c r="E118" s="461"/>
      <c r="F118" s="461"/>
      <c r="G118" s="468"/>
      <c r="H118" s="468"/>
      <c r="I118" s="461"/>
      <c r="J118" s="461"/>
      <c r="K118" s="461"/>
      <c r="L118" s="461"/>
      <c r="M118" s="461"/>
      <c r="N118" s="461"/>
      <c r="O118" s="461"/>
      <c r="P118" s="468"/>
      <c r="Q118" s="461"/>
      <c r="R118" s="461"/>
      <c r="S118" s="461"/>
      <c r="T118" s="75" t="s">
        <v>419</v>
      </c>
      <c r="U118" s="347">
        <f t="shared" ref="U118:Y119" si="78">VLOOKUP($T118, $T$41:$AA$49, MATCH(U$4, $T$4:$AA$4,0),0)</f>
        <v>0</v>
      </c>
      <c r="V118" s="347">
        <f t="shared" ca="1" si="78"/>
        <v>2.8708133971291794E-2</v>
      </c>
      <c r="W118" s="347">
        <f t="shared" ca="1" si="78"/>
        <v>5.7416267942583588E-2</v>
      </c>
      <c r="X118" s="347">
        <f t="shared" ca="1" si="78"/>
        <v>8.373205741626788E-2</v>
      </c>
      <c r="Y118" s="347">
        <f t="shared" ca="1" si="78"/>
        <v>0.10925039872408293</v>
      </c>
      <c r="Z118" s="347">
        <f t="shared" ref="Z118:AA119" ca="1" si="79">VLOOKUP($T118, $T$41:$AA$49, MATCH(Z$4, $T$4:$AA$4,0),0)</f>
        <v>0.13397129186602874</v>
      </c>
      <c r="AA118" s="347">
        <f t="shared" ca="1" si="79"/>
        <v>0.15948963317384379</v>
      </c>
      <c r="AB118" s="461"/>
      <c r="AC118" s="11">
        <v>0</v>
      </c>
    </row>
    <row r="119" spans="1:29" ht="15" hidden="1" customHeight="1" outlineLevel="1" thickBot="1">
      <c r="A119" s="461"/>
      <c r="B119" s="461"/>
      <c r="C119" s="461"/>
      <c r="D119" s="461"/>
      <c r="E119" s="461"/>
      <c r="F119" s="461"/>
      <c r="G119" s="468"/>
      <c r="H119" s="468"/>
      <c r="I119" s="461"/>
      <c r="J119" s="461"/>
      <c r="K119" s="461"/>
      <c r="L119" s="461"/>
      <c r="M119" s="461"/>
      <c r="N119" s="461"/>
      <c r="O119" s="461"/>
      <c r="P119" s="468"/>
      <c r="Q119" s="461"/>
      <c r="R119" s="461"/>
      <c r="S119" s="461"/>
      <c r="T119" s="75" t="s">
        <v>425</v>
      </c>
      <c r="U119" s="347">
        <f t="shared" si="78"/>
        <v>0</v>
      </c>
      <c r="V119" s="347">
        <f t="shared" ca="1" si="78"/>
        <v>5.7261817291207384E-2</v>
      </c>
      <c r="W119" s="347">
        <f t="shared" ca="1" si="78"/>
        <v>0.13174354495091745</v>
      </c>
      <c r="X119" s="347">
        <f t="shared" ca="1" si="78"/>
        <v>0.17880098758961727</v>
      </c>
      <c r="Y119" s="347">
        <f t="shared" ca="1" si="78"/>
        <v>0.23178304764960789</v>
      </c>
      <c r="Z119" s="347">
        <f t="shared" ca="1" si="79"/>
        <v>0.26218253919621559</v>
      </c>
      <c r="AA119" s="347">
        <f t="shared" ca="1" si="79"/>
        <v>0.32831245087701122</v>
      </c>
      <c r="AB119" s="461"/>
      <c r="AC119" s="11">
        <v>0</v>
      </c>
    </row>
    <row r="120" spans="1:29" ht="15" customHeight="1" collapsed="1">
      <c r="B120" s="385" t="s">
        <v>1061</v>
      </c>
      <c r="C120" s="177" t="str">
        <f>LEFT($G$3,1) &amp; "S" &amp; D120</f>
        <v>ES_ExCurrExp</v>
      </c>
      <c r="D120" s="462" t="s">
        <v>554</v>
      </c>
      <c r="E120" s="177"/>
      <c r="F120" s="177">
        <f>IF(LEFT($F$3,1)="H",0,1)</f>
        <v>1</v>
      </c>
      <c r="G120" s="336" t="s">
        <v>191</v>
      </c>
      <c r="H120" s="387" t="s">
        <v>555</v>
      </c>
      <c r="I120" s="469">
        <f t="shared" ref="I120:O123" ca="1" si="80">IFERROR(INDEX(INDIRECT($B$120 &amp; $B$121), MATCH($C120, INDIRECT($B$120 &amp; $B$122),0), MATCH(I$4, INDIRECT($B$120 &amp; $B$123), 0)),0)</f>
        <v>75</v>
      </c>
      <c r="J120" s="469">
        <f t="shared" ca="1" si="80"/>
        <v>75</v>
      </c>
      <c r="K120" s="469">
        <f t="shared" ca="1" si="80"/>
        <v>75</v>
      </c>
      <c r="L120" s="469">
        <f t="shared" ca="1" si="80"/>
        <v>75</v>
      </c>
      <c r="M120" s="469">
        <f t="shared" ca="1" si="80"/>
        <v>75</v>
      </c>
      <c r="N120" s="469">
        <f t="shared" ca="1" si="80"/>
        <v>75</v>
      </c>
      <c r="O120" s="469">
        <f t="shared" ca="1" si="80"/>
        <v>75</v>
      </c>
      <c r="P120" s="463"/>
      <c r="Q120" s="456"/>
      <c r="R120" s="456"/>
      <c r="S120" s="456"/>
      <c r="T120" s="470"/>
      <c r="U120" s="456">
        <f t="shared" ref="U120:AA120" ca="1" si="81">I120*$H$2*(1+U118)*$F120</f>
        <v>27000</v>
      </c>
      <c r="V120" s="456">
        <f t="shared" ca="1" si="81"/>
        <v>27775.119617224878</v>
      </c>
      <c r="W120" s="456">
        <f t="shared" ca="1" si="81"/>
        <v>28550.239234449757</v>
      </c>
      <c r="X120" s="456">
        <f t="shared" ca="1" si="81"/>
        <v>29260.765550239234</v>
      </c>
      <c r="Y120" s="456">
        <f t="shared" ca="1" si="81"/>
        <v>29949.76076555024</v>
      </c>
      <c r="Z120" s="456">
        <f t="shared" ca="1" si="81"/>
        <v>30617.224880382775</v>
      </c>
      <c r="AA120" s="471">
        <f t="shared" ca="1" si="81"/>
        <v>31306.220095693781</v>
      </c>
      <c r="AC120" s="11">
        <v>1</v>
      </c>
    </row>
    <row r="121" spans="1:29" ht="15" customHeight="1">
      <c r="B121" s="177" t="s">
        <v>830</v>
      </c>
      <c r="C121" s="177" t="str">
        <f>LEFT($G$3,1) &amp; "S" &amp; D121</f>
        <v>ES_Coach</v>
      </c>
      <c r="D121" s="462" t="s">
        <v>550</v>
      </c>
      <c r="E121" s="177"/>
      <c r="F121" s="177">
        <f>IF(LEFT($F$3,1)="H",1,0)</f>
        <v>0</v>
      </c>
      <c r="G121" s="345"/>
      <c r="H121" s="389" t="s">
        <v>429</v>
      </c>
      <c r="I121" s="472">
        <f t="shared" ca="1" si="80"/>
        <v>0</v>
      </c>
      <c r="J121" s="472">
        <f t="shared" ca="1" si="80"/>
        <v>0</v>
      </c>
      <c r="K121" s="472">
        <f t="shared" ca="1" si="80"/>
        <v>0</v>
      </c>
      <c r="L121" s="472">
        <f t="shared" ca="1" si="80"/>
        <v>0</v>
      </c>
      <c r="M121" s="472">
        <f t="shared" ca="1" si="80"/>
        <v>0</v>
      </c>
      <c r="N121" s="472">
        <f t="shared" ca="1" si="80"/>
        <v>0</v>
      </c>
      <c r="O121" s="472">
        <f t="shared" ca="1" si="80"/>
        <v>0</v>
      </c>
      <c r="P121" s="435">
        <f ca="1">IFERROR(INDEX(INDIRECT($B$120 &amp; $B$121), MATCH($C121, INDIRECT($B$120 &amp; $B$122),0), MATCH(P$4, INDIRECT($B$120 &amp; $B$123), 0)),0)</f>
        <v>0</v>
      </c>
      <c r="Q121" s="177" t="s">
        <v>385</v>
      </c>
      <c r="R121" s="177"/>
      <c r="S121" s="390"/>
      <c r="T121" s="390"/>
      <c r="U121" s="441">
        <f ca="1">I121*$P121*$F121</f>
        <v>0</v>
      </c>
      <c r="V121" s="441">
        <f t="shared" ref="V121:AA121" ca="1" si="82">J121*$P121*(1+V119)*$F121</f>
        <v>0</v>
      </c>
      <c r="W121" s="441">
        <f t="shared" ca="1" si="82"/>
        <v>0</v>
      </c>
      <c r="X121" s="441">
        <f t="shared" ca="1" si="82"/>
        <v>0</v>
      </c>
      <c r="Y121" s="441">
        <f t="shared" ca="1" si="82"/>
        <v>0</v>
      </c>
      <c r="Z121" s="441">
        <f t="shared" ca="1" si="82"/>
        <v>0</v>
      </c>
      <c r="AA121" s="445">
        <f t="shared" ca="1" si="82"/>
        <v>0</v>
      </c>
      <c r="AC121" s="11">
        <v>1</v>
      </c>
    </row>
    <row r="122" spans="1:29" ht="15" customHeight="1">
      <c r="B122" s="177" t="s">
        <v>831</v>
      </c>
      <c r="C122" s="177" t="str">
        <f>LEFT($G$3,1) &amp; "S" &amp; D122</f>
        <v>ES_AthlEventExp</v>
      </c>
      <c r="D122" s="462" t="s">
        <v>551</v>
      </c>
      <c r="E122" s="177"/>
      <c r="F122" s="177">
        <f>IF(LEFT($F$3,1)="H",1,0)</f>
        <v>0</v>
      </c>
      <c r="G122" s="345"/>
      <c r="H122" s="389" t="s">
        <v>431</v>
      </c>
      <c r="I122" s="354">
        <f t="shared" ca="1" si="80"/>
        <v>0</v>
      </c>
      <c r="J122" s="354">
        <f t="shared" ca="1" si="80"/>
        <v>0</v>
      </c>
      <c r="K122" s="354">
        <f t="shared" ca="1" si="80"/>
        <v>0</v>
      </c>
      <c r="L122" s="354">
        <f t="shared" ca="1" si="80"/>
        <v>0</v>
      </c>
      <c r="M122" s="354">
        <f t="shared" ca="1" si="80"/>
        <v>0</v>
      </c>
      <c r="N122" s="354">
        <f t="shared" ca="1" si="80"/>
        <v>0</v>
      </c>
      <c r="O122" s="354">
        <f t="shared" ca="1" si="80"/>
        <v>0</v>
      </c>
      <c r="P122" s="330"/>
      <c r="Q122" s="177" t="s">
        <v>414</v>
      </c>
      <c r="R122" s="177"/>
      <c r="S122" s="390"/>
      <c r="T122" s="390"/>
      <c r="U122" s="441">
        <f t="shared" ref="U122:AA122" ca="1" si="83">I122*$H$2*(1+U118)*$F122</f>
        <v>0</v>
      </c>
      <c r="V122" s="441">
        <f t="shared" ca="1" si="83"/>
        <v>0</v>
      </c>
      <c r="W122" s="441">
        <f t="shared" ca="1" si="83"/>
        <v>0</v>
      </c>
      <c r="X122" s="441">
        <f t="shared" ca="1" si="83"/>
        <v>0</v>
      </c>
      <c r="Y122" s="441">
        <f t="shared" ca="1" si="83"/>
        <v>0</v>
      </c>
      <c r="Z122" s="441">
        <f t="shared" ca="1" si="83"/>
        <v>0</v>
      </c>
      <c r="AA122" s="445">
        <f t="shared" ca="1" si="83"/>
        <v>0</v>
      </c>
      <c r="AC122" s="11">
        <v>1</v>
      </c>
    </row>
    <row r="123" spans="1:29" ht="15" customHeight="1">
      <c r="B123" s="177" t="s">
        <v>773</v>
      </c>
      <c r="C123" s="177" t="str">
        <f>LEFT($G$3,1) &amp; "S" &amp; D123</f>
        <v>ES_OtherExtCurExp</v>
      </c>
      <c r="D123" s="462" t="s">
        <v>552</v>
      </c>
      <c r="E123" s="177"/>
      <c r="F123" s="177">
        <f>IF(LEFT($F$3,1)="H",1,0)</f>
        <v>0</v>
      </c>
      <c r="G123" s="345"/>
      <c r="H123" s="389" t="s">
        <v>432</v>
      </c>
      <c r="I123" s="354">
        <f t="shared" ca="1" si="80"/>
        <v>0</v>
      </c>
      <c r="J123" s="354">
        <f t="shared" ca="1" si="80"/>
        <v>0</v>
      </c>
      <c r="K123" s="354">
        <f t="shared" ca="1" si="80"/>
        <v>0</v>
      </c>
      <c r="L123" s="354">
        <f t="shared" ca="1" si="80"/>
        <v>0</v>
      </c>
      <c r="M123" s="354">
        <f t="shared" ca="1" si="80"/>
        <v>0</v>
      </c>
      <c r="N123" s="354">
        <f t="shared" ca="1" si="80"/>
        <v>0</v>
      </c>
      <c r="O123" s="354">
        <f t="shared" ca="1" si="80"/>
        <v>0</v>
      </c>
      <c r="P123" s="395"/>
      <c r="Q123" s="177" t="s">
        <v>415</v>
      </c>
      <c r="R123" s="177"/>
      <c r="S123" s="441"/>
      <c r="T123" s="441"/>
      <c r="U123" s="441">
        <f t="shared" ref="U123:AA123" ca="1" si="84">I123*$H$2*(1+U118)*$F123</f>
        <v>0</v>
      </c>
      <c r="V123" s="441">
        <f t="shared" ca="1" si="84"/>
        <v>0</v>
      </c>
      <c r="W123" s="441">
        <f t="shared" ca="1" si="84"/>
        <v>0</v>
      </c>
      <c r="X123" s="441">
        <f t="shared" ca="1" si="84"/>
        <v>0</v>
      </c>
      <c r="Y123" s="441">
        <f t="shared" ca="1" si="84"/>
        <v>0</v>
      </c>
      <c r="Z123" s="441">
        <f t="shared" ca="1" si="84"/>
        <v>0</v>
      </c>
      <c r="AA123" s="445">
        <f t="shared" ca="1" si="84"/>
        <v>0</v>
      </c>
      <c r="AC123" s="11">
        <v>1</v>
      </c>
    </row>
    <row r="124" spans="1:29" ht="15" customHeight="1">
      <c r="B124" s="11"/>
      <c r="C124" s="177" t="str">
        <f>LEFT($G$3,1) &amp; "S" &amp; D124</f>
        <v>ES_ExtraCurrSponsors</v>
      </c>
      <c r="D124" s="209" t="s">
        <v>553</v>
      </c>
      <c r="E124" s="177"/>
      <c r="F124" s="177">
        <f>IF(LEFT($F$3,1)="H",1,0)</f>
        <v>0</v>
      </c>
      <c r="G124" s="356"/>
      <c r="H124" s="396" t="s">
        <v>430</v>
      </c>
      <c r="I124" s="473">
        <f ca="1">IFERROR(INDEX(INDIRECT($Q$121 &amp; $Q$122), MATCH($C124, INDIRECT($Q$121 &amp; $Q$123),0), MATCH(I$4, INDIRECT($Q$121 &amp; $Q$124), 0)),0)</f>
        <v>0</v>
      </c>
      <c r="J124" s="473">
        <f ca="1">IFERROR(INDEX(INDIRECT($Q$121 &amp; $Q$122), MATCH($C124, INDIRECT($Q$121 &amp; $Q$123),0), MATCH(J$4, INDIRECT($Q$121 &amp; $Q$124), 0)),0)</f>
        <v>0</v>
      </c>
      <c r="K124" s="473">
        <f ca="1">IFERROR(INDEX(INDIRECT($Q$121 &amp; $Q$122), MATCH($C124, INDIRECT($Q$121 &amp; $Q$123),0), MATCH(K$4, INDIRECT($Q$121 &amp; $Q$124), 0)),0)</f>
        <v>0</v>
      </c>
      <c r="L124" s="473">
        <f ca="1">IFERROR(INDEX(INDIRECT($Q$121 &amp; $Q$122), MATCH($C124, INDIRECT($Q$121 &amp; $Q$123),0), MATCH(L$4, INDIRECT($Q$121 &amp; $Q$124), 0)),0)</f>
        <v>0</v>
      </c>
      <c r="M124" s="473">
        <f ca="1">IFERROR(INDEX(INDIRECT($Q$121 &amp; $Q$122), MATCH($C124, INDIRECT($Q$121 &amp; $Q$123),0), MATCH(M$4, INDIRECT($Q$121 &amp; $Q$124), 0)),0)</f>
        <v>0</v>
      </c>
      <c r="N124" s="473">
        <f t="shared" ref="N124:O124" ca="1" si="85">IFERROR(INDEX(INDIRECT($Q$121 &amp; $Q$122), MATCH($C124, INDIRECT($Q$121 &amp; $Q$123),0), MATCH(N$4, INDIRECT($Q$121 &amp; $Q$124), 0)),0)</f>
        <v>0</v>
      </c>
      <c r="O124" s="473">
        <f t="shared" ca="1" si="85"/>
        <v>0</v>
      </c>
      <c r="P124" s="474">
        <f ca="1">IFERROR(INDEX(INDIRECT($B$120 &amp; $B$121), MATCH($C124, INDIRECT($B$120 &amp; $B$122),0), MATCH(P$4, INDIRECT($B$120 &amp; $B$123), 0)),0)</f>
        <v>0</v>
      </c>
      <c r="Q124" s="235" t="s">
        <v>416</v>
      </c>
      <c r="R124" s="235"/>
      <c r="S124" s="448"/>
      <c r="T124" s="448"/>
      <c r="U124" s="448">
        <f ca="1">I124*$P124+25*1000*$F124</f>
        <v>0</v>
      </c>
      <c r="V124" s="448">
        <f t="shared" ref="V124:AA124" ca="1" si="86">(J124*$P124+25*1000)*(1+V119)*$F124</f>
        <v>0</v>
      </c>
      <c r="W124" s="448">
        <f t="shared" ca="1" si="86"/>
        <v>0</v>
      </c>
      <c r="X124" s="448">
        <f t="shared" ca="1" si="86"/>
        <v>0</v>
      </c>
      <c r="Y124" s="448">
        <f t="shared" ca="1" si="86"/>
        <v>0</v>
      </c>
      <c r="Z124" s="448">
        <f t="shared" ca="1" si="86"/>
        <v>0</v>
      </c>
      <c r="AA124" s="475">
        <f t="shared" ca="1" si="86"/>
        <v>0</v>
      </c>
      <c r="AC124" s="11">
        <v>1</v>
      </c>
    </row>
    <row r="125" spans="1:29" ht="15" hidden="1" customHeight="1" outlineLevel="1">
      <c r="B125" s="11"/>
      <c r="C125" s="462"/>
      <c r="D125" s="177"/>
      <c r="E125" s="177"/>
      <c r="F125" s="177"/>
      <c r="G125" s="433"/>
      <c r="H125" s="389"/>
      <c r="I125" s="390"/>
      <c r="J125" s="390"/>
      <c r="K125" s="390"/>
      <c r="L125" s="390"/>
      <c r="M125" s="390"/>
      <c r="N125" s="390"/>
      <c r="O125" s="390"/>
      <c r="P125" s="440"/>
      <c r="Q125" s="441"/>
      <c r="R125" s="441"/>
      <c r="S125" s="441"/>
      <c r="T125" s="441"/>
      <c r="U125" s="427"/>
      <c r="V125" s="441"/>
      <c r="W125" s="441"/>
      <c r="X125" s="441"/>
      <c r="Y125" s="441"/>
      <c r="Z125" s="441"/>
      <c r="AA125" s="441"/>
      <c r="AC125" s="11">
        <v>0</v>
      </c>
    </row>
    <row r="126" spans="1:29" ht="15" hidden="1" customHeight="1" outlineLevel="1">
      <c r="B126" s="11"/>
      <c r="C126" s="462"/>
      <c r="D126" s="177"/>
      <c r="E126" s="177"/>
      <c r="F126" s="177"/>
      <c r="G126" s="440"/>
      <c r="H126" s="440"/>
      <c r="I126" s="441"/>
      <c r="J126" s="441"/>
      <c r="K126" s="441"/>
      <c r="L126" s="441"/>
      <c r="M126" s="441"/>
      <c r="N126" s="441"/>
      <c r="O126" s="441"/>
      <c r="P126" s="440"/>
      <c r="Q126" s="441"/>
      <c r="R126" s="441"/>
      <c r="S126" s="441"/>
      <c r="T126" s="441" t="s">
        <v>419</v>
      </c>
      <c r="U126" s="347">
        <f>VLOOKUP($T126, $T$41:$AA$49, MATCH(U$4, $T$4:$AA$4,0),0)</f>
        <v>0</v>
      </c>
      <c r="V126" s="347">
        <f ca="1">VLOOKUP($T126, $T$41:$AA$49, MATCH(V$4, $T$4:$AA$4,0),0)</f>
        <v>2.8708133971291794E-2</v>
      </c>
      <c r="W126" s="347">
        <f ca="1">VLOOKUP($T126, $T$41:$AA$49, MATCH(W$4, $T$4:$AA$4,0),0)</f>
        <v>5.7416267942583588E-2</v>
      </c>
      <c r="X126" s="347">
        <f ca="1">VLOOKUP($T126, $T$41:$AA$49, MATCH(X$4, $T$4:$AA$4,0),0)</f>
        <v>8.373205741626788E-2</v>
      </c>
      <c r="Y126" s="347">
        <f ca="1">VLOOKUP($T126, $T$41:$AA$49, MATCH(Y$4, $T$4:$AA$4,0),0)</f>
        <v>0.10925039872408293</v>
      </c>
      <c r="Z126" s="347">
        <f t="shared" ref="Z126:AA126" ca="1" si="87">VLOOKUP($T126, $T$41:$AA$49, MATCH(Z$4, $T$4:$AA$4,0),0)</f>
        <v>0.13397129186602874</v>
      </c>
      <c r="AA126" s="347">
        <f t="shared" ca="1" si="87"/>
        <v>0.15948963317384379</v>
      </c>
      <c r="AC126" s="11">
        <v>0</v>
      </c>
    </row>
    <row r="127" spans="1:29" ht="15" hidden="1" customHeight="1" outlineLevel="1">
      <c r="B127" s="11"/>
      <c r="C127" s="11" t="str">
        <f>LEFT($G$3,1) &amp; "S" &amp; D127</f>
        <v>ES_TeachProfDev</v>
      </c>
      <c r="D127" s="177" t="s">
        <v>561</v>
      </c>
      <c r="E127" s="177"/>
      <c r="F127" s="177"/>
      <c r="G127" s="440"/>
      <c r="H127" s="440"/>
      <c r="I127" s="441"/>
      <c r="J127" s="441"/>
      <c r="K127" s="441"/>
      <c r="L127" s="441"/>
      <c r="M127" s="441"/>
      <c r="N127" s="441"/>
      <c r="O127" s="441"/>
      <c r="P127" s="440"/>
      <c r="Q127" s="441"/>
      <c r="R127" s="441"/>
      <c r="S127" s="441"/>
      <c r="T127" s="441" t="str">
        <f>C127</f>
        <v>ES_TeachProfDev</v>
      </c>
      <c r="U127" s="476">
        <f t="shared" ref="U127:AA128" ca="1" si="88">INDEX(INDIRECT($B$129 &amp; $B$130), MATCH($C127, INDIRECT($B$129 &amp; $B$131),0), MATCH(U$4,INDIRECT($B$129 &amp; $B$132),0))</f>
        <v>5</v>
      </c>
      <c r="V127" s="476">
        <f t="shared" ca="1" si="88"/>
        <v>5</v>
      </c>
      <c r="W127" s="476">
        <f t="shared" ca="1" si="88"/>
        <v>5</v>
      </c>
      <c r="X127" s="476">
        <f t="shared" ca="1" si="88"/>
        <v>7</v>
      </c>
      <c r="Y127" s="476">
        <f t="shared" ca="1" si="88"/>
        <v>7</v>
      </c>
      <c r="Z127" s="476">
        <f t="shared" ca="1" si="88"/>
        <v>5</v>
      </c>
      <c r="AA127" s="476">
        <f t="shared" ca="1" si="88"/>
        <v>5</v>
      </c>
      <c r="AC127" s="11">
        <v>0</v>
      </c>
    </row>
    <row r="128" spans="1:29" ht="15" hidden="1" customHeight="1" outlineLevel="1" thickBot="1">
      <c r="B128" s="11"/>
      <c r="C128" s="11" t="str">
        <f>LEFT($G$3,1) &amp; "S" &amp; D128</f>
        <v>ES_LeadershipDev</v>
      </c>
      <c r="D128" s="177" t="s">
        <v>559</v>
      </c>
      <c r="E128" s="177"/>
      <c r="F128" s="177"/>
      <c r="G128" s="440"/>
      <c r="H128" s="440"/>
      <c r="I128" s="441"/>
      <c r="J128" s="441"/>
      <c r="K128" s="441"/>
      <c r="L128" s="441"/>
      <c r="M128" s="441"/>
      <c r="N128" s="441"/>
      <c r="O128" s="441"/>
      <c r="P128" s="440"/>
      <c r="Q128" s="441"/>
      <c r="R128" s="441"/>
      <c r="S128" s="441"/>
      <c r="T128" s="441" t="str">
        <f>C128</f>
        <v>ES_LeadershipDev</v>
      </c>
      <c r="U128" s="476">
        <f t="shared" ca="1" si="88"/>
        <v>3</v>
      </c>
      <c r="V128" s="476">
        <f t="shared" ca="1" si="88"/>
        <v>3</v>
      </c>
      <c r="W128" s="476">
        <f t="shared" ca="1" si="88"/>
        <v>3</v>
      </c>
      <c r="X128" s="476">
        <f t="shared" ca="1" si="88"/>
        <v>4</v>
      </c>
      <c r="Y128" s="476">
        <f t="shared" ca="1" si="88"/>
        <v>4</v>
      </c>
      <c r="Z128" s="476">
        <f t="shared" ca="1" si="88"/>
        <v>3</v>
      </c>
      <c r="AA128" s="476">
        <f t="shared" ca="1" si="88"/>
        <v>3</v>
      </c>
      <c r="AC128" s="11">
        <v>0</v>
      </c>
    </row>
    <row r="129" spans="2:29" ht="15" customHeight="1" collapsed="1">
      <c r="B129" s="177" t="s">
        <v>385</v>
      </c>
      <c r="C129" s="862" t="s">
        <v>562</v>
      </c>
      <c r="D129" s="862"/>
      <c r="E129" s="862"/>
      <c r="F129" s="862"/>
      <c r="G129" s="336" t="s">
        <v>325</v>
      </c>
      <c r="H129" s="477" t="s">
        <v>407</v>
      </c>
      <c r="I129" s="478">
        <f ca="1">SUM(I23:I35)+I63</f>
        <v>26.25</v>
      </c>
      <c r="J129" s="478">
        <f t="shared" ref="J129:O129" ca="1" si="89">SUM(J23:J35)+J63</f>
        <v>26.25</v>
      </c>
      <c r="K129" s="478">
        <f t="shared" ca="1" si="89"/>
        <v>26.25</v>
      </c>
      <c r="L129" s="478">
        <f t="shared" ca="1" si="89"/>
        <v>29.5</v>
      </c>
      <c r="M129" s="478">
        <f t="shared" ca="1" si="89"/>
        <v>29.5</v>
      </c>
      <c r="N129" s="478">
        <f t="shared" ca="1" si="89"/>
        <v>26.25</v>
      </c>
      <c r="O129" s="478">
        <f t="shared" ca="1" si="89"/>
        <v>26.25</v>
      </c>
      <c r="P129" s="479">
        <f t="shared" ref="P129:P135" ca="1" si="90">IFERROR(INDEX(INDIRECT($B$120 &amp; $B$121), MATCH($Q129, INDIRECT($B$120 &amp; $B$122),0), MATCH(P$4, INDIRECT($B$120 &amp; $B$123), 0)),0)</f>
        <v>333</v>
      </c>
      <c r="Q129" s="470" t="str">
        <f>LEFT($G$3,1) &amp; "S_TchrProfDev"</f>
        <v>ES_TchrProfDev</v>
      </c>
      <c r="R129" s="470"/>
      <c r="S129" s="470"/>
      <c r="T129" s="369"/>
      <c r="U129" s="425">
        <f t="shared" ref="U129:AA129" ca="1" si="91">I129*$P129*U127*(1+U126)</f>
        <v>43706.25</v>
      </c>
      <c r="V129" s="425">
        <f t="shared" ca="1" si="91"/>
        <v>44960.974880382775</v>
      </c>
      <c r="W129" s="425">
        <f t="shared" ca="1" si="91"/>
        <v>46215.699760765543</v>
      </c>
      <c r="X129" s="425">
        <f t="shared" ca="1" si="91"/>
        <v>74522.293062200959</v>
      </c>
      <c r="Y129" s="425">
        <f t="shared" ca="1" si="91"/>
        <v>76277.049043062201</v>
      </c>
      <c r="Z129" s="425">
        <f t="shared" ca="1" si="91"/>
        <v>49561.632775119622</v>
      </c>
      <c r="AA129" s="426">
        <f t="shared" ca="1" si="91"/>
        <v>50676.943779904308</v>
      </c>
      <c r="AC129" s="11">
        <v>1</v>
      </c>
    </row>
    <row r="130" spans="2:29" ht="15" customHeight="1">
      <c r="B130" s="177" t="s">
        <v>414</v>
      </c>
      <c r="C130" s="11" t="str">
        <f t="shared" ref="C130:C135" si="92">LEFT($G$3,1) &amp; "S" &amp; D130</f>
        <v>ES_TeacherCollab</v>
      </c>
      <c r="D130" s="177" t="s">
        <v>557</v>
      </c>
      <c r="E130" s="177"/>
      <c r="F130" s="177"/>
      <c r="G130" s="480"/>
      <c r="H130" s="481" t="s">
        <v>326</v>
      </c>
      <c r="I130" s="423">
        <f t="shared" ref="I130:O130" ca="1" si="93">INDEX(INDIRECT($B$129 &amp; $B$130), MATCH($C130, INDIRECT($B$129 &amp; $B$131),0), MATCH(I$4, INDIRECT($B$129 &amp; $B$132), 0))</f>
        <v>1</v>
      </c>
      <c r="J130" s="423">
        <f t="shared" ca="1" si="93"/>
        <v>1</v>
      </c>
      <c r="K130" s="423">
        <f t="shared" ca="1" si="93"/>
        <v>1</v>
      </c>
      <c r="L130" s="423">
        <f t="shared" ca="1" si="93"/>
        <v>2</v>
      </c>
      <c r="M130" s="423">
        <f t="shared" ca="1" si="93"/>
        <v>2</v>
      </c>
      <c r="N130" s="423">
        <f t="shared" ca="1" si="93"/>
        <v>1</v>
      </c>
      <c r="O130" s="423">
        <f t="shared" ca="1" si="93"/>
        <v>1</v>
      </c>
      <c r="P130" s="435">
        <f t="shared" ca="1" si="90"/>
        <v>0</v>
      </c>
      <c r="Q130" s="11" t="str">
        <f>LEFT($G$3,1) &amp; "S_TeacherCollab"</f>
        <v>ES_TeacherCollab</v>
      </c>
      <c r="S130" s="177">
        <v>1800</v>
      </c>
      <c r="T130" s="427"/>
      <c r="U130" s="441">
        <f t="shared" ref="U130:AA130" ca="1" si="94">U7*(1+U18)/$S130*I129*I130*36</f>
        <v>57937.755953650485</v>
      </c>
      <c r="V130" s="441">
        <f t="shared" ca="1" si="94"/>
        <v>61865.087566199894</v>
      </c>
      <c r="W130" s="441">
        <f t="shared" ca="1" si="94"/>
        <v>66223.344459989399</v>
      </c>
      <c r="X130" s="441">
        <f t="shared" ca="1" si="94"/>
        <v>152659.77354532067</v>
      </c>
      <c r="Y130" s="441">
        <f t="shared" ca="1" si="94"/>
        <v>159521.1771035764</v>
      </c>
      <c r="Z130" s="441">
        <f t="shared" ca="1" si="94"/>
        <v>72724.976037086672</v>
      </c>
      <c r="AA130" s="445">
        <f t="shared" ca="1" si="94"/>
        <v>76535.277711346222</v>
      </c>
      <c r="AC130" s="11">
        <v>1</v>
      </c>
    </row>
    <row r="131" spans="2:29" ht="15" customHeight="1">
      <c r="B131" s="177" t="s">
        <v>415</v>
      </c>
      <c r="C131" s="11" t="str">
        <f t="shared" si="92"/>
        <v>ES_STEMStipend</v>
      </c>
      <c r="D131" s="177" t="s">
        <v>558</v>
      </c>
      <c r="E131" s="177"/>
      <c r="F131" s="177"/>
      <c r="G131" s="480"/>
      <c r="H131" s="481" t="s">
        <v>556</v>
      </c>
      <c r="I131" s="423">
        <f ca="1">IF(LEFT($F$3,1)="E",0,I129*INDEX(INDIRECT($B$129 &amp; $B$130), MATCH($C131, INDIRECT($B$129 &amp; $B$131),0), MATCH(I$4, INDIRECT($B$129 &amp; $B$132), 0)))</f>
        <v>0</v>
      </c>
      <c r="J131" s="423">
        <f t="shared" ref="J131:O131" ca="1" si="95">IF(LEFT($F$3,1)="E",0,J129*INDEX(INDIRECT($B$129 &amp; $B$130), MATCH($C131, INDIRECT($B$129 &amp; $B$131),0), MATCH(J$4, INDIRECT($B$129 &amp; $B$132), 0)))</f>
        <v>0</v>
      </c>
      <c r="K131" s="423">
        <f t="shared" ca="1" si="95"/>
        <v>0</v>
      </c>
      <c r="L131" s="423">
        <f t="shared" ca="1" si="95"/>
        <v>0</v>
      </c>
      <c r="M131" s="423">
        <f t="shared" ca="1" si="95"/>
        <v>0</v>
      </c>
      <c r="N131" s="423">
        <f t="shared" ca="1" si="95"/>
        <v>0</v>
      </c>
      <c r="O131" s="423">
        <f t="shared" ca="1" si="95"/>
        <v>0</v>
      </c>
      <c r="P131" s="435">
        <f t="shared" ca="1" si="90"/>
        <v>0</v>
      </c>
      <c r="Q131" s="11" t="str">
        <f>LEFT($G$3,1) &amp; "S_STEM_Stipend"</f>
        <v>ES_STEM_Stipend</v>
      </c>
      <c r="S131" s="177"/>
      <c r="T131" s="390"/>
      <c r="U131" s="441">
        <f t="shared" ref="U131:AA131" ca="1" si="96">I131*$P131*(1+U126)</f>
        <v>0</v>
      </c>
      <c r="V131" s="441">
        <f t="shared" ca="1" si="96"/>
        <v>0</v>
      </c>
      <c r="W131" s="441">
        <f t="shared" ca="1" si="96"/>
        <v>0</v>
      </c>
      <c r="X131" s="441">
        <f t="shared" ca="1" si="96"/>
        <v>0</v>
      </c>
      <c r="Y131" s="441">
        <f t="shared" ca="1" si="96"/>
        <v>0</v>
      </c>
      <c r="Z131" s="441">
        <f t="shared" ca="1" si="96"/>
        <v>0</v>
      </c>
      <c r="AA131" s="445">
        <f t="shared" ca="1" si="96"/>
        <v>0</v>
      </c>
      <c r="AC131" s="11">
        <v>1</v>
      </c>
    </row>
    <row r="132" spans="2:29" ht="15" customHeight="1">
      <c r="B132" s="177" t="s">
        <v>416</v>
      </c>
      <c r="C132" s="11" t="str">
        <f t="shared" si="92"/>
        <v>ES_ConsStaffDev</v>
      </c>
      <c r="D132" s="177" t="s">
        <v>560</v>
      </c>
      <c r="E132" s="177"/>
      <c r="F132" s="177"/>
      <c r="G132" s="480"/>
      <c r="H132" s="389" t="s">
        <v>328</v>
      </c>
      <c r="I132" s="351">
        <f t="shared" ref="I132:O132" ca="1" si="97">INDEX(INDIRECT($B$129 &amp; $B$130), MATCH($C132, INDIRECT($B$129 &amp; $B$131),0), MATCH(I$4, INDIRECT($B$129 &amp; $B$132), 0))</f>
        <v>2600</v>
      </c>
      <c r="J132" s="351">
        <f t="shared" ca="1" si="97"/>
        <v>2600</v>
      </c>
      <c r="K132" s="351">
        <f t="shared" ca="1" si="97"/>
        <v>2600</v>
      </c>
      <c r="L132" s="351">
        <f t="shared" ca="1" si="97"/>
        <v>8000</v>
      </c>
      <c r="M132" s="351">
        <f t="shared" ca="1" si="97"/>
        <v>8000</v>
      </c>
      <c r="N132" s="351">
        <f t="shared" ca="1" si="97"/>
        <v>2600</v>
      </c>
      <c r="O132" s="351">
        <f t="shared" ca="1" si="97"/>
        <v>2600</v>
      </c>
      <c r="P132" s="435">
        <f t="shared" ca="1" si="90"/>
        <v>0</v>
      </c>
      <c r="Q132" s="11" t="str">
        <f>LEFT($G$3,1) &amp; "S_ConsStaffDev"</f>
        <v>ES_ConsStaffDev</v>
      </c>
      <c r="S132" s="177"/>
      <c r="T132" s="390"/>
      <c r="U132" s="441">
        <f t="shared" ref="U132:AA132" ca="1" si="98">I132*(1+U126)</f>
        <v>2600</v>
      </c>
      <c r="V132" s="441">
        <f t="shared" ca="1" si="98"/>
        <v>2674.6411483253587</v>
      </c>
      <c r="W132" s="441">
        <f t="shared" ca="1" si="98"/>
        <v>2749.2822966507174</v>
      </c>
      <c r="X132" s="441">
        <f t="shared" ca="1" si="98"/>
        <v>8669.8564593301435</v>
      </c>
      <c r="Y132" s="441">
        <f t="shared" ca="1" si="98"/>
        <v>8874.0031897926638</v>
      </c>
      <c r="Z132" s="441">
        <f t="shared" ca="1" si="98"/>
        <v>2948.3253588516745</v>
      </c>
      <c r="AA132" s="445">
        <f t="shared" ca="1" si="98"/>
        <v>3014.673046251994</v>
      </c>
      <c r="AC132" s="11">
        <v>1</v>
      </c>
    </row>
    <row r="133" spans="2:29" ht="15" customHeight="1">
      <c r="B133" s="177"/>
      <c r="C133" s="11" t="str">
        <f t="shared" si="92"/>
        <v>ES_TeachProfDev</v>
      </c>
      <c r="D133" s="177" t="s">
        <v>561</v>
      </c>
      <c r="E133" s="177"/>
      <c r="F133" s="177"/>
      <c r="G133" s="480"/>
      <c r="H133" s="389" t="s">
        <v>329</v>
      </c>
      <c r="I133" s="423">
        <f ca="1">I69+I71</f>
        <v>5</v>
      </c>
      <c r="J133" s="423">
        <f t="shared" ref="J133:O133" ca="1" si="99">J69+J71</f>
        <v>5</v>
      </c>
      <c r="K133" s="423">
        <f t="shared" ca="1" si="99"/>
        <v>5</v>
      </c>
      <c r="L133" s="423">
        <f t="shared" ca="1" si="99"/>
        <v>5</v>
      </c>
      <c r="M133" s="423">
        <f t="shared" ca="1" si="99"/>
        <v>5</v>
      </c>
      <c r="N133" s="423">
        <f t="shared" ca="1" si="99"/>
        <v>5</v>
      </c>
      <c r="O133" s="423">
        <f t="shared" ca="1" si="99"/>
        <v>5</v>
      </c>
      <c r="P133" s="435">
        <f t="shared" ca="1" si="90"/>
        <v>111</v>
      </c>
      <c r="Q133" s="11" t="str">
        <f>LEFT($G$3,1) &amp; "S_SpEdSupport"</f>
        <v>ES_SpEdSupport</v>
      </c>
      <c r="S133" s="177"/>
      <c r="T133" s="482"/>
      <c r="U133" s="441">
        <f t="shared" ref="U133:AA133" ca="1" si="100">I133*$P133*U127*(1+U126)</f>
        <v>2775</v>
      </c>
      <c r="V133" s="441">
        <f t="shared" ca="1" si="100"/>
        <v>2854.6650717703346</v>
      </c>
      <c r="W133" s="441">
        <f t="shared" ca="1" si="100"/>
        <v>2934.3301435406693</v>
      </c>
      <c r="X133" s="441">
        <f t="shared" ca="1" si="100"/>
        <v>4210.2990430622003</v>
      </c>
      <c r="Y133" s="441">
        <f t="shared" ca="1" si="100"/>
        <v>4309.4377990430621</v>
      </c>
      <c r="Z133" s="441">
        <f t="shared" ca="1" si="100"/>
        <v>3146.7703349282297</v>
      </c>
      <c r="AA133" s="445">
        <f t="shared" ca="1" si="100"/>
        <v>3217.5837320574165</v>
      </c>
      <c r="AC133" s="11">
        <v>1</v>
      </c>
    </row>
    <row r="134" spans="2:29" ht="15" customHeight="1">
      <c r="B134" s="177"/>
      <c r="C134" s="11" t="str">
        <f t="shared" si="92"/>
        <v>ES_LeadershipDev</v>
      </c>
      <c r="D134" s="177" t="s">
        <v>559</v>
      </c>
      <c r="E134" s="177"/>
      <c r="F134" s="177"/>
      <c r="G134" s="480"/>
      <c r="H134" s="389" t="s">
        <v>330</v>
      </c>
      <c r="I134" s="423">
        <f ca="1">SUM(I90:I91)</f>
        <v>1</v>
      </c>
      <c r="J134" s="423">
        <f t="shared" ref="J134:O134" ca="1" si="101">SUM(J90:J91)</f>
        <v>1</v>
      </c>
      <c r="K134" s="423">
        <f t="shared" ca="1" si="101"/>
        <v>1</v>
      </c>
      <c r="L134" s="423">
        <f t="shared" ca="1" si="101"/>
        <v>1</v>
      </c>
      <c r="M134" s="423">
        <f t="shared" ca="1" si="101"/>
        <v>1</v>
      </c>
      <c r="N134" s="423">
        <f t="shared" ca="1" si="101"/>
        <v>1</v>
      </c>
      <c r="O134" s="423">
        <f t="shared" ca="1" si="101"/>
        <v>1</v>
      </c>
      <c r="P134" s="435">
        <f t="shared" ca="1" si="90"/>
        <v>350</v>
      </c>
      <c r="Q134" s="11" t="str">
        <f>LEFT($G$3,1) &amp; "S_PrinLeadership"</f>
        <v>ES_PrinLeadership</v>
      </c>
      <c r="S134" s="177"/>
      <c r="T134" s="390"/>
      <c r="U134" s="441">
        <f t="shared" ref="U134:AA134" ca="1" si="102">I134*$P134*U128*(1+U126)</f>
        <v>1050</v>
      </c>
      <c r="V134" s="441">
        <f t="shared" ca="1" si="102"/>
        <v>1080.1435406698563</v>
      </c>
      <c r="W134" s="441">
        <f t="shared" ca="1" si="102"/>
        <v>1110.2870813397128</v>
      </c>
      <c r="X134" s="441">
        <f t="shared" ca="1" si="102"/>
        <v>1517.2248803827749</v>
      </c>
      <c r="Y134" s="441">
        <f t="shared" ca="1" si="102"/>
        <v>1552.950558213716</v>
      </c>
      <c r="Z134" s="441">
        <f t="shared" ca="1" si="102"/>
        <v>1190.6698564593303</v>
      </c>
      <c r="AA134" s="445">
        <f t="shared" ca="1" si="102"/>
        <v>1217.4641148325359</v>
      </c>
      <c r="AC134" s="11">
        <v>1</v>
      </c>
    </row>
    <row r="135" spans="2:29" ht="15" customHeight="1">
      <c r="B135" s="177"/>
      <c r="C135" s="11" t="str">
        <f t="shared" si="92"/>
        <v>ES_MaterTrav</v>
      </c>
      <c r="D135" s="177" t="s">
        <v>563</v>
      </c>
      <c r="E135" s="177"/>
      <c r="F135" s="177"/>
      <c r="G135" s="483"/>
      <c r="H135" s="396" t="s">
        <v>327</v>
      </c>
      <c r="I135" s="484"/>
      <c r="J135" s="484"/>
      <c r="K135" s="484"/>
      <c r="L135" s="484"/>
      <c r="M135" s="484"/>
      <c r="N135" s="484"/>
      <c r="O135" s="484"/>
      <c r="P135" s="474">
        <f t="shared" ca="1" si="90"/>
        <v>288</v>
      </c>
      <c r="Q135" s="235" t="str">
        <f>LEFT($G$3,1) &amp; "S_MaterTrav"</f>
        <v>ES_MaterTrav</v>
      </c>
      <c r="R135" s="235"/>
      <c r="S135" s="485"/>
      <c r="T135" s="397"/>
      <c r="U135" s="448">
        <f t="shared" ref="U135:AA135" ca="1" si="103">I129*$P135*(1+U126)</f>
        <v>7560</v>
      </c>
      <c r="V135" s="448">
        <f t="shared" ca="1" si="103"/>
        <v>7777.0334928229659</v>
      </c>
      <c r="W135" s="448">
        <f t="shared" ca="1" si="103"/>
        <v>7994.0669856459317</v>
      </c>
      <c r="X135" s="448">
        <f t="shared" ca="1" si="103"/>
        <v>9207.3875598086124</v>
      </c>
      <c r="Y135" s="448">
        <f t="shared" ca="1" si="103"/>
        <v>9424.1913875598093</v>
      </c>
      <c r="Z135" s="448">
        <f t="shared" ca="1" si="103"/>
        <v>8572.8229665071776</v>
      </c>
      <c r="AA135" s="475">
        <f t="shared" ca="1" si="103"/>
        <v>8765.741626794259</v>
      </c>
      <c r="AC135" s="11">
        <v>1</v>
      </c>
    </row>
    <row r="136" spans="2:29" ht="15" hidden="1" customHeight="1" outlineLevel="1">
      <c r="B136" s="177"/>
      <c r="C136" s="11"/>
      <c r="D136" s="177"/>
      <c r="E136" s="177"/>
      <c r="F136" s="177"/>
      <c r="G136" s="480"/>
      <c r="H136" s="389"/>
      <c r="I136" s="423"/>
      <c r="J136" s="423"/>
      <c r="K136" s="423"/>
      <c r="L136" s="423"/>
      <c r="M136" s="423"/>
      <c r="N136" s="423"/>
      <c r="O136" s="423"/>
      <c r="P136" s="435"/>
      <c r="S136" s="177"/>
      <c r="T136" s="390"/>
      <c r="U136" s="441"/>
      <c r="V136" s="427"/>
      <c r="W136" s="427"/>
      <c r="X136" s="427"/>
      <c r="Y136" s="427"/>
      <c r="Z136" s="427"/>
      <c r="AA136" s="427"/>
      <c r="AC136" s="11">
        <v>0</v>
      </c>
    </row>
    <row r="137" spans="2:29" ht="15" hidden="1" customHeight="1" outlineLevel="1">
      <c r="B137" s="177"/>
      <c r="C137" s="11"/>
      <c r="D137" s="177"/>
      <c r="E137" s="177"/>
      <c r="F137" s="177"/>
      <c r="G137" s="480"/>
      <c r="H137" s="389"/>
      <c r="I137" s="423"/>
      <c r="J137" s="423"/>
      <c r="K137" s="423"/>
      <c r="L137" s="423"/>
      <c r="M137" s="423"/>
      <c r="N137" s="423"/>
      <c r="O137" s="423"/>
      <c r="P137" s="435"/>
      <c r="Q137" s="98" t="s">
        <v>1063</v>
      </c>
      <c r="S137" s="177"/>
      <c r="T137" s="212" t="s">
        <v>567</v>
      </c>
      <c r="U137" s="347">
        <f t="shared" ref="U137:AA137" ca="1" si="104">INDEX(INDIRECT($S$138 &amp; $S$139), MATCH($T$137, INDIRECT($S$138 &amp; $S$140), 0), MATCH(U$4,INDIRECT($S$138 &amp; $S$141),0))</f>
        <v>4.2666176287422079E-2</v>
      </c>
      <c r="V137" s="347">
        <f t="shared" ca="1" si="104"/>
        <v>8.7152755173833585E-2</v>
      </c>
      <c r="W137" s="347">
        <f t="shared" ca="1" si="104"/>
        <v>0.13353740627743704</v>
      </c>
      <c r="X137" s="347">
        <f t="shared" ca="1" si="104"/>
        <v>0.18190111308205736</v>
      </c>
      <c r="Y137" s="347">
        <f t="shared" ca="1" si="104"/>
        <v>0.23232831432711687</v>
      </c>
      <c r="Z137" s="347">
        <f t="shared" ca="1" si="104"/>
        <v>0.28490705143017925</v>
      </c>
      <c r="AA137" s="347">
        <f t="shared" ca="1" si="104"/>
        <v>0.33972912219945095</v>
      </c>
      <c r="AC137" s="11">
        <v>0</v>
      </c>
    </row>
    <row r="138" spans="2:29" ht="15" hidden="1" customHeight="1" outlineLevel="1">
      <c r="B138" s="177"/>
      <c r="C138" s="11"/>
      <c r="D138" s="177"/>
      <c r="E138" s="177"/>
      <c r="F138" s="177"/>
      <c r="G138" s="480"/>
      <c r="H138" s="389"/>
      <c r="I138" s="423"/>
      <c r="J138" s="423"/>
      <c r="K138" s="423"/>
      <c r="L138" s="423"/>
      <c r="M138" s="423"/>
      <c r="N138" s="423"/>
      <c r="O138" s="423"/>
      <c r="P138" s="435"/>
      <c r="Q138" s="11" t="s">
        <v>596</v>
      </c>
      <c r="S138" s="385" t="s">
        <v>951</v>
      </c>
      <c r="T138" s="441" t="s">
        <v>568</v>
      </c>
      <c r="U138" s="347">
        <f t="shared" ref="U138:AA138" ca="1" si="105">INDEX(INDIRECT($S$138 &amp; $S$139), MATCH($T$138, INDIRECT($S$138 &amp; $S$140), 0), MATCH(U$4,INDIRECT($S$138 &amp; $S$141),0))</f>
        <v>5.4022496880633902E-2</v>
      </c>
      <c r="V138" s="347">
        <f t="shared" ca="1" si="105"/>
        <v>0.11096342393048597</v>
      </c>
      <c r="W138" s="347">
        <f t="shared" ca="1" si="105"/>
        <v>0.1709804420342691</v>
      </c>
      <c r="X138" s="347">
        <f t="shared" ca="1" si="105"/>
        <v>0.23423972931134873</v>
      </c>
      <c r="Y138" s="347">
        <f t="shared" ca="1" si="105"/>
        <v>0.30091644123802563</v>
      </c>
      <c r="Z138" s="347">
        <f t="shared" ca="1" si="105"/>
        <v>0.37119519562677228</v>
      </c>
      <c r="AA138" s="347">
        <f t="shared" ca="1" si="105"/>
        <v>0.44527058380525997</v>
      </c>
      <c r="AC138" s="11">
        <v>0</v>
      </c>
    </row>
    <row r="139" spans="2:29" ht="15" hidden="1" customHeight="1" outlineLevel="1" thickBot="1">
      <c r="B139" s="486" t="s">
        <v>944</v>
      </c>
      <c r="C139" s="11"/>
      <c r="D139" s="177"/>
      <c r="E139" s="177"/>
      <c r="F139" s="177"/>
      <c r="G139" s="345"/>
      <c r="H139" s="389"/>
      <c r="I139" s="487"/>
      <c r="J139" s="487"/>
      <c r="K139" s="487"/>
      <c r="L139" s="487"/>
      <c r="M139" s="487"/>
      <c r="N139" s="487"/>
      <c r="O139" s="487"/>
      <c r="P139" s="391"/>
      <c r="Q139" s="11" t="s">
        <v>613</v>
      </c>
      <c r="R139" s="11" t="s">
        <v>531</v>
      </c>
      <c r="S139" s="65" t="s">
        <v>827</v>
      </c>
      <c r="T139" s="441" t="s">
        <v>419</v>
      </c>
      <c r="U139" s="347">
        <f>VLOOKUP($T139, $T$41:$AA$49, MATCH(U$4, $T$4:$AA$4,0),0)</f>
        <v>0</v>
      </c>
      <c r="V139" s="347">
        <f ca="1">VLOOKUP($T139, $T$41:$AA$49, MATCH(V$4, $T$4:$AA$4,0),0)</f>
        <v>2.8708133971291794E-2</v>
      </c>
      <c r="W139" s="347">
        <f ca="1">VLOOKUP($T139, $T$41:$AA$49, MATCH(W$4, $T$4:$AA$4,0),0)</f>
        <v>5.7416267942583588E-2</v>
      </c>
      <c r="X139" s="347">
        <f ca="1">VLOOKUP($T139, $T$41:$AA$49, MATCH(X$4, $T$4:$AA$4,0),0)</f>
        <v>8.373205741626788E-2</v>
      </c>
      <c r="Y139" s="347">
        <f ca="1">VLOOKUP($T139, $T$41:$AA$49, MATCH(Y$4, $T$4:$AA$4,0),0)</f>
        <v>0.10925039872408293</v>
      </c>
      <c r="Z139" s="347">
        <f t="shared" ref="Z139:AA139" ca="1" si="106">VLOOKUP($T139, $T$41:$AA$49, MATCH(Z$4, $T$4:$AA$4,0),0)</f>
        <v>0.13397129186602874</v>
      </c>
      <c r="AA139" s="347">
        <f t="shared" ca="1" si="106"/>
        <v>0.15948963317384379</v>
      </c>
      <c r="AC139" s="11">
        <v>0</v>
      </c>
    </row>
    <row r="140" spans="2:29" ht="15" customHeight="1" collapsed="1">
      <c r="B140" s="177" t="s">
        <v>390</v>
      </c>
      <c r="C140" s="209" t="s">
        <v>192</v>
      </c>
      <c r="D140" s="446"/>
      <c r="E140" s="446"/>
      <c r="F140" s="446"/>
      <c r="G140" s="336" t="s">
        <v>331</v>
      </c>
      <c r="H140" s="488" t="s">
        <v>332</v>
      </c>
      <c r="I140" s="343">
        <f t="shared" ref="I140:O140" ca="1" si="107">IFERROR(INDEX(INDIRECT($B$139 &amp; $B$140), MATCH($C140, INDIRECT($B$139 &amp; $B$142),0), MATCH($G$3, INDIRECT($B$139 &amp; $B$143), 0)),0)</f>
        <v>685.37511987897551</v>
      </c>
      <c r="J140" s="343">
        <f t="shared" ca="1" si="107"/>
        <v>685.37511987897551</v>
      </c>
      <c r="K140" s="343">
        <f t="shared" ca="1" si="107"/>
        <v>685.37511987897551</v>
      </c>
      <c r="L140" s="343">
        <f t="shared" ca="1" si="107"/>
        <v>685.37511987897551</v>
      </c>
      <c r="M140" s="343">
        <f t="shared" ca="1" si="107"/>
        <v>685.37511987897551</v>
      </c>
      <c r="N140" s="343">
        <f t="shared" ca="1" si="107"/>
        <v>685.37511987897551</v>
      </c>
      <c r="O140" s="343">
        <f t="shared" ca="1" si="107"/>
        <v>685.37511987897551</v>
      </c>
      <c r="P140" s="489"/>
      <c r="Q140" s="470" t="s">
        <v>597</v>
      </c>
      <c r="R140" s="490">
        <v>1</v>
      </c>
      <c r="S140" s="491" t="s">
        <v>828</v>
      </c>
      <c r="T140" s="492" t="s">
        <v>567</v>
      </c>
      <c r="U140" s="456">
        <f t="shared" ref="U140:AA140" ca="1" si="108">I140*$H$2*(1+VLOOKUP($T140, $T$137:$AA$139, MATCH(U$4, $T$4:$AA$4,0),0)*$R140)</f>
        <v>257262.28400402816</v>
      </c>
      <c r="V140" s="456">
        <f t="shared" ca="1" si="108"/>
        <v>268238.68196544889</v>
      </c>
      <c r="W140" s="456">
        <f t="shared" ca="1" si="108"/>
        <v>279683.40085729246</v>
      </c>
      <c r="X140" s="456">
        <f t="shared" ca="1" si="108"/>
        <v>291616.42214293545</v>
      </c>
      <c r="Y140" s="456">
        <f t="shared" ca="1" si="108"/>
        <v>304058.57981839328</v>
      </c>
      <c r="Z140" s="456">
        <f t="shared" ca="1" si="108"/>
        <v>317031.59678662801</v>
      </c>
      <c r="AA140" s="471">
        <f t="shared" ca="1" si="108"/>
        <v>330558.1227838092</v>
      </c>
      <c r="AB140" s="441"/>
      <c r="AC140" s="11">
        <v>1</v>
      </c>
    </row>
    <row r="141" spans="2:29" ht="15" hidden="1" customHeight="1" outlineLevel="1">
      <c r="B141" s="177"/>
      <c r="C141" s="209"/>
      <c r="D141" s="446"/>
      <c r="E141" s="446"/>
      <c r="F141" s="446"/>
      <c r="G141" s="480"/>
      <c r="H141" s="372"/>
      <c r="I141" s="351"/>
      <c r="J141" s="351"/>
      <c r="K141" s="351"/>
      <c r="L141" s="351"/>
      <c r="M141" s="351"/>
      <c r="N141" s="351"/>
      <c r="O141" s="351"/>
      <c r="P141" s="493"/>
      <c r="R141" s="494"/>
      <c r="S141" s="495" t="s">
        <v>826</v>
      </c>
      <c r="T141" s="212" t="s">
        <v>598</v>
      </c>
      <c r="U141" s="347">
        <f ca="1">INDEX(INDIRECT($S$146 &amp; $S$147), MATCH($T141, INDIRECT($S$146 &amp; $S$148),0), MATCH(U$4, INDIRECT($S$146 &amp; $S$149),0))</f>
        <v>0</v>
      </c>
      <c r="V141" s="347">
        <f t="shared" ref="V141:AA141" ca="1" si="109">INDEX(INDIRECT($S$146 &amp; $S$147), MATCH($T141, INDIRECT($S$146 &amp; $S$148),0), MATCH(V$4, INDIRECT($S$146 &amp; $S$149),0))</f>
        <v>4.7724750277469585E-2</v>
      </c>
      <c r="W141" s="347">
        <f t="shared" ca="1" si="109"/>
        <v>0</v>
      </c>
      <c r="X141" s="347">
        <f t="shared" ca="1" si="109"/>
        <v>-7.3799435028248705E-2</v>
      </c>
      <c r="Y141" s="347">
        <f t="shared" ca="1" si="109"/>
        <v>0</v>
      </c>
      <c r="Z141" s="347">
        <f t="shared" ca="1" si="109"/>
        <v>0</v>
      </c>
      <c r="AA141" s="375">
        <f t="shared" ca="1" si="109"/>
        <v>0</v>
      </c>
      <c r="AB141" s="441"/>
      <c r="AC141" s="11">
        <v>0</v>
      </c>
    </row>
    <row r="142" spans="2:29" ht="15" customHeight="1" collapsed="1">
      <c r="B142" s="177" t="s">
        <v>391</v>
      </c>
      <c r="C142" s="209" t="s">
        <v>206</v>
      </c>
      <c r="D142" s="446"/>
      <c r="E142" s="446"/>
      <c r="F142" s="446"/>
      <c r="G142" s="480"/>
      <c r="H142" s="372" t="s">
        <v>333</v>
      </c>
      <c r="I142" s="351">
        <f t="shared" ref="I142:O142" ca="1" si="110">IFERROR(INDEX(INDIRECT($B$139 &amp; $B$140), MATCH($C142, INDIRECT($B$139 &amp; $B$142),0), MATCH($G$3, INDIRECT($B$139 &amp; $B$143), 0)),0)</f>
        <v>968.92623274076993</v>
      </c>
      <c r="J142" s="351">
        <f t="shared" ca="1" si="110"/>
        <v>968.92623274076993</v>
      </c>
      <c r="K142" s="351">
        <f t="shared" ca="1" si="110"/>
        <v>968.92623274076993</v>
      </c>
      <c r="L142" s="351">
        <f t="shared" ca="1" si="110"/>
        <v>968.92623274076993</v>
      </c>
      <c r="M142" s="351">
        <f t="shared" ca="1" si="110"/>
        <v>968.92623274076993</v>
      </c>
      <c r="N142" s="351">
        <f t="shared" ca="1" si="110"/>
        <v>968.92623274076993</v>
      </c>
      <c r="O142" s="351">
        <f t="shared" ca="1" si="110"/>
        <v>968.92623274076993</v>
      </c>
      <c r="P142" s="493"/>
      <c r="Q142" s="140" t="s">
        <v>576</v>
      </c>
      <c r="R142" s="494">
        <f ca="1">INDEX(INDIRECT($Q$137 &amp; $Q$138), MATCH($Q142, INDIRECT($Q$137 &amp; $Q$139),0), MATCH($R$139, INDIRECT($Q$137 &amp; $Q$140),0))</f>
        <v>0.2597430016272822</v>
      </c>
      <c r="T142" s="441" t="s">
        <v>419</v>
      </c>
      <c r="U142" s="441">
        <f t="shared" ref="U142:AA146" ca="1" si="111">I142*$H$2*(1+VLOOKUP($T142,$T$137:$AA$139,MATCH(U$4,$T$4:$AA$4,0),0))*(1+U$141*$R142)</f>
        <v>348813.44378667715</v>
      </c>
      <c r="V142" s="441">
        <f t="shared" ca="1" si="111"/>
        <v>363275.31012686522</v>
      </c>
      <c r="W142" s="441">
        <f t="shared" ca="1" si="111"/>
        <v>368841.00993710832</v>
      </c>
      <c r="X142" s="441">
        <f t="shared" ca="1" si="111"/>
        <v>370774.08254836057</v>
      </c>
      <c r="Y142" s="441">
        <f t="shared" ca="1" si="111"/>
        <v>386921.45160069212</v>
      </c>
      <c r="Z142" s="441">
        <f t="shared" ca="1" si="111"/>
        <v>395544.43147101667</v>
      </c>
      <c r="AA142" s="445">
        <f t="shared" ca="1" si="111"/>
        <v>404445.57198231947</v>
      </c>
      <c r="AB142" s="441"/>
      <c r="AC142" s="11">
        <v>1</v>
      </c>
    </row>
    <row r="143" spans="2:29" ht="15" customHeight="1">
      <c r="B143" s="177" t="s">
        <v>392</v>
      </c>
      <c r="C143" s="11" t="str">
        <f t="shared" ref="C143:C148" si="112">LEFT($G$3,1) &amp; "S" &amp; D143</f>
        <v>ES_TechServices</v>
      </c>
      <c r="D143" s="209" t="s">
        <v>602</v>
      </c>
      <c r="E143" s="177"/>
      <c r="F143" s="177"/>
      <c r="G143" s="480"/>
      <c r="H143" s="389" t="s">
        <v>334</v>
      </c>
      <c r="I143" s="351">
        <f ca="1">IFERROR(INDEX(INDIRECT($B$144 &amp; $B$145), MATCH($C143, INDIRECT($B$144 &amp; $B$146),0), MATCH(I$4, INDIRECT($B$144 &amp; $B$147), 0)),0)</f>
        <v>380.31</v>
      </c>
      <c r="J143" s="351">
        <f t="shared" ref="J143:O144" ca="1" si="113">IFERROR(INDEX(INDIRECT($B$144 &amp; $B$145), MATCH($C143, INDIRECT($B$144 &amp; $B$146),0), MATCH(J$4, INDIRECT($B$144 &amp; $B$147), 0)),0)</f>
        <v>391.22799043062196</v>
      </c>
      <c r="K143" s="351">
        <f t="shared" ca="1" si="113"/>
        <v>391.22799043062196</v>
      </c>
      <c r="L143" s="351">
        <f t="shared" ca="1" si="113"/>
        <v>391.22799043062196</v>
      </c>
      <c r="M143" s="351">
        <f t="shared" ca="1" si="113"/>
        <v>391.22799043062196</v>
      </c>
      <c r="N143" s="351">
        <f t="shared" ca="1" si="113"/>
        <v>391.22799043062196</v>
      </c>
      <c r="O143" s="351">
        <f t="shared" ca="1" si="113"/>
        <v>391.22799043062196</v>
      </c>
      <c r="P143" s="493"/>
      <c r="Q143" s="140" t="s">
        <v>578</v>
      </c>
      <c r="R143" s="494">
        <f ca="1">INDEX(INDIRECT($Q$137 &amp; $Q$138), MATCH($Q143, INDIRECT($Q$137 &amp; $Q$139),0), MATCH($R$139, INDIRECT($Q$137 &amp; $Q$140),0))</f>
        <v>0.34826962206502049</v>
      </c>
      <c r="S143" s="482"/>
      <c r="T143" s="441" t="s">
        <v>419</v>
      </c>
      <c r="U143" s="441">
        <f t="shared" ca="1" si="111"/>
        <v>136911.6</v>
      </c>
      <c r="V143" s="441">
        <f t="shared" ca="1" si="111"/>
        <v>147293.54151909781</v>
      </c>
      <c r="W143" s="441">
        <f t="shared" ca="1" si="111"/>
        <v>148928.70296009703</v>
      </c>
      <c r="X143" s="441">
        <f t="shared" ca="1" si="111"/>
        <v>148712.03127039893</v>
      </c>
      <c r="Y143" s="441">
        <f t="shared" ca="1" si="111"/>
        <v>156229.12957578807</v>
      </c>
      <c r="Z143" s="441">
        <f t="shared" ca="1" si="111"/>
        <v>159710.87150019457</v>
      </c>
      <c r="AA143" s="445">
        <f t="shared" ca="1" si="111"/>
        <v>163304.92768022709</v>
      </c>
      <c r="AB143" s="441"/>
      <c r="AC143" s="11">
        <v>1</v>
      </c>
    </row>
    <row r="144" spans="2:29" ht="15" customHeight="1">
      <c r="B144" s="177" t="s">
        <v>385</v>
      </c>
      <c r="C144" s="11" t="str">
        <f t="shared" si="112"/>
        <v>ES_O&amp;M</v>
      </c>
      <c r="D144" s="209" t="s">
        <v>601</v>
      </c>
      <c r="E144" s="177"/>
      <c r="F144" s="177"/>
      <c r="G144" s="480"/>
      <c r="H144" s="389" t="s">
        <v>335</v>
      </c>
      <c r="I144" s="351">
        <f ca="1">IFERROR(INDEX(INDIRECT($B$144 &amp; $B$145), MATCH($C144, INDIRECT($B$144 &amp; $B$146),0), MATCH(I$4, INDIRECT($B$144 &amp; $B$147), 0)),0)</f>
        <v>1339.18</v>
      </c>
      <c r="J144" s="351">
        <f t="shared" ca="1" si="113"/>
        <v>1377.6253588516747</v>
      </c>
      <c r="K144" s="351">
        <f t="shared" ca="1" si="113"/>
        <v>1377.6253588516747</v>
      </c>
      <c r="L144" s="351">
        <f t="shared" ca="1" si="113"/>
        <v>1377.6253588516747</v>
      </c>
      <c r="M144" s="351">
        <f t="shared" ca="1" si="113"/>
        <v>1377.6253588516747</v>
      </c>
      <c r="N144" s="351">
        <f t="shared" ca="1" si="113"/>
        <v>1377.6253588516747</v>
      </c>
      <c r="O144" s="351">
        <f t="shared" ca="1" si="113"/>
        <v>1377.6253588516747</v>
      </c>
      <c r="P144" s="493"/>
      <c r="Q144" s="140" t="s">
        <v>564</v>
      </c>
      <c r="R144" s="494">
        <f ca="1">INDEX(INDIRECT($Q$137 &amp; $Q$138), MATCH($Q144, INDIRECT($Q$137 &amp; $Q$139),0), MATCH($R$139, INDIRECT($Q$137 &amp; $Q$140),0))</f>
        <v>0.31639177491113951</v>
      </c>
      <c r="T144" s="441" t="s">
        <v>419</v>
      </c>
      <c r="U144" s="441">
        <f t="shared" ca="1" si="111"/>
        <v>482104.80000000005</v>
      </c>
      <c r="V144" s="441">
        <f t="shared" ca="1" si="111"/>
        <v>517886.40485925681</v>
      </c>
      <c r="W144" s="441">
        <f t="shared" ca="1" si="111"/>
        <v>524420.44760880014</v>
      </c>
      <c r="X144" s="441">
        <f t="shared" ca="1" si="111"/>
        <v>524921.92287153518</v>
      </c>
      <c r="Y144" s="441">
        <f t="shared" ca="1" si="111"/>
        <v>550127.33229550603</v>
      </c>
      <c r="Z144" s="441">
        <f t="shared" ca="1" si="111"/>
        <v>562387.53883839655</v>
      </c>
      <c r="AA144" s="445">
        <f t="shared" ca="1" si="111"/>
        <v>575043.23591492872</v>
      </c>
      <c r="AB144" s="441"/>
      <c r="AC144" s="11">
        <v>1</v>
      </c>
    </row>
    <row r="145" spans="1:29" ht="15" customHeight="1">
      <c r="B145" s="177" t="s">
        <v>414</v>
      </c>
      <c r="C145" s="11" t="str">
        <f t="shared" si="112"/>
        <v>ES_OtherSuppServ</v>
      </c>
      <c r="D145" s="209" t="s">
        <v>711</v>
      </c>
      <c r="E145" s="177"/>
      <c r="F145" s="177"/>
      <c r="G145" s="480"/>
      <c r="H145" s="389" t="s">
        <v>336</v>
      </c>
      <c r="I145" s="351">
        <f ca="1">IFERROR(INDEX(INDIRECT($B$120 &amp; $B$121), MATCH($C145, INDIRECT($B$120 &amp; $B$122),0), MATCH(I$4, INDIRECT($B$120 &amp; $B$123), 0)),0)</f>
        <v>329.01</v>
      </c>
      <c r="J145" s="351">
        <f t="shared" ref="J145:O146" ca="1" si="114">IFERROR(INDEX(INDIRECT($B$120 &amp; $B$121), MATCH($C145, INDIRECT($B$120 &amp; $B$122),0), MATCH(J$4, INDIRECT($B$120 &amp; $B$123), 0)),0)</f>
        <v>329.01</v>
      </c>
      <c r="K145" s="351">
        <f t="shared" ca="1" si="114"/>
        <v>329.01</v>
      </c>
      <c r="L145" s="351">
        <f t="shared" ca="1" si="114"/>
        <v>329.01</v>
      </c>
      <c r="M145" s="351">
        <f t="shared" ca="1" si="114"/>
        <v>329.01</v>
      </c>
      <c r="N145" s="351">
        <f t="shared" ca="1" si="114"/>
        <v>329.01</v>
      </c>
      <c r="O145" s="351">
        <f t="shared" ca="1" si="114"/>
        <v>329.01</v>
      </c>
      <c r="P145" s="493"/>
      <c r="Q145" s="140" t="s">
        <v>579</v>
      </c>
      <c r="R145" s="494">
        <f ca="1">INDEX(INDIRECT($Q$137 &amp; $Q$138), MATCH($Q145, INDIRECT($Q$137 &amp; $Q$139),0), MATCH($R$139, INDIRECT($Q$137 &amp; $Q$140),0))</f>
        <v>0.49774998720871899</v>
      </c>
      <c r="S145" s="482"/>
      <c r="T145" s="441" t="s">
        <v>419</v>
      </c>
      <c r="U145" s="441">
        <f t="shared" ca="1" si="111"/>
        <v>118443.59999999999</v>
      </c>
      <c r="V145" s="441">
        <f t="shared" ca="1" si="111"/>
        <v>124738.29570577563</v>
      </c>
      <c r="W145" s="441">
        <f t="shared" ca="1" si="111"/>
        <v>125244.18947368418</v>
      </c>
      <c r="X145" s="441">
        <f t="shared" ca="1" si="111"/>
        <v>123645.95133796734</v>
      </c>
      <c r="Y145" s="441">
        <f t="shared" ca="1" si="111"/>
        <v>131383.61052631578</v>
      </c>
      <c r="Z145" s="441">
        <f t="shared" ca="1" si="111"/>
        <v>134311.64210526316</v>
      </c>
      <c r="AA145" s="445">
        <f t="shared" ca="1" si="111"/>
        <v>137334.12631578947</v>
      </c>
      <c r="AB145" s="441"/>
      <c r="AC145" s="11">
        <v>1</v>
      </c>
    </row>
    <row r="146" spans="1:29" ht="15" customHeight="1">
      <c r="B146" s="177" t="s">
        <v>415</v>
      </c>
      <c r="C146" s="11" t="str">
        <f t="shared" si="112"/>
        <v>ES_CentSpEd</v>
      </c>
      <c r="D146" s="209" t="s">
        <v>712</v>
      </c>
      <c r="E146" s="177"/>
      <c r="F146" s="177"/>
      <c r="G146" s="480"/>
      <c r="H146" s="389" t="s">
        <v>337</v>
      </c>
      <c r="I146" s="351">
        <f ca="1">IFERROR(INDEX(INDIRECT($B$120 &amp; $B$121), MATCH($C146, INDIRECT($B$120 &amp; $B$122),0), MATCH(I$4, INDIRECT($B$120 &amp; $B$123), 0)),0)</f>
        <v>241.05</v>
      </c>
      <c r="J146" s="351">
        <f t="shared" ca="1" si="114"/>
        <v>241.05</v>
      </c>
      <c r="K146" s="351">
        <f t="shared" ca="1" si="114"/>
        <v>241.05</v>
      </c>
      <c r="L146" s="351">
        <f t="shared" ca="1" si="114"/>
        <v>241.05</v>
      </c>
      <c r="M146" s="351">
        <f t="shared" ca="1" si="114"/>
        <v>241.05</v>
      </c>
      <c r="N146" s="351">
        <f t="shared" ca="1" si="114"/>
        <v>241.05</v>
      </c>
      <c r="O146" s="351">
        <f t="shared" ca="1" si="114"/>
        <v>241.05</v>
      </c>
      <c r="P146" s="493"/>
      <c r="Q146" s="140" t="s">
        <v>187</v>
      </c>
      <c r="R146" s="494">
        <f ca="1">INDEX(INDIRECT($Q$137 &amp; $Q$138), MATCH($Q146, INDIRECT($Q$137 &amp; $Q$139),0), MATCH($R$139, INDIRECT($Q$137 &amp; $Q$140),0))</f>
        <v>0.55403546902834855</v>
      </c>
      <c r="S146" s="98" t="s">
        <v>952</v>
      </c>
      <c r="T146" s="441" t="s">
        <v>568</v>
      </c>
      <c r="U146" s="441">
        <f t="shared" ca="1" si="111"/>
        <v>91465.964234307656</v>
      </c>
      <c r="V146" s="441">
        <f t="shared" ca="1" si="111"/>
        <v>98956.306060069386</v>
      </c>
      <c r="W146" s="441">
        <f t="shared" ca="1" si="111"/>
        <v>101615.34079884981</v>
      </c>
      <c r="X146" s="441">
        <f t="shared" ca="1" si="111"/>
        <v>102725.60496928431</v>
      </c>
      <c r="Y146" s="441">
        <f t="shared" ca="1" si="111"/>
        <v>112890.92693775339</v>
      </c>
      <c r="Z146" s="441">
        <f t="shared" ca="1" si="111"/>
        <v>118989.57668610004</v>
      </c>
      <c r="AA146" s="445">
        <f t="shared" ca="1" si="111"/>
        <v>125417.69072145285</v>
      </c>
      <c r="AB146" s="441"/>
      <c r="AC146" s="11">
        <v>1</v>
      </c>
    </row>
    <row r="147" spans="1:29" ht="15" hidden="1" customHeight="1" outlineLevel="1" thickBot="1">
      <c r="B147" s="177" t="s">
        <v>416</v>
      </c>
      <c r="C147" s="11" t="str">
        <f t="shared" si="112"/>
        <v>ES_AssessCurDev</v>
      </c>
      <c r="D147" s="177" t="s">
        <v>566</v>
      </c>
      <c r="E147" s="177"/>
      <c r="F147" s="177"/>
      <c r="G147" s="480"/>
      <c r="H147" s="330"/>
      <c r="I147" s="351">
        <f t="shared" ref="I147:O148" ca="1" si="115">IFERROR(INDEX(INDIRECT($B$144 &amp; $B$145), MATCH($C147, INDIRECT($B$144 &amp; $B$146),0), MATCH(I$4, INDIRECT($B$144 &amp; $B$147), 0)),0)</f>
        <v>309.95999999999998</v>
      </c>
      <c r="J147" s="351">
        <f t="shared" ca="1" si="115"/>
        <v>318.8583732057416</v>
      </c>
      <c r="K147" s="351">
        <f t="shared" ca="1" si="115"/>
        <v>318.8583732057416</v>
      </c>
      <c r="L147" s="351">
        <f t="shared" ca="1" si="115"/>
        <v>318.8583732057416</v>
      </c>
      <c r="M147" s="351">
        <f t="shared" ca="1" si="115"/>
        <v>318.8583732057416</v>
      </c>
      <c r="N147" s="351">
        <f t="shared" ca="1" si="115"/>
        <v>318.8583732057416</v>
      </c>
      <c r="O147" s="351">
        <f t="shared" ca="1" si="115"/>
        <v>318.8583732057416</v>
      </c>
      <c r="P147" s="496"/>
      <c r="R147" s="347"/>
      <c r="S147" s="11" t="s">
        <v>600</v>
      </c>
      <c r="T147" s="441"/>
      <c r="U147" s="441"/>
      <c r="V147" s="441"/>
      <c r="W147" s="441"/>
      <c r="X147" s="441"/>
      <c r="Y147" s="441"/>
      <c r="Z147" s="441"/>
      <c r="AA147" s="445"/>
      <c r="AB147" s="441"/>
      <c r="AC147" s="11">
        <v>0</v>
      </c>
    </row>
    <row r="148" spans="1:29" ht="15" hidden="1" customHeight="1" outlineLevel="1">
      <c r="B148" s="11"/>
      <c r="C148" s="11" t="str">
        <f t="shared" si="112"/>
        <v>ES_FormAssess</v>
      </c>
      <c r="D148" s="177" t="s">
        <v>570</v>
      </c>
      <c r="E148" s="177"/>
      <c r="F148" s="177"/>
      <c r="G148" s="480"/>
      <c r="H148" s="330"/>
      <c r="I148" s="351">
        <f t="shared" ca="1" si="115"/>
        <v>118</v>
      </c>
      <c r="J148" s="351">
        <f t="shared" ca="1" si="115"/>
        <v>118</v>
      </c>
      <c r="K148" s="351">
        <f t="shared" ca="1" si="115"/>
        <v>118</v>
      </c>
      <c r="L148" s="351">
        <f t="shared" ca="1" si="115"/>
        <v>118</v>
      </c>
      <c r="M148" s="351">
        <f t="shared" ca="1" si="115"/>
        <v>118</v>
      </c>
      <c r="N148" s="351">
        <f t="shared" ca="1" si="115"/>
        <v>118</v>
      </c>
      <c r="O148" s="351">
        <f t="shared" ca="1" si="115"/>
        <v>118</v>
      </c>
      <c r="P148" s="496"/>
      <c r="Q148" s="482"/>
      <c r="R148" s="347"/>
      <c r="S148" s="11" t="s">
        <v>569</v>
      </c>
      <c r="T148" s="441"/>
      <c r="U148" s="441"/>
      <c r="V148" s="441"/>
      <c r="W148" s="441"/>
      <c r="X148" s="441"/>
      <c r="Y148" s="441"/>
      <c r="Z148" s="441"/>
      <c r="AA148" s="445"/>
      <c r="AC148" s="11">
        <v>0</v>
      </c>
    </row>
    <row r="149" spans="1:29" ht="15" customHeight="1" collapsed="1">
      <c r="B149" s="177"/>
      <c r="D149" s="177"/>
      <c r="E149" s="177"/>
      <c r="F149" s="177"/>
      <c r="G149" s="483"/>
      <c r="H149" s="396" t="s">
        <v>338</v>
      </c>
      <c r="I149" s="381">
        <f ca="1">I147+I148</f>
        <v>427.96</v>
      </c>
      <c r="J149" s="381">
        <f t="shared" ref="J149:P149" ca="1" si="116">J147+J148</f>
        <v>436.8583732057416</v>
      </c>
      <c r="K149" s="381">
        <f t="shared" ca="1" si="116"/>
        <v>436.8583732057416</v>
      </c>
      <c r="L149" s="381">
        <f t="shared" ca="1" si="116"/>
        <v>436.8583732057416</v>
      </c>
      <c r="M149" s="381">
        <f t="shared" ca="1" si="116"/>
        <v>436.8583732057416</v>
      </c>
      <c r="N149" s="381">
        <f t="shared" ca="1" si="116"/>
        <v>436.8583732057416</v>
      </c>
      <c r="O149" s="381">
        <f t="shared" ca="1" si="116"/>
        <v>436.8583732057416</v>
      </c>
      <c r="P149" s="447">
        <f t="shared" si="116"/>
        <v>0</v>
      </c>
      <c r="Q149" s="497" t="s">
        <v>581</v>
      </c>
      <c r="R149" s="498">
        <f ca="1">INDEX(INDIRECT($Q$137 &amp; $Q$138), MATCH($Q149, INDIRECT($Q$137 &amp; $Q$139),0), MATCH($R$139, INDIRECT($Q$137 &amp; $Q$140),0))</f>
        <v>0.5482622865666773</v>
      </c>
      <c r="S149" s="498" t="s">
        <v>502</v>
      </c>
      <c r="T149" s="448" t="s">
        <v>419</v>
      </c>
      <c r="U149" s="448">
        <f t="shared" ref="U149:AA149" ca="1" si="117">I149*$H$2*(1+VLOOKUP($T149,$T$137:$AA$139,MATCH(U$4,$T$4:$AA$4,0),0))*(1+U$141*$R149)</f>
        <v>154065.60000000001</v>
      </c>
      <c r="V149" s="448">
        <f t="shared" ca="1" si="117"/>
        <v>166017.100533419</v>
      </c>
      <c r="W149" s="448">
        <f t="shared" ca="1" si="117"/>
        <v>166298.81422128613</v>
      </c>
      <c r="X149" s="448">
        <f t="shared" ca="1" si="117"/>
        <v>163541.32573433724</v>
      </c>
      <c r="Y149" s="448">
        <f t="shared" ca="1" si="117"/>
        <v>174450.71687919233</v>
      </c>
      <c r="Z149" s="448">
        <f t="shared" ca="1" si="117"/>
        <v>178338.54737757836</v>
      </c>
      <c r="AA149" s="475">
        <f t="shared" ca="1" si="117"/>
        <v>182351.7917630091</v>
      </c>
      <c r="AB149" s="441"/>
      <c r="AC149" s="11">
        <v>1</v>
      </c>
    </row>
    <row r="150" spans="1:29" ht="15" hidden="1" customHeight="1" outlineLevel="1">
      <c r="B150" s="177"/>
      <c r="D150" s="177"/>
      <c r="E150" s="177"/>
      <c r="F150" s="177"/>
      <c r="G150" s="480"/>
      <c r="H150" s="389"/>
      <c r="I150" s="351"/>
      <c r="J150" s="351"/>
      <c r="K150" s="351"/>
      <c r="L150" s="351"/>
      <c r="M150" s="351"/>
      <c r="N150" s="351"/>
      <c r="O150" s="351"/>
      <c r="P150" s="440"/>
      <c r="Q150" s="140"/>
      <c r="R150" s="494"/>
      <c r="S150" s="494"/>
      <c r="T150" s="441"/>
      <c r="U150" s="441"/>
      <c r="V150" s="441"/>
      <c r="W150" s="441"/>
      <c r="X150" s="441"/>
      <c r="Y150" s="441"/>
      <c r="Z150" s="441"/>
      <c r="AA150" s="441"/>
      <c r="AB150" s="441"/>
      <c r="AC150" s="11">
        <v>1</v>
      </c>
    </row>
    <row r="151" spans="1:29" ht="15" hidden="1" customHeight="1" outlineLevel="1" thickBot="1">
      <c r="A151" s="499"/>
      <c r="B151" s="177"/>
      <c r="D151" s="177"/>
      <c r="E151" s="177"/>
      <c r="F151" s="177"/>
      <c r="G151" s="480"/>
      <c r="H151" s="389"/>
      <c r="I151" s="351"/>
      <c r="J151" s="351"/>
      <c r="K151" s="351"/>
      <c r="L151" s="351"/>
      <c r="M151" s="351"/>
      <c r="N151" s="351"/>
      <c r="O151" s="351"/>
      <c r="P151" s="440"/>
      <c r="Q151" s="140"/>
      <c r="R151" s="494"/>
      <c r="S151" s="494"/>
      <c r="T151" s="441"/>
      <c r="U151" s="441"/>
      <c r="V151" s="441"/>
      <c r="W151" s="441"/>
      <c r="X151" s="441"/>
      <c r="Y151" s="441"/>
      <c r="Z151" s="441"/>
      <c r="AA151" s="441"/>
      <c r="AB151" s="441"/>
      <c r="AC151" s="11">
        <v>1</v>
      </c>
    </row>
    <row r="152" spans="1:29" ht="15" customHeight="1" collapsed="1">
      <c r="A152" s="499"/>
      <c r="B152" s="486" t="s">
        <v>944</v>
      </c>
      <c r="C152" s="499" t="s">
        <v>185</v>
      </c>
      <c r="D152" s="177"/>
      <c r="E152" s="177"/>
      <c r="F152" s="177"/>
      <c r="G152" s="336" t="s">
        <v>339</v>
      </c>
      <c r="H152" s="387" t="s">
        <v>340</v>
      </c>
      <c r="I152" s="343">
        <f ca="1">IFERROR(INDEX(INDIRECT($B$152 &amp; $B$153), MATCH($C152, INDIRECT($B$139 &amp; $B$154),0), MATCH($G$3, INDIRECT($B$139 &amp; $B$155), 0)),0)</f>
        <v>241.13393122136912</v>
      </c>
      <c r="J152" s="343">
        <f t="shared" ref="J152:O152" ca="1" si="118">IFERROR(INDEX(INDIRECT($B$152 &amp; $B$153), MATCH($C152, INDIRECT($B$139 &amp; $B$154),0), MATCH($G$3, INDIRECT($B$139 &amp; $B$155), 0)),0)</f>
        <v>241.13393122136912</v>
      </c>
      <c r="K152" s="343">
        <f t="shared" ca="1" si="118"/>
        <v>241.13393122136912</v>
      </c>
      <c r="L152" s="343">
        <f t="shared" ca="1" si="118"/>
        <v>241.13393122136912</v>
      </c>
      <c r="M152" s="343">
        <f t="shared" ca="1" si="118"/>
        <v>241.13393122136912</v>
      </c>
      <c r="N152" s="343">
        <f t="shared" ca="1" si="118"/>
        <v>241.13393122136912</v>
      </c>
      <c r="O152" s="343">
        <f t="shared" ca="1" si="118"/>
        <v>241.13393122136912</v>
      </c>
      <c r="P152" s="479"/>
      <c r="Q152" s="470" t="s">
        <v>583</v>
      </c>
      <c r="R152" s="500">
        <f ca="1">INDEX(INDIRECT($S$152 &amp; $S$153), MATCH($Q152, INDIRECT($S$152 &amp; $S$154),0), MATCH($R$139, INDIRECT($S$152 &amp; $S$155),0))</f>
        <v>0.44934091103571139</v>
      </c>
      <c r="S152" s="501" t="s">
        <v>1063</v>
      </c>
      <c r="T152" s="456" t="s">
        <v>419</v>
      </c>
      <c r="U152" s="456">
        <f t="shared" ref="U152:AA155" ca="1" si="119">I152*$H$2*(1+VLOOKUP($T152,$T$137:$AA$139,MATCH(U$4,$T$4:$AA$4,0),0))*(1+U$141*$R152)</f>
        <v>86808.215239692887</v>
      </c>
      <c r="V152" s="456">
        <f t="shared" ca="1" si="119"/>
        <v>91215.334084220565</v>
      </c>
      <c r="W152" s="456">
        <f t="shared" ca="1" si="119"/>
        <v>91792.418985512559</v>
      </c>
      <c r="X152" s="456">
        <f t="shared" ca="1" si="119"/>
        <v>90957.153509179552</v>
      </c>
      <c r="Y152" s="456">
        <f t="shared" ca="1" si="119"/>
        <v>96292.047367155348</v>
      </c>
      <c r="Z152" s="456">
        <f t="shared" ca="1" si="119"/>
        <v>98438.023979938822</v>
      </c>
      <c r="AA152" s="471">
        <f t="shared" ca="1" si="119"/>
        <v>100653.22564474758</v>
      </c>
      <c r="AC152" s="11">
        <v>1</v>
      </c>
    </row>
    <row r="153" spans="1:29" ht="15" customHeight="1">
      <c r="A153" s="499"/>
      <c r="B153" s="499" t="s">
        <v>390</v>
      </c>
      <c r="C153" s="499" t="s">
        <v>183</v>
      </c>
      <c r="D153" s="177"/>
      <c r="E153" s="177"/>
      <c r="F153" s="177"/>
      <c r="G153" s="407"/>
      <c r="H153" s="389" t="s">
        <v>341</v>
      </c>
      <c r="I153" s="351">
        <f t="shared" ref="I153:O155" ca="1" si="120">IFERROR(INDEX(INDIRECT($B$152 &amp; $B$153), MATCH($C153, INDIRECT($B$139 &amp; $B$154),0), MATCH($G$3, INDIRECT($B$139 &amp; $B$155), 0)),0)</f>
        <v>336.67915165033691</v>
      </c>
      <c r="J153" s="351">
        <f t="shared" ca="1" si="120"/>
        <v>336.67915165033691</v>
      </c>
      <c r="K153" s="351">
        <f t="shared" ca="1" si="120"/>
        <v>336.67915165033691</v>
      </c>
      <c r="L153" s="351">
        <f t="shared" ca="1" si="120"/>
        <v>336.67915165033691</v>
      </c>
      <c r="M153" s="351">
        <f t="shared" ca="1" si="120"/>
        <v>336.67915165033691</v>
      </c>
      <c r="N153" s="351">
        <f t="shared" ca="1" si="120"/>
        <v>336.67915165033691</v>
      </c>
      <c r="O153" s="351">
        <f t="shared" ca="1" si="120"/>
        <v>336.67915165033691</v>
      </c>
      <c r="P153" s="435"/>
      <c r="Q153" s="11" t="s">
        <v>585</v>
      </c>
      <c r="R153" s="90">
        <f ca="1">INDEX(INDIRECT($S$152 &amp; $S$153), MATCH($Q153, INDIRECT($S$152 &amp; $S$154),0), MATCH($R$139, INDIRECT($S$152 &amp; $S$155),0))</f>
        <v>0.34884197616934026</v>
      </c>
      <c r="S153" s="494" t="s">
        <v>596</v>
      </c>
      <c r="T153" s="441" t="s">
        <v>419</v>
      </c>
      <c r="U153" s="441">
        <f t="shared" ca="1" si="119"/>
        <v>121204.49459412128</v>
      </c>
      <c r="V153" s="441">
        <f t="shared" ca="1" si="119"/>
        <v>126759.83891800289</v>
      </c>
      <c r="W153" s="441">
        <f t="shared" ca="1" si="119"/>
        <v>128163.60433158277</v>
      </c>
      <c r="X153" s="441">
        <f t="shared" ca="1" si="119"/>
        <v>127971.59484986259</v>
      </c>
      <c r="Y153" s="441">
        <f t="shared" ca="1" si="119"/>
        <v>134446.13395567998</v>
      </c>
      <c r="Z153" s="441">
        <f t="shared" ca="1" si="119"/>
        <v>137442.41731486481</v>
      </c>
      <c r="AA153" s="445">
        <f t="shared" ca="1" si="119"/>
        <v>140535.35497595882</v>
      </c>
      <c r="AC153" s="11">
        <v>1</v>
      </c>
    </row>
    <row r="154" spans="1:29" ht="15" customHeight="1">
      <c r="A154" s="499"/>
      <c r="B154" s="499" t="s">
        <v>391</v>
      </c>
      <c r="C154" s="499" t="s">
        <v>200</v>
      </c>
      <c r="D154" s="177"/>
      <c r="E154" s="177"/>
      <c r="F154" s="177"/>
      <c r="G154" s="407"/>
      <c r="H154" s="389" t="s">
        <v>201</v>
      </c>
      <c r="I154" s="351">
        <f t="shared" ca="1" si="120"/>
        <v>161.18302563299014</v>
      </c>
      <c r="J154" s="351">
        <f t="shared" ca="1" si="120"/>
        <v>161.18302563299014</v>
      </c>
      <c r="K154" s="351">
        <f t="shared" ca="1" si="120"/>
        <v>161.18302563299014</v>
      </c>
      <c r="L154" s="351">
        <f t="shared" ca="1" si="120"/>
        <v>161.18302563299014</v>
      </c>
      <c r="M154" s="351">
        <f t="shared" ca="1" si="120"/>
        <v>161.18302563299014</v>
      </c>
      <c r="N154" s="351">
        <f t="shared" ca="1" si="120"/>
        <v>161.18302563299014</v>
      </c>
      <c r="O154" s="351">
        <f t="shared" ca="1" si="120"/>
        <v>161.18302563299014</v>
      </c>
      <c r="P154" s="435"/>
      <c r="Q154" s="11" t="s">
        <v>587</v>
      </c>
      <c r="R154" s="90">
        <f ca="1">INDEX(INDIRECT($S$152 &amp; $S$153), MATCH($Q154, INDIRECT($S$152 &amp; $S$154),0), MATCH($R$139, INDIRECT($S$152 &amp; $S$155),0))</f>
        <v>0.49499865651105907</v>
      </c>
      <c r="S154" s="494" t="s">
        <v>613</v>
      </c>
      <c r="T154" s="441" t="s">
        <v>419</v>
      </c>
      <c r="U154" s="441">
        <f t="shared" ca="1" si="119"/>
        <v>58025.889227876447</v>
      </c>
      <c r="V154" s="441">
        <f t="shared" ca="1" si="119"/>
        <v>61101.842382948358</v>
      </c>
      <c r="W154" s="441">
        <f t="shared" ca="1" si="119"/>
        <v>61357.519231390877</v>
      </c>
      <c r="X154" s="441">
        <f t="shared" ca="1" si="119"/>
        <v>60587.305872050347</v>
      </c>
      <c r="Y154" s="441">
        <f t="shared" ca="1" si="119"/>
        <v>64365.240762341418</v>
      </c>
      <c r="Z154" s="441">
        <f t="shared" ca="1" si="119"/>
        <v>65799.692569410137</v>
      </c>
      <c r="AA154" s="445">
        <f t="shared" ca="1" si="119"/>
        <v>67280.417015416562</v>
      </c>
      <c r="AC154" s="11">
        <v>1</v>
      </c>
    </row>
    <row r="155" spans="1:29" ht="15" customHeight="1">
      <c r="A155" s="499"/>
      <c r="B155" s="499" t="s">
        <v>392</v>
      </c>
      <c r="C155" s="499" t="s">
        <v>202</v>
      </c>
      <c r="D155" s="177"/>
      <c r="E155" s="177"/>
      <c r="F155" s="177"/>
      <c r="G155" s="411"/>
      <c r="H155" s="396" t="s">
        <v>203</v>
      </c>
      <c r="I155" s="381">
        <f t="shared" ca="1" si="120"/>
        <v>49.729289447245442</v>
      </c>
      <c r="J155" s="381">
        <f t="shared" ca="1" si="120"/>
        <v>49.729289447245442</v>
      </c>
      <c r="K155" s="381">
        <f t="shared" ca="1" si="120"/>
        <v>49.729289447245442</v>
      </c>
      <c r="L155" s="381">
        <f t="shared" ca="1" si="120"/>
        <v>49.729289447245442</v>
      </c>
      <c r="M155" s="381">
        <f t="shared" ca="1" si="120"/>
        <v>49.729289447245442</v>
      </c>
      <c r="N155" s="381">
        <f t="shared" ca="1" si="120"/>
        <v>49.729289447245442</v>
      </c>
      <c r="O155" s="381">
        <f t="shared" ca="1" si="120"/>
        <v>49.729289447245442</v>
      </c>
      <c r="P155" s="474"/>
      <c r="Q155" s="235" t="s">
        <v>202</v>
      </c>
      <c r="R155" s="502">
        <f ca="1">INDEX(INDIRECT($S$152 &amp; $S$153), MATCH($Q155, INDIRECT($S$152 &amp; $S$154),0), MATCH($R$139, INDIRECT($S$152 &amp; $S$155),0))</f>
        <v>0.56046005250737874</v>
      </c>
      <c r="S155" s="498" t="s">
        <v>597</v>
      </c>
      <c r="T155" s="448" t="s">
        <v>419</v>
      </c>
      <c r="U155" s="448">
        <f t="shared" ca="1" si="119"/>
        <v>17902.544201008361</v>
      </c>
      <c r="V155" s="448">
        <f t="shared" ca="1" si="119"/>
        <v>18909.093801018342</v>
      </c>
      <c r="W155" s="448">
        <f t="shared" ca="1" si="119"/>
        <v>18930.441475707401</v>
      </c>
      <c r="X155" s="448">
        <f t="shared" ca="1" si="119"/>
        <v>18599.080768472093</v>
      </c>
      <c r="Y155" s="448">
        <f t="shared" ca="1" si="119"/>
        <v>19858.404293144042</v>
      </c>
      <c r="Z155" s="448">
        <f t="shared" ca="1" si="119"/>
        <v>20300.971175306131</v>
      </c>
      <c r="AA155" s="475">
        <f t="shared" ca="1" si="119"/>
        <v>20757.81440850571</v>
      </c>
      <c r="AC155" s="11">
        <v>1</v>
      </c>
    </row>
    <row r="156" spans="1:29" ht="15" hidden="1" customHeight="1" outlineLevel="1" thickBot="1">
      <c r="A156" s="499"/>
      <c r="B156" s="499"/>
      <c r="C156" s="499"/>
      <c r="D156" s="177"/>
      <c r="E156" s="177"/>
      <c r="F156" s="177"/>
      <c r="G156" s="407"/>
      <c r="H156" s="389"/>
      <c r="I156" s="351"/>
      <c r="J156" s="351"/>
      <c r="K156" s="351"/>
      <c r="L156" s="351"/>
      <c r="M156" s="351"/>
      <c r="N156" s="351"/>
      <c r="O156" s="351"/>
      <c r="P156" s="435"/>
      <c r="Q156" s="482"/>
      <c r="R156" s="482"/>
      <c r="S156" s="482"/>
      <c r="T156" s="482"/>
      <c r="U156" s="503"/>
      <c r="V156" s="504"/>
      <c r="W156" s="504"/>
      <c r="X156" s="504"/>
      <c r="Y156" s="504"/>
      <c r="Z156" s="504"/>
      <c r="AA156" s="504"/>
      <c r="AC156" s="11">
        <v>0</v>
      </c>
    </row>
    <row r="157" spans="1:29" ht="15" customHeight="1" collapsed="1">
      <c r="B157" s="304" t="str">
        <f>'K-12_assumptions'!K5</f>
        <v>Full QEM</v>
      </c>
      <c r="C157" s="304" t="s">
        <v>936</v>
      </c>
      <c r="D157" s="304">
        <v>190</v>
      </c>
      <c r="G157" s="505" t="s">
        <v>604</v>
      </c>
      <c r="H157" s="506" t="s">
        <v>605</v>
      </c>
      <c r="I157" s="455" t="s">
        <v>607</v>
      </c>
      <c r="J157" s="470"/>
      <c r="K157" s="470"/>
      <c r="L157" s="470"/>
      <c r="M157" s="470"/>
      <c r="N157" s="470"/>
      <c r="O157" s="470"/>
      <c r="P157" s="507">
        <f ca="1">(SUM($U$23:$U$35)+$U$63-((SUM(I$23:I$35)+I$63)*U$17))/$H$2/$H$158</f>
        <v>42.564083906310138</v>
      </c>
      <c r="Q157" s="470"/>
      <c r="R157" s="470"/>
      <c r="S157" s="470"/>
      <c r="T157" s="470"/>
      <c r="U157" s="456"/>
      <c r="V157" s="456"/>
      <c r="W157" s="456"/>
      <c r="X157" s="456"/>
      <c r="Y157" s="456"/>
      <c r="Z157" s="456"/>
      <c r="AA157" s="471"/>
    </row>
    <row r="158" spans="1:29" ht="15" customHeight="1">
      <c r="C158" s="304" t="s">
        <v>5</v>
      </c>
      <c r="D158" s="304">
        <v>193</v>
      </c>
      <c r="G158" s="508"/>
      <c r="H158" s="330">
        <f>VLOOKUP($B$157, $C$157:$D$160,2,0)</f>
        <v>193</v>
      </c>
      <c r="I158" s="499" t="s">
        <v>608</v>
      </c>
      <c r="P158" s="509">
        <f ca="1">(SUM($U$68:$U$86)+$U$63-((SUM(I$68:I$86)+I$63)*U$17))/$H$2/$H$158</f>
        <v>11.277791062312701</v>
      </c>
      <c r="U158" s="441"/>
      <c r="V158" s="441"/>
      <c r="W158" s="441"/>
      <c r="X158" s="441"/>
      <c r="Y158" s="441"/>
      <c r="Z158" s="441"/>
      <c r="AA158" s="445"/>
    </row>
    <row r="159" spans="1:29" ht="15" customHeight="1">
      <c r="C159" s="304" t="s">
        <v>4</v>
      </c>
      <c r="D159" s="304">
        <v>190</v>
      </c>
      <c r="G159" s="508"/>
      <c r="H159" s="447"/>
      <c r="I159" s="460" t="s">
        <v>609</v>
      </c>
      <c r="J159" s="235"/>
      <c r="K159" s="235"/>
      <c r="L159" s="235"/>
      <c r="M159" s="235"/>
      <c r="N159" s="235"/>
      <c r="O159" s="235"/>
      <c r="P159" s="510">
        <f ca="1">($U$90-(I$90*U$17))/$H$2/$H$158</f>
        <v>2.8512715399169353</v>
      </c>
      <c r="Q159" s="235"/>
      <c r="R159" s="235"/>
      <c r="S159" s="235"/>
      <c r="T159" s="235"/>
      <c r="U159" s="448"/>
      <c r="V159" s="448"/>
      <c r="W159" s="448"/>
      <c r="X159" s="448"/>
      <c r="Y159" s="448"/>
      <c r="Z159" s="448"/>
      <c r="AA159" s="475"/>
    </row>
    <row r="160" spans="1:29" ht="15" customHeight="1">
      <c r="C160" s="304" t="s">
        <v>129</v>
      </c>
      <c r="D160" s="304">
        <v>190</v>
      </c>
      <c r="G160" s="508"/>
      <c r="H160" s="506" t="s">
        <v>606</v>
      </c>
      <c r="I160" s="455" t="s">
        <v>610</v>
      </c>
      <c r="J160" s="470"/>
      <c r="K160" s="470"/>
      <c r="L160" s="470"/>
      <c r="M160" s="470"/>
      <c r="N160" s="470"/>
      <c r="O160" s="470"/>
      <c r="P160" s="511">
        <f ca="1">SUMIFS(U$140:U$149, $AC$140:$AC$149,1)/$H$2/$H$161</f>
        <v>16.977214658386892</v>
      </c>
      <c r="Q160" s="470"/>
      <c r="R160" s="470"/>
      <c r="S160" s="470"/>
      <c r="T160" s="470"/>
      <c r="U160" s="456"/>
      <c r="V160" s="456"/>
      <c r="W160" s="456"/>
      <c r="X160" s="456"/>
      <c r="Y160" s="456"/>
      <c r="Z160" s="456"/>
      <c r="AA160" s="471"/>
    </row>
    <row r="161" spans="1:29" ht="15" customHeight="1">
      <c r="G161" s="508"/>
      <c r="H161" s="330">
        <v>260</v>
      </c>
      <c r="I161" s="499" t="s">
        <v>611</v>
      </c>
      <c r="P161" s="512">
        <f ca="1">SUMIFS(U$152:U$155, $AC$152:$AC$155,1)/$H$2/$H$161</f>
        <v>3.0335592228920829</v>
      </c>
      <c r="U161" s="441"/>
      <c r="V161" s="441"/>
      <c r="W161" s="441"/>
      <c r="X161" s="441"/>
      <c r="Y161" s="441"/>
      <c r="Z161" s="441"/>
      <c r="AA161" s="445"/>
    </row>
    <row r="162" spans="1:29" ht="15" customHeight="1">
      <c r="G162" s="508"/>
      <c r="H162" s="440"/>
      <c r="I162" s="499" t="s">
        <v>612</v>
      </c>
      <c r="P162" s="509">
        <f ca="1">SUM(P157:P161)</f>
        <v>76.703920389818748</v>
      </c>
      <c r="U162" s="441"/>
      <c r="V162" s="441"/>
      <c r="W162" s="441"/>
      <c r="X162" s="441"/>
      <c r="Y162" s="441"/>
      <c r="Z162" s="441"/>
      <c r="AA162" s="445"/>
    </row>
    <row r="163" spans="1:29" ht="15" hidden="1" customHeight="1" outlineLevel="1">
      <c r="A163" s="499"/>
      <c r="B163" s="499"/>
      <c r="C163" s="499"/>
      <c r="D163" s="177"/>
      <c r="E163" s="177"/>
      <c r="F163" s="177"/>
      <c r="G163" s="407"/>
      <c r="H163" s="389"/>
      <c r="I163" s="351"/>
      <c r="J163" s="351"/>
      <c r="K163" s="351"/>
      <c r="L163" s="351"/>
      <c r="M163" s="351"/>
      <c r="N163" s="351"/>
      <c r="O163" s="351"/>
      <c r="P163" s="435"/>
      <c r="Q163" s="482"/>
      <c r="R163" s="482"/>
      <c r="S163" s="482"/>
      <c r="T163" s="482"/>
      <c r="U163" s="503"/>
      <c r="V163" s="504"/>
      <c r="W163" s="504"/>
      <c r="X163" s="504"/>
      <c r="Y163" s="504"/>
      <c r="Z163" s="504"/>
      <c r="AA163" s="513"/>
      <c r="AC163" s="11">
        <v>0</v>
      </c>
    </row>
    <row r="164" spans="1:29" ht="15" hidden="1" customHeight="1" outlineLevel="1">
      <c r="A164" s="499"/>
      <c r="B164" s="11"/>
      <c r="C164" s="11" t="str">
        <f>LEFT($G$3,1) &amp; "S" &amp; D164</f>
        <v>ES_InstructionDays</v>
      </c>
      <c r="D164" s="177" t="s">
        <v>603</v>
      </c>
      <c r="E164" s="177"/>
      <c r="F164" s="177"/>
      <c r="G164" s="407"/>
      <c r="H164" s="389"/>
      <c r="I164" s="472">
        <f t="shared" ref="I164:O164" ca="1" si="121">INDEX(INDIRECT($B$166 &amp; $B$167), MATCH($C164, INDIRECT($B$166 &amp; $B$168),0), MATCH(I$4, INDIRECT($B$166 &amp; $B$169), 0))</f>
        <v>170</v>
      </c>
      <c r="J164" s="472">
        <f t="shared" ca="1" si="121"/>
        <v>170</v>
      </c>
      <c r="K164" s="472">
        <f t="shared" ca="1" si="121"/>
        <v>170</v>
      </c>
      <c r="L164" s="472">
        <f t="shared" ca="1" si="121"/>
        <v>170</v>
      </c>
      <c r="M164" s="472">
        <f t="shared" ca="1" si="121"/>
        <v>170</v>
      </c>
      <c r="N164" s="472">
        <f t="shared" ca="1" si="121"/>
        <v>170</v>
      </c>
      <c r="O164" s="472">
        <f t="shared" ca="1" si="121"/>
        <v>170</v>
      </c>
      <c r="P164" s="496"/>
      <c r="Q164" s="482"/>
      <c r="R164" s="482"/>
      <c r="S164" s="482"/>
      <c r="T164" s="482"/>
      <c r="U164" s="503"/>
      <c r="V164" s="504"/>
      <c r="W164" s="504"/>
      <c r="X164" s="504"/>
      <c r="Y164" s="504"/>
      <c r="Z164" s="504"/>
      <c r="AA164" s="513"/>
      <c r="AC164" s="11">
        <v>0</v>
      </c>
    </row>
    <row r="165" spans="1:29" ht="15" hidden="1" customHeight="1" outlineLevel="1" thickBot="1">
      <c r="A165" s="499"/>
      <c r="B165" s="177"/>
      <c r="C165" s="11" t="str">
        <f>LEFT($G$3,1) &amp; "S" &amp; D165</f>
        <v>ES_InstructionDays</v>
      </c>
      <c r="D165" s="177" t="s">
        <v>603</v>
      </c>
      <c r="E165" s="177" t="s">
        <v>8</v>
      </c>
      <c r="F165" s="177"/>
      <c r="G165" s="407"/>
      <c r="H165" s="389"/>
      <c r="I165" s="472">
        <f ca="1">INDEX(INDIRECT($B$166 &amp; $B$167), MATCH($C165, INDIRECT($B$166 &amp; $B$168),0), MATCH($E$165, INDIRECT($B$166 &amp; $B$169), 0))</f>
        <v>170</v>
      </c>
      <c r="J165" s="472">
        <f t="shared" ref="J165:O165" ca="1" si="122">INDEX(INDIRECT($B$166 &amp; $B$167), MATCH($C165, INDIRECT($B$166 &amp; $B$168),0), MATCH($E$165, INDIRECT($B$166 &amp; $B$169), 0))</f>
        <v>170</v>
      </c>
      <c r="K165" s="472">
        <f t="shared" ca="1" si="122"/>
        <v>170</v>
      </c>
      <c r="L165" s="472">
        <f t="shared" ca="1" si="122"/>
        <v>170</v>
      </c>
      <c r="M165" s="472">
        <f t="shared" ca="1" si="122"/>
        <v>170</v>
      </c>
      <c r="N165" s="472">
        <f t="shared" ca="1" si="122"/>
        <v>170</v>
      </c>
      <c r="O165" s="472">
        <f t="shared" ca="1" si="122"/>
        <v>170</v>
      </c>
      <c r="P165" s="496"/>
      <c r="Q165" s="482"/>
      <c r="R165" s="482"/>
      <c r="S165" s="482"/>
      <c r="T165" s="482"/>
      <c r="U165" s="503"/>
      <c r="V165" s="504"/>
      <c r="W165" s="504"/>
      <c r="X165" s="504"/>
      <c r="Y165" s="504"/>
      <c r="Z165" s="504"/>
      <c r="AA165" s="513"/>
      <c r="AC165" s="11">
        <v>0</v>
      </c>
    </row>
    <row r="166" spans="1:29" ht="15" customHeight="1" collapsed="1">
      <c r="A166" s="499"/>
      <c r="B166" s="177" t="s">
        <v>385</v>
      </c>
      <c r="C166" s="11"/>
      <c r="D166" s="177"/>
      <c r="E166" s="177"/>
      <c r="F166" s="177"/>
      <c r="G166" s="416" t="s">
        <v>342</v>
      </c>
      <c r="H166" s="514"/>
      <c r="I166" s="515">
        <f ca="1">I164-I165</f>
        <v>0</v>
      </c>
      <c r="J166" s="515">
        <f t="shared" ref="J166:O166" ca="1" si="123">J164-J165</f>
        <v>0</v>
      </c>
      <c r="K166" s="515">
        <f t="shared" ca="1" si="123"/>
        <v>0</v>
      </c>
      <c r="L166" s="515">
        <f t="shared" ca="1" si="123"/>
        <v>0</v>
      </c>
      <c r="M166" s="515">
        <f t="shared" ca="1" si="123"/>
        <v>0</v>
      </c>
      <c r="N166" s="515">
        <f t="shared" ca="1" si="123"/>
        <v>0</v>
      </c>
      <c r="O166" s="515">
        <f t="shared" ca="1" si="123"/>
        <v>0</v>
      </c>
      <c r="P166" s="516"/>
      <c r="Q166" s="517"/>
      <c r="R166" s="517"/>
      <c r="S166" s="517"/>
      <c r="T166" s="517"/>
      <c r="U166" s="518">
        <f t="shared" ref="U166:AA166" ca="1" si="124">I$166*$P$162 * $H$2</f>
        <v>0</v>
      </c>
      <c r="V166" s="518">
        <f t="shared" ca="1" si="124"/>
        <v>0</v>
      </c>
      <c r="W166" s="518">
        <f t="shared" ca="1" si="124"/>
        <v>0</v>
      </c>
      <c r="X166" s="518">
        <f t="shared" ca="1" si="124"/>
        <v>0</v>
      </c>
      <c r="Y166" s="518">
        <f t="shared" ca="1" si="124"/>
        <v>0</v>
      </c>
      <c r="Z166" s="518">
        <f t="shared" ca="1" si="124"/>
        <v>0</v>
      </c>
      <c r="AA166" s="519">
        <f t="shared" ca="1" si="124"/>
        <v>0</v>
      </c>
      <c r="AC166" s="11">
        <v>1</v>
      </c>
    </row>
    <row r="167" spans="1:29" ht="15" hidden="1" customHeight="1" outlineLevel="1" thickBot="1">
      <c r="A167" s="499"/>
      <c r="B167" s="177" t="s">
        <v>414</v>
      </c>
      <c r="C167" s="11"/>
      <c r="D167" s="177"/>
      <c r="E167" s="177"/>
      <c r="F167" s="177"/>
      <c r="G167" s="345"/>
      <c r="H167" s="389"/>
      <c r="I167" s="520"/>
      <c r="J167" s="520"/>
      <c r="K167" s="520"/>
      <c r="L167" s="520"/>
      <c r="M167" s="520"/>
      <c r="N167" s="520"/>
      <c r="O167" s="520"/>
      <c r="P167" s="521"/>
      <c r="Q167" s="520"/>
      <c r="R167" s="520"/>
      <c r="S167" s="520"/>
      <c r="T167" s="520"/>
      <c r="U167" s="504"/>
      <c r="V167" s="504"/>
      <c r="W167" s="504"/>
      <c r="X167" s="504"/>
      <c r="Y167" s="504"/>
      <c r="Z167" s="504"/>
      <c r="AA167" s="504"/>
      <c r="AC167" s="11">
        <v>0</v>
      </c>
    </row>
    <row r="168" spans="1:29" ht="15" customHeight="1" collapsed="1">
      <c r="A168" s="499" t="str">
        <f>G168</f>
        <v>Total School Cost</v>
      </c>
      <c r="B168" s="11" t="s">
        <v>415</v>
      </c>
      <c r="C168" s="11"/>
      <c r="D168" s="11"/>
      <c r="E168" s="11"/>
      <c r="F168" s="11"/>
      <c r="G168" s="522" t="s">
        <v>343</v>
      </c>
      <c r="H168" s="516"/>
      <c r="I168" s="421"/>
      <c r="J168" s="421"/>
      <c r="K168" s="421"/>
      <c r="L168" s="421"/>
      <c r="M168" s="421"/>
      <c r="N168" s="421"/>
      <c r="O168" s="421"/>
      <c r="P168" s="516"/>
      <c r="Q168" s="517"/>
      <c r="R168" s="517"/>
      <c r="S168" s="517"/>
      <c r="T168" s="517"/>
      <c r="U168" s="523">
        <f ca="1">SUMIFS(U$23:U$167, $AC$23:$AC$167, 1)</f>
        <v>7118603.2264792658</v>
      </c>
      <c r="V168" s="523">
        <f ca="1">SUMIFS(V$23:V$167, $AC$23:$AC$167, 1)</f>
        <v>7521389.9313554466</v>
      </c>
      <c r="W168" s="523">
        <f ca="1">SUMIFS(W$23:W$167, $AC$23:$AC$167, 1)</f>
        <v>7855248.0164911048</v>
      </c>
      <c r="X168" s="523">
        <f ca="1">SUMIFS(X$23:X$167, $AC$23:$AC$167, 1)</f>
        <v>9062831.9913049247</v>
      </c>
      <c r="Y168" s="523">
        <f ca="1">SUMIFS(Y$23:Y$167, $AC$23:$AC$167, 1)</f>
        <v>9438954.2709791549</v>
      </c>
      <c r="Z168" s="523">
        <f t="shared" ref="Z168:AA168" ca="1" si="125">SUMIFS(Z$23:Z$167, $AC$23:$AC$167, 1)</f>
        <v>8567167.255592851</v>
      </c>
      <c r="AA168" s="524">
        <f t="shared" ca="1" si="125"/>
        <v>8872744.8920527287</v>
      </c>
    </row>
    <row r="169" spans="1:29" ht="15" customHeight="1">
      <c r="A169" s="499" t="str">
        <f>G169</f>
        <v>School Cost Per Pupil</v>
      </c>
      <c r="B169" s="11" t="s">
        <v>416</v>
      </c>
      <c r="C169" s="11"/>
      <c r="D169" s="11"/>
      <c r="E169" s="11"/>
      <c r="F169" s="11"/>
      <c r="G169" s="522" t="s">
        <v>344</v>
      </c>
      <c r="H169" s="516"/>
      <c r="I169" s="421"/>
      <c r="J169" s="421"/>
      <c r="K169" s="421"/>
      <c r="L169" s="421"/>
      <c r="M169" s="421"/>
      <c r="N169" s="421"/>
      <c r="O169" s="421"/>
      <c r="P169" s="516"/>
      <c r="Q169" s="517"/>
      <c r="R169" s="517"/>
      <c r="S169" s="517"/>
      <c r="T169" s="517"/>
      <c r="U169" s="525">
        <f t="shared" ref="U169:AA169" ca="1" si="126">U168/$H$2</f>
        <v>19773.897851331294</v>
      </c>
      <c r="V169" s="525">
        <f t="shared" ca="1" si="126"/>
        <v>20892.749809320685</v>
      </c>
      <c r="W169" s="525">
        <f t="shared" ca="1" si="126"/>
        <v>21820.133379141957</v>
      </c>
      <c r="X169" s="525">
        <f t="shared" ca="1" si="126"/>
        <v>25174.533309180348</v>
      </c>
      <c r="Y169" s="525">
        <f t="shared" ca="1" si="126"/>
        <v>26219.317419386542</v>
      </c>
      <c r="Z169" s="525">
        <f t="shared" ca="1" si="126"/>
        <v>23797.686821091254</v>
      </c>
      <c r="AA169" s="526">
        <f t="shared" ca="1" si="126"/>
        <v>24646.513589035356</v>
      </c>
    </row>
    <row r="170" spans="1:29" ht="15" hidden="1" customHeight="1" outlineLevel="1" thickBot="1">
      <c r="A170" s="527"/>
      <c r="B170" s="527"/>
      <c r="C170" s="527"/>
      <c r="D170" s="527"/>
      <c r="E170" s="527"/>
      <c r="F170" s="527"/>
      <c r="G170" s="345"/>
      <c r="H170" s="345"/>
      <c r="I170" s="527"/>
      <c r="J170" s="527"/>
      <c r="K170" s="527"/>
      <c r="L170" s="527"/>
      <c r="M170" s="527"/>
      <c r="N170" s="527"/>
      <c r="O170" s="527"/>
      <c r="P170" s="345"/>
      <c r="Q170" s="527"/>
      <c r="R170" s="527"/>
      <c r="S170" s="527"/>
      <c r="T170" s="365" t="s">
        <v>598</v>
      </c>
      <c r="U170" s="347">
        <f ca="1">INDEX(INDIRECT($S$146 &amp; $S$147), MATCH($T170, INDIRECT($S$146 &amp; $S$148),0), MATCH(U$4, INDIRECT($S$146 &amp; $S$149),0))</f>
        <v>0</v>
      </c>
      <c r="V170" s="347">
        <f t="shared" ref="V170:AA170" ca="1" si="127">INDEX(INDIRECT($S$146 &amp; $S$147), MATCH($T170, INDIRECT($S$146 &amp; $S$148),0), MATCH(V$4, INDIRECT($S$146 &amp; $S$149),0))</f>
        <v>4.7724750277469585E-2</v>
      </c>
      <c r="W170" s="347">
        <f t="shared" ca="1" si="127"/>
        <v>0</v>
      </c>
      <c r="X170" s="347">
        <f t="shared" ca="1" si="127"/>
        <v>-7.3799435028248705E-2</v>
      </c>
      <c r="Y170" s="347">
        <f t="shared" ca="1" si="127"/>
        <v>0</v>
      </c>
      <c r="Z170" s="347">
        <f t="shared" ca="1" si="127"/>
        <v>0</v>
      </c>
      <c r="AA170" s="347">
        <f t="shared" ca="1" si="127"/>
        <v>0</v>
      </c>
      <c r="AB170" s="527"/>
    </row>
    <row r="171" spans="1:29" ht="15" customHeight="1" collapsed="1">
      <c r="A171" s="527"/>
      <c r="B171" s="177"/>
      <c r="C171" s="10" t="s">
        <v>123</v>
      </c>
      <c r="D171" s="177"/>
      <c r="E171" s="177"/>
      <c r="F171" s="177"/>
      <c r="G171" s="336" t="s">
        <v>345</v>
      </c>
      <c r="H171" s="387" t="s">
        <v>213</v>
      </c>
      <c r="I171" s="343">
        <f t="shared" ref="I171:O175" ca="1" si="128">INDEX(INDIRECT($B$166 &amp; $B$167), MATCH($C171, INDIRECT($B$166 &amp; $B$168),0), MATCH(I$4, INDIRECT($B$166 &amp; $B$169),0))</f>
        <v>561.69148625945911</v>
      </c>
      <c r="J171" s="343">
        <f t="shared" ca="1" si="128"/>
        <v>577.81660069752968</v>
      </c>
      <c r="K171" s="343">
        <f t="shared" ca="1" si="128"/>
        <v>577.81660069752968</v>
      </c>
      <c r="L171" s="343">
        <f t="shared" ca="1" si="128"/>
        <v>577.81660069752968</v>
      </c>
      <c r="M171" s="343">
        <f t="shared" ca="1" si="128"/>
        <v>577.81660069752968</v>
      </c>
      <c r="N171" s="343">
        <f t="shared" ca="1" si="128"/>
        <v>577.81660069752968</v>
      </c>
      <c r="O171" s="343">
        <f t="shared" ca="1" si="128"/>
        <v>577.81660069752968</v>
      </c>
      <c r="P171" s="479"/>
      <c r="Q171" s="528" t="s">
        <v>123</v>
      </c>
      <c r="R171" s="453">
        <f ca="1">INDEX(INDIRECT($S$171 &amp; $S$172), MATCH($Q171, INDIRECT($S$171 &amp; $S$173),0), MATCH($R$139, INDIRECT($S$171 &amp; $S$174),0))</f>
        <v>0.5056927606954541</v>
      </c>
      <c r="S171" s="529" t="s">
        <v>1063</v>
      </c>
      <c r="T171" s="530" t="s">
        <v>568</v>
      </c>
      <c r="U171" s="456">
        <f t="shared" ref="U171:AA175" ca="1" si="129">I171*$H$2*(1+VLOOKUP($T171,$T$137:$AA$139,MATCH(U$4,$T$4:$AA$4,0),0))*(1+U$141*$R171)</f>
        <v>213132.76661656421</v>
      </c>
      <c r="V171" s="456">
        <f t="shared" ca="1" si="129"/>
        <v>236673.20222971236</v>
      </c>
      <c r="W171" s="456">
        <f t="shared" ca="1" si="129"/>
        <v>243580.29785983157</v>
      </c>
      <c r="X171" s="456">
        <f t="shared" ca="1" si="129"/>
        <v>247157.65108503605</v>
      </c>
      <c r="Y171" s="456">
        <f t="shared" ca="1" si="129"/>
        <v>270608.80171236611</v>
      </c>
      <c r="Z171" s="456">
        <f t="shared" ca="1" si="129"/>
        <v>285227.76485874451</v>
      </c>
      <c r="AA171" s="471">
        <f t="shared" ca="1" si="129"/>
        <v>300636.48089609621</v>
      </c>
    </row>
    <row r="172" spans="1:29" ht="15" customHeight="1">
      <c r="A172" s="527"/>
      <c r="B172" s="177"/>
      <c r="C172" s="10" t="s">
        <v>124</v>
      </c>
      <c r="D172" s="177"/>
      <c r="E172" s="177"/>
      <c r="F172" s="177"/>
      <c r="G172" s="345"/>
      <c r="H172" s="389" t="s">
        <v>214</v>
      </c>
      <c r="I172" s="351">
        <f t="shared" ca="1" si="128"/>
        <v>269.59081319019515</v>
      </c>
      <c r="J172" s="351">
        <f t="shared" ca="1" si="128"/>
        <v>279.29608246504216</v>
      </c>
      <c r="K172" s="351">
        <f t="shared" ca="1" si="128"/>
        <v>279.29608246504216</v>
      </c>
      <c r="L172" s="351">
        <f t="shared" ca="1" si="128"/>
        <v>279.29608246504216</v>
      </c>
      <c r="M172" s="351">
        <f t="shared" ca="1" si="128"/>
        <v>279.29608246504216</v>
      </c>
      <c r="N172" s="351">
        <f t="shared" ca="1" si="128"/>
        <v>279.29608246504216</v>
      </c>
      <c r="O172" s="351">
        <f t="shared" ca="1" si="128"/>
        <v>279.29608246504216</v>
      </c>
      <c r="P172" s="435"/>
      <c r="Q172" s="10" t="s">
        <v>590</v>
      </c>
      <c r="R172" s="402">
        <f ca="1">INDEX(INDIRECT($S$171 &amp; $S$172), MATCH($Q172, INDIRECT($S$171 &amp; $S$173),0), MATCH($R$139, INDIRECT($S$171 &amp; $S$174),0))</f>
        <v>0.39705621942378394</v>
      </c>
      <c r="S172" s="423" t="s">
        <v>596</v>
      </c>
      <c r="T172" s="423" t="s">
        <v>419</v>
      </c>
      <c r="U172" s="441">
        <f t="shared" ca="1" si="129"/>
        <v>97052.692748470261</v>
      </c>
      <c r="V172" s="441">
        <f t="shared" ca="1" si="129"/>
        <v>105393.0906607927</v>
      </c>
      <c r="W172" s="441">
        <f t="shared" ca="1" si="129"/>
        <v>106319.59962162082</v>
      </c>
      <c r="X172" s="441">
        <f t="shared" ca="1" si="129"/>
        <v>105772.59642478262</v>
      </c>
      <c r="Y172" s="441">
        <f t="shared" ca="1" si="129"/>
        <v>111531.34470111206</v>
      </c>
      <c r="Z172" s="441">
        <f t="shared" ca="1" si="129"/>
        <v>114016.94620056171</v>
      </c>
      <c r="AA172" s="445">
        <f t="shared" ca="1" si="129"/>
        <v>116582.72839354201</v>
      </c>
    </row>
    <row r="173" spans="1:29" ht="15" customHeight="1">
      <c r="A173" s="527"/>
      <c r="B173" s="177"/>
      <c r="C173" s="10" t="s">
        <v>125</v>
      </c>
      <c r="D173" s="177"/>
      <c r="E173" s="177"/>
      <c r="F173" s="177"/>
      <c r="G173" s="345"/>
      <c r="H173" s="389" t="s">
        <v>215</v>
      </c>
      <c r="I173" s="351">
        <f t="shared" ca="1" si="128"/>
        <v>92.31574193489989</v>
      </c>
      <c r="J173" s="351">
        <f t="shared" ca="1" si="128"/>
        <v>94.965954622026203</v>
      </c>
      <c r="K173" s="351">
        <f t="shared" ca="1" si="128"/>
        <v>94.965954622026203</v>
      </c>
      <c r="L173" s="351">
        <f t="shared" ca="1" si="128"/>
        <v>94.965954622026203</v>
      </c>
      <c r="M173" s="351">
        <f t="shared" ca="1" si="128"/>
        <v>94.965954622026203</v>
      </c>
      <c r="N173" s="351">
        <f t="shared" ca="1" si="128"/>
        <v>94.965954622026203</v>
      </c>
      <c r="O173" s="351">
        <f t="shared" ca="1" si="128"/>
        <v>94.965954622026203</v>
      </c>
      <c r="P173" s="435"/>
      <c r="Q173" s="10" t="s">
        <v>592</v>
      </c>
      <c r="R173" s="402">
        <f ca="1">INDEX(INDIRECT($S$171 &amp; $S$172), MATCH($Q173, INDIRECT($S$171 &amp; $S$173),0), MATCH($R$139, INDIRECT($S$171 &amp; $S$174),0))</f>
        <v>0.36106412342112754</v>
      </c>
      <c r="S173" s="423" t="s">
        <v>613</v>
      </c>
      <c r="T173" s="423" t="s">
        <v>419</v>
      </c>
      <c r="U173" s="441">
        <f t="shared" ca="1" si="129"/>
        <v>33233.667096563957</v>
      </c>
      <c r="V173" s="441">
        <f t="shared" ca="1" si="129"/>
        <v>35775.23509351071</v>
      </c>
      <c r="W173" s="441">
        <f t="shared" ca="1" si="129"/>
        <v>36150.676314489967</v>
      </c>
      <c r="X173" s="441">
        <f t="shared" ca="1" si="129"/>
        <v>36063.097888248543</v>
      </c>
      <c r="Y173" s="441">
        <f t="shared" ca="1" si="129"/>
        <v>37922.768290690459</v>
      </c>
      <c r="Z173" s="441">
        <f t="shared" ca="1" si="129"/>
        <v>38767.919848570695</v>
      </c>
      <c r="AA173" s="445">
        <f t="shared" ca="1" si="129"/>
        <v>39640.334359930937</v>
      </c>
    </row>
    <row r="174" spans="1:29" ht="15" customHeight="1">
      <c r="A174" s="527"/>
      <c r="B174" s="177"/>
      <c r="C174" s="10" t="s">
        <v>126</v>
      </c>
      <c r="D174" s="177"/>
      <c r="E174" s="177"/>
      <c r="F174" s="177"/>
      <c r="G174" s="345"/>
      <c r="H174" s="389" t="s">
        <v>216</v>
      </c>
      <c r="I174" s="351">
        <f t="shared" ca="1" si="128"/>
        <v>71.20107681306348</v>
      </c>
      <c r="J174" s="351">
        <f t="shared" ca="1" si="128"/>
        <v>71.20107681306348</v>
      </c>
      <c r="K174" s="351">
        <f t="shared" ca="1" si="128"/>
        <v>71.20107681306348</v>
      </c>
      <c r="L174" s="351">
        <f t="shared" ca="1" si="128"/>
        <v>71.20107681306348</v>
      </c>
      <c r="M174" s="351">
        <f t="shared" ca="1" si="128"/>
        <v>71.20107681306348</v>
      </c>
      <c r="N174" s="351">
        <f t="shared" ca="1" si="128"/>
        <v>71.20107681306348</v>
      </c>
      <c r="O174" s="351">
        <f t="shared" ca="1" si="128"/>
        <v>71.20107681306348</v>
      </c>
      <c r="P174" s="435"/>
      <c r="Q174" s="10" t="s">
        <v>594</v>
      </c>
      <c r="R174" s="402">
        <f ca="1">INDEX(INDIRECT($S$171 &amp; $S$172), MATCH($Q174, INDIRECT($S$171 &amp; $S$173),0), MATCH($R$139, INDIRECT($S$171 &amp; $S$174),0))</f>
        <v>0.3610308294638373</v>
      </c>
      <c r="S174" s="423" t="s">
        <v>597</v>
      </c>
      <c r="T174" s="423" t="s">
        <v>419</v>
      </c>
      <c r="U174" s="441">
        <f t="shared" ca="1" si="129"/>
        <v>25632.387652702851</v>
      </c>
      <c r="V174" s="441">
        <f t="shared" ca="1" si="129"/>
        <v>26822.573344103836</v>
      </c>
      <c r="W174" s="441">
        <f t="shared" ca="1" si="129"/>
        <v>27104.10369017861</v>
      </c>
      <c r="X174" s="441">
        <f t="shared" ca="1" si="129"/>
        <v>27038.509694386525</v>
      </c>
      <c r="Y174" s="441">
        <f t="shared" ca="1" si="129"/>
        <v>28432.7362240109</v>
      </c>
      <c r="Z174" s="441">
        <f t="shared" ca="1" si="129"/>
        <v>29066.391740146297</v>
      </c>
      <c r="AA174" s="445">
        <f t="shared" ca="1" si="129"/>
        <v>29720.487756802191</v>
      </c>
    </row>
    <row r="175" spans="1:29" ht="15" customHeight="1">
      <c r="A175" s="527"/>
      <c r="B175" s="177"/>
      <c r="C175" s="10" t="s">
        <v>127</v>
      </c>
      <c r="D175" s="177"/>
      <c r="E175" s="177"/>
      <c r="F175" s="177"/>
      <c r="G175" s="356"/>
      <c r="H175" s="396" t="s">
        <v>217</v>
      </c>
      <c r="I175" s="381">
        <f t="shared" ca="1" si="128"/>
        <v>144.06795322060901</v>
      </c>
      <c r="J175" s="381">
        <f t="shared" ca="1" si="128"/>
        <v>144.58708149915898</v>
      </c>
      <c r="K175" s="381">
        <f t="shared" ca="1" si="128"/>
        <v>144.58708149915898</v>
      </c>
      <c r="L175" s="381">
        <f t="shared" ca="1" si="128"/>
        <v>144.58708149915898</v>
      </c>
      <c r="M175" s="381">
        <f t="shared" ca="1" si="128"/>
        <v>144.58708149915898</v>
      </c>
      <c r="N175" s="381">
        <f t="shared" ca="1" si="128"/>
        <v>144.58708149915898</v>
      </c>
      <c r="O175" s="381">
        <f t="shared" ca="1" si="128"/>
        <v>144.58708149915898</v>
      </c>
      <c r="P175" s="474"/>
      <c r="Q175" s="84" t="s">
        <v>127</v>
      </c>
      <c r="R175" s="458">
        <f ca="1">INDEX(INDIRECT($S$171 &amp; $S$172), MATCH($Q175, INDIRECT($S$171 &amp; $S$173),0), MATCH($R$139, INDIRECT($S$171 &amp; $S$174),0))</f>
        <v>0.43986958249734731</v>
      </c>
      <c r="S175" s="484"/>
      <c r="T175" s="484" t="s">
        <v>419</v>
      </c>
      <c r="U175" s="448">
        <f t="shared" ca="1" si="129"/>
        <v>51864.463159419247</v>
      </c>
      <c r="V175" s="448">
        <f t="shared" ca="1" si="129"/>
        <v>54669.712320498977</v>
      </c>
      <c r="W175" s="448">
        <f t="shared" ca="1" si="129"/>
        <v>55039.94356015831</v>
      </c>
      <c r="X175" s="448">
        <f t="shared" ca="1" si="129"/>
        <v>54578.536567625692</v>
      </c>
      <c r="Y175" s="448">
        <f t="shared" ca="1" si="129"/>
        <v>57737.980009185689</v>
      </c>
      <c r="Z175" s="448">
        <f t="shared" ca="1" si="129"/>
        <v>59024.735854106431</v>
      </c>
      <c r="AA175" s="475">
        <f t="shared" ca="1" si="129"/>
        <v>60352.999952089143</v>
      </c>
    </row>
    <row r="176" spans="1:29" ht="15" hidden="1" customHeight="1" outlineLevel="1" thickBot="1">
      <c r="A176" s="527"/>
      <c r="B176" s="177"/>
      <c r="C176" s="10"/>
      <c r="D176" s="177"/>
      <c r="E176" s="177"/>
      <c r="F176" s="177"/>
      <c r="G176" s="345"/>
      <c r="H176" s="345"/>
      <c r="I176" s="527"/>
      <c r="J176" s="527"/>
      <c r="K176" s="527"/>
      <c r="L176" s="527"/>
      <c r="M176" s="527"/>
      <c r="N176" s="527"/>
      <c r="O176" s="527"/>
      <c r="P176" s="345"/>
      <c r="Q176" s="527"/>
      <c r="R176" s="527"/>
      <c r="S176" s="527"/>
      <c r="T176" s="527"/>
      <c r="U176" s="527"/>
      <c r="V176" s="527"/>
      <c r="W176" s="527"/>
      <c r="X176" s="527"/>
      <c r="Y176" s="527"/>
      <c r="Z176" s="527"/>
      <c r="AA176" s="527"/>
      <c r="AB176" s="527"/>
    </row>
    <row r="177" spans="1:28" ht="15" customHeight="1" collapsed="1">
      <c r="A177" s="531" t="str">
        <f>G177</f>
        <v>Total Cost</v>
      </c>
      <c r="B177" s="177"/>
      <c r="C177" s="10"/>
      <c r="D177" s="177"/>
      <c r="E177" s="177"/>
      <c r="F177" s="177"/>
      <c r="G177" s="532" t="s">
        <v>346</v>
      </c>
      <c r="H177" s="516"/>
      <c r="I177" s="421"/>
      <c r="J177" s="421"/>
      <c r="K177" s="421"/>
      <c r="L177" s="421"/>
      <c r="M177" s="421"/>
      <c r="N177" s="421"/>
      <c r="O177" s="421"/>
      <c r="P177" s="516"/>
      <c r="Q177" s="533"/>
      <c r="R177" s="533"/>
      <c r="S177" s="533"/>
      <c r="T177" s="533"/>
      <c r="U177" s="523">
        <f ca="1">U168+SUM(U171:U175)</f>
        <v>7539519.2037529862</v>
      </c>
      <c r="V177" s="523">
        <f t="shared" ref="V177:AA177" ca="1" si="130">V168+SUM(V171:V175)</f>
        <v>7980723.7450040653</v>
      </c>
      <c r="W177" s="523">
        <f t="shared" ca="1" si="130"/>
        <v>8323442.6375373844</v>
      </c>
      <c r="X177" s="523">
        <f t="shared" ca="1" si="130"/>
        <v>9533442.3829650041</v>
      </c>
      <c r="Y177" s="523">
        <f t="shared" ca="1" si="130"/>
        <v>9945187.9019165207</v>
      </c>
      <c r="Z177" s="523">
        <f t="shared" ca="1" si="130"/>
        <v>9093271.0140949804</v>
      </c>
      <c r="AA177" s="524">
        <f t="shared" ca="1" si="130"/>
        <v>9419677.9234111886</v>
      </c>
      <c r="AB177" s="527"/>
    </row>
    <row r="178" spans="1:28" ht="15" customHeight="1">
      <c r="A178" s="531" t="str">
        <f>G178</f>
        <v>Total Cost per Pupil</v>
      </c>
      <c r="B178" s="177"/>
      <c r="C178" s="10"/>
      <c r="D178" s="177"/>
      <c r="E178" s="177"/>
      <c r="F178" s="177"/>
      <c r="G178" s="532" t="s">
        <v>347</v>
      </c>
      <c r="H178" s="516"/>
      <c r="I178" s="421"/>
      <c r="J178" s="421"/>
      <c r="K178" s="421"/>
      <c r="L178" s="421"/>
      <c r="M178" s="421"/>
      <c r="N178" s="421"/>
      <c r="O178" s="421"/>
      <c r="P178" s="516"/>
      <c r="Q178" s="533"/>
      <c r="R178" s="533"/>
      <c r="S178" s="533"/>
      <c r="T178" s="533"/>
      <c r="U178" s="525">
        <f t="shared" ref="U178:AA178" ca="1" si="131">U177/$H$2</f>
        <v>20943.108899313851</v>
      </c>
      <c r="V178" s="525">
        <f t="shared" ca="1" si="131"/>
        <v>22168.677069455738</v>
      </c>
      <c r="W178" s="525">
        <f t="shared" ca="1" si="131"/>
        <v>23120.673993159402</v>
      </c>
      <c r="X178" s="525">
        <f t="shared" ca="1" si="131"/>
        <v>26481.784397125011</v>
      </c>
      <c r="Y178" s="525">
        <f t="shared" ca="1" si="131"/>
        <v>27625.521949768114</v>
      </c>
      <c r="Z178" s="525">
        <f t="shared" ca="1" si="131"/>
        <v>25259.086150263836</v>
      </c>
      <c r="AA178" s="526">
        <f t="shared" ca="1" si="131"/>
        <v>26165.772009475524</v>
      </c>
      <c r="AB178" s="527"/>
    </row>
    <row r="179" spans="1:28" ht="15" customHeight="1">
      <c r="A179" s="11" t="s">
        <v>663</v>
      </c>
      <c r="G179" s="534" t="s">
        <v>1115</v>
      </c>
      <c r="H179" s="535"/>
      <c r="I179" s="536">
        <f ca="1">U179</f>
        <v>1169.2110479825569</v>
      </c>
      <c r="J179" s="536">
        <f ca="1">V179</f>
        <v>1275.9272601350531</v>
      </c>
      <c r="K179" s="536">
        <f ca="1">W179</f>
        <v>1300.5406140174455</v>
      </c>
      <c r="L179" s="536">
        <f ca="1">X179</f>
        <v>1307.2510879446636</v>
      </c>
      <c r="M179" s="536">
        <f ca="1">Y179</f>
        <v>1406.2045303815721</v>
      </c>
      <c r="N179" s="536">
        <f t="shared" ref="N179:O179" ca="1" si="132">Z179</f>
        <v>1461.3993291725819</v>
      </c>
      <c r="O179" s="536">
        <f t="shared" ca="1" si="132"/>
        <v>1519.2584204401683</v>
      </c>
      <c r="P179" s="535"/>
      <c r="Q179" s="515"/>
      <c r="R179" s="515"/>
      <c r="S179" s="515"/>
      <c r="T179" s="515"/>
      <c r="U179" s="536">
        <f ca="1">U178-U169</f>
        <v>1169.2110479825569</v>
      </c>
      <c r="V179" s="536">
        <f t="shared" ref="V179:AA179" ca="1" si="133">V178-V169</f>
        <v>1275.9272601350531</v>
      </c>
      <c r="W179" s="536">
        <f t="shared" ca="1" si="133"/>
        <v>1300.5406140174455</v>
      </c>
      <c r="X179" s="536">
        <f t="shared" ca="1" si="133"/>
        <v>1307.2510879446636</v>
      </c>
      <c r="Y179" s="536">
        <f t="shared" ca="1" si="133"/>
        <v>1406.2045303815721</v>
      </c>
      <c r="Z179" s="536">
        <f t="shared" ca="1" si="133"/>
        <v>1461.3993291725819</v>
      </c>
      <c r="AA179" s="537">
        <f t="shared" ca="1" si="133"/>
        <v>1519.2584204401683</v>
      </c>
    </row>
    <row r="180" spans="1:28" ht="15" customHeight="1">
      <c r="H180" s="538"/>
    </row>
    <row r="181" spans="1:28" ht="15" customHeight="1">
      <c r="H181" s="499"/>
      <c r="U181" s="539"/>
      <c r="V181" s="539"/>
      <c r="W181" s="539"/>
      <c r="X181" s="539"/>
      <c r="Y181" s="539"/>
    </row>
    <row r="182" spans="1:28" ht="15" customHeight="1">
      <c r="H182" s="499"/>
      <c r="O182" s="126"/>
    </row>
    <row r="183" spans="1:28" ht="15" customHeight="1">
      <c r="H183" s="499"/>
      <c r="U183" s="45"/>
      <c r="V183" s="45"/>
      <c r="W183" s="45"/>
      <c r="X183" s="45"/>
      <c r="Y183" s="45"/>
    </row>
    <row r="184" spans="1:28" ht="15" customHeight="1">
      <c r="H184" s="499"/>
    </row>
    <row r="185" spans="1:28" ht="15" customHeight="1">
      <c r="H185" s="499"/>
    </row>
    <row r="186" spans="1:28" ht="15" customHeight="1">
      <c r="H186" s="499"/>
    </row>
    <row r="187" spans="1:28" ht="15" customHeight="1">
      <c r="H187" s="499"/>
    </row>
    <row r="188" spans="1:28" ht="15" customHeight="1">
      <c r="H188" s="499"/>
    </row>
    <row r="189" spans="1:28" ht="15" customHeight="1">
      <c r="H189" s="499"/>
    </row>
  </sheetData>
  <sheetProtection sheet="1" objects="1" scenarios="1"/>
  <mergeCells count="1">
    <mergeCell ref="C129:F129"/>
  </mergeCells>
  <dataValidations disablePrompts="1" count="1">
    <dataValidation type="list" allowBlank="1" showInputMessage="1" showErrorMessage="1" sqref="F3" xr:uid="{00000000-0002-0000-0E00-000000000000}">
      <formula1>$B$3:$B$5</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189"/>
  <sheetViews>
    <sheetView topLeftCell="A2" zoomScaleNormal="100" workbookViewId="0">
      <pane xSplit="8" ySplit="5" topLeftCell="I7" activePane="bottomRight" state="frozen"/>
      <selection activeCell="I7" sqref="I7"/>
      <selection pane="topRight" activeCell="I7" sqref="I7"/>
      <selection pane="bottomLeft" activeCell="I7" sqref="I7"/>
      <selection pane="bottomRight" activeCell="I7" sqref="I7"/>
    </sheetView>
  </sheetViews>
  <sheetFormatPr defaultColWidth="12.7109375" defaultRowHeight="15.75" outlineLevelRow="1" outlineLevelCol="1"/>
  <cols>
    <col min="1" max="1" width="7.85546875" style="11" hidden="1" customWidth="1" outlineLevel="1"/>
    <col min="2" max="2" width="30" style="304" hidden="1" customWidth="1" outlineLevel="1"/>
    <col min="3" max="3" width="21.7109375" style="304" hidden="1" customWidth="1" outlineLevel="1"/>
    <col min="4" max="4" width="24.42578125" style="304" hidden="1" customWidth="1" outlineLevel="1"/>
    <col min="5" max="5" width="6.28515625" style="304" hidden="1" customWidth="1" outlineLevel="1"/>
    <col min="6" max="6" width="10.7109375" style="304" hidden="1" customWidth="1" outlineLevel="1"/>
    <col min="7" max="7" width="55" style="65" bestFit="1" customWidth="1" collapsed="1"/>
    <col min="8" max="8" width="58.85546875" style="11" customWidth="1"/>
    <col min="9" max="15" width="9.85546875" style="11" bestFit="1" customWidth="1"/>
    <col min="16" max="16" width="12.140625" style="11" customWidth="1"/>
    <col min="17" max="17" width="24.42578125" style="11" hidden="1" customWidth="1" outlineLevel="1"/>
    <col min="18" max="18" width="9.5703125" style="11" hidden="1" customWidth="1" outlineLevel="1"/>
    <col min="19" max="19" width="25.28515625" style="11" hidden="1" customWidth="1" outlineLevel="1"/>
    <col min="20" max="20" width="54.85546875" style="11" hidden="1" customWidth="1" outlineLevel="1"/>
    <col min="21" max="21" width="13.5703125" style="11" bestFit="1" customWidth="1" collapsed="1"/>
    <col min="22" max="22" width="13.5703125" style="11" bestFit="1" customWidth="1"/>
    <col min="23" max="23" width="14" style="11" bestFit="1" customWidth="1"/>
    <col min="24" max="24" width="13.5703125" style="11" bestFit="1" customWidth="1"/>
    <col min="25" max="27" width="14" style="11" bestFit="1" customWidth="1"/>
    <col min="28" max="28" width="6.140625" style="11" hidden="1" customWidth="1" outlineLevel="1"/>
    <col min="29" max="29" width="2.5703125" style="11" hidden="1" customWidth="1" outlineLevel="1"/>
    <col min="30" max="30" width="12.7109375" style="11" collapsed="1"/>
    <col min="31" max="16384" width="12.7109375" style="11"/>
  </cols>
  <sheetData>
    <row r="1" spans="1:29" ht="15.95" hidden="1" customHeight="1" outlineLevel="1" thickBot="1">
      <c r="A1" s="540"/>
      <c r="B1" s="540"/>
      <c r="C1" s="540"/>
      <c r="D1" s="541"/>
      <c r="E1" s="541"/>
      <c r="F1" s="541"/>
      <c r="G1" s="542"/>
      <c r="H1" s="543"/>
      <c r="I1" s="544"/>
      <c r="J1" s="544"/>
      <c r="K1" s="544"/>
      <c r="L1" s="544"/>
      <c r="M1" s="544"/>
      <c r="N1" s="544"/>
      <c r="O1" s="544"/>
      <c r="P1" s="544"/>
      <c r="Q1" s="545"/>
      <c r="R1" s="545"/>
      <c r="S1" s="544"/>
      <c r="T1" s="544"/>
      <c r="U1" s="544"/>
      <c r="V1" s="544"/>
      <c r="W1" s="544"/>
      <c r="X1" s="544"/>
      <c r="Y1" s="544"/>
      <c r="Z1" s="544"/>
      <c r="AA1" s="544"/>
      <c r="AB1" s="546"/>
      <c r="AC1" s="535"/>
    </row>
    <row r="2" spans="1:29" collapsed="1">
      <c r="A2" s="540"/>
      <c r="B2" s="540"/>
      <c r="C2" s="540" t="s">
        <v>384</v>
      </c>
      <c r="D2" s="547"/>
      <c r="E2" s="547"/>
      <c r="F2" s="548"/>
      <c r="G2" s="305" t="s">
        <v>279</v>
      </c>
      <c r="H2" s="305">
        <f>VLOOKUP($F$3, $B$2:$C$5, MATCH("School Size", $B$2:$C$2,0),0)</f>
        <v>500</v>
      </c>
      <c r="I2" s="306"/>
      <c r="J2" s="306"/>
      <c r="K2" s="306"/>
      <c r="L2" s="307"/>
      <c r="M2" s="307"/>
      <c r="N2" s="307"/>
      <c r="O2" s="307"/>
      <c r="P2" s="307"/>
      <c r="Q2" s="307"/>
      <c r="R2" s="307"/>
      <c r="S2" s="307"/>
      <c r="T2" s="307"/>
      <c r="U2" s="308"/>
      <c r="V2" s="308"/>
      <c r="W2" s="308"/>
      <c r="X2" s="308"/>
      <c r="Y2" s="308"/>
      <c r="Z2" s="308"/>
      <c r="AA2" s="309"/>
      <c r="AB2" s="546"/>
      <c r="AC2" s="535"/>
    </row>
    <row r="3" spans="1:29" ht="15" customHeight="1">
      <c r="A3" s="540"/>
      <c r="B3" s="549" t="s">
        <v>374</v>
      </c>
      <c r="C3" s="540">
        <f>VLOOKUP($B3, ComputerAssumptions!$A$2:$B$5, MATCH($C$2, ComputerAssumptions!$A$2:$B$2,0),0)</f>
        <v>360</v>
      </c>
      <c r="D3" s="547"/>
      <c r="E3" s="547"/>
      <c r="F3" s="548" t="s">
        <v>375</v>
      </c>
      <c r="G3" s="310" t="str">
        <f>$F$3 &amp; " School"</f>
        <v>Middle School</v>
      </c>
      <c r="H3" s="311" t="s">
        <v>281</v>
      </c>
      <c r="I3" s="312" t="s">
        <v>350</v>
      </c>
      <c r="J3" s="313"/>
      <c r="K3" s="313"/>
      <c r="L3" s="313"/>
      <c r="M3" s="313"/>
      <c r="N3" s="313"/>
      <c r="O3" s="313"/>
      <c r="P3" s="314"/>
      <c r="Q3" s="315"/>
      <c r="R3" s="315"/>
      <c r="S3" s="316"/>
      <c r="T3" s="316"/>
      <c r="U3" s="317" t="s">
        <v>348</v>
      </c>
      <c r="V3" s="318"/>
      <c r="W3" s="318"/>
      <c r="X3" s="318"/>
      <c r="Y3" s="318"/>
      <c r="Z3" s="318"/>
      <c r="AA3" s="319"/>
      <c r="AB3" s="546"/>
      <c r="AC3" s="535"/>
    </row>
    <row r="4" spans="1:29" ht="32.25" thickBot="1">
      <c r="A4" s="540"/>
      <c r="B4" s="549" t="s">
        <v>375</v>
      </c>
      <c r="C4" s="540">
        <f>VLOOKUP($B4, ComputerAssumptions!$A$2:$B$5, MATCH($C$2, ComputerAssumptions!$A$2:$B$2,0),0)</f>
        <v>500</v>
      </c>
      <c r="D4" s="550"/>
      <c r="E4" s="550"/>
      <c r="F4" s="551"/>
      <c r="G4" s="321" t="s">
        <v>280</v>
      </c>
      <c r="H4" s="322"/>
      <c r="I4" s="323" t="str">
        <f>Years!A7</f>
        <v>2024-25</v>
      </c>
      <c r="J4" s="323" t="str">
        <f>Years!B7</f>
        <v>2025-26</v>
      </c>
      <c r="K4" s="323" t="str">
        <f>Years!C7</f>
        <v>2026-27</v>
      </c>
      <c r="L4" s="323" t="str">
        <f>Years!D7</f>
        <v>2027-28</v>
      </c>
      <c r="M4" s="323" t="str">
        <f>Years!E7</f>
        <v>2028-29</v>
      </c>
      <c r="N4" s="323" t="str">
        <f>Years!F7</f>
        <v>2029-30</v>
      </c>
      <c r="O4" s="323" t="str">
        <f>Years!G7</f>
        <v>2030-31</v>
      </c>
      <c r="P4" s="324" t="s">
        <v>282</v>
      </c>
      <c r="Q4" s="325"/>
      <c r="R4" s="325"/>
      <c r="S4" s="323"/>
      <c r="T4" s="323"/>
      <c r="U4" s="326" t="str">
        <f t="shared" ref="U4:Z4" si="0">I4</f>
        <v>2024-25</v>
      </c>
      <c r="V4" s="327" t="str">
        <f t="shared" si="0"/>
        <v>2025-26</v>
      </c>
      <c r="W4" s="327" t="str">
        <f t="shared" si="0"/>
        <v>2026-27</v>
      </c>
      <c r="X4" s="327" t="str">
        <f t="shared" si="0"/>
        <v>2027-28</v>
      </c>
      <c r="Y4" s="327" t="str">
        <f t="shared" si="0"/>
        <v>2028-29</v>
      </c>
      <c r="Z4" s="327" t="str">
        <f t="shared" si="0"/>
        <v>2029-30</v>
      </c>
      <c r="AA4" s="328" t="str">
        <f>O4</f>
        <v>2030-31</v>
      </c>
      <c r="AB4" s="552"/>
      <c r="AC4" s="535"/>
    </row>
    <row r="5" spans="1:29" ht="15" hidden="1" customHeight="1" outlineLevel="1">
      <c r="A5" s="540"/>
      <c r="B5" s="553" t="s">
        <v>376</v>
      </c>
      <c r="C5" s="540">
        <f>VLOOKUP($B5, ComputerAssumptions!$A$2:$B$5, MATCH($C$2, ComputerAssumptions!$A$2:$B$2,0),0)</f>
        <v>1000</v>
      </c>
      <c r="D5" s="544"/>
      <c r="E5" s="544"/>
      <c r="F5" s="544"/>
      <c r="G5" s="329"/>
      <c r="H5" s="330"/>
      <c r="I5" s="331"/>
      <c r="J5" s="331"/>
      <c r="K5" s="331"/>
      <c r="L5" s="331"/>
      <c r="M5" s="331"/>
      <c r="N5" s="331"/>
      <c r="O5" s="331"/>
      <c r="P5" s="332"/>
      <c r="Q5" s="331"/>
      <c r="R5" s="331"/>
      <c r="T5" s="333"/>
      <c r="U5" s="333"/>
      <c r="V5" s="334"/>
      <c r="W5" s="334"/>
      <c r="X5" s="334"/>
      <c r="Y5" s="334"/>
      <c r="Z5" s="334"/>
      <c r="AA5" s="334"/>
      <c r="AB5" s="554"/>
      <c r="AC5" s="535"/>
    </row>
    <row r="6" spans="1:29" ht="15.95" hidden="1" customHeight="1" outlineLevel="1" thickBot="1">
      <c r="A6" s="555"/>
      <c r="B6" s="555"/>
      <c r="C6" s="556"/>
      <c r="D6" s="557"/>
      <c r="E6" s="557"/>
      <c r="F6" s="557"/>
      <c r="G6" s="329"/>
      <c r="H6" s="330"/>
      <c r="I6" s="331"/>
      <c r="J6" s="331"/>
      <c r="K6" s="331"/>
      <c r="L6" s="331"/>
      <c r="M6" s="331"/>
      <c r="N6" s="331"/>
      <c r="O6" s="331"/>
      <c r="P6" s="332"/>
      <c r="Q6" s="331"/>
      <c r="R6" s="331"/>
      <c r="T6" s="333"/>
      <c r="U6" s="333"/>
      <c r="V6" s="334"/>
      <c r="W6" s="334"/>
      <c r="X6" s="334"/>
      <c r="Y6" s="334"/>
      <c r="Z6" s="334"/>
      <c r="AA6" s="334"/>
      <c r="AB6" s="558"/>
      <c r="AC6" s="535"/>
    </row>
    <row r="7" spans="1:29" collapsed="1">
      <c r="A7" s="555"/>
      <c r="B7" s="559" t="s">
        <v>948</v>
      </c>
      <c r="C7" s="556"/>
      <c r="D7" s="556" t="s">
        <v>250</v>
      </c>
      <c r="E7" s="556"/>
      <c r="F7" s="560"/>
      <c r="G7" s="336" t="s">
        <v>283</v>
      </c>
      <c r="H7" s="337">
        <f t="shared" ref="H7:H13" ca="1" si="1">INDEX(INDIRECT($S$7 &amp; $S$8), MATCH($T7, INDIRECT($S$7 &amp; $S$9), 0), MATCH(I$4, INDIRECT($S$7 &amp; $S$10), 0))</f>
        <v>81660</v>
      </c>
      <c r="I7" s="338">
        <f t="shared" ref="I7:O12" ca="1" si="2">INDEX(INDIRECT($B$7 &amp; $B$8), MATCH($D7, INDIRECT($B$7 &amp; $B$9), 0), MATCH(I$4, INDIRECT($B$7 &amp; $B$10), 0))</f>
        <v>5.9308841843088489E-2</v>
      </c>
      <c r="J7" s="338">
        <f t="shared" ca="1" si="2"/>
        <v>5.7261817291207384E-2</v>
      </c>
      <c r="K7" s="338">
        <f t="shared" ca="1" si="2"/>
        <v>7.0447760849378316E-2</v>
      </c>
      <c r="L7" s="338">
        <f t="shared" ca="1" si="2"/>
        <v>4.1579598884074587E-2</v>
      </c>
      <c r="M7" s="338">
        <f t="shared" ca="1" si="2"/>
        <v>4.4945720794081545E-2</v>
      </c>
      <c r="N7" s="338">
        <f t="shared" ca="1" si="2"/>
        <v>2.4679257929887566E-2</v>
      </c>
      <c r="O7" s="338">
        <f t="shared" ca="1" si="2"/>
        <v>5.2393302574846645E-2</v>
      </c>
      <c r="P7" s="339"/>
      <c r="Q7" s="340"/>
      <c r="R7" s="340"/>
      <c r="S7" s="341" t="s">
        <v>948</v>
      </c>
      <c r="T7" s="342" t="s">
        <v>236</v>
      </c>
      <c r="U7" s="343">
        <f t="shared" ref="U7:U12" ca="1" si="3">INDEX(INDIRECT($S$7 &amp; $S$8), MATCH($T7, INDIRECT($S$7 &amp; $S$9), 0), MATCH(U$4, INDIRECT($S$7 &amp; $S$10), 0))</f>
        <v>81660</v>
      </c>
      <c r="V7" s="343">
        <f t="shared" ref="V7:Z12" ca="1" si="4">U7*(1+J7)</f>
        <v>86336</v>
      </c>
      <c r="W7" s="343">
        <f t="shared" ca="1" si="4"/>
        <v>92418.177880691932</v>
      </c>
      <c r="X7" s="343">
        <f t="shared" ca="1" si="4"/>
        <v>96260.888646568157</v>
      </c>
      <c r="Y7" s="343">
        <f t="shared" ca="1" si="4"/>
        <v>100587.40367106699</v>
      </c>
      <c r="Z7" s="343">
        <f t="shared" ca="1" si="4"/>
        <v>103069.82615076296</v>
      </c>
      <c r="AA7" s="344">
        <f t="shared" ref="AA7:AA12" ca="1" si="5">Z7*(1+O7)</f>
        <v>108469.99473861673</v>
      </c>
      <c r="AB7" s="558"/>
      <c r="AC7" s="535"/>
    </row>
    <row r="8" spans="1:29">
      <c r="A8" s="555"/>
      <c r="B8" s="559" t="s">
        <v>417</v>
      </c>
      <c r="C8" s="556"/>
      <c r="D8" s="556" t="s">
        <v>252</v>
      </c>
      <c r="E8" s="556"/>
      <c r="F8" s="560"/>
      <c r="G8" s="345" t="s">
        <v>284</v>
      </c>
      <c r="H8" s="346">
        <f t="shared" ca="1" si="1"/>
        <v>139550</v>
      </c>
      <c r="I8" s="347">
        <f t="shared" ca="1" si="2"/>
        <v>4.5703880221213078E-2</v>
      </c>
      <c r="J8" s="347">
        <f t="shared" ca="1" si="2"/>
        <v>5.1825575979074889E-2</v>
      </c>
      <c r="K8" s="347">
        <f t="shared" ca="1" si="2"/>
        <v>5.2738529701662484E-2</v>
      </c>
      <c r="L8" s="347">
        <f t="shared" ca="1" si="2"/>
        <v>4.1313245307906366E-2</v>
      </c>
      <c r="M8" s="347">
        <f t="shared" ca="1" si="2"/>
        <v>3.7784331107246771E-2</v>
      </c>
      <c r="N8" s="347">
        <f t="shared" ca="1" si="2"/>
        <v>3.9128222957597769E-2</v>
      </c>
      <c r="O8" s="347">
        <f t="shared" ca="1" si="2"/>
        <v>4.004798957319089E-2</v>
      </c>
      <c r="P8" s="348"/>
      <c r="Q8" s="349"/>
      <c r="R8" s="349"/>
      <c r="S8" s="333" t="s">
        <v>417</v>
      </c>
      <c r="T8" s="350" t="s">
        <v>240</v>
      </c>
      <c r="U8" s="351">
        <f t="shared" ca="1" si="3"/>
        <v>139550</v>
      </c>
      <c r="V8" s="351">
        <f t="shared" ca="1" si="4"/>
        <v>146782.25912787989</v>
      </c>
      <c r="W8" s="351">
        <f t="shared" ca="1" si="4"/>
        <v>154523.3396605727</v>
      </c>
      <c r="X8" s="351">
        <f t="shared" ca="1" si="4"/>
        <v>160907.20029776689</v>
      </c>
      <c r="Y8" s="351">
        <f t="shared" ca="1" si="4"/>
        <v>166986.97123135778</v>
      </c>
      <c r="Z8" s="351">
        <f t="shared" ca="1" si="4"/>
        <v>173520.87467271232</v>
      </c>
      <c r="AA8" s="352">
        <f t="shared" ca="1" si="5"/>
        <v>180470.03685233608</v>
      </c>
      <c r="AB8" s="558"/>
      <c r="AC8" s="535"/>
    </row>
    <row r="9" spans="1:29">
      <c r="A9" s="555"/>
      <c r="B9" s="559" t="s">
        <v>418</v>
      </c>
      <c r="C9" s="556"/>
      <c r="D9" s="556" t="s">
        <v>251</v>
      </c>
      <c r="E9" s="556"/>
      <c r="F9" s="560"/>
      <c r="G9" s="345" t="s">
        <v>285</v>
      </c>
      <c r="H9" s="346">
        <f t="shared" ca="1" si="1"/>
        <v>128760</v>
      </c>
      <c r="I9" s="347">
        <f t="shared" ca="1" si="2"/>
        <v>4.9887878664329088E-2</v>
      </c>
      <c r="J9" s="347">
        <f t="shared" ca="1" si="2"/>
        <v>4.8721194845945393E-2</v>
      </c>
      <c r="K9" s="347">
        <f t="shared" ca="1" si="2"/>
        <v>5.3637233778851989E-2</v>
      </c>
      <c r="L9" s="347">
        <f t="shared" ca="1" si="2"/>
        <v>3.6566725385370091E-2</v>
      </c>
      <c r="M9" s="347">
        <f t="shared" ca="1" si="2"/>
        <v>3.5345931053278212E-2</v>
      </c>
      <c r="N9" s="347">
        <f t="shared" ca="1" si="2"/>
        <v>3.7075282692875078E-2</v>
      </c>
      <c r="O9" s="347">
        <f t="shared" ca="1" si="2"/>
        <v>3.8305673517575967E-2</v>
      </c>
      <c r="P9" s="348"/>
      <c r="Q9" s="349"/>
      <c r="R9" s="349"/>
      <c r="S9" s="333" t="s">
        <v>418</v>
      </c>
      <c r="T9" s="350" t="s">
        <v>242</v>
      </c>
      <c r="U9" s="351">
        <f t="shared" ca="1" si="3"/>
        <v>128760</v>
      </c>
      <c r="V9" s="351">
        <f t="shared" ca="1" si="4"/>
        <v>135033.34104836392</v>
      </c>
      <c r="W9" s="351">
        <f t="shared" ca="1" si="4"/>
        <v>142276.15593011447</v>
      </c>
      <c r="X9" s="351">
        <f t="shared" ca="1" si="4"/>
        <v>147478.72905289708</v>
      </c>
      <c r="Y9" s="351">
        <f t="shared" ca="1" si="4"/>
        <v>152691.50204182588</v>
      </c>
      <c r="Z9" s="351">
        <f t="shared" ca="1" si="4"/>
        <v>158352.5826448263</v>
      </c>
      <c r="AA9" s="352">
        <f t="shared" ca="1" si="5"/>
        <v>164418.38497628397</v>
      </c>
      <c r="AB9" s="558"/>
      <c r="AC9" s="535"/>
    </row>
    <row r="10" spans="1:29">
      <c r="A10" s="555"/>
      <c r="B10" s="559" t="s">
        <v>349</v>
      </c>
      <c r="C10" s="556"/>
      <c r="D10" s="556" t="s">
        <v>250</v>
      </c>
      <c r="E10" s="556"/>
      <c r="F10" s="560"/>
      <c r="G10" s="345" t="s">
        <v>286</v>
      </c>
      <c r="H10" s="346">
        <f t="shared" ca="1" si="1"/>
        <v>84114.457464438587</v>
      </c>
      <c r="I10" s="347">
        <f t="shared" ca="1" si="2"/>
        <v>5.9308841843088489E-2</v>
      </c>
      <c r="J10" s="347">
        <f t="shared" ca="1" si="2"/>
        <v>5.7261817291207384E-2</v>
      </c>
      <c r="K10" s="347">
        <f t="shared" ca="1" si="2"/>
        <v>7.0447760849378316E-2</v>
      </c>
      <c r="L10" s="347">
        <f t="shared" ca="1" si="2"/>
        <v>4.1579598884074587E-2</v>
      </c>
      <c r="M10" s="347">
        <f t="shared" ca="1" si="2"/>
        <v>4.4945720794081545E-2</v>
      </c>
      <c r="N10" s="347">
        <f t="shared" ca="1" si="2"/>
        <v>2.4679257929887566E-2</v>
      </c>
      <c r="O10" s="347">
        <f t="shared" ca="1" si="2"/>
        <v>5.2393302574846645E-2</v>
      </c>
      <c r="P10" s="348"/>
      <c r="Q10" s="349"/>
      <c r="R10" s="349"/>
      <c r="S10" s="333" t="s">
        <v>349</v>
      </c>
      <c r="T10" s="350" t="s">
        <v>238</v>
      </c>
      <c r="U10" s="351">
        <f t="shared" ca="1" si="3"/>
        <v>84114.457464438587</v>
      </c>
      <c r="V10" s="351">
        <f t="shared" ca="1" si="4"/>
        <v>88931.004159316304</v>
      </c>
      <c r="W10" s="351">
        <f t="shared" ca="1" si="4"/>
        <v>95195.994272426891</v>
      </c>
      <c r="X10" s="351">
        <f t="shared" ca="1" si="4"/>
        <v>99154.205529645056</v>
      </c>
      <c r="Y10" s="351">
        <f t="shared" ca="1" si="4"/>
        <v>103610.76276693946</v>
      </c>
      <c r="Z10" s="351">
        <f t="shared" ca="1" si="4"/>
        <v>106167.79950557715</v>
      </c>
      <c r="AA10" s="352">
        <f t="shared" ca="1" si="5"/>
        <v>111730.28114877851</v>
      </c>
      <c r="AB10" s="558"/>
      <c r="AC10" s="535"/>
    </row>
    <row r="11" spans="1:29">
      <c r="A11" s="555"/>
      <c r="B11" s="556"/>
      <c r="C11" s="556"/>
      <c r="D11" s="556" t="s">
        <v>269</v>
      </c>
      <c r="E11" s="556"/>
      <c r="F11" s="560"/>
      <c r="G11" s="345" t="s">
        <v>287</v>
      </c>
      <c r="H11" s="353">
        <f t="shared" ca="1" si="1"/>
        <v>26.257861826323364</v>
      </c>
      <c r="I11" s="347">
        <f t="shared" ca="1" si="2"/>
        <v>2.9095091077493085E-2</v>
      </c>
      <c r="J11" s="347">
        <f t="shared" ca="1" si="2"/>
        <v>2.8327327327327345E-2</v>
      </c>
      <c r="K11" s="347">
        <f t="shared" ca="1" si="2"/>
        <v>2.3800350774627277E-2</v>
      </c>
      <c r="L11" s="347">
        <f t="shared" ca="1" si="2"/>
        <v>2.843641040297229E-2</v>
      </c>
      <c r="M11" s="347">
        <f t="shared" ca="1" si="2"/>
        <v>2.4922114047288058E-2</v>
      </c>
      <c r="N11" s="347">
        <f t="shared" ca="1" si="2"/>
        <v>2.3819885900570381E-2</v>
      </c>
      <c r="O11" s="347">
        <f t="shared" ca="1" si="2"/>
        <v>2.4107569721115607E-2</v>
      </c>
      <c r="P11" s="348"/>
      <c r="Q11" s="349"/>
      <c r="R11" s="349"/>
      <c r="T11" s="350" t="s">
        <v>245</v>
      </c>
      <c r="U11" s="354">
        <f t="shared" ca="1" si="3"/>
        <v>26.257861826323364</v>
      </c>
      <c r="V11" s="354">
        <f t="shared" ca="1" si="4"/>
        <v>27.001676873193361</v>
      </c>
      <c r="W11" s="354">
        <f t="shared" ca="1" si="4"/>
        <v>27.6443262542785</v>
      </c>
      <c r="X11" s="354">
        <f t="shared" ca="1" si="4"/>
        <v>28.430431660958821</v>
      </c>
      <c r="Y11" s="354">
        <f t="shared" ca="1" si="4"/>
        <v>29.13897812122687</v>
      </c>
      <c r="Z11" s="354">
        <f t="shared" ca="1" si="4"/>
        <v>29.833065255333707</v>
      </c>
      <c r="AA11" s="355">
        <f t="shared" ca="1" si="5"/>
        <v>30.552267955971253</v>
      </c>
      <c r="AB11" s="558"/>
      <c r="AC11" s="535"/>
    </row>
    <row r="12" spans="1:29">
      <c r="A12" s="555"/>
      <c r="B12" s="556"/>
      <c r="C12" s="556"/>
      <c r="D12" s="556" t="s">
        <v>269</v>
      </c>
      <c r="E12" s="556"/>
      <c r="F12" s="560"/>
      <c r="G12" s="345" t="s">
        <v>288</v>
      </c>
      <c r="H12" s="353">
        <f t="shared" ca="1" si="1"/>
        <v>21.797802197802195</v>
      </c>
      <c r="I12" s="347">
        <f t="shared" ca="1" si="2"/>
        <v>2.9095091077493085E-2</v>
      </c>
      <c r="J12" s="347">
        <f t="shared" ca="1" si="2"/>
        <v>2.8327327327327345E-2</v>
      </c>
      <c r="K12" s="347">
        <f t="shared" ca="1" si="2"/>
        <v>2.3800350774627277E-2</v>
      </c>
      <c r="L12" s="347">
        <f t="shared" ca="1" si="2"/>
        <v>2.843641040297229E-2</v>
      </c>
      <c r="M12" s="347">
        <f t="shared" ca="1" si="2"/>
        <v>2.4922114047288058E-2</v>
      </c>
      <c r="N12" s="347">
        <f t="shared" ca="1" si="2"/>
        <v>2.3819885900570381E-2</v>
      </c>
      <c r="O12" s="347">
        <f t="shared" ca="1" si="2"/>
        <v>2.4107569721115607E-2</v>
      </c>
      <c r="P12" s="348"/>
      <c r="Q12" s="349"/>
      <c r="R12" s="349"/>
      <c r="T12" s="350" t="s">
        <v>243</v>
      </c>
      <c r="U12" s="354">
        <f t="shared" ca="1" si="3"/>
        <v>21.797802197802195</v>
      </c>
      <c r="V12" s="354">
        <f t="shared" ca="1" si="4"/>
        <v>22.415275675675677</v>
      </c>
      <c r="W12" s="354">
        <f t="shared" ca="1" si="4"/>
        <v>22.948767099466725</v>
      </c>
      <c r="X12" s="354">
        <f t="shared" ca="1" si="4"/>
        <v>23.601347658949386</v>
      </c>
      <c r="Y12" s="354">
        <f t="shared" ca="1" si="4"/>
        <v>24.18954313697542</v>
      </c>
      <c r="Z12" s="354">
        <f t="shared" ca="1" si="4"/>
        <v>24.765735294485097</v>
      </c>
      <c r="AA12" s="355">
        <f t="shared" ca="1" si="5"/>
        <v>25.362776984791587</v>
      </c>
      <c r="AB12" s="558"/>
      <c r="AC12" s="535"/>
    </row>
    <row r="13" spans="1:29">
      <c r="A13" s="555"/>
      <c r="B13" s="556"/>
      <c r="C13" s="561"/>
      <c r="D13" s="561"/>
      <c r="E13" s="561"/>
      <c r="F13" s="562"/>
      <c r="G13" s="356" t="s">
        <v>289</v>
      </c>
      <c r="H13" s="357">
        <f t="shared" ca="1" si="1"/>
        <v>27.570754917639533</v>
      </c>
      <c r="I13" s="347"/>
      <c r="J13" s="347">
        <f t="shared" ref="J13:O13" ca="1" si="6">V13/U13-1</f>
        <v>2.8327327327327456E-2</v>
      </c>
      <c r="K13" s="347">
        <f t="shared" ca="1" si="6"/>
        <v>2.3800350774627166E-2</v>
      </c>
      <c r="L13" s="347">
        <f t="shared" ca="1" si="6"/>
        <v>2.8436410402972179E-2</v>
      </c>
      <c r="M13" s="347">
        <f t="shared" ca="1" si="6"/>
        <v>2.4922114047288391E-2</v>
      </c>
      <c r="N13" s="347">
        <f t="shared" ca="1" si="6"/>
        <v>2.381988590057027E-2</v>
      </c>
      <c r="O13" s="347">
        <f t="shared" ca="1" si="6"/>
        <v>2.4107569721115496E-2</v>
      </c>
      <c r="P13" s="358"/>
      <c r="Q13" s="359"/>
      <c r="R13" s="359"/>
      <c r="S13" s="235"/>
      <c r="T13" s="360" t="s">
        <v>247</v>
      </c>
      <c r="U13" s="361">
        <f ca="1">U11*1.05</f>
        <v>27.570754917639533</v>
      </c>
      <c r="V13" s="361">
        <f t="shared" ref="V13:AA13" ca="1" si="7">V11*1.05</f>
        <v>28.351760716853029</v>
      </c>
      <c r="W13" s="361">
        <f t="shared" ca="1" si="7"/>
        <v>29.026542566992426</v>
      </c>
      <c r="X13" s="361">
        <f t="shared" ca="1" si="7"/>
        <v>29.851953244006761</v>
      </c>
      <c r="Y13" s="361">
        <f t="shared" ca="1" si="7"/>
        <v>30.595927027288216</v>
      </c>
      <c r="Z13" s="361">
        <f t="shared" ca="1" si="7"/>
        <v>31.324718518100394</v>
      </c>
      <c r="AA13" s="362">
        <f t="shared" ca="1" si="7"/>
        <v>32.079881353769814</v>
      </c>
      <c r="AB13" s="558"/>
      <c r="AC13" s="535"/>
    </row>
    <row r="14" spans="1:29" ht="15" hidden="1" customHeight="1" outlineLevel="1">
      <c r="A14" s="555"/>
      <c r="B14" s="556"/>
      <c r="C14" s="561"/>
      <c r="D14" s="561"/>
      <c r="E14" s="561"/>
      <c r="F14" s="562"/>
      <c r="G14" s="345"/>
      <c r="H14" s="353"/>
      <c r="I14" s="349"/>
      <c r="J14" s="349"/>
      <c r="K14" s="349"/>
      <c r="L14" s="349"/>
      <c r="M14" s="349"/>
      <c r="N14" s="349"/>
      <c r="O14" s="349"/>
      <c r="P14" s="348"/>
      <c r="Q14" s="349"/>
      <c r="R14" s="349"/>
      <c r="S14" s="350"/>
      <c r="T14" s="350"/>
      <c r="U14" s="363"/>
      <c r="V14" s="363"/>
      <c r="W14" s="363"/>
      <c r="X14" s="363"/>
      <c r="Y14" s="363"/>
      <c r="Z14" s="363"/>
      <c r="AA14" s="363"/>
      <c r="AB14" s="558"/>
      <c r="AC14" s="535"/>
    </row>
    <row r="15" spans="1:29" ht="15" hidden="1" customHeight="1" outlineLevel="1">
      <c r="A15" s="563"/>
      <c r="B15" s="563"/>
      <c r="C15" s="564"/>
      <c r="D15" s="564"/>
      <c r="E15" s="564"/>
      <c r="F15" s="565"/>
      <c r="G15" s="345"/>
      <c r="H15" s="353"/>
      <c r="I15" s="349"/>
      <c r="J15" s="349"/>
      <c r="K15" s="349"/>
      <c r="L15" s="349"/>
      <c r="M15" s="349"/>
      <c r="N15" s="349"/>
      <c r="O15" s="349"/>
      <c r="P15" s="348"/>
      <c r="Q15" s="349"/>
      <c r="R15" s="349"/>
      <c r="S15" s="350"/>
      <c r="T15" s="350"/>
      <c r="U15" s="363"/>
      <c r="V15" s="363"/>
      <c r="W15" s="363"/>
      <c r="X15" s="363"/>
      <c r="Y15" s="363"/>
      <c r="Z15" s="363"/>
      <c r="AA15" s="363"/>
      <c r="AB15" s="566"/>
      <c r="AC15" s="535"/>
    </row>
    <row r="16" spans="1:29" ht="15.95" hidden="1" customHeight="1" outlineLevel="1" thickBot="1">
      <c r="A16" s="563"/>
      <c r="B16" s="567" t="s">
        <v>952</v>
      </c>
      <c r="C16" s="564"/>
      <c r="D16" s="563"/>
      <c r="E16" s="563"/>
      <c r="F16" s="568"/>
      <c r="G16" s="345"/>
      <c r="H16" s="364"/>
      <c r="I16" s="365"/>
      <c r="J16" s="365"/>
      <c r="K16" s="365"/>
      <c r="L16" s="365"/>
      <c r="M16" s="365"/>
      <c r="N16" s="365"/>
      <c r="O16" s="365"/>
      <c r="P16" s="364"/>
      <c r="Q16" s="365"/>
      <c r="R16" s="365"/>
      <c r="S16" s="366" t="s">
        <v>952</v>
      </c>
      <c r="T16" s="26" t="s">
        <v>291</v>
      </c>
      <c r="U16" s="347">
        <f ca="1">INDEX(INDIRECT($S$16 &amp; $S$17), MATCH($T16, INDIRECT($S$16 &amp; $S$18), 0), MATCH(U$4, INDIRECT($S$16 &amp; $S$19), 0))</f>
        <v>3.4000000000000002E-2</v>
      </c>
      <c r="V16" s="347">
        <f t="shared" ref="V16:AA16" ca="1" si="8">INDEX(INDIRECT($S$16 &amp; $S$17), MATCH($T16, INDIRECT($S$16 &amp; $S$18), 0), MATCH(V$4, INDIRECT($S$16 &amp; $S$19), 0))</f>
        <v>3.4000000000000002E-2</v>
      </c>
      <c r="W16" s="347">
        <f t="shared" ca="1" si="8"/>
        <v>3.4000000000000002E-2</v>
      </c>
      <c r="X16" s="347">
        <f t="shared" ca="1" si="8"/>
        <v>3.4000000000000002E-2</v>
      </c>
      <c r="Y16" s="347">
        <f t="shared" ca="1" si="8"/>
        <v>3.4000000000000002E-2</v>
      </c>
      <c r="Z16" s="347">
        <f t="shared" ca="1" si="8"/>
        <v>3.4000000000000002E-2</v>
      </c>
      <c r="AA16" s="347">
        <f t="shared" ca="1" si="8"/>
        <v>3.4000000000000002E-2</v>
      </c>
      <c r="AB16" s="566"/>
      <c r="AC16" s="535"/>
    </row>
    <row r="17" spans="1:30" collapsed="1">
      <c r="A17" s="563"/>
      <c r="B17" s="567" t="s">
        <v>501</v>
      </c>
      <c r="C17" s="564"/>
      <c r="D17" s="563" t="s">
        <v>290</v>
      </c>
      <c r="E17" s="563"/>
      <c r="F17" s="568"/>
      <c r="G17" s="336" t="s">
        <v>292</v>
      </c>
      <c r="H17" s="367" t="s">
        <v>292</v>
      </c>
      <c r="I17" s="368">
        <f ca="1">INDEX(INDIRECT($B$16 &amp; $B$17), MATCH($D17, INDIRECT($B$16 &amp; $B$18), 0), MATCH(I$4, INDIRECT($B$16 &amp; $B$19), 0))</f>
        <v>20131</v>
      </c>
      <c r="J17" s="369"/>
      <c r="K17" s="369"/>
      <c r="L17" s="369"/>
      <c r="M17" s="369"/>
      <c r="N17" s="369"/>
      <c r="O17" s="370"/>
      <c r="P17" s="337"/>
      <c r="Q17" s="371"/>
      <c r="R17" s="371"/>
      <c r="S17" s="366" t="s">
        <v>600</v>
      </c>
      <c r="T17" s="75"/>
      <c r="U17" s="368">
        <f ca="1">I17</f>
        <v>20131</v>
      </c>
      <c r="V17" s="343">
        <f t="shared" ref="V17:AA17" ca="1" si="9">U17*(1+V16)</f>
        <v>20815.454000000002</v>
      </c>
      <c r="W17" s="343">
        <f t="shared" ca="1" si="9"/>
        <v>21523.179436000002</v>
      </c>
      <c r="X17" s="343">
        <f t="shared" ca="1" si="9"/>
        <v>22254.967536824002</v>
      </c>
      <c r="Y17" s="343">
        <f t="shared" ca="1" si="9"/>
        <v>23011.636433076019</v>
      </c>
      <c r="Z17" s="343">
        <f t="shared" ca="1" si="9"/>
        <v>23794.032071800604</v>
      </c>
      <c r="AA17" s="344">
        <f t="shared" ca="1" si="9"/>
        <v>24603.029162241826</v>
      </c>
      <c r="AB17" s="566"/>
      <c r="AC17" s="535"/>
    </row>
    <row r="18" spans="1:30" s="304" customFormat="1">
      <c r="A18" s="563"/>
      <c r="B18" s="567" t="s">
        <v>503</v>
      </c>
      <c r="C18" s="564"/>
      <c r="D18" s="564" t="s">
        <v>293</v>
      </c>
      <c r="E18" s="564"/>
      <c r="F18" s="565"/>
      <c r="G18" s="372" t="s">
        <v>294</v>
      </c>
      <c r="H18" s="373" t="s">
        <v>294</v>
      </c>
      <c r="I18" s="374">
        <f ca="1">INDEX(INDIRECT($B$16 &amp; $B$17), MATCH($D18, INDIRECT($B$16 &amp; $B$18), 0), MATCH(I$4, INDIRECT($B$16 &amp; $B$19), 0))</f>
        <v>0.35142824379017512</v>
      </c>
      <c r="J18" s="347">
        <f t="shared" ref="J18:O19" ca="1" si="10">INDEX(INDIRECT($B$16 &amp; $B$17), MATCH($D18, INDIRECT($B$16 &amp; $B$18), 0), MATCH(J$4, INDIRECT($B$16 &amp; $B$19), 0))</f>
        <v>0.36487979557608557</v>
      </c>
      <c r="K18" s="347">
        <f t="shared" ca="1" si="10"/>
        <v>0.36487979557608557</v>
      </c>
      <c r="L18" s="347">
        <f t="shared" ca="1" si="10"/>
        <v>0.34397979557608555</v>
      </c>
      <c r="M18" s="347">
        <f t="shared" ca="1" si="10"/>
        <v>0.34397979557608555</v>
      </c>
      <c r="N18" s="347">
        <f t="shared" ca="1" si="10"/>
        <v>0.34397979557608555</v>
      </c>
      <c r="O18" s="375">
        <f t="shared" ca="1" si="10"/>
        <v>0.34397979557608555</v>
      </c>
      <c r="P18" s="376"/>
      <c r="Q18" s="377"/>
      <c r="R18" s="377"/>
      <c r="S18" s="366" t="s">
        <v>599</v>
      </c>
      <c r="T18" s="378"/>
      <c r="U18" s="374">
        <f ca="1">I18</f>
        <v>0.35142824379017512</v>
      </c>
      <c r="V18" s="347">
        <f t="shared" ref="V18:Z19" ca="1" si="11">J18</f>
        <v>0.36487979557608557</v>
      </c>
      <c r="W18" s="347">
        <f t="shared" ca="1" si="11"/>
        <v>0.36487979557608557</v>
      </c>
      <c r="X18" s="347">
        <f t="shared" ca="1" si="11"/>
        <v>0.34397979557608555</v>
      </c>
      <c r="Y18" s="347">
        <f t="shared" ca="1" si="11"/>
        <v>0.34397979557608555</v>
      </c>
      <c r="Z18" s="347">
        <f t="shared" ca="1" si="11"/>
        <v>0.34397979557608555</v>
      </c>
      <c r="AA18" s="375">
        <f ca="1">O18</f>
        <v>0.34397979557608555</v>
      </c>
      <c r="AB18" s="569"/>
      <c r="AC18" s="535"/>
      <c r="AD18" s="11"/>
    </row>
    <row r="19" spans="1:30">
      <c r="A19" s="563"/>
      <c r="B19" s="567" t="s">
        <v>502</v>
      </c>
      <c r="C19" s="564"/>
      <c r="D19" s="564" t="s">
        <v>295</v>
      </c>
      <c r="E19" s="564"/>
      <c r="F19" s="565"/>
      <c r="G19" s="356" t="s">
        <v>296</v>
      </c>
      <c r="H19" s="379" t="s">
        <v>296</v>
      </c>
      <c r="I19" s="380">
        <f ca="1">INDEX(INDIRECT($B$16 &amp; $B$17), MATCH($D19, INDIRECT($B$16 &amp; $B$18), 0), MATCH(I$4, INDIRECT($B$16 &amp; $B$19), 0))</f>
        <v>420</v>
      </c>
      <c r="J19" s="381">
        <f t="shared" ca="1" si="10"/>
        <v>420</v>
      </c>
      <c r="K19" s="381">
        <f t="shared" ca="1" si="10"/>
        <v>420</v>
      </c>
      <c r="L19" s="381">
        <f t="shared" ca="1" si="10"/>
        <v>420</v>
      </c>
      <c r="M19" s="381">
        <f t="shared" ca="1" si="10"/>
        <v>420</v>
      </c>
      <c r="N19" s="381">
        <f t="shared" ca="1" si="10"/>
        <v>420</v>
      </c>
      <c r="O19" s="382">
        <f t="shared" ca="1" si="10"/>
        <v>420</v>
      </c>
      <c r="P19" s="383"/>
      <c r="Q19" s="371"/>
      <c r="R19" s="371"/>
      <c r="S19" s="366" t="s">
        <v>502</v>
      </c>
      <c r="T19" s="384"/>
      <c r="U19" s="380">
        <f ca="1">I19</f>
        <v>420</v>
      </c>
      <c r="V19" s="381">
        <f t="shared" ca="1" si="11"/>
        <v>420</v>
      </c>
      <c r="W19" s="381">
        <f t="shared" ca="1" si="11"/>
        <v>420</v>
      </c>
      <c r="X19" s="381">
        <f t="shared" ca="1" si="11"/>
        <v>420</v>
      </c>
      <c r="Y19" s="381">
        <f t="shared" ca="1" si="11"/>
        <v>420</v>
      </c>
      <c r="Z19" s="381">
        <f t="shared" ca="1" si="11"/>
        <v>420</v>
      </c>
      <c r="AA19" s="382">
        <f ca="1">O19</f>
        <v>420</v>
      </c>
      <c r="AB19" s="566"/>
      <c r="AC19" s="535"/>
    </row>
    <row r="20" spans="1:30" ht="15" hidden="1" customHeight="1" outlineLevel="1">
      <c r="A20" s="563"/>
      <c r="B20" s="563"/>
      <c r="C20" s="564"/>
      <c r="D20" s="564"/>
      <c r="E20" s="564"/>
      <c r="F20" s="564"/>
      <c r="G20" s="345"/>
      <c r="H20" s="330"/>
      <c r="I20" s="371"/>
      <c r="J20" s="371"/>
      <c r="K20" s="371"/>
      <c r="L20" s="371"/>
      <c r="M20" s="371"/>
      <c r="N20" s="371"/>
      <c r="O20" s="371"/>
      <c r="P20" s="346"/>
      <c r="Q20" s="371"/>
      <c r="R20" s="371"/>
      <c r="S20" s="384"/>
      <c r="T20" s="384"/>
      <c r="U20" s="371"/>
      <c r="V20" s="371"/>
      <c r="W20" s="371"/>
      <c r="X20" s="371"/>
      <c r="Y20" s="371"/>
      <c r="Z20" s="371"/>
      <c r="AA20" s="371"/>
      <c r="AB20" s="566"/>
      <c r="AC20" s="535"/>
    </row>
    <row r="21" spans="1:30" ht="15" hidden="1" customHeight="1" outlineLevel="1">
      <c r="A21" s="570"/>
      <c r="B21" s="571"/>
      <c r="C21" s="570"/>
      <c r="D21" s="570"/>
      <c r="E21" s="570"/>
      <c r="F21" s="570"/>
      <c r="G21" s="345"/>
      <c r="H21" s="330"/>
      <c r="I21" s="371"/>
      <c r="J21" s="371"/>
      <c r="K21" s="371"/>
      <c r="L21" s="371"/>
      <c r="M21" s="371"/>
      <c r="N21" s="371"/>
      <c r="O21" s="371"/>
      <c r="P21" s="346"/>
      <c r="Q21" s="371"/>
      <c r="R21" s="371"/>
      <c r="S21" s="384"/>
      <c r="T21" s="384"/>
      <c r="U21" s="371"/>
      <c r="V21" s="371"/>
      <c r="W21" s="371"/>
      <c r="X21" s="371"/>
      <c r="Y21" s="371"/>
      <c r="Z21" s="371"/>
      <c r="AA21" s="371"/>
      <c r="AB21" s="572"/>
      <c r="AC21" s="535"/>
    </row>
    <row r="22" spans="1:30" ht="15.95" hidden="1" customHeight="1" outlineLevel="1" thickBot="1">
      <c r="A22" s="570"/>
      <c r="B22" s="571"/>
      <c r="C22" s="570"/>
      <c r="D22" s="570"/>
      <c r="E22" s="570"/>
      <c r="F22" s="570"/>
      <c r="G22" s="345"/>
      <c r="H22" s="330"/>
      <c r="I22" s="371"/>
      <c r="J22" s="371"/>
      <c r="K22" s="371"/>
      <c r="L22" s="371"/>
      <c r="M22" s="371"/>
      <c r="N22" s="371"/>
      <c r="O22" s="371"/>
      <c r="P22" s="346"/>
      <c r="Q22" s="371"/>
      <c r="R22" s="371"/>
      <c r="S22" s="366" t="s">
        <v>952</v>
      </c>
      <c r="T22" s="384" t="s">
        <v>304</v>
      </c>
      <c r="U22" s="347">
        <f t="shared" ref="U22:AA22" ca="1" si="12">INDEX(INDIRECT($S$22 &amp; $S$23), MATCH($T22, INDIRECT($S$22 &amp; $S$24), 0), MATCH(U$4, INDIRECT($S$22 &amp; $S$25), 0))</f>
        <v>4.6282437901751152E-3</v>
      </c>
      <c r="V22" s="347">
        <f t="shared" ca="1" si="12"/>
        <v>5.1797955760855708E-3</v>
      </c>
      <c r="W22" s="347">
        <f t="shared" ca="1" si="12"/>
        <v>5.1797955760855708E-3</v>
      </c>
      <c r="X22" s="347">
        <f t="shared" ca="1" si="12"/>
        <v>5.1797955760855708E-3</v>
      </c>
      <c r="Y22" s="347">
        <f t="shared" ca="1" si="12"/>
        <v>5.1797955760855708E-3</v>
      </c>
      <c r="Z22" s="347">
        <f t="shared" ca="1" si="12"/>
        <v>5.1797955760855708E-3</v>
      </c>
      <c r="AA22" s="347">
        <f t="shared" ca="1" si="12"/>
        <v>5.1797955760855708E-3</v>
      </c>
      <c r="AB22" s="572"/>
      <c r="AC22" s="535"/>
    </row>
    <row r="23" spans="1:30" collapsed="1">
      <c r="A23" s="570"/>
      <c r="B23" s="573" t="s">
        <v>385</v>
      </c>
      <c r="C23" s="570" t="s">
        <v>59</v>
      </c>
      <c r="D23" s="570" t="s">
        <v>13</v>
      </c>
      <c r="E23" s="574">
        <f>IF(LEFT($F$3)="E", (1/6)*$H$2,0)</f>
        <v>0</v>
      </c>
      <c r="F23" s="575">
        <f>IF(LEFT($G$3, 1)="E", 1, 0)</f>
        <v>0</v>
      </c>
      <c r="G23" s="336" t="s">
        <v>297</v>
      </c>
      <c r="H23" s="387" t="s">
        <v>400</v>
      </c>
      <c r="I23" s="369">
        <f t="shared" ref="I23:O23" ca="1" si="13">$F23*IF(VLOOKUP($C23,INDIRECT($B$23 &amp; $B$24), MATCH(I$4,INDIRECT($B$23 &amp; $B$25),0)+6, 0)="Y",$E23/VLOOKUP($D23,INDIRECT($B$23 &amp; $B$24), MATCH(I$4,INDIRECT($B$23 &amp; $B$25),0)+6, 0),(0.5*$E23)/VLOOKUP($D23,INDIRECT($B$23 &amp; $B$24), MATCH(I$4,INDIRECT($B$23 &amp; $B$25),0)+6, 0))</f>
        <v>0</v>
      </c>
      <c r="J23" s="369">
        <f t="shared" ca="1" si="13"/>
        <v>0</v>
      </c>
      <c r="K23" s="369">
        <f t="shared" ca="1" si="13"/>
        <v>0</v>
      </c>
      <c r="L23" s="369">
        <f t="shared" ca="1" si="13"/>
        <v>0</v>
      </c>
      <c r="M23" s="369">
        <f t="shared" ca="1" si="13"/>
        <v>0</v>
      </c>
      <c r="N23" s="369">
        <f t="shared" ca="1" si="13"/>
        <v>0</v>
      </c>
      <c r="O23" s="369">
        <f t="shared" ca="1" si="13"/>
        <v>0</v>
      </c>
      <c r="P23" s="388"/>
      <c r="Q23" s="371"/>
      <c r="R23" s="371"/>
      <c r="S23" s="366" t="s">
        <v>600</v>
      </c>
      <c r="T23" s="384"/>
      <c r="U23" s="368">
        <f t="shared" ref="U23:U32" ca="1" si="14">((U$7*(1+U$18))+U$17+U$19)*I23</f>
        <v>0</v>
      </c>
      <c r="V23" s="343">
        <f t="shared" ref="V23:V32" ca="1" si="15">((V$7*(1+V$18))+V$17+V$19)*J23</f>
        <v>0</v>
      </c>
      <c r="W23" s="343">
        <f t="shared" ref="W23:W32" ca="1" si="16">((W$7*(1+W$18))+W$17+W$19)*K23</f>
        <v>0</v>
      </c>
      <c r="X23" s="343">
        <f t="shared" ref="X23:X32" ca="1" si="17">((X$7*(1+X$18))+X$17+X$19)*L23</f>
        <v>0</v>
      </c>
      <c r="Y23" s="343">
        <f t="shared" ref="Y23:Y32" ca="1" si="18">((Y$7*(1+Y$18))+Y$17+Y$19)*M23</f>
        <v>0</v>
      </c>
      <c r="Z23" s="343">
        <f t="shared" ref="Z23:Z32" ca="1" si="19">((Z$7*(1+Z$18))+Z$17+Z$19)*N23</f>
        <v>0</v>
      </c>
      <c r="AA23" s="344">
        <f t="shared" ref="AA23:AA32" ca="1" si="20">((AA$7*(1+AA$18))+AA$17+AA$19)*O23</f>
        <v>0</v>
      </c>
      <c r="AB23" s="572"/>
      <c r="AC23" s="535">
        <v>1</v>
      </c>
    </row>
    <row r="24" spans="1:30">
      <c r="A24" s="570"/>
      <c r="B24" s="570" t="s">
        <v>386</v>
      </c>
      <c r="C24" s="570" t="s">
        <v>59</v>
      </c>
      <c r="D24" s="570" t="s">
        <v>14</v>
      </c>
      <c r="E24" s="574">
        <f>IF(LEFT($F$3)="E", (1/6)*$H$2, 0)</f>
        <v>0</v>
      </c>
      <c r="F24" s="575">
        <f>IF(LEFT($G$3, 1)="E", 1, 0)</f>
        <v>0</v>
      </c>
      <c r="G24" s="345"/>
      <c r="H24" s="389" t="s">
        <v>401</v>
      </c>
      <c r="I24" s="390">
        <f t="shared" ref="I24:O26" ca="1" si="21">$F24*$E24/VLOOKUP($D24,INDIRECT($B$23 &amp; $B$24), MATCH(I$4,INDIRECT($B$23 &amp; $B$25),0)+6, 0)</f>
        <v>0</v>
      </c>
      <c r="J24" s="390">
        <f t="shared" ca="1" si="21"/>
        <v>0</v>
      </c>
      <c r="K24" s="390">
        <f t="shared" ca="1" si="21"/>
        <v>0</v>
      </c>
      <c r="L24" s="390">
        <f t="shared" ca="1" si="21"/>
        <v>0</v>
      </c>
      <c r="M24" s="390">
        <f t="shared" ca="1" si="21"/>
        <v>0</v>
      </c>
      <c r="N24" s="390">
        <f t="shared" ca="1" si="21"/>
        <v>0</v>
      </c>
      <c r="O24" s="390">
        <f t="shared" ca="1" si="21"/>
        <v>0</v>
      </c>
      <c r="P24" s="391"/>
      <c r="Q24" s="371"/>
      <c r="R24" s="371"/>
      <c r="S24" s="371" t="s">
        <v>599</v>
      </c>
      <c r="T24" s="390"/>
      <c r="U24" s="392">
        <f t="shared" ca="1" si="14"/>
        <v>0</v>
      </c>
      <c r="V24" s="351">
        <f t="shared" ca="1" si="15"/>
        <v>0</v>
      </c>
      <c r="W24" s="351">
        <f t="shared" ca="1" si="16"/>
        <v>0</v>
      </c>
      <c r="X24" s="351">
        <f t="shared" ca="1" si="17"/>
        <v>0</v>
      </c>
      <c r="Y24" s="351">
        <f t="shared" ca="1" si="18"/>
        <v>0</v>
      </c>
      <c r="Z24" s="351">
        <f t="shared" ca="1" si="19"/>
        <v>0</v>
      </c>
      <c r="AA24" s="352">
        <f t="shared" ca="1" si="20"/>
        <v>0</v>
      </c>
      <c r="AB24" s="572"/>
      <c r="AC24" s="535">
        <v>1</v>
      </c>
    </row>
    <row r="25" spans="1:30">
      <c r="A25" s="570"/>
      <c r="B25" s="570" t="s">
        <v>387</v>
      </c>
      <c r="C25" s="570" t="s">
        <v>59</v>
      </c>
      <c r="D25" s="570" t="s">
        <v>63</v>
      </c>
      <c r="E25" s="574">
        <f>IF(LEFT($F$3)="E", (2/6)*$H$2,0)</f>
        <v>0</v>
      </c>
      <c r="F25" s="575">
        <f>IF(LEFT($G$3, 1)="E", 1, 0)</f>
        <v>0</v>
      </c>
      <c r="G25" s="345"/>
      <c r="H25" s="389" t="s">
        <v>402</v>
      </c>
      <c r="I25" s="390">
        <f t="shared" ca="1" si="21"/>
        <v>0</v>
      </c>
      <c r="J25" s="390">
        <f t="shared" ca="1" si="21"/>
        <v>0</v>
      </c>
      <c r="K25" s="390">
        <f t="shared" ca="1" si="21"/>
        <v>0</v>
      </c>
      <c r="L25" s="390">
        <f t="shared" ca="1" si="21"/>
        <v>0</v>
      </c>
      <c r="M25" s="390">
        <f t="shared" ca="1" si="21"/>
        <v>0</v>
      </c>
      <c r="N25" s="390">
        <f t="shared" ca="1" si="21"/>
        <v>0</v>
      </c>
      <c r="O25" s="390">
        <f t="shared" ca="1" si="21"/>
        <v>0</v>
      </c>
      <c r="P25" s="391"/>
      <c r="Q25" s="371"/>
      <c r="R25" s="371"/>
      <c r="S25" s="366" t="s">
        <v>502</v>
      </c>
      <c r="T25" s="390"/>
      <c r="U25" s="392">
        <f t="shared" ca="1" si="14"/>
        <v>0</v>
      </c>
      <c r="V25" s="351">
        <f t="shared" ca="1" si="15"/>
        <v>0</v>
      </c>
      <c r="W25" s="351">
        <f t="shared" ca="1" si="16"/>
        <v>0</v>
      </c>
      <c r="X25" s="351">
        <f t="shared" ca="1" si="17"/>
        <v>0</v>
      </c>
      <c r="Y25" s="351">
        <f t="shared" ca="1" si="18"/>
        <v>0</v>
      </c>
      <c r="Z25" s="351">
        <f t="shared" ca="1" si="19"/>
        <v>0</v>
      </c>
      <c r="AA25" s="352">
        <f t="shared" ca="1" si="20"/>
        <v>0</v>
      </c>
      <c r="AB25" s="572"/>
      <c r="AC25" s="535">
        <v>1</v>
      </c>
    </row>
    <row r="26" spans="1:30">
      <c r="A26" s="570"/>
      <c r="B26" s="570"/>
      <c r="C26" s="570" t="s">
        <v>59</v>
      </c>
      <c r="D26" s="570" t="s">
        <v>64</v>
      </c>
      <c r="E26" s="574">
        <f>IF(LEFT($F$3)="E", (2/6)*$H$2, 0)</f>
        <v>0</v>
      </c>
      <c r="F26" s="575">
        <f>IF(LEFT($G$3, 1)="E", 1, 0)</f>
        <v>0</v>
      </c>
      <c r="G26" s="345"/>
      <c r="H26" s="389" t="s">
        <v>403</v>
      </c>
      <c r="I26" s="390">
        <f t="shared" ca="1" si="21"/>
        <v>0</v>
      </c>
      <c r="J26" s="390">
        <f t="shared" ca="1" si="21"/>
        <v>0</v>
      </c>
      <c r="K26" s="390">
        <f t="shared" ca="1" si="21"/>
        <v>0</v>
      </c>
      <c r="L26" s="390">
        <f t="shared" ca="1" si="21"/>
        <v>0</v>
      </c>
      <c r="M26" s="390">
        <f t="shared" ca="1" si="21"/>
        <v>0</v>
      </c>
      <c r="N26" s="390">
        <f t="shared" ca="1" si="21"/>
        <v>0</v>
      </c>
      <c r="O26" s="390">
        <f t="shared" ca="1" si="21"/>
        <v>0</v>
      </c>
      <c r="P26" s="391"/>
      <c r="Q26" s="371"/>
      <c r="R26" s="371"/>
      <c r="S26" s="371"/>
      <c r="T26" s="390"/>
      <c r="U26" s="392">
        <f t="shared" ca="1" si="14"/>
        <v>0</v>
      </c>
      <c r="V26" s="351">
        <f t="shared" ca="1" si="15"/>
        <v>0</v>
      </c>
      <c r="W26" s="351">
        <f t="shared" ca="1" si="16"/>
        <v>0</v>
      </c>
      <c r="X26" s="351">
        <f t="shared" ca="1" si="17"/>
        <v>0</v>
      </c>
      <c r="Y26" s="351">
        <f t="shared" ca="1" si="18"/>
        <v>0</v>
      </c>
      <c r="Z26" s="351">
        <f t="shared" ca="1" si="19"/>
        <v>0</v>
      </c>
      <c r="AA26" s="352">
        <f t="shared" ca="1" si="20"/>
        <v>0</v>
      </c>
      <c r="AB26" s="572"/>
      <c r="AC26" s="535">
        <v>1</v>
      </c>
    </row>
    <row r="27" spans="1:30">
      <c r="A27" s="570"/>
      <c r="B27" s="570"/>
      <c r="C27" s="570" t="s">
        <v>59</v>
      </c>
      <c r="D27" s="570" t="str">
        <f>LEFT($G$3,1) &amp; "S_ProgramStaff"</f>
        <v>MS_ProgramStaff</v>
      </c>
      <c r="E27" s="570"/>
      <c r="F27" s="575">
        <f>IF(LEFT($G$3, 1)="E", 1, 0)</f>
        <v>0</v>
      </c>
      <c r="G27" s="345"/>
      <c r="H27" s="372" t="s">
        <v>397</v>
      </c>
      <c r="I27" s="390">
        <f t="shared" ref="I27:O27" ca="1" si="22">$F27*VLOOKUP($D27,INDIRECT($B$23 &amp; $B$24), MATCH(I$4,INDIRECT($B$23 &amp; $B$25),0)+6, 0)</f>
        <v>0</v>
      </c>
      <c r="J27" s="390">
        <f t="shared" ca="1" si="22"/>
        <v>0</v>
      </c>
      <c r="K27" s="390">
        <f t="shared" ca="1" si="22"/>
        <v>0</v>
      </c>
      <c r="L27" s="390">
        <f t="shared" ca="1" si="22"/>
        <v>0</v>
      </c>
      <c r="M27" s="390">
        <f t="shared" ca="1" si="22"/>
        <v>0</v>
      </c>
      <c r="N27" s="390">
        <f t="shared" ca="1" si="22"/>
        <v>0</v>
      </c>
      <c r="O27" s="390">
        <f t="shared" ca="1" si="22"/>
        <v>0</v>
      </c>
      <c r="P27" s="391"/>
      <c r="Q27" s="371"/>
      <c r="R27" s="371"/>
      <c r="S27" s="390"/>
      <c r="T27" s="390"/>
      <c r="U27" s="392">
        <f t="shared" ca="1" si="14"/>
        <v>0</v>
      </c>
      <c r="V27" s="351">
        <f t="shared" ca="1" si="15"/>
        <v>0</v>
      </c>
      <c r="W27" s="351">
        <f t="shared" ca="1" si="16"/>
        <v>0</v>
      </c>
      <c r="X27" s="351">
        <f t="shared" ca="1" si="17"/>
        <v>0</v>
      </c>
      <c r="Y27" s="351">
        <f t="shared" ca="1" si="18"/>
        <v>0</v>
      </c>
      <c r="Z27" s="351">
        <f t="shared" ca="1" si="19"/>
        <v>0</v>
      </c>
      <c r="AA27" s="352">
        <f t="shared" ca="1" si="20"/>
        <v>0</v>
      </c>
      <c r="AB27" s="572"/>
      <c r="AC27" s="535">
        <v>1</v>
      </c>
    </row>
    <row r="28" spans="1:30">
      <c r="A28" s="570"/>
      <c r="B28" s="570"/>
      <c r="C28" s="570"/>
      <c r="D28" s="576" t="str">
        <f>LEFT($G$3,1) &amp; "S_CoreStaff"</f>
        <v>MS_CoreStaff</v>
      </c>
      <c r="E28" s="570"/>
      <c r="F28" s="575">
        <f>IF(LEFT($G$3, 1)="E", 0, 1)</f>
        <v>1</v>
      </c>
      <c r="G28" s="345"/>
      <c r="H28" s="389" t="s">
        <v>399</v>
      </c>
      <c r="I28" s="390">
        <f t="shared" ref="I28:O28" ca="1" si="23">IFERROR($F28*VLOOKUP($D28,INDIRECT($B$23 &amp; $B$24), MATCH(I$4,INDIRECT($B$23 &amp; $B$25),0)+6, 0),0)</f>
        <v>26</v>
      </c>
      <c r="J28" s="390">
        <f t="shared" ca="1" si="23"/>
        <v>26</v>
      </c>
      <c r="K28" s="390">
        <f t="shared" ca="1" si="23"/>
        <v>26</v>
      </c>
      <c r="L28" s="390">
        <f t="shared" ca="1" si="23"/>
        <v>26</v>
      </c>
      <c r="M28" s="390">
        <f t="shared" ca="1" si="23"/>
        <v>26</v>
      </c>
      <c r="N28" s="390">
        <f t="shared" ca="1" si="23"/>
        <v>26</v>
      </c>
      <c r="O28" s="390">
        <f t="shared" ca="1" si="23"/>
        <v>26</v>
      </c>
      <c r="P28" s="391"/>
      <c r="Q28" s="371"/>
      <c r="R28" s="371"/>
      <c r="S28" s="390"/>
      <c r="T28" s="390"/>
      <c r="U28" s="392">
        <f t="shared" ca="1" si="14"/>
        <v>3403624.3900855482</v>
      </c>
      <c r="V28" s="351">
        <f t="shared" ca="1" si="15"/>
        <v>3615916.6168022808</v>
      </c>
      <c r="W28" s="351">
        <f t="shared" ca="1" si="16"/>
        <v>3850154.9624021407</v>
      </c>
      <c r="X28" s="351">
        <f t="shared" ca="1" si="17"/>
        <v>3953239.0815322865</v>
      </c>
      <c r="Y28" s="351">
        <f t="shared" ca="1" si="18"/>
        <v>4124095.9410675913</v>
      </c>
      <c r="Z28" s="351">
        <f t="shared" ca="1" si="19"/>
        <v>4231182.6947511081</v>
      </c>
      <c r="AA28" s="352">
        <f t="shared" ca="1" si="20"/>
        <v>4440917.2734468626</v>
      </c>
      <c r="AB28" s="572"/>
      <c r="AC28" s="535">
        <v>1</v>
      </c>
    </row>
    <row r="29" spans="1:30">
      <c r="A29" s="570"/>
      <c r="B29" s="570"/>
      <c r="C29" s="570"/>
      <c r="D29" s="576" t="str">
        <f>LEFT($G$3,1) &amp; "S_ProgramStaff"</f>
        <v>MS_ProgramStaff</v>
      </c>
      <c r="E29" s="570"/>
      <c r="F29" s="575">
        <f>IF(LEFT($G$3, 1)="E", 0, 1)</f>
        <v>1</v>
      </c>
      <c r="G29" s="336"/>
      <c r="H29" s="387" t="s">
        <v>398</v>
      </c>
      <c r="I29" s="369">
        <f t="shared" ref="I29:O29" ca="1" si="24">$F29*VLOOKUP($D29,INDIRECT($B$23 &amp; $B$24), MATCH(I$4,INDIRECT($B$23 &amp; $B$25),0)+6, 0)</f>
        <v>0.75</v>
      </c>
      <c r="J29" s="369">
        <f t="shared" ca="1" si="24"/>
        <v>0.75</v>
      </c>
      <c r="K29" s="369">
        <f t="shared" ca="1" si="24"/>
        <v>0.75</v>
      </c>
      <c r="L29" s="369">
        <f t="shared" ca="1" si="24"/>
        <v>1.5</v>
      </c>
      <c r="M29" s="369">
        <f t="shared" ca="1" si="24"/>
        <v>1.5</v>
      </c>
      <c r="N29" s="369">
        <f t="shared" ca="1" si="24"/>
        <v>0.75</v>
      </c>
      <c r="O29" s="369">
        <f t="shared" ca="1" si="24"/>
        <v>0.75</v>
      </c>
      <c r="P29" s="388"/>
      <c r="Q29" s="393"/>
      <c r="R29" s="393"/>
      <c r="S29" s="369"/>
      <c r="T29" s="369"/>
      <c r="U29" s="343">
        <f t="shared" ca="1" si="14"/>
        <v>98181.472790929271</v>
      </c>
      <c r="V29" s="343">
        <f t="shared" ca="1" si="15"/>
        <v>104305.28702314271</v>
      </c>
      <c r="W29" s="343">
        <f t="shared" ca="1" si="16"/>
        <v>111062.16237698484</v>
      </c>
      <c r="X29" s="343">
        <f t="shared" ca="1" si="17"/>
        <v>228071.48547301651</v>
      </c>
      <c r="Y29" s="343">
        <f t="shared" ca="1" si="18"/>
        <v>237928.61198466874</v>
      </c>
      <c r="Z29" s="343">
        <f t="shared" ca="1" si="19"/>
        <v>122053.34696397427</v>
      </c>
      <c r="AA29" s="344">
        <f t="shared" ca="1" si="20"/>
        <v>128103.38288789026</v>
      </c>
      <c r="AB29" s="572"/>
      <c r="AC29" s="535">
        <v>1</v>
      </c>
    </row>
    <row r="30" spans="1:30">
      <c r="A30" s="570"/>
      <c r="B30" s="570"/>
      <c r="C30" s="570"/>
      <c r="D30" s="577" t="str">
        <f>LEFT($G$3,1) &amp; "S_librarian"</f>
        <v>MS_librarian</v>
      </c>
      <c r="E30" s="570"/>
      <c r="F30" s="575"/>
      <c r="G30" s="345"/>
      <c r="H30" s="372" t="s">
        <v>298</v>
      </c>
      <c r="I30" s="390">
        <f t="shared" ref="I30:O32" ca="1" si="25">VLOOKUP($D30,INDIRECT($B$23 &amp; $B$24), MATCH(I$4,INDIRECT($B$23 &amp; $B$25),0)+6, 0)</f>
        <v>0.75</v>
      </c>
      <c r="J30" s="390">
        <f t="shared" ca="1" si="25"/>
        <v>0.75</v>
      </c>
      <c r="K30" s="390">
        <f t="shared" ca="1" si="25"/>
        <v>0.75</v>
      </c>
      <c r="L30" s="390">
        <f t="shared" ca="1" si="25"/>
        <v>1</v>
      </c>
      <c r="M30" s="390">
        <f t="shared" ca="1" si="25"/>
        <v>1</v>
      </c>
      <c r="N30" s="390">
        <f t="shared" ca="1" si="25"/>
        <v>0.75</v>
      </c>
      <c r="O30" s="390">
        <f t="shared" ca="1" si="25"/>
        <v>0.75</v>
      </c>
      <c r="P30" s="391"/>
      <c r="Q30" s="371"/>
      <c r="R30" s="371"/>
      <c r="S30" s="390"/>
      <c r="T30" s="390"/>
      <c r="U30" s="351">
        <f t="shared" ca="1" si="14"/>
        <v>98181.472790929271</v>
      </c>
      <c r="V30" s="351">
        <f t="shared" ca="1" si="15"/>
        <v>104305.28702314271</v>
      </c>
      <c r="W30" s="351">
        <f t="shared" ca="1" si="16"/>
        <v>111062.16237698484</v>
      </c>
      <c r="X30" s="351">
        <f t="shared" ca="1" si="17"/>
        <v>152047.65698201102</v>
      </c>
      <c r="Y30" s="351">
        <f t="shared" ca="1" si="18"/>
        <v>158619.07465644582</v>
      </c>
      <c r="Z30" s="351">
        <f t="shared" ca="1" si="19"/>
        <v>122053.34696397427</v>
      </c>
      <c r="AA30" s="352">
        <f t="shared" ca="1" si="20"/>
        <v>128103.38288789026</v>
      </c>
      <c r="AB30" s="572"/>
      <c r="AC30" s="535">
        <v>1</v>
      </c>
    </row>
    <row r="31" spans="1:30">
      <c r="A31" s="570"/>
      <c r="B31" s="570"/>
      <c r="C31" s="570"/>
      <c r="D31" s="570" t="str">
        <f>LEFT($G$3,1) &amp; "S_ESL"</f>
        <v>MS_ESL</v>
      </c>
      <c r="E31" s="570"/>
      <c r="F31" s="575"/>
      <c r="G31" s="345"/>
      <c r="H31" s="389" t="s">
        <v>299</v>
      </c>
      <c r="I31" s="390">
        <f t="shared" ca="1" si="25"/>
        <v>0.5</v>
      </c>
      <c r="J31" s="390">
        <f t="shared" ca="1" si="25"/>
        <v>0.5</v>
      </c>
      <c r="K31" s="390">
        <f t="shared" ca="1" si="25"/>
        <v>0.5</v>
      </c>
      <c r="L31" s="390">
        <f t="shared" ca="1" si="25"/>
        <v>1</v>
      </c>
      <c r="M31" s="390">
        <f t="shared" ca="1" si="25"/>
        <v>1</v>
      </c>
      <c r="N31" s="390">
        <f t="shared" ca="1" si="25"/>
        <v>0.5</v>
      </c>
      <c r="O31" s="390">
        <f t="shared" ca="1" si="25"/>
        <v>0.5</v>
      </c>
      <c r="P31" s="391"/>
      <c r="Q31" s="390"/>
      <c r="R31" s="390"/>
      <c r="S31" s="394" t="s">
        <v>944</v>
      </c>
      <c r="T31" s="394"/>
      <c r="U31" s="351">
        <f t="shared" ca="1" si="14"/>
        <v>65454.315193952847</v>
      </c>
      <c r="V31" s="351">
        <f t="shared" ca="1" si="15"/>
        <v>69536.858015428472</v>
      </c>
      <c r="W31" s="351">
        <f t="shared" ca="1" si="16"/>
        <v>74041.441584656553</v>
      </c>
      <c r="X31" s="351">
        <f t="shared" ca="1" si="17"/>
        <v>152047.65698201102</v>
      </c>
      <c r="Y31" s="351">
        <f t="shared" ca="1" si="18"/>
        <v>158619.07465644582</v>
      </c>
      <c r="Z31" s="351">
        <f t="shared" ca="1" si="19"/>
        <v>81368.897975982851</v>
      </c>
      <c r="AA31" s="352">
        <f t="shared" ca="1" si="20"/>
        <v>85402.255258593505</v>
      </c>
      <c r="AB31" s="572"/>
      <c r="AC31" s="535">
        <v>1</v>
      </c>
    </row>
    <row r="32" spans="1:30">
      <c r="A32" s="570"/>
      <c r="B32" s="570"/>
      <c r="C32" s="570"/>
      <c r="D32" s="570" t="str">
        <f>LEFT($G$3,1) &amp; "S_SpEd"</f>
        <v>MS_SpEd</v>
      </c>
      <c r="E32" s="570"/>
      <c r="F32" s="575"/>
      <c r="G32" s="345"/>
      <c r="H32" s="372" t="s">
        <v>300</v>
      </c>
      <c r="I32" s="390">
        <f t="shared" ca="1" si="25"/>
        <v>3.5</v>
      </c>
      <c r="J32" s="390">
        <f t="shared" ca="1" si="25"/>
        <v>3.5</v>
      </c>
      <c r="K32" s="390">
        <f t="shared" ca="1" si="25"/>
        <v>3.5</v>
      </c>
      <c r="L32" s="390">
        <f t="shared" ca="1" si="25"/>
        <v>4.5</v>
      </c>
      <c r="M32" s="390">
        <f t="shared" ca="1" si="25"/>
        <v>4.5</v>
      </c>
      <c r="N32" s="390">
        <f t="shared" ca="1" si="25"/>
        <v>3.5</v>
      </c>
      <c r="O32" s="390">
        <f t="shared" ca="1" si="25"/>
        <v>3.5</v>
      </c>
      <c r="P32" s="391"/>
      <c r="Q32" s="390"/>
      <c r="R32" s="390"/>
      <c r="S32" s="390" t="s">
        <v>390</v>
      </c>
      <c r="T32" s="390"/>
      <c r="U32" s="351">
        <f t="shared" ca="1" si="14"/>
        <v>458180.2063576699</v>
      </c>
      <c r="V32" s="351">
        <f t="shared" ca="1" si="15"/>
        <v>486758.0061079993</v>
      </c>
      <c r="W32" s="351">
        <f t="shared" ca="1" si="16"/>
        <v>518290.09109259589</v>
      </c>
      <c r="X32" s="351">
        <f t="shared" ca="1" si="17"/>
        <v>684214.45641904953</v>
      </c>
      <c r="Y32" s="351">
        <f t="shared" ca="1" si="18"/>
        <v>713785.83595400618</v>
      </c>
      <c r="Z32" s="351">
        <f t="shared" ca="1" si="19"/>
        <v>569582.28583187994</v>
      </c>
      <c r="AA32" s="352">
        <f t="shared" ca="1" si="20"/>
        <v>597815.78681015456</v>
      </c>
      <c r="AB32" s="572"/>
      <c r="AC32" s="535">
        <v>1</v>
      </c>
    </row>
    <row r="33" spans="1:29">
      <c r="A33" s="570"/>
      <c r="B33" s="570"/>
      <c r="C33" s="570"/>
      <c r="D33" s="570"/>
      <c r="E33" s="570"/>
      <c r="F33" s="575"/>
      <c r="G33" s="345"/>
      <c r="H33" s="389" t="s">
        <v>301</v>
      </c>
      <c r="I33" s="390"/>
      <c r="J33" s="390"/>
      <c r="K33" s="390"/>
      <c r="L33" s="390"/>
      <c r="M33" s="390"/>
      <c r="N33" s="390"/>
      <c r="O33" s="390"/>
      <c r="P33" s="395">
        <f ca="1">INDEX(INDIRECT($S$31 &amp; $S$32),MATCH($T33,INDIRECT($S$31 &amp; $S$33),0),MATCH($G$3,INDIRECT($S$31 &amp; $S$34),0))</f>
        <v>117.962415514725</v>
      </c>
      <c r="Q33" s="390"/>
      <c r="R33" s="390"/>
      <c r="S33" s="390" t="s">
        <v>391</v>
      </c>
      <c r="T33" s="177" t="s">
        <v>389</v>
      </c>
      <c r="U33" s="351">
        <f ca="1">$P33*$H$2</f>
        <v>58981.207757362499</v>
      </c>
      <c r="V33" s="351">
        <f t="shared" ref="V33:Z34" ca="1" si="26">U33*(1+J$7)</f>
        <v>62358.578899579334</v>
      </c>
      <c r="W33" s="351">
        <f t="shared" ca="1" si="26"/>
        <v>66751.601152803982</v>
      </c>
      <c r="X33" s="351">
        <f t="shared" ca="1" si="26"/>
        <v>69527.105953607301</v>
      </c>
      <c r="Y33" s="351">
        <f t="shared" ca="1" si="26"/>
        <v>72652.051845418653</v>
      </c>
      <c r="Z33" s="351">
        <f t="shared" ca="1" si="26"/>
        <v>74445.050572047301</v>
      </c>
      <c r="AA33" s="352">
        <f ca="1">Z33*(1+O$7)</f>
        <v>78345.472631868339</v>
      </c>
      <c r="AB33" s="572"/>
      <c r="AC33" s="535">
        <v>1</v>
      </c>
    </row>
    <row r="34" spans="1:29">
      <c r="A34" s="570"/>
      <c r="B34" s="570"/>
      <c r="C34" s="570"/>
      <c r="D34" s="570"/>
      <c r="E34" s="570"/>
      <c r="F34" s="575"/>
      <c r="G34" s="345"/>
      <c r="H34" s="389" t="s">
        <v>302</v>
      </c>
      <c r="I34" s="390"/>
      <c r="J34" s="390"/>
      <c r="K34" s="390"/>
      <c r="L34" s="390"/>
      <c r="M34" s="390"/>
      <c r="N34" s="390"/>
      <c r="O34" s="390"/>
      <c r="P34" s="395">
        <f ca="1">INDEX(INDIRECT($S$31 &amp; $S$32),MATCH($T34,INDIRECT($S$31 &amp; $S$33),0),MATCH($G$3,INDIRECT($S$31 &amp; $S$34),0))</f>
        <v>21.389497615622687</v>
      </c>
      <c r="Q34" s="390"/>
      <c r="R34" s="390"/>
      <c r="S34" s="390" t="s">
        <v>392</v>
      </c>
      <c r="T34" s="177" t="s">
        <v>388</v>
      </c>
      <c r="U34" s="351">
        <f ca="1">$P34*$H$2</f>
        <v>10694.748807811344</v>
      </c>
      <c r="V34" s="351">
        <f t="shared" ca="1" si="26"/>
        <v>11307.149560019596</v>
      </c>
      <c r="W34" s="351">
        <f t="shared" ca="1" si="26"/>
        <v>12103.712928112009</v>
      </c>
      <c r="X34" s="351">
        <f t="shared" ca="1" si="26"/>
        <v>12606.980456670894</v>
      </c>
      <c r="Y34" s="351">
        <f t="shared" ca="1" si="26"/>
        <v>13173.610280332867</v>
      </c>
      <c r="Z34" s="351">
        <f t="shared" ca="1" si="26"/>
        <v>13498.72520630902</v>
      </c>
      <c r="AA34" s="352">
        <f ca="1">Z34*(1+O$7)</f>
        <v>14205.968000417877</v>
      </c>
      <c r="AB34" s="572"/>
      <c r="AC34" s="535">
        <v>1</v>
      </c>
    </row>
    <row r="35" spans="1:29">
      <c r="A35" s="570"/>
      <c r="B35" s="570"/>
      <c r="C35" s="570"/>
      <c r="D35" s="570" t="str">
        <f>LEFT($G$3,1) &amp; "S_ASSP"</f>
        <v>MS_ASSP</v>
      </c>
      <c r="E35" s="570"/>
      <c r="F35" s="575">
        <f>IF(LEFT($G$3, 1)="E", 0, 1)</f>
        <v>1</v>
      </c>
      <c r="G35" s="345"/>
      <c r="H35" s="372" t="s">
        <v>303</v>
      </c>
      <c r="I35" s="390">
        <f t="shared" ref="I35:O35" ca="1" si="27">IFERROR($F35*VLOOKUP($D35,INDIRECT($B$23 &amp; $B$24), MATCH(I$4,INDIRECT($B$23 &amp; $B$25),0)+6, 0),0)</f>
        <v>0</v>
      </c>
      <c r="J35" s="390">
        <f t="shared" ca="1" si="27"/>
        <v>0</v>
      </c>
      <c r="K35" s="390">
        <f t="shared" ca="1" si="27"/>
        <v>0</v>
      </c>
      <c r="L35" s="390">
        <f t="shared" ca="1" si="27"/>
        <v>0</v>
      </c>
      <c r="M35" s="390">
        <f t="shared" ca="1" si="27"/>
        <v>0</v>
      </c>
      <c r="N35" s="390">
        <f t="shared" ca="1" si="27"/>
        <v>0</v>
      </c>
      <c r="O35" s="390">
        <f t="shared" ca="1" si="27"/>
        <v>0</v>
      </c>
      <c r="P35" s="391"/>
      <c r="Q35" s="390"/>
      <c r="R35" s="390"/>
      <c r="S35" s="390"/>
      <c r="T35" s="390"/>
      <c r="U35" s="351">
        <f t="shared" ref="U35:Z35" ca="1" si="28">((U$7*(1+U$18))+U$17+U$19)*I35</f>
        <v>0</v>
      </c>
      <c r="V35" s="351">
        <f t="shared" ca="1" si="28"/>
        <v>0</v>
      </c>
      <c r="W35" s="351">
        <f t="shared" ca="1" si="28"/>
        <v>0</v>
      </c>
      <c r="X35" s="351">
        <f t="shared" ca="1" si="28"/>
        <v>0</v>
      </c>
      <c r="Y35" s="351">
        <f t="shared" ca="1" si="28"/>
        <v>0</v>
      </c>
      <c r="Z35" s="351">
        <f t="shared" ca="1" si="28"/>
        <v>0</v>
      </c>
      <c r="AA35" s="352">
        <f ca="1">((AA$7*(1+AA$18))+AA$17+AA$19)*O35</f>
        <v>0</v>
      </c>
      <c r="AB35" s="572"/>
      <c r="AC35" s="535">
        <v>1</v>
      </c>
    </row>
    <row r="36" spans="1:29">
      <c r="A36" s="570"/>
      <c r="B36" s="570"/>
      <c r="C36" s="570"/>
      <c r="D36" s="570" t="str">
        <f>LEFT($G$3,1) &amp; "S_Couns"</f>
        <v>MS_Couns</v>
      </c>
      <c r="E36" s="570"/>
      <c r="F36" s="575">
        <v>1</v>
      </c>
      <c r="G36" s="345"/>
      <c r="H36" s="389" t="s">
        <v>157</v>
      </c>
      <c r="I36" s="390">
        <f t="shared" ref="I36:O37" ca="1" si="29">VLOOKUP($D36,INDIRECT($B$23 &amp; $B$24), MATCH(I$4,INDIRECT($B$23 &amp; $B$25),0)+6, 0)</f>
        <v>1.75</v>
      </c>
      <c r="J36" s="390">
        <f t="shared" ca="1" si="29"/>
        <v>1.75</v>
      </c>
      <c r="K36" s="390">
        <f t="shared" ca="1" si="29"/>
        <v>1.75</v>
      </c>
      <c r="L36" s="390">
        <f t="shared" ca="1" si="29"/>
        <v>2</v>
      </c>
      <c r="M36" s="390">
        <f t="shared" ca="1" si="29"/>
        <v>2</v>
      </c>
      <c r="N36" s="390">
        <f t="shared" ca="1" si="29"/>
        <v>1.75</v>
      </c>
      <c r="O36" s="390">
        <f t="shared" ca="1" si="29"/>
        <v>1.75</v>
      </c>
      <c r="P36" s="391"/>
      <c r="Q36" s="390"/>
      <c r="R36" s="390"/>
      <c r="S36" s="390"/>
      <c r="T36" s="390"/>
      <c r="U36" s="351">
        <f t="shared" ref="U36:Z36" ca="1" si="30">((U$10*(1+U$18))+U$17+U$19)*I36</f>
        <v>234894.89367492683</v>
      </c>
      <c r="V36" s="351">
        <f t="shared" ca="1" si="30"/>
        <v>249577.27336035142</v>
      </c>
      <c r="W36" s="351">
        <f t="shared" ca="1" si="30"/>
        <v>265779.97011687141</v>
      </c>
      <c r="X36" s="351">
        <f t="shared" ca="1" si="30"/>
        <v>311872.43283013103</v>
      </c>
      <c r="Y36" s="351">
        <f t="shared" ca="1" si="30"/>
        <v>325364.81639213924</v>
      </c>
      <c r="Z36" s="351">
        <f t="shared" ca="1" si="30"/>
        <v>292077.46670912078</v>
      </c>
      <c r="AA36" s="352">
        <f ca="1">((AA$10*(1+AA$18))+AA$17+AA$19)*O36</f>
        <v>306575.97176541248</v>
      </c>
      <c r="AB36" s="572"/>
      <c r="AC36" s="535">
        <v>1</v>
      </c>
    </row>
    <row r="37" spans="1:29">
      <c r="A37" s="570"/>
      <c r="B37" s="570"/>
      <c r="C37" s="570"/>
      <c r="D37" s="570" t="str">
        <f>LEFT($G$3,1) &amp; "S_InstAsst"</f>
        <v>MS_InstAsst</v>
      </c>
      <c r="E37" s="570"/>
      <c r="F37" s="575">
        <v>1</v>
      </c>
      <c r="G37" s="345"/>
      <c r="H37" s="389" t="s">
        <v>305</v>
      </c>
      <c r="I37" s="390">
        <f t="shared" ca="1" si="29"/>
        <v>1.2</v>
      </c>
      <c r="J37" s="390">
        <f t="shared" ca="1" si="29"/>
        <v>1.2</v>
      </c>
      <c r="K37" s="390">
        <f t="shared" ca="1" si="29"/>
        <v>1.2</v>
      </c>
      <c r="L37" s="390">
        <f t="shared" ca="1" si="29"/>
        <v>2</v>
      </c>
      <c r="M37" s="390">
        <f t="shared" ca="1" si="29"/>
        <v>2</v>
      </c>
      <c r="N37" s="390">
        <f t="shared" ca="1" si="29"/>
        <v>1.2</v>
      </c>
      <c r="O37" s="390">
        <f t="shared" ca="1" si="29"/>
        <v>1.2</v>
      </c>
      <c r="P37" s="391"/>
      <c r="Q37" s="390"/>
      <c r="R37" s="390"/>
      <c r="S37" s="390"/>
      <c r="T37" s="390"/>
      <c r="U37" s="351">
        <f t="shared" ref="U37:Z37" ca="1" si="31">((U$12*8*185*(1+U$18-U$22))+U$17+U$19)*I37</f>
        <v>76799.729279999985</v>
      </c>
      <c r="V37" s="351">
        <f t="shared" ca="1" si="31"/>
        <v>79611.562197120002</v>
      </c>
      <c r="W37" s="351">
        <f t="shared" ca="1" si="31"/>
        <v>81749.122321457355</v>
      </c>
      <c r="X37" s="351">
        <f t="shared" ca="1" si="31"/>
        <v>138878.48844122025</v>
      </c>
      <c r="Y37" s="351">
        <f t="shared" ca="1" si="31"/>
        <v>142722.75550742878</v>
      </c>
      <c r="Z37" s="351">
        <f t="shared" ca="1" si="31"/>
        <v>87942.545234328529</v>
      </c>
      <c r="AA37" s="352">
        <f ca="1">((AA$12*8*185*(1+AA$18-AA$22))+AA$17+AA$19)*O37</f>
        <v>90332.933023866615</v>
      </c>
      <c r="AB37" s="572"/>
      <c r="AC37" s="535">
        <v>1</v>
      </c>
    </row>
    <row r="38" spans="1:29">
      <c r="A38" s="570"/>
      <c r="B38" s="570"/>
      <c r="C38" s="570"/>
      <c r="D38" s="578" t="s">
        <v>77</v>
      </c>
      <c r="E38" s="570"/>
      <c r="F38" s="575">
        <f>IF(LEFT($G$3, 1)="H", 1, 0)</f>
        <v>0</v>
      </c>
      <c r="G38" s="356"/>
      <c r="H38" s="396" t="s">
        <v>306</v>
      </c>
      <c r="I38" s="397">
        <f t="shared" ref="I38:O38" ca="1" si="32">$F38*VLOOKUP($D38,INDIRECT($B$23 &amp; $B$24), MATCH(I$4,INDIRECT($B$23 &amp; $B$25),0)+6, 0)</f>
        <v>0</v>
      </c>
      <c r="J38" s="397">
        <f t="shared" ca="1" si="32"/>
        <v>0</v>
      </c>
      <c r="K38" s="397">
        <f t="shared" ca="1" si="32"/>
        <v>0</v>
      </c>
      <c r="L38" s="397">
        <f t="shared" ca="1" si="32"/>
        <v>0</v>
      </c>
      <c r="M38" s="397">
        <f t="shared" ca="1" si="32"/>
        <v>0</v>
      </c>
      <c r="N38" s="397">
        <f t="shared" ca="1" si="32"/>
        <v>0</v>
      </c>
      <c r="O38" s="397">
        <f t="shared" ca="1" si="32"/>
        <v>0</v>
      </c>
      <c r="P38" s="398"/>
      <c r="Q38" s="397"/>
      <c r="R38" s="397"/>
      <c r="S38" s="397"/>
      <c r="T38" s="397"/>
      <c r="U38" s="381">
        <f t="shared" ref="U38:Z38" ca="1" si="33">((U$7*(1+U$18))+U$17+U$19)*I38</f>
        <v>0</v>
      </c>
      <c r="V38" s="381">
        <f t="shared" ca="1" si="33"/>
        <v>0</v>
      </c>
      <c r="W38" s="381">
        <f t="shared" ca="1" si="33"/>
        <v>0</v>
      </c>
      <c r="X38" s="381">
        <f t="shared" ca="1" si="33"/>
        <v>0</v>
      </c>
      <c r="Y38" s="381">
        <f t="shared" ca="1" si="33"/>
        <v>0</v>
      </c>
      <c r="Z38" s="381">
        <f t="shared" ca="1" si="33"/>
        <v>0</v>
      </c>
      <c r="AA38" s="382">
        <f ca="1">((AA$7*(1+AA$18))+AA$17+AA$19)*O38</f>
        <v>0</v>
      </c>
      <c r="AB38" s="572"/>
      <c r="AC38" s="535">
        <v>1</v>
      </c>
    </row>
    <row r="39" spans="1:29" ht="15" hidden="1" customHeight="1" outlineLevel="1">
      <c r="A39" s="578"/>
      <c r="B39" s="578"/>
      <c r="C39" s="570"/>
      <c r="D39" s="570"/>
      <c r="E39" s="570"/>
      <c r="F39" s="571"/>
      <c r="G39" s="345"/>
      <c r="H39" s="389"/>
      <c r="I39" s="390"/>
      <c r="J39" s="390"/>
      <c r="K39" s="390"/>
      <c r="L39" s="390"/>
      <c r="M39" s="390"/>
      <c r="N39" s="390"/>
      <c r="O39" s="390"/>
      <c r="P39" s="391"/>
      <c r="Q39" s="390"/>
      <c r="R39" s="390"/>
      <c r="S39" s="390"/>
      <c r="T39" s="390"/>
      <c r="U39" s="351"/>
      <c r="V39" s="351"/>
      <c r="W39" s="351"/>
      <c r="X39" s="351"/>
      <c r="Y39" s="351"/>
      <c r="Z39" s="351"/>
      <c r="AA39" s="351"/>
      <c r="AB39" s="572"/>
      <c r="AC39" s="535">
        <v>0</v>
      </c>
    </row>
    <row r="40" spans="1:29" ht="15.95" hidden="1" customHeight="1" outlineLevel="1" thickBot="1">
      <c r="A40" s="579"/>
      <c r="B40" s="579"/>
      <c r="C40" s="547"/>
      <c r="D40" s="547"/>
      <c r="E40" s="547"/>
      <c r="F40" s="541"/>
      <c r="G40" s="345"/>
      <c r="H40" s="389"/>
      <c r="I40" s="390"/>
      <c r="J40" s="390"/>
      <c r="K40" s="390"/>
      <c r="L40" s="390"/>
      <c r="M40" s="390"/>
      <c r="N40" s="390"/>
      <c r="O40" s="390"/>
      <c r="P40" s="391"/>
      <c r="Q40" s="390"/>
      <c r="R40" s="390"/>
      <c r="S40" s="390"/>
      <c r="T40" s="390"/>
      <c r="U40" s="351"/>
      <c r="V40" s="351"/>
      <c r="W40" s="351"/>
      <c r="X40" s="351"/>
      <c r="Y40" s="351"/>
      <c r="Z40" s="351"/>
      <c r="AA40" s="351"/>
      <c r="AB40" s="580"/>
      <c r="AC40" s="535">
        <v>0</v>
      </c>
    </row>
    <row r="41" spans="1:29" ht="15" hidden="1" customHeight="1" outlineLevel="1">
      <c r="A41" s="579"/>
      <c r="B41" s="579"/>
      <c r="C41" s="541"/>
      <c r="D41" s="541"/>
      <c r="E41" s="541"/>
      <c r="F41" s="541"/>
      <c r="G41" s="345"/>
      <c r="H41" s="389"/>
      <c r="I41" s="390"/>
      <c r="J41" s="390"/>
      <c r="K41" s="390"/>
      <c r="L41" s="390"/>
      <c r="M41" s="390"/>
      <c r="N41" s="390"/>
      <c r="O41" s="390"/>
      <c r="P41" s="399"/>
      <c r="Q41" s="75"/>
      <c r="R41" s="75"/>
      <c r="S41" s="400" t="s">
        <v>385</v>
      </c>
      <c r="T41" s="75" t="str">
        <f>LEFT($G$3,1) &amp; "S_AIT"</f>
        <v>MS_AIT</v>
      </c>
      <c r="U41" s="390">
        <f t="shared" ref="U41:AA41" ca="1" si="34">INDEX(INDIRECT($S$41 &amp; $S$42), MATCH($T$41, INDIRECT($S$41 &amp; $S$43), 0), MATCH(U$4, INDIRECT($S$41 &amp; $S$44),0))</f>
        <v>2</v>
      </c>
      <c r="V41" s="390">
        <f t="shared" ca="1" si="34"/>
        <v>2</v>
      </c>
      <c r="W41" s="390">
        <f t="shared" ca="1" si="34"/>
        <v>2</v>
      </c>
      <c r="X41" s="390">
        <f t="shared" ca="1" si="34"/>
        <v>4</v>
      </c>
      <c r="Y41" s="390">
        <f t="shared" ca="1" si="34"/>
        <v>4</v>
      </c>
      <c r="Z41" s="390">
        <f t="shared" ca="1" si="34"/>
        <v>2</v>
      </c>
      <c r="AA41" s="390">
        <f t="shared" ca="1" si="34"/>
        <v>2</v>
      </c>
      <c r="AB41" s="580"/>
      <c r="AC41" s="535">
        <v>0</v>
      </c>
    </row>
    <row r="42" spans="1:29" ht="15" hidden="1" customHeight="1" outlineLevel="1">
      <c r="A42" s="579"/>
      <c r="B42" s="579"/>
      <c r="C42" s="541"/>
      <c r="D42" s="541"/>
      <c r="E42" s="541"/>
      <c r="F42" s="541"/>
      <c r="G42" s="345"/>
      <c r="H42" s="389"/>
      <c r="I42" s="390"/>
      <c r="J42" s="390"/>
      <c r="K42" s="390"/>
      <c r="L42" s="390"/>
      <c r="M42" s="390"/>
      <c r="N42" s="390"/>
      <c r="O42" s="390"/>
      <c r="P42" s="399"/>
      <c r="Q42" s="75"/>
      <c r="R42" s="75"/>
      <c r="S42" s="401" t="s">
        <v>414</v>
      </c>
      <c r="T42" s="351" t="s">
        <v>9</v>
      </c>
      <c r="U42" s="390">
        <f t="shared" ref="U42:AA42" ca="1" si="35">INDEX(INDIRECT($S$41 &amp; $S$42), MATCH($T$41, INDIRECT($S$41 &amp; $S$43), 0), MATCH($T$42, INDIRECT($S$41 &amp; $S$44),0))</f>
        <v>4</v>
      </c>
      <c r="V42" s="390">
        <f t="shared" ca="1" si="35"/>
        <v>4</v>
      </c>
      <c r="W42" s="390">
        <f t="shared" ca="1" si="35"/>
        <v>4</v>
      </c>
      <c r="X42" s="390">
        <f t="shared" ca="1" si="35"/>
        <v>4</v>
      </c>
      <c r="Y42" s="390">
        <f t="shared" ca="1" si="35"/>
        <v>4</v>
      </c>
      <c r="Z42" s="390">
        <f t="shared" ca="1" si="35"/>
        <v>4</v>
      </c>
      <c r="AA42" s="390">
        <f t="shared" ca="1" si="35"/>
        <v>4</v>
      </c>
      <c r="AB42" s="580"/>
      <c r="AC42" s="535">
        <v>0</v>
      </c>
    </row>
    <row r="43" spans="1:29" ht="15" hidden="1" customHeight="1" outlineLevel="1">
      <c r="A43" s="579"/>
      <c r="B43" s="579"/>
      <c r="C43" s="541"/>
      <c r="D43" s="541"/>
      <c r="E43" s="541"/>
      <c r="F43" s="541"/>
      <c r="G43" s="345"/>
      <c r="H43" s="389"/>
      <c r="I43" s="390"/>
      <c r="J43" s="390"/>
      <c r="K43" s="390"/>
      <c r="L43" s="390"/>
      <c r="M43" s="390"/>
      <c r="N43" s="390"/>
      <c r="O43" s="390"/>
      <c r="P43" s="399"/>
      <c r="Q43" s="75"/>
      <c r="R43" s="75"/>
      <c r="S43" s="401" t="s">
        <v>415</v>
      </c>
      <c r="T43" s="75" t="str">
        <f>T41 &amp; "/" &amp;T42</f>
        <v>MS_AIT/QEM</v>
      </c>
      <c r="U43" s="402">
        <f ca="1">U41/U42</f>
        <v>0.5</v>
      </c>
      <c r="V43" s="402">
        <f t="shared" ref="V43:AA43" ca="1" si="36">V41/V42</f>
        <v>0.5</v>
      </c>
      <c r="W43" s="402">
        <f t="shared" ca="1" si="36"/>
        <v>0.5</v>
      </c>
      <c r="X43" s="402">
        <f t="shared" ca="1" si="36"/>
        <v>1</v>
      </c>
      <c r="Y43" s="402">
        <f t="shared" ca="1" si="36"/>
        <v>1</v>
      </c>
      <c r="Z43" s="402">
        <f t="shared" ca="1" si="36"/>
        <v>0.5</v>
      </c>
      <c r="AA43" s="402">
        <f t="shared" ca="1" si="36"/>
        <v>0.5</v>
      </c>
      <c r="AB43" s="580"/>
      <c r="AC43" s="535">
        <v>0</v>
      </c>
    </row>
    <row r="44" spans="1:29" ht="15" hidden="1" customHeight="1" outlineLevel="1">
      <c r="A44" s="579"/>
      <c r="B44" s="579"/>
      <c r="C44" s="541"/>
      <c r="D44" s="541"/>
      <c r="E44" s="541"/>
      <c r="F44" s="541"/>
      <c r="G44" s="345"/>
      <c r="H44" s="389"/>
      <c r="I44" s="390"/>
      <c r="J44" s="390"/>
      <c r="K44" s="390"/>
      <c r="L44" s="390"/>
      <c r="M44" s="390"/>
      <c r="N44" s="390"/>
      <c r="O44" s="390"/>
      <c r="P44" s="399"/>
      <c r="Q44" s="75"/>
      <c r="R44" s="75"/>
      <c r="S44" s="401" t="s">
        <v>416</v>
      </c>
      <c r="T44" s="401" t="s">
        <v>250</v>
      </c>
      <c r="U44" s="347">
        <f t="shared" ref="U44:AA44" ca="1" si="37">VLOOKUP($T44, $D$7:$O$12, MATCH(U$4, $D$4:$O$4, 0), 0)</f>
        <v>5.9308841843088489E-2</v>
      </c>
      <c r="V44" s="347">
        <f t="shared" ca="1" si="37"/>
        <v>5.7261817291207384E-2</v>
      </c>
      <c r="W44" s="347">
        <f t="shared" ca="1" si="37"/>
        <v>7.0447760849378316E-2</v>
      </c>
      <c r="X44" s="347">
        <f t="shared" ca="1" si="37"/>
        <v>4.1579598884074587E-2</v>
      </c>
      <c r="Y44" s="347">
        <f t="shared" ca="1" si="37"/>
        <v>4.4945720794081545E-2</v>
      </c>
      <c r="Z44" s="347">
        <f t="shared" ca="1" si="37"/>
        <v>2.4679257929887566E-2</v>
      </c>
      <c r="AA44" s="347">
        <f t="shared" ca="1" si="37"/>
        <v>5.2393302574846645E-2</v>
      </c>
      <c r="AB44" s="581"/>
      <c r="AC44" s="535">
        <v>0</v>
      </c>
    </row>
    <row r="45" spans="1:29" ht="15" hidden="1" customHeight="1" outlineLevel="1">
      <c r="A45" s="579"/>
      <c r="B45" s="579"/>
      <c r="C45" s="541"/>
      <c r="D45" s="541"/>
      <c r="E45" s="541"/>
      <c r="F45" s="541"/>
      <c r="G45" s="345"/>
      <c r="H45" s="389"/>
      <c r="I45" s="390"/>
      <c r="J45" s="390"/>
      <c r="K45" s="390"/>
      <c r="L45" s="390"/>
      <c r="M45" s="390"/>
      <c r="N45" s="390"/>
      <c r="O45" s="390"/>
      <c r="P45" s="399"/>
      <c r="Q45" s="75"/>
      <c r="R45" s="75"/>
      <c r="S45" s="394" t="s">
        <v>951</v>
      </c>
      <c r="T45" s="75" t="s">
        <v>425</v>
      </c>
      <c r="U45" s="347"/>
      <c r="V45" s="347">
        <f ca="1">V44</f>
        <v>5.7261817291207384E-2</v>
      </c>
      <c r="W45" s="347">
        <f ca="1">(1+V45)*(1+W44)-1</f>
        <v>0.13174354495091745</v>
      </c>
      <c r="X45" s="347">
        <f ca="1">(1+W45)*(1+X44)-1</f>
        <v>0.17880098758961727</v>
      </c>
      <c r="Y45" s="347">
        <f ca="1">(1+X45)*(1+Y44)-1</f>
        <v>0.23178304764960789</v>
      </c>
      <c r="Z45" s="347">
        <f ca="1">(1+Y45)*(1+Z44)-1</f>
        <v>0.26218253919621559</v>
      </c>
      <c r="AA45" s="347">
        <f ca="1">(1+Z45)*(1+AA44)-1</f>
        <v>0.32831245087701122</v>
      </c>
      <c r="AB45" s="581"/>
      <c r="AC45" s="535">
        <v>0</v>
      </c>
    </row>
    <row r="46" spans="1:29" ht="15" hidden="1" customHeight="1" outlineLevel="1">
      <c r="A46" s="579"/>
      <c r="B46" s="579"/>
      <c r="C46" s="541"/>
      <c r="D46" s="541"/>
      <c r="E46" s="541"/>
      <c r="F46" s="541"/>
      <c r="G46" s="345"/>
      <c r="H46" s="389"/>
      <c r="I46" s="390"/>
      <c r="J46" s="390"/>
      <c r="K46" s="390"/>
      <c r="L46" s="390"/>
      <c r="M46" s="390"/>
      <c r="N46" s="390"/>
      <c r="O46" s="390"/>
      <c r="P46" s="399"/>
      <c r="Q46" s="75"/>
      <c r="R46" s="75"/>
      <c r="S46" s="75" t="s">
        <v>827</v>
      </c>
      <c r="T46" s="75" t="s">
        <v>269</v>
      </c>
      <c r="U46" s="347">
        <f t="shared" ref="U46:AA46" ca="1" si="38">VLOOKUP($T46, $D$7:$O$12, MATCH(U$4, $D$4:$O$4, 0), 0)</f>
        <v>2.9095091077493085E-2</v>
      </c>
      <c r="V46" s="347">
        <f t="shared" ca="1" si="38"/>
        <v>2.8327327327327345E-2</v>
      </c>
      <c r="W46" s="347">
        <f t="shared" ca="1" si="38"/>
        <v>2.3800350774627277E-2</v>
      </c>
      <c r="X46" s="347">
        <f t="shared" ca="1" si="38"/>
        <v>2.843641040297229E-2</v>
      </c>
      <c r="Y46" s="347">
        <f t="shared" ca="1" si="38"/>
        <v>2.4922114047288058E-2</v>
      </c>
      <c r="Z46" s="347">
        <f t="shared" ca="1" si="38"/>
        <v>2.3819885900570381E-2</v>
      </c>
      <c r="AA46" s="347">
        <f t="shared" ca="1" si="38"/>
        <v>2.4107569721115607E-2</v>
      </c>
      <c r="AB46" s="581"/>
      <c r="AC46" s="535">
        <v>0</v>
      </c>
    </row>
    <row r="47" spans="1:29" ht="15" hidden="1" customHeight="1" outlineLevel="1">
      <c r="A47" s="579"/>
      <c r="B47" s="579"/>
      <c r="C47" s="541"/>
      <c r="D47" s="541"/>
      <c r="E47" s="541"/>
      <c r="F47" s="541"/>
      <c r="G47" s="345"/>
      <c r="H47" s="389"/>
      <c r="I47" s="390"/>
      <c r="J47" s="390"/>
      <c r="K47" s="390"/>
      <c r="L47" s="390"/>
      <c r="M47" s="390"/>
      <c r="N47" s="390"/>
      <c r="O47" s="390"/>
      <c r="P47" s="399"/>
      <c r="Q47" s="75"/>
      <c r="R47" s="75"/>
      <c r="S47" s="75" t="s">
        <v>828</v>
      </c>
      <c r="T47" s="75" t="s">
        <v>426</v>
      </c>
      <c r="U47" s="347"/>
      <c r="V47" s="347">
        <f ca="1">V46</f>
        <v>2.8327327327327345E-2</v>
      </c>
      <c r="W47" s="347">
        <f ca="1">(1+V47)*(1+W46)-1</f>
        <v>5.2801878428852644E-2</v>
      </c>
      <c r="X47" s="347">
        <f ca="1">(1+W47)*(1+X46)-1</f>
        <v>8.2739784716875597E-2</v>
      </c>
      <c r="Y47" s="347">
        <f ca="1">(1+X47)*(1+Y46)-1</f>
        <v>0.10972394911512584</v>
      </c>
      <c r="Z47" s="347">
        <f ca="1">(1+Y47)*(1+Z46)-1</f>
        <v>0.13615744696417842</v>
      </c>
      <c r="AA47" s="347">
        <f ca="1">(1+Z47)*(1+AA46)-1</f>
        <v>0.16354744183103187</v>
      </c>
      <c r="AB47" s="581"/>
      <c r="AC47" s="535">
        <v>0</v>
      </c>
    </row>
    <row r="48" spans="1:29" ht="15" hidden="1" customHeight="1" outlineLevel="1">
      <c r="A48" s="579"/>
      <c r="B48" s="579"/>
      <c r="C48" s="541"/>
      <c r="D48" s="541"/>
      <c r="E48" s="541"/>
      <c r="F48" s="541"/>
      <c r="G48" s="345"/>
      <c r="H48" s="389"/>
      <c r="I48" s="390"/>
      <c r="J48" s="390"/>
      <c r="K48" s="390"/>
      <c r="L48" s="390"/>
      <c r="M48" s="390"/>
      <c r="N48" s="390"/>
      <c r="O48" s="390"/>
      <c r="P48" s="399"/>
      <c r="Q48" s="75"/>
      <c r="R48" s="75"/>
      <c r="S48" s="75" t="s">
        <v>826</v>
      </c>
      <c r="T48" s="75" t="s">
        <v>258</v>
      </c>
      <c r="U48" s="347">
        <f t="shared" ref="U48:AA48" ca="1" si="39">VLOOKUP($T48,INDIRECT($S$45 &amp; $S$46), MATCH(U$4, INDIRECT($S$45 &amp; $S$48), 0), 0)</f>
        <v>2.450980392156854E-2</v>
      </c>
      <c r="V48" s="347">
        <f t="shared" ca="1" si="39"/>
        <v>2.8708133971291794E-2</v>
      </c>
      <c r="W48" s="347">
        <f t="shared" ca="1" si="39"/>
        <v>2.7906976744185963E-2</v>
      </c>
      <c r="X48" s="347">
        <f t="shared" ca="1" si="39"/>
        <v>2.4886877828054432E-2</v>
      </c>
      <c r="Y48" s="347">
        <f t="shared" ca="1" si="39"/>
        <v>2.3546725533480473E-2</v>
      </c>
      <c r="Z48" s="347">
        <f t="shared" ca="1" si="39"/>
        <v>2.2286125089863384E-2</v>
      </c>
      <c r="AA48" s="347">
        <f t="shared" ca="1" si="39"/>
        <v>2.2503516174402272E-2</v>
      </c>
      <c r="AB48" s="581"/>
      <c r="AC48" s="535">
        <v>0</v>
      </c>
    </row>
    <row r="49" spans="1:29" ht="15.95" hidden="1" customHeight="1" outlineLevel="1" thickBot="1">
      <c r="A49" s="579"/>
      <c r="B49" s="579"/>
      <c r="C49" s="541"/>
      <c r="D49" s="541"/>
      <c r="E49" s="541"/>
      <c r="F49" s="541"/>
      <c r="G49" s="345"/>
      <c r="H49" s="389"/>
      <c r="I49" s="390"/>
      <c r="J49" s="390"/>
      <c r="K49" s="390"/>
      <c r="L49" s="390"/>
      <c r="M49" s="390"/>
      <c r="N49" s="390"/>
      <c r="O49" s="390"/>
      <c r="P49" s="399"/>
      <c r="Q49" s="75"/>
      <c r="R49" s="75"/>
      <c r="S49" s="75"/>
      <c r="T49" s="75" t="s">
        <v>419</v>
      </c>
      <c r="U49" s="347"/>
      <c r="V49" s="347">
        <f ca="1">V48</f>
        <v>2.8708133971291794E-2</v>
      </c>
      <c r="W49" s="347">
        <f ca="1">(1+V49)*(1+W48)-1</f>
        <v>5.7416267942583588E-2</v>
      </c>
      <c r="X49" s="347">
        <f ca="1">(1+W49)*(1+X48)-1</f>
        <v>8.373205741626788E-2</v>
      </c>
      <c r="Y49" s="347">
        <f ca="1">(1+X49)*(1+Y48)-1</f>
        <v>0.10925039872408293</v>
      </c>
      <c r="Z49" s="347">
        <f ca="1">(1+Y49)*(1+Z48)-1</f>
        <v>0.13397129186602874</v>
      </c>
      <c r="AA49" s="347">
        <f ca="1">(1+Z49)*(1+AA48)-1</f>
        <v>0.15948963317384379</v>
      </c>
      <c r="AB49" s="581"/>
      <c r="AC49" s="535">
        <v>0</v>
      </c>
    </row>
    <row r="50" spans="1:29" ht="15" hidden="1" customHeight="1" outlineLevel="1">
      <c r="A50" s="579"/>
      <c r="B50" s="579"/>
      <c r="C50" s="541"/>
      <c r="D50" s="541"/>
      <c r="E50" s="541"/>
      <c r="F50" s="541"/>
      <c r="G50" s="345"/>
      <c r="H50" s="389"/>
      <c r="I50" s="390"/>
      <c r="J50" s="390"/>
      <c r="K50" s="390"/>
      <c r="L50" s="390"/>
      <c r="M50" s="75"/>
      <c r="N50" s="390"/>
      <c r="O50" s="390"/>
      <c r="P50" s="391"/>
      <c r="Q50" s="390"/>
      <c r="R50" s="390"/>
      <c r="S50" s="390"/>
      <c r="T50" s="390"/>
      <c r="U50" s="390"/>
      <c r="V50" s="390"/>
      <c r="W50" s="390"/>
      <c r="X50" s="390"/>
      <c r="Y50" s="390"/>
      <c r="Z50" s="390"/>
      <c r="AA50" s="390"/>
      <c r="AB50" s="582"/>
      <c r="AC50" s="535">
        <v>0</v>
      </c>
    </row>
    <row r="51" spans="1:29" ht="15.95" hidden="1" customHeight="1" outlineLevel="1" thickBot="1">
      <c r="A51" s="579"/>
      <c r="B51" s="583" t="s">
        <v>1061</v>
      </c>
      <c r="C51" s="541"/>
      <c r="D51" s="541"/>
      <c r="E51" s="541"/>
      <c r="F51" s="541"/>
      <c r="G51" s="345"/>
      <c r="H51" s="389"/>
      <c r="I51" s="390"/>
      <c r="J51" s="390"/>
      <c r="K51" s="390"/>
      <c r="L51" s="390"/>
      <c r="M51" s="390"/>
      <c r="N51" s="390"/>
      <c r="O51" s="390"/>
      <c r="P51" s="391"/>
      <c r="Q51" s="390"/>
      <c r="R51" s="390"/>
      <c r="S51" s="390"/>
      <c r="T51" s="390"/>
      <c r="U51" s="390"/>
      <c r="V51" s="390"/>
      <c r="W51" s="390"/>
      <c r="X51" s="390"/>
      <c r="Y51" s="390"/>
      <c r="Z51" s="390"/>
      <c r="AA51" s="390"/>
      <c r="AB51" s="582"/>
      <c r="AC51" s="535">
        <v>0</v>
      </c>
    </row>
    <row r="52" spans="1:29" ht="31.5" collapsed="1">
      <c r="A52" s="579"/>
      <c r="B52" s="541" t="s">
        <v>830</v>
      </c>
      <c r="C52" s="547" t="str">
        <f>LEFT($G$3,1) &amp; "S_SumSchool"</f>
        <v>MS_SumSchool</v>
      </c>
      <c r="D52" s="541"/>
      <c r="E52" s="541"/>
      <c r="F52" s="548">
        <v>20</v>
      </c>
      <c r="G52" s="336" t="s">
        <v>307</v>
      </c>
      <c r="H52" s="387" t="s">
        <v>393</v>
      </c>
      <c r="I52" s="369">
        <f t="shared" ref="I52:O53" ca="1" si="40">INDEX(INDIRECT($B$51 &amp; $B$52), MATCH($C52, INDIRECT($B$51 &amp; $B$53),0), MATCH(I$4, INDIRECT($B$51 &amp; $B$54),0))</f>
        <v>6.5</v>
      </c>
      <c r="J52" s="369">
        <f t="shared" ca="1" si="40"/>
        <v>6.5</v>
      </c>
      <c r="K52" s="369">
        <f t="shared" ca="1" si="40"/>
        <v>6.5</v>
      </c>
      <c r="L52" s="369">
        <f t="shared" ca="1" si="40"/>
        <v>6.5</v>
      </c>
      <c r="M52" s="369">
        <f t="shared" ca="1" si="40"/>
        <v>6.5</v>
      </c>
      <c r="N52" s="369">
        <f t="shared" ca="1" si="40"/>
        <v>6.5</v>
      </c>
      <c r="O52" s="369">
        <f t="shared" ca="1" si="40"/>
        <v>6.5</v>
      </c>
      <c r="P52" s="404">
        <f ca="1">INDEX(INDIRECT($S$52 &amp; $S$53), MATCH($T52, INDIRECT($S$52 &amp; $S$54),0), MATCH(I$4, INDIRECT($S$52 &amp; $S$55),0))</f>
        <v>578.84046315789476</v>
      </c>
      <c r="Q52" s="369"/>
      <c r="R52" s="369"/>
      <c r="S52" s="405" t="s">
        <v>948</v>
      </c>
      <c r="T52" s="406" t="s">
        <v>421</v>
      </c>
      <c r="U52" s="343">
        <f ca="1">$P52*$F52*I52*U43</f>
        <v>37624.630105263161</v>
      </c>
      <c r="V52" s="343">
        <f t="shared" ref="V52:AA52" ca="1" si="41">$P52*$F52*J52*V43*(1+V45)</f>
        <v>39779.084800000004</v>
      </c>
      <c r="W52" s="343">
        <f t="shared" ca="1" si="41"/>
        <v>42581.432252797538</v>
      </c>
      <c r="X52" s="343">
        <f t="shared" ca="1" si="41"/>
        <v>88703.902251556516</v>
      </c>
      <c r="Y52" s="343">
        <f t="shared" ca="1" si="41"/>
        <v>92690.763075500479</v>
      </c>
      <c r="Z52" s="343">
        <f t="shared" ca="1" si="41"/>
        <v>47489.15116257943</v>
      </c>
      <c r="AA52" s="344">
        <f t="shared" ca="1" si="41"/>
        <v>49977.26462846309</v>
      </c>
      <c r="AB52" s="582"/>
      <c r="AC52" s="535">
        <v>1</v>
      </c>
    </row>
    <row r="53" spans="1:29">
      <c r="A53" s="579"/>
      <c r="B53" s="541" t="s">
        <v>831</v>
      </c>
      <c r="C53" s="547" t="str">
        <f>LEFT($G$3,1) &amp; "S_ClsfdSumSchool"</f>
        <v>MS_ClsfdSumSchool</v>
      </c>
      <c r="D53" s="541"/>
      <c r="E53" s="541"/>
      <c r="F53" s="548">
        <v>20</v>
      </c>
      <c r="G53" s="407"/>
      <c r="H53" s="389" t="s">
        <v>309</v>
      </c>
      <c r="I53" s="390">
        <f t="shared" ca="1" si="40"/>
        <v>4</v>
      </c>
      <c r="J53" s="390">
        <f t="shared" ca="1" si="40"/>
        <v>4</v>
      </c>
      <c r="K53" s="390">
        <f t="shared" ca="1" si="40"/>
        <v>4</v>
      </c>
      <c r="L53" s="390">
        <f t="shared" ca="1" si="40"/>
        <v>4</v>
      </c>
      <c r="M53" s="390">
        <f t="shared" ca="1" si="40"/>
        <v>4</v>
      </c>
      <c r="N53" s="390">
        <f t="shared" ca="1" si="40"/>
        <v>4</v>
      </c>
      <c r="O53" s="390">
        <f t="shared" ca="1" si="40"/>
        <v>4</v>
      </c>
      <c r="P53" s="395">
        <f ca="1">INDEX(INDIRECT($S$52 &amp; $S$53), MATCH($T53, INDIRECT($S$52 &amp; $S$54),0), MATCH(I$4, INDIRECT($S$52 &amp; $S$55),0))</f>
        <v>298.6884298467935</v>
      </c>
      <c r="Q53" s="390"/>
      <c r="R53" s="390"/>
      <c r="S53" s="401" t="s">
        <v>428</v>
      </c>
      <c r="T53" s="390" t="s">
        <v>308</v>
      </c>
      <c r="U53" s="351">
        <f ca="1">$P53*$F53*I53*U43</f>
        <v>11947.53719387174</v>
      </c>
      <c r="V53" s="351">
        <f t="shared" ref="V53:AA53" ca="1" si="42">$P53*$F53*J53*V43*(1+V47)</f>
        <v>12285.978990717964</v>
      </c>
      <c r="W53" s="351">
        <f t="shared" ca="1" si="42"/>
        <v>12578.389600306751</v>
      </c>
      <c r="X53" s="351">
        <f t="shared" ca="1" si="42"/>
        <v>25872.147698379104</v>
      </c>
      <c r="Y53" s="351">
        <f t="shared" ca="1" si="42"/>
        <v>26516.936313966391</v>
      </c>
      <c r="Z53" s="351">
        <f t="shared" ca="1" si="42"/>
        <v>13574.283355698881</v>
      </c>
      <c r="AA53" s="352">
        <f t="shared" ca="1" si="42"/>
        <v>13901.526338110569</v>
      </c>
      <c r="AB53" s="582"/>
      <c r="AC53" s="535">
        <v>1</v>
      </c>
    </row>
    <row r="54" spans="1:29">
      <c r="A54" s="579"/>
      <c r="B54" s="541" t="s">
        <v>773</v>
      </c>
      <c r="C54" s="547" t="str">
        <f>LEFT($G$3,1) &amp; "S_SumSchlSupplies"</f>
        <v>MS_SumSchlSupplies</v>
      </c>
      <c r="D54" s="541"/>
      <c r="E54" s="541"/>
      <c r="F54" s="548">
        <f>IF(LEFT($F$3,1) = "E", 0.2*(5/6)*$H$2, 0.2*$H$2)</f>
        <v>100</v>
      </c>
      <c r="G54" s="407"/>
      <c r="H54" s="389" t="s">
        <v>310</v>
      </c>
      <c r="I54" s="390"/>
      <c r="J54" s="390"/>
      <c r="K54" s="390"/>
      <c r="L54" s="390"/>
      <c r="M54" s="390"/>
      <c r="N54" s="390"/>
      <c r="O54" s="390"/>
      <c r="P54" s="395">
        <f ca="1">INDEX(INDIRECT($B$51 &amp; $B$52), MATCH($C54, INDIRECT($B$51 &amp; $B$53),0), MATCH(P$4, INDIRECT($B$51 &amp; $B$54),0))</f>
        <v>24</v>
      </c>
      <c r="Q54" s="390"/>
      <c r="R54" s="390"/>
      <c r="S54" s="401" t="s">
        <v>272</v>
      </c>
      <c r="T54" s="401"/>
      <c r="U54" s="351">
        <f ca="1">$P54*$F54*U43</f>
        <v>1200</v>
      </c>
      <c r="V54" s="351">
        <f t="shared" ref="V54:AA54" ca="1" si="43">$P54*$F54*V43*(1+V49)</f>
        <v>1234.4497607655501</v>
      </c>
      <c r="W54" s="351">
        <f t="shared" ca="1" si="43"/>
        <v>1268.8995215311004</v>
      </c>
      <c r="X54" s="351">
        <f t="shared" ca="1" si="43"/>
        <v>2600.9569377990429</v>
      </c>
      <c r="Y54" s="351">
        <f t="shared" ca="1" si="43"/>
        <v>2662.2009569377992</v>
      </c>
      <c r="Z54" s="351">
        <f t="shared" ca="1" si="43"/>
        <v>1360.7655502392345</v>
      </c>
      <c r="AA54" s="352">
        <f t="shared" ca="1" si="43"/>
        <v>1391.3875598086127</v>
      </c>
      <c r="AB54" s="582"/>
      <c r="AC54" s="535">
        <v>1</v>
      </c>
    </row>
    <row r="55" spans="1:29" ht="15" hidden="1" customHeight="1" outlineLevel="1">
      <c r="A55" s="579"/>
      <c r="B55" s="547"/>
      <c r="C55" s="547"/>
      <c r="D55" s="541"/>
      <c r="E55" s="541"/>
      <c r="F55" s="548"/>
      <c r="G55" s="407"/>
      <c r="H55" s="391"/>
      <c r="I55" s="390"/>
      <c r="J55" s="390"/>
      <c r="K55" s="390"/>
      <c r="L55" s="390"/>
      <c r="M55" s="390"/>
      <c r="N55" s="390"/>
      <c r="O55" s="390"/>
      <c r="P55" s="391"/>
      <c r="Q55" s="390"/>
      <c r="R55" s="390"/>
      <c r="S55" s="401" t="s">
        <v>349</v>
      </c>
      <c r="T55" s="390"/>
      <c r="U55" s="390"/>
      <c r="V55" s="390"/>
      <c r="W55" s="390"/>
      <c r="X55" s="390"/>
      <c r="Y55" s="390"/>
      <c r="Z55" s="390"/>
      <c r="AA55" s="408"/>
      <c r="AB55" s="582"/>
      <c r="AC55" s="535">
        <v>0</v>
      </c>
    </row>
    <row r="56" spans="1:29" ht="15" hidden="1" customHeight="1" outlineLevel="1">
      <c r="A56" s="584"/>
      <c r="B56" s="584"/>
      <c r="C56" s="584"/>
      <c r="D56" s="584"/>
      <c r="E56" s="584"/>
      <c r="F56" s="585"/>
      <c r="G56" s="407"/>
      <c r="H56" s="409"/>
      <c r="I56" s="304"/>
      <c r="J56" s="304"/>
      <c r="K56" s="304"/>
      <c r="L56" s="304"/>
      <c r="M56" s="304"/>
      <c r="N56" s="304"/>
      <c r="O56" s="304"/>
      <c r="P56" s="409"/>
      <c r="Q56" s="304"/>
      <c r="R56" s="304"/>
      <c r="S56" s="304"/>
      <c r="T56" s="304"/>
      <c r="U56" s="304"/>
      <c r="V56" s="304"/>
      <c r="W56" s="304"/>
      <c r="X56" s="304"/>
      <c r="Y56" s="304"/>
      <c r="Z56" s="304"/>
      <c r="AA56" s="410"/>
      <c r="AB56" s="586"/>
      <c r="AC56" s="535">
        <v>0</v>
      </c>
    </row>
    <row r="57" spans="1:29" collapsed="1">
      <c r="A57" s="584"/>
      <c r="B57" s="587" t="s">
        <v>385</v>
      </c>
      <c r="C57" s="588" t="str">
        <f>LEFT($G$3,1) &amp; "S_atRisk"</f>
        <v>MS_atRisk</v>
      </c>
      <c r="D57" s="584"/>
      <c r="E57" s="584"/>
      <c r="F57" s="589">
        <f>IF(LEFT($F$3,1) = "E", $H$2-$F54, $H$2)</f>
        <v>500</v>
      </c>
      <c r="G57" s="411"/>
      <c r="H57" s="396" t="s">
        <v>404</v>
      </c>
      <c r="I57" s="397">
        <f t="shared" ref="I57:O57" ca="1" si="44">INDEX(INDIRECT($B$57&amp;$B$58),MATCH($C57,INDIRECT($B$57&amp;$B$59),0),MATCH(I$4,INDIRECT($B$57&amp;$B$60),0))</f>
        <v>0.2</v>
      </c>
      <c r="J57" s="397">
        <f t="shared" ca="1" si="44"/>
        <v>0.25</v>
      </c>
      <c r="K57" s="397">
        <f t="shared" ca="1" si="44"/>
        <v>0.25</v>
      </c>
      <c r="L57" s="397">
        <f t="shared" ca="1" si="44"/>
        <v>0.25</v>
      </c>
      <c r="M57" s="397">
        <f t="shared" ca="1" si="44"/>
        <v>0.25</v>
      </c>
      <c r="N57" s="397">
        <f t="shared" ca="1" si="44"/>
        <v>0.25</v>
      </c>
      <c r="O57" s="397">
        <f t="shared" ca="1" si="44"/>
        <v>0.25</v>
      </c>
      <c r="P57" s="412">
        <f ca="1">INDEX(INDIRECT($B$51 &amp; $B$52), MATCH($C57, INDIRECT($B$51 &amp; $B$53),0), MATCH(P$4, INDIRECT($B$51 &amp; $B$54),0))</f>
        <v>461</v>
      </c>
      <c r="Q57" s="397"/>
      <c r="R57" s="397"/>
      <c r="S57" s="397"/>
      <c r="T57" s="413"/>
      <c r="U57" s="381">
        <f ca="1">$P57*I57*$F$57</f>
        <v>46100</v>
      </c>
      <c r="V57" s="381">
        <f t="shared" ref="V57:AA57" ca="1" si="45">$P57*J57*$F$57*(1+V45)</f>
        <v>60924.712221405825</v>
      </c>
      <c r="W57" s="381">
        <f t="shared" ca="1" si="45"/>
        <v>65216.721777796614</v>
      </c>
      <c r="X57" s="381">
        <f t="shared" ca="1" si="45"/>
        <v>67928.406909851692</v>
      </c>
      <c r="Y57" s="381">
        <f t="shared" ca="1" si="45"/>
        <v>70981.498120808654</v>
      </c>
      <c r="Z57" s="381">
        <f t="shared" ca="1" si="45"/>
        <v>72733.268821181919</v>
      </c>
      <c r="AA57" s="382">
        <f t="shared" ca="1" si="45"/>
        <v>76544.004981787773</v>
      </c>
      <c r="AB57" s="590"/>
      <c r="AC57" s="535">
        <v>1</v>
      </c>
    </row>
    <row r="58" spans="1:29" ht="15" hidden="1" customHeight="1" outlineLevel="1">
      <c r="A58" s="584"/>
      <c r="B58" s="584" t="s">
        <v>414</v>
      </c>
      <c r="C58" s="584"/>
      <c r="D58" s="584"/>
      <c r="E58" s="584"/>
      <c r="F58" s="585"/>
      <c r="G58" s="407"/>
      <c r="H58" s="389"/>
      <c r="I58" s="390"/>
      <c r="J58" s="390"/>
      <c r="K58" s="390"/>
      <c r="L58" s="390"/>
      <c r="M58" s="390"/>
      <c r="N58" s="390"/>
      <c r="O58" s="390"/>
      <c r="P58" s="391"/>
      <c r="Q58" s="390"/>
      <c r="R58" s="390"/>
      <c r="S58" s="390"/>
      <c r="T58" s="390"/>
      <c r="U58" s="351"/>
      <c r="V58" s="351"/>
      <c r="W58" s="351"/>
      <c r="X58" s="351"/>
      <c r="Y58" s="351"/>
      <c r="Z58" s="351"/>
      <c r="AA58" s="351"/>
      <c r="AB58" s="590"/>
      <c r="AC58" s="535">
        <v>0</v>
      </c>
    </row>
    <row r="59" spans="1:29" ht="15" hidden="1" customHeight="1" outlineLevel="1">
      <c r="A59" s="584"/>
      <c r="B59" s="584" t="s">
        <v>415</v>
      </c>
      <c r="C59" s="584"/>
      <c r="D59" s="584"/>
      <c r="E59" s="584"/>
      <c r="F59" s="585"/>
      <c r="G59" s="407"/>
      <c r="H59" s="389"/>
      <c r="I59" s="390"/>
      <c r="J59" s="390"/>
      <c r="K59" s="390"/>
      <c r="L59" s="390"/>
      <c r="M59" s="390"/>
      <c r="N59" s="390"/>
      <c r="O59" s="390"/>
      <c r="P59" s="391"/>
      <c r="Q59" s="390"/>
      <c r="R59" s="390"/>
      <c r="S59" s="390"/>
      <c r="T59" s="390"/>
      <c r="U59" s="351"/>
      <c r="V59" s="351"/>
      <c r="W59" s="351"/>
      <c r="X59" s="351"/>
      <c r="Y59" s="351"/>
      <c r="Z59" s="351"/>
      <c r="AA59" s="351"/>
      <c r="AB59" s="590"/>
      <c r="AC59" s="535">
        <v>0</v>
      </c>
    </row>
    <row r="60" spans="1:29" ht="15.95" hidden="1" customHeight="1" outlineLevel="1" thickBot="1">
      <c r="A60" s="584"/>
      <c r="B60" s="584" t="s">
        <v>416</v>
      </c>
      <c r="C60" s="584"/>
      <c r="D60" s="584"/>
      <c r="E60" s="584"/>
      <c r="F60" s="585"/>
      <c r="G60" s="407"/>
      <c r="H60" s="389"/>
      <c r="I60" s="390"/>
      <c r="J60" s="390"/>
      <c r="K60" s="390"/>
      <c r="L60" s="390"/>
      <c r="M60" s="390"/>
      <c r="N60" s="390"/>
      <c r="O60" s="390"/>
      <c r="P60" s="391"/>
      <c r="Q60" s="390"/>
      <c r="R60" s="390"/>
      <c r="S60" s="390"/>
      <c r="T60" s="390"/>
      <c r="U60" s="351"/>
      <c r="V60" s="351"/>
      <c r="W60" s="351"/>
      <c r="X60" s="351"/>
      <c r="Y60" s="351"/>
      <c r="Z60" s="351"/>
      <c r="AA60" s="351"/>
      <c r="AB60" s="590"/>
      <c r="AC60" s="535">
        <v>0</v>
      </c>
    </row>
    <row r="61" spans="1:29" ht="15" hidden="1" customHeight="1" outlineLevel="1">
      <c r="A61" s="584"/>
      <c r="B61" s="588"/>
      <c r="C61" s="588"/>
      <c r="D61" s="588"/>
      <c r="E61" s="588"/>
      <c r="F61" s="588"/>
      <c r="G61" s="414"/>
      <c r="H61" s="414"/>
      <c r="I61" s="177"/>
      <c r="J61" s="177"/>
      <c r="K61" s="177"/>
      <c r="L61" s="177"/>
      <c r="M61" s="177"/>
      <c r="N61" s="177"/>
      <c r="O61" s="177"/>
      <c r="P61" s="414"/>
      <c r="Q61" s="177"/>
      <c r="R61" s="177"/>
      <c r="S61" s="177"/>
      <c r="T61" s="177"/>
      <c r="U61" s="177"/>
      <c r="V61" s="177"/>
      <c r="W61" s="177"/>
      <c r="X61" s="177"/>
      <c r="Y61" s="177"/>
      <c r="Z61" s="177"/>
      <c r="AA61" s="177"/>
      <c r="AB61" s="591"/>
      <c r="AC61" s="535">
        <v>0</v>
      </c>
    </row>
    <row r="62" spans="1:29" ht="15.95" hidden="1" customHeight="1" outlineLevel="1" thickBot="1">
      <c r="A62" s="592"/>
      <c r="B62" s="593" t="s">
        <v>385</v>
      </c>
      <c r="C62" s="561"/>
      <c r="D62" s="561"/>
      <c r="E62" s="561"/>
      <c r="F62" s="561"/>
      <c r="G62" s="414"/>
      <c r="H62" s="414"/>
      <c r="I62" s="177"/>
      <c r="J62" s="177"/>
      <c r="K62" s="177"/>
      <c r="L62" s="177"/>
      <c r="M62" s="177"/>
      <c r="N62" s="177"/>
      <c r="O62" s="177"/>
      <c r="P62" s="414"/>
      <c r="Q62" s="177"/>
      <c r="R62" s="177"/>
      <c r="S62" s="415" t="s">
        <v>952</v>
      </c>
      <c r="T62" s="384" t="s">
        <v>304</v>
      </c>
      <c r="U62" s="402">
        <f t="shared" ref="U62:AA62" ca="1" si="46">INDEX(INDIRECT($S$62 &amp; $S$63), MATCH($T62, INDIRECT($S$62 &amp; $S$64), 0), MATCH(U$4, INDIRECT($S$62 &amp; $S$65), 0))</f>
        <v>4.6282437901751152E-3</v>
      </c>
      <c r="V62" s="402">
        <f t="shared" ca="1" si="46"/>
        <v>5.1797955760855708E-3</v>
      </c>
      <c r="W62" s="402">
        <f t="shared" ca="1" si="46"/>
        <v>5.1797955760855708E-3</v>
      </c>
      <c r="X62" s="402">
        <f t="shared" ca="1" si="46"/>
        <v>5.1797955760855708E-3</v>
      </c>
      <c r="Y62" s="402">
        <f t="shared" ca="1" si="46"/>
        <v>5.1797955760855708E-3</v>
      </c>
      <c r="Z62" s="402">
        <f t="shared" ca="1" si="46"/>
        <v>5.1797955760855708E-3</v>
      </c>
      <c r="AA62" s="402">
        <f t="shared" ca="1" si="46"/>
        <v>5.1797955760855708E-3</v>
      </c>
      <c r="AB62" s="594"/>
      <c r="AC62" s="535">
        <v>0</v>
      </c>
    </row>
    <row r="63" spans="1:29" collapsed="1">
      <c r="A63" s="592"/>
      <c r="B63" s="556" t="s">
        <v>414</v>
      </c>
      <c r="C63" s="561" t="str">
        <f>LEFT($G$3,1) &amp; "S_InstImp"</f>
        <v>MS_InstImp</v>
      </c>
      <c r="D63" s="561"/>
      <c r="E63" s="593"/>
      <c r="F63" s="595"/>
      <c r="G63" s="416" t="s">
        <v>311</v>
      </c>
      <c r="H63" s="416" t="s">
        <v>311</v>
      </c>
      <c r="I63" s="417">
        <f t="shared" ref="I63:O63" ca="1" si="47">INDEX(INDIRECT($B$62&amp;$B$63),MATCH($C63,INDIRECT($B$62&amp;$B$64),0),MATCH(I$4,INDIRECT($B$62&amp;$B$65),0))</f>
        <v>1</v>
      </c>
      <c r="J63" s="417">
        <f t="shared" ca="1" si="47"/>
        <v>1</v>
      </c>
      <c r="K63" s="417">
        <f t="shared" ca="1" si="47"/>
        <v>1</v>
      </c>
      <c r="L63" s="417">
        <f t="shared" ca="1" si="47"/>
        <v>2</v>
      </c>
      <c r="M63" s="417">
        <f t="shared" ca="1" si="47"/>
        <v>2</v>
      </c>
      <c r="N63" s="417">
        <f t="shared" ca="1" si="47"/>
        <v>1</v>
      </c>
      <c r="O63" s="417">
        <f t="shared" ca="1" si="47"/>
        <v>1</v>
      </c>
      <c r="P63" s="418"/>
      <c r="Q63" s="419"/>
      <c r="R63" s="419"/>
      <c r="S63" s="420" t="s">
        <v>600</v>
      </c>
      <c r="T63" s="420"/>
      <c r="U63" s="421">
        <f t="shared" ref="U63:Z63" ca="1" si="48">(U7*(1+U18-U62)+U17+U19)*I63</f>
        <v>130530.68799999999</v>
      </c>
      <c r="V63" s="421">
        <f t="shared" ca="1" si="48"/>
        <v>138626.51320000002</v>
      </c>
      <c r="W63" s="421">
        <f t="shared" ca="1" si="48"/>
        <v>147604.17590037684</v>
      </c>
      <c r="X63" s="421">
        <f t="shared" ca="1" si="48"/>
        <v>303098.09051369893</v>
      </c>
      <c r="Y63" s="421">
        <f t="shared" ca="1" si="48"/>
        <v>316196.10493580101</v>
      </c>
      <c r="Z63" s="421">
        <f t="shared" ca="1" si="48"/>
        <v>162203.91532244207</v>
      </c>
      <c r="AA63" s="422">
        <f ca="1">(AA7*(1+AA18-AA62)+AA17+AA19)*O63</f>
        <v>170242.65811830189</v>
      </c>
      <c r="AB63" s="558"/>
      <c r="AC63" s="535">
        <v>1</v>
      </c>
    </row>
    <row r="64" spans="1:29" ht="15" hidden="1" customHeight="1" outlineLevel="1">
      <c r="A64" s="592"/>
      <c r="B64" s="556" t="s">
        <v>415</v>
      </c>
      <c r="C64" s="561"/>
      <c r="D64" s="561"/>
      <c r="E64" s="556"/>
      <c r="F64" s="556"/>
      <c r="G64" s="407"/>
      <c r="H64" s="389"/>
      <c r="I64" s="423"/>
      <c r="J64" s="423"/>
      <c r="K64" s="423"/>
      <c r="L64" s="423"/>
      <c r="M64" s="423"/>
      <c r="N64" s="423"/>
      <c r="O64" s="423"/>
      <c r="P64" s="395"/>
      <c r="Q64" s="354"/>
      <c r="R64" s="354"/>
      <c r="S64" s="371" t="s">
        <v>599</v>
      </c>
      <c r="T64" s="371"/>
      <c r="U64" s="371"/>
      <c r="V64" s="371"/>
      <c r="W64" s="371"/>
      <c r="X64" s="371"/>
      <c r="Y64" s="371"/>
      <c r="Z64" s="371"/>
      <c r="AA64" s="371"/>
      <c r="AB64" s="558"/>
      <c r="AC64" s="535">
        <v>0</v>
      </c>
    </row>
    <row r="65" spans="1:30" ht="15" hidden="1" customHeight="1" outlineLevel="1">
      <c r="A65" s="592"/>
      <c r="B65" s="556" t="s">
        <v>416</v>
      </c>
      <c r="C65" s="561"/>
      <c r="D65" s="561"/>
      <c r="E65" s="556"/>
      <c r="F65" s="556"/>
      <c r="G65" s="407"/>
      <c r="H65" s="389"/>
      <c r="I65" s="423"/>
      <c r="J65" s="423"/>
      <c r="K65" s="423"/>
      <c r="L65" s="423"/>
      <c r="M65" s="423"/>
      <c r="N65" s="423"/>
      <c r="O65" s="423"/>
      <c r="P65" s="395"/>
      <c r="Q65" s="354"/>
      <c r="R65" s="354"/>
      <c r="S65" s="371" t="s">
        <v>502</v>
      </c>
      <c r="T65" s="371"/>
      <c r="U65" s="371"/>
      <c r="V65" s="371"/>
      <c r="W65" s="371"/>
      <c r="X65" s="371"/>
      <c r="Y65" s="371"/>
      <c r="Z65" s="371"/>
      <c r="AA65" s="371"/>
      <c r="AB65" s="558"/>
      <c r="AC65" s="535">
        <v>0</v>
      </c>
    </row>
    <row r="66" spans="1:30" ht="15" hidden="1" customHeight="1" outlineLevel="1">
      <c r="A66" s="592"/>
      <c r="B66" s="592"/>
      <c r="C66" s="561"/>
      <c r="D66" s="561"/>
      <c r="E66" s="561"/>
      <c r="F66" s="561"/>
      <c r="G66" s="330"/>
      <c r="H66" s="330"/>
      <c r="P66" s="391"/>
      <c r="Q66" s="390"/>
      <c r="R66" s="390"/>
      <c r="S66" s="390"/>
      <c r="AB66" s="558"/>
      <c r="AC66" s="535">
        <v>0</v>
      </c>
    </row>
    <row r="67" spans="1:30" ht="15.95" hidden="1" customHeight="1" outlineLevel="1" thickBot="1">
      <c r="A67" s="596"/>
      <c r="B67" s="596"/>
      <c r="C67" s="596"/>
      <c r="D67" s="596"/>
      <c r="E67" s="596"/>
      <c r="F67" s="596"/>
      <c r="G67" s="330"/>
      <c r="H67" s="330"/>
      <c r="P67" s="330"/>
      <c r="AB67" s="596"/>
      <c r="AC67" s="535">
        <v>0</v>
      </c>
    </row>
    <row r="68" spans="1:30" collapsed="1">
      <c r="A68" s="596"/>
      <c r="B68" s="597" t="s">
        <v>385</v>
      </c>
      <c r="C68" s="598" t="str">
        <f t="shared" ref="C68:C87" si="49">LEFT($G$3,1) &amp; "S" &amp; D68</f>
        <v>MS_Clsfd</v>
      </c>
      <c r="D68" s="599" t="s">
        <v>522</v>
      </c>
      <c r="E68" s="597"/>
      <c r="F68" s="600"/>
      <c r="G68" s="336" t="s">
        <v>312</v>
      </c>
      <c r="H68" s="387" t="s">
        <v>314</v>
      </c>
      <c r="I68" s="369">
        <f t="shared" ref="I68:O68" ca="1" si="50">IFERROR(INDEX(INDIRECT($B$68 &amp; $B$69), MATCH($C68, INDIRECT($B$68 &amp; $B$70),0), MATCH(I$4, INDIRECT($B$68 &amp; $B$71), 0)),0)-I69-I70</f>
        <v>4</v>
      </c>
      <c r="J68" s="369">
        <f t="shared" ca="1" si="50"/>
        <v>4</v>
      </c>
      <c r="K68" s="369">
        <f t="shared" ca="1" si="50"/>
        <v>4</v>
      </c>
      <c r="L68" s="369">
        <f t="shared" ca="1" si="50"/>
        <v>4</v>
      </c>
      <c r="M68" s="369">
        <f t="shared" ca="1" si="50"/>
        <v>4</v>
      </c>
      <c r="N68" s="369">
        <f t="shared" ca="1" si="50"/>
        <v>4</v>
      </c>
      <c r="O68" s="369">
        <f t="shared" ca="1" si="50"/>
        <v>4</v>
      </c>
      <c r="P68" s="424"/>
      <c r="Q68" s="369">
        <v>8</v>
      </c>
      <c r="R68" s="369"/>
      <c r="S68" s="369">
        <v>185</v>
      </c>
      <c r="T68" s="342" t="s">
        <v>245</v>
      </c>
      <c r="U68" s="425">
        <f t="shared" ref="U68:Z68" si="51">IF(LEFT($G$3,1)="E", (VLOOKUP($T68, $T$7:$AA$13, MATCH(U$4, $S$4:$AA$4,0),0)*$Q68*$S68*(1+U$18-U$22)+U$17+U$19)*I68, 0)</f>
        <v>0</v>
      </c>
      <c r="V68" s="425">
        <f t="shared" si="51"/>
        <v>0</v>
      </c>
      <c r="W68" s="425">
        <f t="shared" si="51"/>
        <v>0</v>
      </c>
      <c r="X68" s="425">
        <f t="shared" si="51"/>
        <v>0</v>
      </c>
      <c r="Y68" s="425">
        <f t="shared" si="51"/>
        <v>0</v>
      </c>
      <c r="Z68" s="425">
        <f t="shared" si="51"/>
        <v>0</v>
      </c>
      <c r="AA68" s="426">
        <f>IF(LEFT($G$3,1)="E", (VLOOKUP($T68, $T$7:$AA$13, MATCH(AA$4, $T$4:$AA$4,0),0)*$Q68*$S68*(1+AA$18-AA$22)+AA$17+AA$19)*O68, 0)</f>
        <v>0</v>
      </c>
      <c r="AB68" s="596"/>
      <c r="AC68" s="535">
        <v>1</v>
      </c>
    </row>
    <row r="69" spans="1:30">
      <c r="A69" s="598"/>
      <c r="B69" s="601" t="s">
        <v>414</v>
      </c>
      <c r="C69" s="598" t="str">
        <f t="shared" si="49"/>
        <v>MS_SpEdStaff</v>
      </c>
      <c r="D69" s="598" t="s">
        <v>505</v>
      </c>
      <c r="E69" s="598"/>
      <c r="F69" s="602"/>
      <c r="G69" s="345"/>
      <c r="H69" s="389" t="s">
        <v>313</v>
      </c>
      <c r="I69" s="390">
        <f t="shared" ref="I69:O78" ca="1" si="52">IFERROR(INDEX(INDIRECT($B$73 &amp; $B$74), MATCH($C69, INDIRECT($B$73 &amp; $B$75),0), MATCH(I$4, INDIRECT($B$73 &amp; $B$76), 0)),0)</f>
        <v>5</v>
      </c>
      <c r="J69" s="390">
        <f t="shared" ca="1" si="52"/>
        <v>5</v>
      </c>
      <c r="K69" s="390">
        <f t="shared" ca="1" si="52"/>
        <v>5</v>
      </c>
      <c r="L69" s="390">
        <f t="shared" ca="1" si="52"/>
        <v>5</v>
      </c>
      <c r="M69" s="390">
        <f t="shared" ca="1" si="52"/>
        <v>5</v>
      </c>
      <c r="N69" s="390">
        <f t="shared" ca="1" si="52"/>
        <v>5</v>
      </c>
      <c r="O69" s="390">
        <f t="shared" ca="1" si="52"/>
        <v>5</v>
      </c>
      <c r="P69" s="391"/>
      <c r="Q69" s="390">
        <v>8</v>
      </c>
      <c r="R69" s="390"/>
      <c r="S69" s="390">
        <v>185</v>
      </c>
      <c r="T69" s="350" t="s">
        <v>245</v>
      </c>
      <c r="U69" s="427">
        <f t="shared" ref="U69:U87" ca="1" si="53">(VLOOKUP($T69, $T$7:$AA$13, MATCH(U$4, $S$4:$AA$4,0),0)*$Q69*$S69*(1+$U$18-$U$22)+$U$17+$U$19)*I69</f>
        <v>371862.35225484445</v>
      </c>
      <c r="V69" s="427">
        <f t="shared" ref="V69:V87" ca="1" si="54">(VLOOKUP($T69, $T$7:$AA$13, MATCH(V$4, $S$4:$AA$4,0),0)*$Q69*$S69*(1+V$18-V$22)+V$17+V$19)*J69</f>
        <v>384328.39901877439</v>
      </c>
      <c r="W69" s="427">
        <f t="shared" ref="W69:W87" ca="1" si="55">(VLOOKUP($T69, $T$7:$AA$13, MATCH(W$4, $S$4:$AA$4,0),0)*$Q69*$S69*(1+W$18-W$22)+W$17+W$19)*K69</f>
        <v>395776.64585760224</v>
      </c>
      <c r="X69" s="427">
        <f t="shared" ref="X69:X87" ca="1" si="56">(VLOOKUP($T69, $T$7:$AA$13, MATCH(X$4, $S$4:$AA$4,0),0)*$Q69*$S69*(1+X$18-X$22)+X$17+X$19)*L69</f>
        <v>402058.19060848915</v>
      </c>
      <c r="Y69" s="427">
        <f t="shared" ref="Y69:Y87" ca="1" si="57">(VLOOKUP($T69, $T$7:$AA$13, MATCH(Y$4, $S$4:$AA$4,0),0)*$Q69*$S69*(1+Y$18-Y$22)+Y$17+Y$19)*M69</f>
        <v>412717.93961780175</v>
      </c>
      <c r="Z69" s="427">
        <f t="shared" ref="Z69:Z87" ca="1" si="58">(VLOOKUP($T69, $T$7:$AA$13, MATCH(Z$4, $S$4:$AA$4,0),0)*$Q69*$S69*(1+Z$18-Z$22)+Z$17+Z$19)*N69</f>
        <v>423755.14527096495</v>
      </c>
      <c r="AA69" s="428">
        <f t="shared" ref="AA69:AA87" ca="1" si="59">(VLOOKUP($T69, $T$7:$AA$13, MATCH(AA$4, $T$4:$AA$4,0),0)*$Q69*$S69*(1+AA$18-AA$22)+AA$17+AA$19)*O69</f>
        <v>427800.13072317105</v>
      </c>
      <c r="AB69" s="603"/>
      <c r="AC69" s="535">
        <v>1</v>
      </c>
      <c r="AD69" s="45"/>
    </row>
    <row r="70" spans="1:30">
      <c r="A70" s="598"/>
      <c r="B70" s="601" t="s">
        <v>415</v>
      </c>
      <c r="C70" s="598" t="str">
        <f t="shared" si="49"/>
        <v>MS_PrinSec</v>
      </c>
      <c r="D70" s="598" t="s">
        <v>506</v>
      </c>
      <c r="E70" s="598"/>
      <c r="F70" s="602"/>
      <c r="G70" s="345"/>
      <c r="H70" s="389" t="s">
        <v>358</v>
      </c>
      <c r="I70" s="390">
        <f t="shared" ca="1" si="52"/>
        <v>1</v>
      </c>
      <c r="J70" s="390">
        <f t="shared" ca="1" si="52"/>
        <v>1</v>
      </c>
      <c r="K70" s="390">
        <f t="shared" ca="1" si="52"/>
        <v>1</v>
      </c>
      <c r="L70" s="390">
        <f t="shared" ca="1" si="52"/>
        <v>1</v>
      </c>
      <c r="M70" s="390">
        <f t="shared" ca="1" si="52"/>
        <v>1</v>
      </c>
      <c r="N70" s="390">
        <f t="shared" ca="1" si="52"/>
        <v>1</v>
      </c>
      <c r="O70" s="390">
        <f t="shared" ca="1" si="52"/>
        <v>1</v>
      </c>
      <c r="P70" s="391"/>
      <c r="Q70" s="390">
        <v>8</v>
      </c>
      <c r="R70" s="390"/>
      <c r="S70" s="390">
        <f>IF(LEFT($G$3, 1) = "E", 210,260)</f>
        <v>260</v>
      </c>
      <c r="T70" s="350" t="s">
        <v>247</v>
      </c>
      <c r="U70" s="427">
        <f t="shared" ca="1" si="53"/>
        <v>99974.034773591935</v>
      </c>
      <c r="V70" s="427">
        <f t="shared" ca="1" si="54"/>
        <v>103327.62505094637</v>
      </c>
      <c r="W70" s="427">
        <f t="shared" ca="1" si="55"/>
        <v>106369.75715382208</v>
      </c>
      <c r="X70" s="427">
        <f t="shared" ca="1" si="56"/>
        <v>107875.5679134216</v>
      </c>
      <c r="Y70" s="427">
        <f t="shared" ca="1" si="57"/>
        <v>110661.70538930426</v>
      </c>
      <c r="Z70" s="427">
        <f t="shared" ca="1" si="58"/>
        <v>113547.00599716883</v>
      </c>
      <c r="AA70" s="428">
        <f t="shared" ca="1" si="59"/>
        <v>114356.00308761005</v>
      </c>
      <c r="AB70" s="603"/>
      <c r="AC70" s="535">
        <v>1</v>
      </c>
      <c r="AD70" s="45"/>
    </row>
    <row r="71" spans="1:30">
      <c r="A71" s="598"/>
      <c r="B71" s="601" t="s">
        <v>416</v>
      </c>
      <c r="C71" s="598" t="str">
        <f t="shared" si="49"/>
        <v>MS_AltEdTeenParent</v>
      </c>
      <c r="D71" s="598" t="s">
        <v>515</v>
      </c>
      <c r="E71" s="598"/>
      <c r="F71" s="602"/>
      <c r="G71" s="345"/>
      <c r="H71" s="389" t="s">
        <v>405</v>
      </c>
      <c r="I71" s="390">
        <f t="shared" ca="1" si="52"/>
        <v>0</v>
      </c>
      <c r="J71" s="390">
        <f t="shared" ca="1" si="52"/>
        <v>0</v>
      </c>
      <c r="K71" s="390">
        <f t="shared" ca="1" si="52"/>
        <v>0</v>
      </c>
      <c r="L71" s="390">
        <f t="shared" ca="1" si="52"/>
        <v>0</v>
      </c>
      <c r="M71" s="390">
        <f t="shared" ca="1" si="52"/>
        <v>0</v>
      </c>
      <c r="N71" s="390">
        <f t="shared" ca="1" si="52"/>
        <v>0</v>
      </c>
      <c r="O71" s="390">
        <f t="shared" ca="1" si="52"/>
        <v>0</v>
      </c>
      <c r="P71" s="391"/>
      <c r="Q71" s="390">
        <v>8</v>
      </c>
      <c r="R71" s="390"/>
      <c r="S71" s="390">
        <v>220</v>
      </c>
      <c r="T71" s="350" t="s">
        <v>245</v>
      </c>
      <c r="U71" s="427">
        <f t="shared" ca="1" si="53"/>
        <v>0</v>
      </c>
      <c r="V71" s="427">
        <f t="shared" ca="1" si="54"/>
        <v>0</v>
      </c>
      <c r="W71" s="427">
        <f t="shared" ca="1" si="55"/>
        <v>0</v>
      </c>
      <c r="X71" s="427">
        <f t="shared" ca="1" si="56"/>
        <v>0</v>
      </c>
      <c r="Y71" s="427">
        <f t="shared" ca="1" si="57"/>
        <v>0</v>
      </c>
      <c r="Z71" s="427">
        <f t="shared" ca="1" si="58"/>
        <v>0</v>
      </c>
      <c r="AA71" s="428">
        <f t="shared" ca="1" si="59"/>
        <v>0</v>
      </c>
      <c r="AB71" s="603"/>
      <c r="AC71" s="535">
        <v>1</v>
      </c>
      <c r="AD71" s="45"/>
    </row>
    <row r="72" spans="1:30">
      <c r="A72" s="598"/>
      <c r="B72" s="598"/>
      <c r="C72" s="598" t="str">
        <f t="shared" si="49"/>
        <v>MS_CounsOffice</v>
      </c>
      <c r="D72" s="598" t="s">
        <v>516</v>
      </c>
      <c r="E72" s="598"/>
      <c r="F72" s="602"/>
      <c r="G72" s="345"/>
      <c r="H72" s="389" t="s">
        <v>360</v>
      </c>
      <c r="I72" s="390">
        <f t="shared" ca="1" si="52"/>
        <v>0</v>
      </c>
      <c r="J72" s="390">
        <f t="shared" ca="1" si="52"/>
        <v>0</v>
      </c>
      <c r="K72" s="390">
        <f t="shared" ca="1" si="52"/>
        <v>0</v>
      </c>
      <c r="L72" s="390">
        <f t="shared" ca="1" si="52"/>
        <v>0</v>
      </c>
      <c r="M72" s="390">
        <f t="shared" ca="1" si="52"/>
        <v>0</v>
      </c>
      <c r="N72" s="390">
        <f t="shared" ca="1" si="52"/>
        <v>0</v>
      </c>
      <c r="O72" s="390">
        <f t="shared" ca="1" si="52"/>
        <v>0</v>
      </c>
      <c r="P72" s="391"/>
      <c r="Q72" s="390">
        <v>8</v>
      </c>
      <c r="R72" s="390"/>
      <c r="S72" s="390">
        <v>220</v>
      </c>
      <c r="T72" s="350" t="s">
        <v>245</v>
      </c>
      <c r="U72" s="427">
        <f t="shared" ca="1" si="53"/>
        <v>0</v>
      </c>
      <c r="V72" s="427">
        <f t="shared" ca="1" si="54"/>
        <v>0</v>
      </c>
      <c r="W72" s="427">
        <f t="shared" ca="1" si="55"/>
        <v>0</v>
      </c>
      <c r="X72" s="427">
        <f t="shared" ca="1" si="56"/>
        <v>0</v>
      </c>
      <c r="Y72" s="427">
        <f t="shared" ca="1" si="57"/>
        <v>0</v>
      </c>
      <c r="Z72" s="427">
        <f t="shared" ca="1" si="58"/>
        <v>0</v>
      </c>
      <c r="AA72" s="428">
        <f t="shared" ca="1" si="59"/>
        <v>0</v>
      </c>
      <c r="AB72" s="603"/>
      <c r="AC72" s="535">
        <v>1</v>
      </c>
      <c r="AD72" s="45"/>
    </row>
    <row r="73" spans="1:30">
      <c r="A73" s="598"/>
      <c r="B73" s="604" t="s">
        <v>1061</v>
      </c>
      <c r="C73" s="598" t="str">
        <f t="shared" si="49"/>
        <v>MS_S2W_Coord</v>
      </c>
      <c r="D73" s="598" t="s">
        <v>517</v>
      </c>
      <c r="E73" s="598"/>
      <c r="F73" s="602"/>
      <c r="G73" s="345"/>
      <c r="H73" s="389" t="s">
        <v>361</v>
      </c>
      <c r="I73" s="390">
        <f t="shared" ca="1" si="52"/>
        <v>0</v>
      </c>
      <c r="J73" s="390">
        <f t="shared" ca="1" si="52"/>
        <v>0</v>
      </c>
      <c r="K73" s="390">
        <f t="shared" ca="1" si="52"/>
        <v>0</v>
      </c>
      <c r="L73" s="390">
        <f t="shared" ca="1" si="52"/>
        <v>0</v>
      </c>
      <c r="M73" s="390">
        <f t="shared" ca="1" si="52"/>
        <v>0</v>
      </c>
      <c r="N73" s="390">
        <f t="shared" ca="1" si="52"/>
        <v>0</v>
      </c>
      <c r="O73" s="390">
        <f t="shared" ca="1" si="52"/>
        <v>0</v>
      </c>
      <c r="P73" s="391"/>
      <c r="Q73" s="390">
        <v>8</v>
      </c>
      <c r="R73" s="390"/>
      <c r="S73" s="390">
        <v>220</v>
      </c>
      <c r="T73" s="350" t="s">
        <v>245</v>
      </c>
      <c r="U73" s="427">
        <f t="shared" ca="1" si="53"/>
        <v>0</v>
      </c>
      <c r="V73" s="427">
        <f t="shared" ca="1" si="54"/>
        <v>0</v>
      </c>
      <c r="W73" s="427">
        <f t="shared" ca="1" si="55"/>
        <v>0</v>
      </c>
      <c r="X73" s="427">
        <f t="shared" ca="1" si="56"/>
        <v>0</v>
      </c>
      <c r="Y73" s="427">
        <f t="shared" ca="1" si="57"/>
        <v>0</v>
      </c>
      <c r="Z73" s="427">
        <f t="shared" ca="1" si="58"/>
        <v>0</v>
      </c>
      <c r="AA73" s="428">
        <f t="shared" ca="1" si="59"/>
        <v>0</v>
      </c>
      <c r="AB73" s="603"/>
      <c r="AC73" s="535">
        <v>1</v>
      </c>
      <c r="AD73" s="45"/>
    </row>
    <row r="74" spans="1:30">
      <c r="A74" s="598"/>
      <c r="B74" s="598" t="s">
        <v>830</v>
      </c>
      <c r="C74" s="598" t="str">
        <f t="shared" si="49"/>
        <v>MS_Registrar</v>
      </c>
      <c r="D74" s="598" t="s">
        <v>518</v>
      </c>
      <c r="E74" s="598"/>
      <c r="F74" s="602"/>
      <c r="G74" s="345"/>
      <c r="H74" s="389" t="s">
        <v>362</v>
      </c>
      <c r="I74" s="390">
        <f t="shared" ca="1" si="52"/>
        <v>1</v>
      </c>
      <c r="J74" s="390">
        <f t="shared" ca="1" si="52"/>
        <v>1</v>
      </c>
      <c r="K74" s="390">
        <f t="shared" ca="1" si="52"/>
        <v>1</v>
      </c>
      <c r="L74" s="390">
        <f t="shared" ca="1" si="52"/>
        <v>1</v>
      </c>
      <c r="M74" s="390">
        <f t="shared" ca="1" si="52"/>
        <v>1</v>
      </c>
      <c r="N74" s="390">
        <f t="shared" ca="1" si="52"/>
        <v>1</v>
      </c>
      <c r="O74" s="390">
        <f t="shared" ca="1" si="52"/>
        <v>1</v>
      </c>
      <c r="P74" s="391"/>
      <c r="Q74" s="390">
        <v>8</v>
      </c>
      <c r="R74" s="390"/>
      <c r="S74" s="390">
        <v>260</v>
      </c>
      <c r="T74" s="350" t="s">
        <v>245</v>
      </c>
      <c r="U74" s="427">
        <f t="shared" ca="1" si="53"/>
        <v>96191.985498658993</v>
      </c>
      <c r="V74" s="427">
        <f t="shared" ca="1" si="54"/>
        <v>99418.474048520351</v>
      </c>
      <c r="W74" s="427">
        <f t="shared" ca="1" si="55"/>
        <v>102349.44392916388</v>
      </c>
      <c r="X74" s="427">
        <f t="shared" ca="1" si="56"/>
        <v>103818.39646691695</v>
      </c>
      <c r="Y74" s="427">
        <f t="shared" ca="1" si="57"/>
        <v>106507.89258186481</v>
      </c>
      <c r="Z74" s="427">
        <f t="shared" ca="1" si="58"/>
        <v>109293.05485786559</v>
      </c>
      <c r="AA74" s="428">
        <f t="shared" ca="1" si="59"/>
        <v>110102.05194830681</v>
      </c>
      <c r="AB74" s="603"/>
      <c r="AC74" s="535">
        <v>1</v>
      </c>
      <c r="AD74" s="45"/>
    </row>
    <row r="75" spans="1:30">
      <c r="A75" s="598"/>
      <c r="B75" s="598" t="s">
        <v>831</v>
      </c>
      <c r="C75" s="598" t="str">
        <f t="shared" si="49"/>
        <v>MS_Attendance</v>
      </c>
      <c r="D75" s="598" t="s">
        <v>508</v>
      </c>
      <c r="E75" s="598"/>
      <c r="F75" s="602"/>
      <c r="G75" s="345"/>
      <c r="H75" s="389" t="s">
        <v>363</v>
      </c>
      <c r="I75" s="390">
        <f t="shared" ca="1" si="52"/>
        <v>1</v>
      </c>
      <c r="J75" s="390">
        <f t="shared" ca="1" si="52"/>
        <v>1</v>
      </c>
      <c r="K75" s="390">
        <f t="shared" ca="1" si="52"/>
        <v>1</v>
      </c>
      <c r="L75" s="390">
        <f t="shared" ca="1" si="52"/>
        <v>1</v>
      </c>
      <c r="M75" s="390">
        <f t="shared" ca="1" si="52"/>
        <v>1</v>
      </c>
      <c r="N75" s="390">
        <f t="shared" ca="1" si="52"/>
        <v>1</v>
      </c>
      <c r="O75" s="390">
        <f t="shared" ca="1" si="52"/>
        <v>1</v>
      </c>
      <c r="P75" s="391"/>
      <c r="Q75" s="390">
        <v>8</v>
      </c>
      <c r="R75" s="390"/>
      <c r="S75" s="390">
        <v>185</v>
      </c>
      <c r="T75" s="350" t="s">
        <v>245</v>
      </c>
      <c r="U75" s="427">
        <f t="shared" ca="1" si="53"/>
        <v>74372.470450968889</v>
      </c>
      <c r="V75" s="427">
        <f t="shared" ca="1" si="54"/>
        <v>76865.679803754872</v>
      </c>
      <c r="W75" s="427">
        <f t="shared" ca="1" si="55"/>
        <v>79155.329171520454</v>
      </c>
      <c r="X75" s="427">
        <f t="shared" ca="1" si="56"/>
        <v>80411.638121697833</v>
      </c>
      <c r="Y75" s="427">
        <f t="shared" ca="1" si="57"/>
        <v>82543.58792356035</v>
      </c>
      <c r="Z75" s="427">
        <f t="shared" ca="1" si="58"/>
        <v>84751.029054192986</v>
      </c>
      <c r="AA75" s="428">
        <f t="shared" ca="1" si="59"/>
        <v>85560.026144634205</v>
      </c>
      <c r="AB75" s="603"/>
      <c r="AC75" s="535">
        <v>1</v>
      </c>
      <c r="AD75" s="45"/>
    </row>
    <row r="76" spans="1:30">
      <c r="A76" s="598"/>
      <c r="B76" s="598" t="s">
        <v>773</v>
      </c>
      <c r="C76" s="598" t="str">
        <f t="shared" si="49"/>
        <v>MS_CommOutreach</v>
      </c>
      <c r="D76" s="598" t="s">
        <v>509</v>
      </c>
      <c r="E76" s="598"/>
      <c r="F76" s="602"/>
      <c r="G76" s="345"/>
      <c r="H76" s="389" t="s">
        <v>364</v>
      </c>
      <c r="I76" s="390">
        <f t="shared" ca="1" si="52"/>
        <v>1</v>
      </c>
      <c r="J76" s="390">
        <f t="shared" ca="1" si="52"/>
        <v>1</v>
      </c>
      <c r="K76" s="390">
        <f t="shared" ca="1" si="52"/>
        <v>1</v>
      </c>
      <c r="L76" s="390">
        <f t="shared" ca="1" si="52"/>
        <v>1</v>
      </c>
      <c r="M76" s="390">
        <f t="shared" ca="1" si="52"/>
        <v>1</v>
      </c>
      <c r="N76" s="390">
        <f t="shared" ca="1" si="52"/>
        <v>1</v>
      </c>
      <c r="O76" s="390">
        <f t="shared" ca="1" si="52"/>
        <v>1</v>
      </c>
      <c r="P76" s="391"/>
      <c r="Q76" s="390">
        <v>8</v>
      </c>
      <c r="R76" s="390"/>
      <c r="S76" s="390">
        <v>185</v>
      </c>
      <c r="T76" s="350" t="s">
        <v>245</v>
      </c>
      <c r="U76" s="427">
        <f t="shared" ca="1" si="53"/>
        <v>74372.470450968889</v>
      </c>
      <c r="V76" s="427">
        <f t="shared" ca="1" si="54"/>
        <v>76865.679803754872</v>
      </c>
      <c r="W76" s="427">
        <f t="shared" ca="1" si="55"/>
        <v>79155.329171520454</v>
      </c>
      <c r="X76" s="427">
        <f t="shared" ca="1" si="56"/>
        <v>80411.638121697833</v>
      </c>
      <c r="Y76" s="427">
        <f t="shared" ca="1" si="57"/>
        <v>82543.58792356035</v>
      </c>
      <c r="Z76" s="427">
        <f t="shared" ca="1" si="58"/>
        <v>84751.029054192986</v>
      </c>
      <c r="AA76" s="428">
        <f t="shared" ca="1" si="59"/>
        <v>85560.026144634205</v>
      </c>
      <c r="AB76" s="603"/>
      <c r="AC76" s="535">
        <v>1</v>
      </c>
      <c r="AD76" s="45"/>
    </row>
    <row r="77" spans="1:30">
      <c r="A77" s="598"/>
      <c r="B77" s="598"/>
      <c r="C77" s="598" t="str">
        <f t="shared" si="49"/>
        <v>MS_FamResCenCoord</v>
      </c>
      <c r="D77" s="598" t="s">
        <v>510</v>
      </c>
      <c r="E77" s="598"/>
      <c r="F77" s="602"/>
      <c r="G77" s="345"/>
      <c r="H77" s="389" t="s">
        <v>365</v>
      </c>
      <c r="I77" s="390">
        <f t="shared" ca="1" si="52"/>
        <v>1</v>
      </c>
      <c r="J77" s="390">
        <f t="shared" ca="1" si="52"/>
        <v>1</v>
      </c>
      <c r="K77" s="390">
        <f t="shared" ca="1" si="52"/>
        <v>1</v>
      </c>
      <c r="L77" s="390">
        <f t="shared" ca="1" si="52"/>
        <v>1</v>
      </c>
      <c r="M77" s="390">
        <f t="shared" ca="1" si="52"/>
        <v>1</v>
      </c>
      <c r="N77" s="390">
        <f t="shared" ca="1" si="52"/>
        <v>1</v>
      </c>
      <c r="O77" s="390">
        <f t="shared" ca="1" si="52"/>
        <v>1</v>
      </c>
      <c r="P77" s="391"/>
      <c r="Q77" s="390">
        <v>8</v>
      </c>
      <c r="R77" s="390"/>
      <c r="S77" s="390">
        <v>185</v>
      </c>
      <c r="T77" s="350" t="s">
        <v>245</v>
      </c>
      <c r="U77" s="427">
        <f t="shared" ca="1" si="53"/>
        <v>74372.470450968889</v>
      </c>
      <c r="V77" s="427">
        <f t="shared" ca="1" si="54"/>
        <v>76865.679803754872</v>
      </c>
      <c r="W77" s="427">
        <f t="shared" ca="1" si="55"/>
        <v>79155.329171520454</v>
      </c>
      <c r="X77" s="427">
        <f t="shared" ca="1" si="56"/>
        <v>80411.638121697833</v>
      </c>
      <c r="Y77" s="427">
        <f t="shared" ca="1" si="57"/>
        <v>82543.58792356035</v>
      </c>
      <c r="Z77" s="427">
        <f t="shared" ca="1" si="58"/>
        <v>84751.029054192986</v>
      </c>
      <c r="AA77" s="428">
        <f t="shared" ca="1" si="59"/>
        <v>85560.026144634205</v>
      </c>
      <c r="AB77" s="603"/>
      <c r="AC77" s="535">
        <v>1</v>
      </c>
      <c r="AD77" s="45"/>
    </row>
    <row r="78" spans="1:30">
      <c r="A78" s="598"/>
      <c r="B78" s="598"/>
      <c r="C78" s="598" t="str">
        <f t="shared" si="49"/>
        <v>MS_DeptSupport</v>
      </c>
      <c r="D78" s="598" t="s">
        <v>519</v>
      </c>
      <c r="E78" s="598"/>
      <c r="F78" s="602"/>
      <c r="G78" s="345"/>
      <c r="H78" s="389" t="s">
        <v>366</v>
      </c>
      <c r="I78" s="390">
        <f t="shared" ca="1" si="52"/>
        <v>0</v>
      </c>
      <c r="J78" s="390">
        <f t="shared" ca="1" si="52"/>
        <v>0</v>
      </c>
      <c r="K78" s="390">
        <f t="shared" ca="1" si="52"/>
        <v>0</v>
      </c>
      <c r="L78" s="390">
        <f t="shared" ca="1" si="52"/>
        <v>0</v>
      </c>
      <c r="M78" s="390">
        <f t="shared" ca="1" si="52"/>
        <v>0</v>
      </c>
      <c r="N78" s="390">
        <f t="shared" ca="1" si="52"/>
        <v>0</v>
      </c>
      <c r="O78" s="390">
        <f t="shared" ca="1" si="52"/>
        <v>0</v>
      </c>
      <c r="P78" s="391"/>
      <c r="Q78" s="390">
        <v>8</v>
      </c>
      <c r="R78" s="390"/>
      <c r="S78" s="390">
        <v>185</v>
      </c>
      <c r="T78" s="350" t="s">
        <v>245</v>
      </c>
      <c r="U78" s="427">
        <f t="shared" ca="1" si="53"/>
        <v>0</v>
      </c>
      <c r="V78" s="427">
        <f t="shared" ca="1" si="54"/>
        <v>0</v>
      </c>
      <c r="W78" s="427">
        <f t="shared" ca="1" si="55"/>
        <v>0</v>
      </c>
      <c r="X78" s="427">
        <f t="shared" ca="1" si="56"/>
        <v>0</v>
      </c>
      <c r="Y78" s="427">
        <f t="shared" ca="1" si="57"/>
        <v>0</v>
      </c>
      <c r="Z78" s="427">
        <f t="shared" ca="1" si="58"/>
        <v>0</v>
      </c>
      <c r="AA78" s="428">
        <f t="shared" ca="1" si="59"/>
        <v>0</v>
      </c>
      <c r="AB78" s="603"/>
      <c r="AC78" s="535">
        <v>1</v>
      </c>
      <c r="AD78" s="45"/>
    </row>
    <row r="79" spans="1:30">
      <c r="A79" s="598"/>
      <c r="B79" s="598"/>
      <c r="C79" s="598" t="str">
        <f t="shared" si="49"/>
        <v>MS_Bookkeeper</v>
      </c>
      <c r="D79" s="598" t="s">
        <v>520</v>
      </c>
      <c r="E79" s="598"/>
      <c r="F79" s="602"/>
      <c r="G79" s="345"/>
      <c r="H79" s="389" t="s">
        <v>367</v>
      </c>
      <c r="I79" s="390">
        <f t="shared" ref="I79:O86" ca="1" si="60">IFERROR(INDEX(INDIRECT($B$73 &amp; $B$74), MATCH($C79, INDIRECT($B$73 &amp; $B$75),0), MATCH(I$4, INDIRECT($B$73 &amp; $B$76), 0)),0)</f>
        <v>0</v>
      </c>
      <c r="J79" s="390">
        <f t="shared" ca="1" si="60"/>
        <v>0</v>
      </c>
      <c r="K79" s="390">
        <f t="shared" ca="1" si="60"/>
        <v>0</v>
      </c>
      <c r="L79" s="390">
        <f t="shared" ca="1" si="60"/>
        <v>0</v>
      </c>
      <c r="M79" s="390">
        <f t="shared" ca="1" si="60"/>
        <v>0</v>
      </c>
      <c r="N79" s="390">
        <f t="shared" ca="1" si="60"/>
        <v>0</v>
      </c>
      <c r="O79" s="390">
        <f t="shared" ca="1" si="60"/>
        <v>0</v>
      </c>
      <c r="P79" s="391"/>
      <c r="Q79" s="390">
        <v>8</v>
      </c>
      <c r="R79" s="390"/>
      <c r="S79" s="390">
        <v>260</v>
      </c>
      <c r="T79" s="350" t="s">
        <v>245</v>
      </c>
      <c r="U79" s="427">
        <f t="shared" ca="1" si="53"/>
        <v>0</v>
      </c>
      <c r="V79" s="427">
        <f t="shared" ca="1" si="54"/>
        <v>0</v>
      </c>
      <c r="W79" s="427">
        <f t="shared" ca="1" si="55"/>
        <v>0</v>
      </c>
      <c r="X79" s="427">
        <f t="shared" ca="1" si="56"/>
        <v>0</v>
      </c>
      <c r="Y79" s="427">
        <f t="shared" ca="1" si="57"/>
        <v>0</v>
      </c>
      <c r="Z79" s="427">
        <f t="shared" ca="1" si="58"/>
        <v>0</v>
      </c>
      <c r="AA79" s="428">
        <f t="shared" ca="1" si="59"/>
        <v>0</v>
      </c>
      <c r="AB79" s="603"/>
      <c r="AC79" s="535">
        <v>1</v>
      </c>
      <c r="AD79" s="45"/>
    </row>
    <row r="80" spans="1:30">
      <c r="A80" s="598"/>
      <c r="B80" s="598"/>
      <c r="C80" s="598" t="str">
        <f t="shared" si="49"/>
        <v>MS_Vol_Coord</v>
      </c>
      <c r="D80" s="598" t="s">
        <v>511</v>
      </c>
      <c r="E80" s="598"/>
      <c r="F80" s="602"/>
      <c r="G80" s="345"/>
      <c r="H80" s="389" t="s">
        <v>368</v>
      </c>
      <c r="I80" s="390">
        <f t="shared" ca="1" si="60"/>
        <v>0</v>
      </c>
      <c r="J80" s="390">
        <f t="shared" ca="1" si="60"/>
        <v>0</v>
      </c>
      <c r="K80" s="390">
        <f t="shared" ca="1" si="60"/>
        <v>0</v>
      </c>
      <c r="L80" s="390">
        <f t="shared" ca="1" si="60"/>
        <v>0</v>
      </c>
      <c r="M80" s="390">
        <f t="shared" ca="1" si="60"/>
        <v>0</v>
      </c>
      <c r="N80" s="390">
        <f t="shared" ca="1" si="60"/>
        <v>0</v>
      </c>
      <c r="O80" s="390">
        <f t="shared" ca="1" si="60"/>
        <v>0</v>
      </c>
      <c r="P80" s="391"/>
      <c r="Q80" s="390">
        <v>8</v>
      </c>
      <c r="R80" s="390"/>
      <c r="S80" s="390">
        <v>220</v>
      </c>
      <c r="T80" s="350" t="s">
        <v>245</v>
      </c>
      <c r="U80" s="427">
        <f t="shared" ca="1" si="53"/>
        <v>0</v>
      </c>
      <c r="V80" s="427">
        <f t="shared" ca="1" si="54"/>
        <v>0</v>
      </c>
      <c r="W80" s="427">
        <f t="shared" ca="1" si="55"/>
        <v>0</v>
      </c>
      <c r="X80" s="427">
        <f t="shared" ca="1" si="56"/>
        <v>0</v>
      </c>
      <c r="Y80" s="427">
        <f t="shared" ca="1" si="57"/>
        <v>0</v>
      </c>
      <c r="Z80" s="427">
        <f t="shared" ca="1" si="58"/>
        <v>0</v>
      </c>
      <c r="AA80" s="428">
        <f t="shared" ca="1" si="59"/>
        <v>0</v>
      </c>
      <c r="AB80" s="603"/>
      <c r="AC80" s="535">
        <v>1</v>
      </c>
      <c r="AD80" s="45"/>
    </row>
    <row r="81" spans="1:30">
      <c r="A81" s="598"/>
      <c r="B81" s="598"/>
      <c r="C81" s="598" t="str">
        <f t="shared" si="49"/>
        <v>MS_HlthClrk</v>
      </c>
      <c r="D81" s="598" t="s">
        <v>521</v>
      </c>
      <c r="E81" s="598"/>
      <c r="F81" s="602"/>
      <c r="G81" s="345"/>
      <c r="H81" s="389" t="s">
        <v>369</v>
      </c>
      <c r="I81" s="390">
        <f t="shared" ca="1" si="60"/>
        <v>0</v>
      </c>
      <c r="J81" s="390">
        <f t="shared" ca="1" si="60"/>
        <v>0</v>
      </c>
      <c r="K81" s="390">
        <f t="shared" ca="1" si="60"/>
        <v>0</v>
      </c>
      <c r="L81" s="390">
        <f t="shared" ca="1" si="60"/>
        <v>0</v>
      </c>
      <c r="M81" s="390">
        <f t="shared" ca="1" si="60"/>
        <v>0</v>
      </c>
      <c r="N81" s="390">
        <f t="shared" ca="1" si="60"/>
        <v>0</v>
      </c>
      <c r="O81" s="390">
        <f t="shared" ca="1" si="60"/>
        <v>0</v>
      </c>
      <c r="P81" s="391"/>
      <c r="Q81" s="390">
        <v>8</v>
      </c>
      <c r="R81" s="390"/>
      <c r="S81" s="390">
        <v>185</v>
      </c>
      <c r="T81" s="350" t="s">
        <v>245</v>
      </c>
      <c r="U81" s="427">
        <f t="shared" ca="1" si="53"/>
        <v>0</v>
      </c>
      <c r="V81" s="427">
        <f t="shared" ca="1" si="54"/>
        <v>0</v>
      </c>
      <c r="W81" s="427">
        <f t="shared" ca="1" si="55"/>
        <v>0</v>
      </c>
      <c r="X81" s="427">
        <f t="shared" ca="1" si="56"/>
        <v>0</v>
      </c>
      <c r="Y81" s="427">
        <f t="shared" ca="1" si="57"/>
        <v>0</v>
      </c>
      <c r="Z81" s="427">
        <f t="shared" ca="1" si="58"/>
        <v>0</v>
      </c>
      <c r="AA81" s="428">
        <f t="shared" ca="1" si="59"/>
        <v>0</v>
      </c>
      <c r="AB81" s="603"/>
      <c r="AC81" s="535">
        <v>1</v>
      </c>
      <c r="AD81" s="45"/>
    </row>
    <row r="82" spans="1:30">
      <c r="A82" s="598"/>
      <c r="B82" s="598"/>
      <c r="C82" s="598" t="str">
        <f t="shared" si="49"/>
        <v>MS_MediaCentAsst</v>
      </c>
      <c r="D82" s="598" t="s">
        <v>512</v>
      </c>
      <c r="E82" s="598"/>
      <c r="F82" s="602"/>
      <c r="G82" s="345"/>
      <c r="H82" s="389" t="s">
        <v>370</v>
      </c>
      <c r="I82" s="390">
        <f t="shared" ca="1" si="60"/>
        <v>1</v>
      </c>
      <c r="J82" s="390">
        <f t="shared" ca="1" si="60"/>
        <v>1</v>
      </c>
      <c r="K82" s="390">
        <f t="shared" ca="1" si="60"/>
        <v>1</v>
      </c>
      <c r="L82" s="390">
        <f t="shared" ca="1" si="60"/>
        <v>1</v>
      </c>
      <c r="M82" s="390">
        <f t="shared" ca="1" si="60"/>
        <v>1</v>
      </c>
      <c r="N82" s="390">
        <f t="shared" ca="1" si="60"/>
        <v>1</v>
      </c>
      <c r="O82" s="390">
        <f t="shared" ca="1" si="60"/>
        <v>1</v>
      </c>
      <c r="P82" s="391"/>
      <c r="Q82" s="390">
        <v>8</v>
      </c>
      <c r="R82" s="390"/>
      <c r="S82" s="390">
        <v>220</v>
      </c>
      <c r="T82" s="350" t="s">
        <v>245</v>
      </c>
      <c r="U82" s="427">
        <f t="shared" ca="1" si="53"/>
        <v>84554.9108065576</v>
      </c>
      <c r="V82" s="427">
        <f t="shared" ca="1" si="54"/>
        <v>87390.317117978761</v>
      </c>
      <c r="W82" s="427">
        <f t="shared" ca="1" si="55"/>
        <v>89979.249391754056</v>
      </c>
      <c r="X82" s="427">
        <f t="shared" ca="1" si="56"/>
        <v>91334.792016133419</v>
      </c>
      <c r="Y82" s="427">
        <f t="shared" ca="1" si="57"/>
        <v>93726.930097435776</v>
      </c>
      <c r="Z82" s="427">
        <f t="shared" ca="1" si="58"/>
        <v>96203.974429240188</v>
      </c>
      <c r="AA82" s="428">
        <f t="shared" ca="1" si="59"/>
        <v>97012.971519681421</v>
      </c>
      <c r="AB82" s="603"/>
      <c r="AC82" s="535">
        <v>1</v>
      </c>
      <c r="AD82" s="45"/>
    </row>
    <row r="83" spans="1:30">
      <c r="A83" s="598"/>
      <c r="B83" s="598"/>
      <c r="C83" s="598" t="str">
        <f t="shared" si="49"/>
        <v>MS_Receptionist</v>
      </c>
      <c r="D83" s="598" t="s">
        <v>513</v>
      </c>
      <c r="E83" s="598"/>
      <c r="F83" s="602"/>
      <c r="G83" s="345"/>
      <c r="H83" s="389" t="s">
        <v>371</v>
      </c>
      <c r="I83" s="390">
        <f t="shared" ca="1" si="60"/>
        <v>1</v>
      </c>
      <c r="J83" s="390">
        <f t="shared" ca="1" si="60"/>
        <v>1</v>
      </c>
      <c r="K83" s="390">
        <f t="shared" ca="1" si="60"/>
        <v>1</v>
      </c>
      <c r="L83" s="390">
        <f t="shared" ca="1" si="60"/>
        <v>1</v>
      </c>
      <c r="M83" s="390">
        <f t="shared" ca="1" si="60"/>
        <v>1</v>
      </c>
      <c r="N83" s="390">
        <f t="shared" ca="1" si="60"/>
        <v>1</v>
      </c>
      <c r="O83" s="390">
        <f t="shared" ca="1" si="60"/>
        <v>1</v>
      </c>
      <c r="P83" s="391"/>
      <c r="Q83" s="390">
        <v>8</v>
      </c>
      <c r="R83" s="390"/>
      <c r="S83" s="390">
        <v>185</v>
      </c>
      <c r="T83" s="350" t="s">
        <v>245</v>
      </c>
      <c r="U83" s="427">
        <f t="shared" ca="1" si="53"/>
        <v>74372.470450968889</v>
      </c>
      <c r="V83" s="427">
        <f t="shared" ca="1" si="54"/>
        <v>76865.679803754872</v>
      </c>
      <c r="W83" s="427">
        <f t="shared" ca="1" si="55"/>
        <v>79155.329171520454</v>
      </c>
      <c r="X83" s="427">
        <f t="shared" ca="1" si="56"/>
        <v>80411.638121697833</v>
      </c>
      <c r="Y83" s="427">
        <f t="shared" ca="1" si="57"/>
        <v>82543.58792356035</v>
      </c>
      <c r="Z83" s="427">
        <f t="shared" ca="1" si="58"/>
        <v>84751.029054192986</v>
      </c>
      <c r="AA83" s="428">
        <f t="shared" ca="1" si="59"/>
        <v>85560.026144634205</v>
      </c>
      <c r="AB83" s="603"/>
      <c r="AC83" s="535">
        <v>1</v>
      </c>
      <c r="AD83" s="45"/>
    </row>
    <row r="84" spans="1:30">
      <c r="A84" s="598"/>
      <c r="B84" s="598"/>
      <c r="C84" s="598" t="str">
        <f t="shared" si="49"/>
        <v>MS_AddlSupport</v>
      </c>
      <c r="D84" s="598" t="s">
        <v>524</v>
      </c>
      <c r="E84" s="598"/>
      <c r="F84" s="602"/>
      <c r="G84" s="345"/>
      <c r="H84" s="389" t="s">
        <v>523</v>
      </c>
      <c r="I84" s="390">
        <f t="shared" ca="1" si="60"/>
        <v>1</v>
      </c>
      <c r="J84" s="390">
        <f t="shared" ca="1" si="60"/>
        <v>1</v>
      </c>
      <c r="K84" s="390">
        <f t="shared" ca="1" si="60"/>
        <v>1</v>
      </c>
      <c r="L84" s="390">
        <f t="shared" ca="1" si="60"/>
        <v>1</v>
      </c>
      <c r="M84" s="390">
        <f t="shared" ca="1" si="60"/>
        <v>1</v>
      </c>
      <c r="N84" s="390">
        <f t="shared" ca="1" si="60"/>
        <v>1</v>
      </c>
      <c r="O84" s="390">
        <f t="shared" ca="1" si="60"/>
        <v>1</v>
      </c>
      <c r="P84" s="391"/>
      <c r="Q84" s="390">
        <v>8</v>
      </c>
      <c r="R84" s="390"/>
      <c r="S84" s="390">
        <v>185</v>
      </c>
      <c r="T84" s="350" t="s">
        <v>245</v>
      </c>
      <c r="U84" s="427">
        <f t="shared" ca="1" si="53"/>
        <v>74372.470450968889</v>
      </c>
      <c r="V84" s="427">
        <f t="shared" ca="1" si="54"/>
        <v>76865.679803754872</v>
      </c>
      <c r="W84" s="427">
        <f t="shared" ca="1" si="55"/>
        <v>79155.329171520454</v>
      </c>
      <c r="X84" s="427">
        <f t="shared" ca="1" si="56"/>
        <v>80411.638121697833</v>
      </c>
      <c r="Y84" s="427">
        <f t="shared" ca="1" si="57"/>
        <v>82543.58792356035</v>
      </c>
      <c r="Z84" s="427">
        <f t="shared" ca="1" si="58"/>
        <v>84751.029054192986</v>
      </c>
      <c r="AA84" s="428">
        <f t="shared" ca="1" si="59"/>
        <v>85560.026144634205</v>
      </c>
      <c r="AB84" s="603"/>
      <c r="AC84" s="535">
        <v>1</v>
      </c>
      <c r="AD84" s="45"/>
    </row>
    <row r="85" spans="1:30">
      <c r="A85" s="598"/>
      <c r="B85" s="598"/>
      <c r="C85" s="598" t="str">
        <f t="shared" si="49"/>
        <v>MS_CampusMonitor</v>
      </c>
      <c r="D85" s="598" t="s">
        <v>514</v>
      </c>
      <c r="E85" s="598"/>
      <c r="F85" s="602"/>
      <c r="G85" s="345"/>
      <c r="H85" s="389" t="s">
        <v>372</v>
      </c>
      <c r="I85" s="390">
        <f t="shared" ca="1" si="60"/>
        <v>2</v>
      </c>
      <c r="J85" s="390">
        <f t="shared" ca="1" si="60"/>
        <v>2</v>
      </c>
      <c r="K85" s="390">
        <f t="shared" ca="1" si="60"/>
        <v>2</v>
      </c>
      <c r="L85" s="390">
        <f t="shared" ca="1" si="60"/>
        <v>2</v>
      </c>
      <c r="M85" s="390">
        <f t="shared" ca="1" si="60"/>
        <v>2</v>
      </c>
      <c r="N85" s="390">
        <f t="shared" ca="1" si="60"/>
        <v>2</v>
      </c>
      <c r="O85" s="390">
        <f t="shared" ca="1" si="60"/>
        <v>2</v>
      </c>
      <c r="P85" s="391"/>
      <c r="Q85" s="390">
        <v>8</v>
      </c>
      <c r="R85" s="390"/>
      <c r="S85" s="390">
        <v>185</v>
      </c>
      <c r="T85" s="350" t="s">
        <v>245</v>
      </c>
      <c r="U85" s="427">
        <f t="shared" ca="1" si="53"/>
        <v>148744.94090193778</v>
      </c>
      <c r="V85" s="427">
        <f t="shared" ca="1" si="54"/>
        <v>153731.35960750974</v>
      </c>
      <c r="W85" s="427">
        <f t="shared" ca="1" si="55"/>
        <v>158310.65834304091</v>
      </c>
      <c r="X85" s="427">
        <f t="shared" ca="1" si="56"/>
        <v>160823.27624339567</v>
      </c>
      <c r="Y85" s="427">
        <f t="shared" ca="1" si="57"/>
        <v>165087.1758471207</v>
      </c>
      <c r="Z85" s="427">
        <f t="shared" ca="1" si="58"/>
        <v>169502.05810838597</v>
      </c>
      <c r="AA85" s="428">
        <f t="shared" ca="1" si="59"/>
        <v>171120.05228926841</v>
      </c>
      <c r="AB85" s="603"/>
      <c r="AC85" s="535">
        <v>1</v>
      </c>
      <c r="AD85" s="45"/>
    </row>
    <row r="86" spans="1:30">
      <c r="A86" s="598"/>
      <c r="B86" s="598"/>
      <c r="C86" s="598" t="str">
        <f t="shared" si="49"/>
        <v>MS_Nurse</v>
      </c>
      <c r="D86" s="598" t="s">
        <v>507</v>
      </c>
      <c r="E86" s="598"/>
      <c r="F86" s="602"/>
      <c r="G86" s="345"/>
      <c r="H86" s="372" t="s">
        <v>359</v>
      </c>
      <c r="I86" s="390">
        <f t="shared" ca="1" si="60"/>
        <v>0.66666666666666663</v>
      </c>
      <c r="J86" s="390">
        <f t="shared" ca="1" si="60"/>
        <v>0.66666666666666663</v>
      </c>
      <c r="K86" s="390">
        <f t="shared" ca="1" si="60"/>
        <v>0.66666666666666663</v>
      </c>
      <c r="L86" s="390">
        <f t="shared" ca="1" si="60"/>
        <v>0.66666666666666663</v>
      </c>
      <c r="M86" s="390">
        <f t="shared" ca="1" si="60"/>
        <v>0.66666666666666663</v>
      </c>
      <c r="N86" s="390">
        <f t="shared" ca="1" si="60"/>
        <v>0.66666666666666663</v>
      </c>
      <c r="O86" s="390">
        <f t="shared" ca="1" si="60"/>
        <v>0.66666666666666663</v>
      </c>
      <c r="P86" s="391"/>
      <c r="Q86" s="390">
        <v>1</v>
      </c>
      <c r="R86" s="390"/>
      <c r="S86" s="390">
        <v>1</v>
      </c>
      <c r="T86" s="350" t="s">
        <v>236</v>
      </c>
      <c r="U86" s="427">
        <f t="shared" ca="1" si="53"/>
        <v>91218.883199999997</v>
      </c>
      <c r="V86" s="427">
        <f t="shared" ca="1" si="54"/>
        <v>97930.96697625122</v>
      </c>
      <c r="W86" s="427">
        <f t="shared" ca="1" si="55"/>
        <v>101886.07315249248</v>
      </c>
      <c r="X86" s="427">
        <f t="shared" ca="1" si="56"/>
        <v>104894.25571443231</v>
      </c>
      <c r="Y86" s="427">
        <f t="shared" ca="1" si="57"/>
        <v>107614.34645581165</v>
      </c>
      <c r="Z86" s="427">
        <f t="shared" ca="1" si="58"/>
        <v>112955.77401857378</v>
      </c>
      <c r="AA86" s="428">
        <f t="shared" ca="1" si="59"/>
        <v>113495.10541220126</v>
      </c>
      <c r="AB86" s="603"/>
      <c r="AC86" s="535">
        <v>1</v>
      </c>
      <c r="AD86" s="45"/>
    </row>
    <row r="87" spans="1:30" ht="31.5">
      <c r="A87" s="599"/>
      <c r="B87" s="599"/>
      <c r="C87" s="598" t="str">
        <f t="shared" si="49"/>
        <v>MS_Clsfd</v>
      </c>
      <c r="D87" s="599" t="s">
        <v>522</v>
      </c>
      <c r="E87" s="599" t="s">
        <v>8</v>
      </c>
      <c r="F87" s="605">
        <f ca="1">INDEX(INDIRECT($B$68&amp;$B$69),MATCH($C87,INDIRECT($B$68&amp;$B$70),0),MATCH(E$87,INDIRECT($B$68&amp;$B$71),0))</f>
        <v>10</v>
      </c>
      <c r="G87" s="429"/>
      <c r="H87" s="430" t="s">
        <v>373</v>
      </c>
      <c r="I87" s="397">
        <f t="shared" ref="I87:O87" ca="1" si="61">IFERROR(INDEX(INDIRECT($B$68&amp;$B$69),MATCH($C87,INDIRECT($B$68&amp;$B$70),0),MATCH(I$4,INDIRECT($B$68&amp;$B$71),0)),0)-$F87</f>
        <v>0</v>
      </c>
      <c r="J87" s="397">
        <f t="shared" ca="1" si="61"/>
        <v>0</v>
      </c>
      <c r="K87" s="397">
        <f t="shared" ca="1" si="61"/>
        <v>0</v>
      </c>
      <c r="L87" s="397">
        <f t="shared" ca="1" si="61"/>
        <v>0</v>
      </c>
      <c r="M87" s="397">
        <f t="shared" ca="1" si="61"/>
        <v>0</v>
      </c>
      <c r="N87" s="397">
        <f t="shared" ca="1" si="61"/>
        <v>0</v>
      </c>
      <c r="O87" s="397">
        <f t="shared" ca="1" si="61"/>
        <v>0</v>
      </c>
      <c r="P87" s="398"/>
      <c r="Q87" s="397">
        <v>8</v>
      </c>
      <c r="R87" s="397"/>
      <c r="S87" s="397">
        <v>185</v>
      </c>
      <c r="T87" s="360" t="s">
        <v>245</v>
      </c>
      <c r="U87" s="431">
        <f t="shared" ca="1" si="53"/>
        <v>0</v>
      </c>
      <c r="V87" s="431">
        <f t="shared" ca="1" si="54"/>
        <v>0</v>
      </c>
      <c r="W87" s="431">
        <f t="shared" ca="1" si="55"/>
        <v>0</v>
      </c>
      <c r="X87" s="431">
        <f t="shared" ca="1" si="56"/>
        <v>0</v>
      </c>
      <c r="Y87" s="431">
        <f t="shared" ca="1" si="57"/>
        <v>0</v>
      </c>
      <c r="Z87" s="431">
        <f t="shared" ca="1" si="58"/>
        <v>0</v>
      </c>
      <c r="AA87" s="432">
        <f t="shared" ca="1" si="59"/>
        <v>0</v>
      </c>
      <c r="AB87" s="603"/>
      <c r="AC87" s="535">
        <v>1</v>
      </c>
      <c r="AD87" s="45"/>
    </row>
    <row r="88" spans="1:30" ht="15" hidden="1" customHeight="1" outlineLevel="1">
      <c r="A88" s="599"/>
      <c r="B88" s="599"/>
      <c r="C88" s="598"/>
      <c r="D88" s="599"/>
      <c r="E88" s="599"/>
      <c r="F88" s="599"/>
      <c r="G88" s="433"/>
      <c r="H88" s="434"/>
      <c r="I88" s="390"/>
      <c r="J88" s="390"/>
      <c r="K88" s="390"/>
      <c r="L88" s="390"/>
      <c r="M88" s="390"/>
      <c r="N88" s="390"/>
      <c r="O88" s="390"/>
      <c r="P88" s="391"/>
      <c r="Q88" s="390"/>
      <c r="R88" s="390"/>
      <c r="S88" s="390"/>
      <c r="T88" s="350"/>
      <c r="U88" s="427"/>
      <c r="V88" s="427"/>
      <c r="W88" s="427"/>
      <c r="X88" s="427"/>
      <c r="Y88" s="427"/>
      <c r="Z88" s="427"/>
      <c r="AA88" s="427"/>
      <c r="AB88" s="603"/>
      <c r="AC88" s="535">
        <v>0</v>
      </c>
      <c r="AD88" s="45"/>
    </row>
    <row r="89" spans="1:30" ht="15.95" hidden="1" customHeight="1" outlineLevel="1" thickBot="1">
      <c r="A89" s="606"/>
      <c r="B89" s="606"/>
      <c r="C89" s="607"/>
      <c r="D89" s="606"/>
      <c r="E89" s="606"/>
      <c r="F89" s="606"/>
      <c r="G89" s="433"/>
      <c r="H89" s="434"/>
      <c r="I89" s="390"/>
      <c r="J89" s="390"/>
      <c r="K89" s="390"/>
      <c r="L89" s="390"/>
      <c r="M89" s="390"/>
      <c r="N89" s="390"/>
      <c r="O89" s="390"/>
      <c r="P89" s="391"/>
      <c r="Q89" s="390"/>
      <c r="R89" s="390"/>
      <c r="S89" s="390"/>
      <c r="T89" s="350"/>
      <c r="U89" s="427"/>
      <c r="V89" s="427"/>
      <c r="W89" s="427"/>
      <c r="X89" s="427"/>
      <c r="Y89" s="427"/>
      <c r="Z89" s="427"/>
      <c r="AA89" s="427"/>
      <c r="AB89" s="608"/>
      <c r="AC89" s="535">
        <v>0</v>
      </c>
      <c r="AD89" s="45"/>
    </row>
    <row r="90" spans="1:30" collapsed="1">
      <c r="A90" s="607"/>
      <c r="B90" s="609" t="s">
        <v>1061</v>
      </c>
      <c r="C90" s="607" t="str">
        <f>LEFT($G$3,1) &amp; "S" &amp; D90</f>
        <v>MS_Prin</v>
      </c>
      <c r="D90" s="607" t="s">
        <v>525</v>
      </c>
      <c r="E90" s="607"/>
      <c r="F90" s="610"/>
      <c r="G90" s="336" t="s">
        <v>315</v>
      </c>
      <c r="H90" s="387" t="s">
        <v>249</v>
      </c>
      <c r="I90" s="369">
        <f ca="1">IFERROR(INDEX(INDIRECT($B$90 &amp; $B$91), MATCH($C90, INDIRECT($B$73 &amp; $B$92),0), MATCH(I$4, INDIRECT($B$73 &amp; $B$93), 0)),0)</f>
        <v>1</v>
      </c>
      <c r="J90" s="369">
        <f t="shared" ref="J90:O92" ca="1" si="62">IFERROR(INDEX(INDIRECT($B$73 &amp; $B$74), MATCH($C90, INDIRECT($B$73 &amp; $B$75),0), MATCH(J$4, INDIRECT($B$73 &amp; $B$76), 0)),0)</f>
        <v>1</v>
      </c>
      <c r="K90" s="369">
        <f t="shared" ca="1" si="62"/>
        <v>1</v>
      </c>
      <c r="L90" s="369">
        <f t="shared" ca="1" si="62"/>
        <v>1</v>
      </c>
      <c r="M90" s="369">
        <f t="shared" ca="1" si="62"/>
        <v>1</v>
      </c>
      <c r="N90" s="369">
        <f t="shared" ca="1" si="62"/>
        <v>1</v>
      </c>
      <c r="O90" s="369">
        <f t="shared" ca="1" si="62"/>
        <v>1</v>
      </c>
      <c r="P90" s="388"/>
      <c r="Q90" s="369">
        <v>1</v>
      </c>
      <c r="R90" s="369"/>
      <c r="S90" s="369">
        <v>1</v>
      </c>
      <c r="T90" s="342" t="s">
        <v>240</v>
      </c>
      <c r="U90" s="425">
        <f ca="1">(VLOOKUP($T90, $T$7:$AA$13, MATCH(U$4, $S$4:$AA$4,0),0)*$Q90*$S90*(1+$U$18-$U$22)+$U$17+$U$19)*I90</f>
        <v>218237.34659342864</v>
      </c>
      <c r="V90" s="425">
        <f t="shared" ref="V90:Z91" ca="1" si="63">(VLOOKUP($T90, $T$7:$AA$13, MATCH(V$4, $S$4:$AA$4,0),0)*$Q90*$S90*(1+V$18-V$22)+V$17+V$19)*J90</f>
        <v>231340.83893648072</v>
      </c>
      <c r="W90" s="425">
        <f t="shared" ca="1" si="63"/>
        <v>240728.69968087366</v>
      </c>
      <c r="X90" s="425">
        <f t="shared" ca="1" si="63"/>
        <v>246237.1246213658</v>
      </c>
      <c r="Y90" s="425">
        <f t="shared" ca="1" si="63"/>
        <v>255741.38344490327</v>
      </c>
      <c r="Z90" s="425">
        <f t="shared" ca="1" si="63"/>
        <v>265827.31740970816</v>
      </c>
      <c r="AA90" s="426">
        <f ca="1">(VLOOKUP($T90, $T$7:$AA$13, MATCH(AA$4, $T$4:$AA$4,0),0)*$Q90*$S90*(1+AA$18-AA$22)+AA$17+AA$19)*O90</f>
        <v>266636.3145001494</v>
      </c>
      <c r="AB90" s="608"/>
      <c r="AC90" s="535">
        <v>1</v>
      </c>
      <c r="AD90" s="45"/>
    </row>
    <row r="91" spans="1:30">
      <c r="A91" s="607"/>
      <c r="B91" s="607" t="s">
        <v>830</v>
      </c>
      <c r="C91" s="607" t="str">
        <f>LEFT($G$3,1) &amp; "S" &amp; D91</f>
        <v>MS_AsstPrin</v>
      </c>
      <c r="D91" s="607" t="s">
        <v>526</v>
      </c>
      <c r="E91" s="607"/>
      <c r="F91" s="610"/>
      <c r="G91" s="345"/>
      <c r="H91" s="389" t="s">
        <v>356</v>
      </c>
      <c r="I91" s="390">
        <f ca="1">IFERROR(INDEX(INDIRECT($B$73 &amp; $B$74), MATCH($C91, INDIRECT($B$73 &amp; $B$75),0), MATCH(I$4, INDIRECT($B$73 &amp; $B$76), 0)),0)</f>
        <v>1</v>
      </c>
      <c r="J91" s="390">
        <f t="shared" ca="1" si="62"/>
        <v>1</v>
      </c>
      <c r="K91" s="390">
        <f t="shared" ca="1" si="62"/>
        <v>1</v>
      </c>
      <c r="L91" s="390">
        <f t="shared" ca="1" si="62"/>
        <v>1</v>
      </c>
      <c r="M91" s="390">
        <f t="shared" ca="1" si="62"/>
        <v>1</v>
      </c>
      <c r="N91" s="390">
        <f t="shared" ca="1" si="62"/>
        <v>1</v>
      </c>
      <c r="O91" s="390">
        <f t="shared" ca="1" si="62"/>
        <v>1</v>
      </c>
      <c r="P91" s="391"/>
      <c r="Q91" s="390">
        <v>1</v>
      </c>
      <c r="R91" s="390"/>
      <c r="S91" s="390">
        <v>1</v>
      </c>
      <c r="T91" s="350" t="s">
        <v>242</v>
      </c>
      <c r="U91" s="427">
        <f ca="1">(VLOOKUP($T91, $T$7:$AA$13, MATCH(U$4, $S$4:$AA$4,0),0)*$Q91*$S91*(1+$U$18-$U$22)+$U$17+$U$19)*I91</f>
        <v>202413.90372393653</v>
      </c>
      <c r="V91" s="427">
        <f t="shared" ca="1" si="63"/>
        <v>214688.34321817665</v>
      </c>
      <c r="W91" s="427">
        <f t="shared" ca="1" si="63"/>
        <v>222470.00732922417</v>
      </c>
      <c r="X91" s="427">
        <f t="shared" ca="1" si="63"/>
        <v>227098.3504704205</v>
      </c>
      <c r="Y91" s="427">
        <f t="shared" ca="1" si="63"/>
        <v>235434.07407796948</v>
      </c>
      <c r="Z91" s="427">
        <f t="shared" ca="1" si="63"/>
        <v>244337.36587804958</v>
      </c>
      <c r="AA91" s="428">
        <f ca="1">(VLOOKUP($T91, $T$7:$AA$13, MATCH(AA$4, $T$4:$AA$4,0),0)*$Q91*$S91*(1+AA$18-AA$22)+AA$17+AA$19)*O91</f>
        <v>245146.36296849078</v>
      </c>
      <c r="AB91" s="608"/>
      <c r="AC91" s="535">
        <v>1</v>
      </c>
      <c r="AD91" s="45"/>
    </row>
    <row r="92" spans="1:30">
      <c r="A92" s="611"/>
      <c r="B92" s="607" t="s">
        <v>831</v>
      </c>
      <c r="C92" s="607" t="str">
        <f>LEFT($G$3,1) &amp; "S" &amp; D92</f>
        <v>MS_TchrLeadership</v>
      </c>
      <c r="D92" s="607" t="s">
        <v>527</v>
      </c>
      <c r="E92" s="607"/>
      <c r="F92" s="610"/>
      <c r="G92" s="345"/>
      <c r="H92" s="372" t="s">
        <v>357</v>
      </c>
      <c r="I92" s="351">
        <f ca="1">IFERROR(INDEX(INDIRECT($B$73 &amp; $B$74), MATCH($C92, INDIRECT($B$73 &amp; $B$75),0), MATCH(I$4, INDIRECT($B$73 &amp; $B$76), 0)),0)</f>
        <v>42</v>
      </c>
      <c r="J92" s="351">
        <f t="shared" ca="1" si="62"/>
        <v>42</v>
      </c>
      <c r="K92" s="351">
        <f t="shared" ca="1" si="62"/>
        <v>42</v>
      </c>
      <c r="L92" s="351">
        <f t="shared" ca="1" si="62"/>
        <v>42</v>
      </c>
      <c r="M92" s="351">
        <f t="shared" ca="1" si="62"/>
        <v>42</v>
      </c>
      <c r="N92" s="351">
        <f t="shared" ca="1" si="62"/>
        <v>42</v>
      </c>
      <c r="O92" s="351">
        <f t="shared" ca="1" si="62"/>
        <v>42</v>
      </c>
      <c r="P92" s="435"/>
      <c r="U92" s="427">
        <f t="shared" ref="U92:Z92" ca="1" si="64">I92*$H$2</f>
        <v>21000</v>
      </c>
      <c r="V92" s="427">
        <f t="shared" ca="1" si="64"/>
        <v>21000</v>
      </c>
      <c r="W92" s="427">
        <f t="shared" ca="1" si="64"/>
        <v>21000</v>
      </c>
      <c r="X92" s="427">
        <f t="shared" ca="1" si="64"/>
        <v>21000</v>
      </c>
      <c r="Y92" s="427">
        <f t="shared" ca="1" si="64"/>
        <v>21000</v>
      </c>
      <c r="Z92" s="427">
        <f t="shared" ca="1" si="64"/>
        <v>21000</v>
      </c>
      <c r="AA92" s="428">
        <f ca="1">O92*$H$2</f>
        <v>21000</v>
      </c>
      <c r="AB92" s="608"/>
      <c r="AC92" s="535">
        <v>1</v>
      </c>
      <c r="AD92" s="45"/>
    </row>
    <row r="93" spans="1:30" ht="15" hidden="1" customHeight="1" outlineLevel="1">
      <c r="A93" s="611"/>
      <c r="B93" s="607" t="s">
        <v>773</v>
      </c>
      <c r="C93" s="611"/>
      <c r="D93" s="611"/>
      <c r="E93" s="611"/>
      <c r="F93" s="612"/>
      <c r="G93" s="345"/>
      <c r="H93" s="436"/>
      <c r="I93" s="437"/>
      <c r="J93" s="437"/>
      <c r="K93" s="437"/>
      <c r="L93" s="437"/>
      <c r="M93" s="437"/>
      <c r="N93" s="437"/>
      <c r="O93" s="437"/>
      <c r="P93" s="436"/>
      <c r="Q93" s="350"/>
      <c r="R93" s="350"/>
      <c r="S93" s="350"/>
      <c r="T93" s="350"/>
      <c r="U93" s="350"/>
      <c r="V93" s="350"/>
      <c r="W93" s="350"/>
      <c r="X93" s="350"/>
      <c r="Y93" s="350"/>
      <c r="Z93" s="350"/>
      <c r="AA93" s="438"/>
      <c r="AB93" s="608"/>
      <c r="AC93" s="535">
        <v>0</v>
      </c>
    </row>
    <row r="94" spans="1:30" ht="15" hidden="1" customHeight="1" outlineLevel="1">
      <c r="A94" s="607"/>
      <c r="B94" s="613" t="s">
        <v>385</v>
      </c>
      <c r="C94" s="607"/>
      <c r="D94" s="607"/>
      <c r="E94" s="614"/>
      <c r="F94" s="615"/>
      <c r="G94" s="345"/>
      <c r="H94" s="372"/>
      <c r="I94" s="439"/>
      <c r="J94" s="439"/>
      <c r="K94" s="439"/>
      <c r="L94" s="439"/>
      <c r="M94" s="439"/>
      <c r="N94" s="439"/>
      <c r="O94" s="439"/>
      <c r="P94" s="440"/>
      <c r="Q94" s="441"/>
      <c r="R94" s="441"/>
      <c r="S94" s="441"/>
      <c r="T94" s="390"/>
      <c r="U94" s="427"/>
      <c r="V94" s="427"/>
      <c r="W94" s="427"/>
      <c r="X94" s="427"/>
      <c r="Y94" s="427"/>
      <c r="Z94" s="427"/>
      <c r="AA94" s="428"/>
      <c r="AB94" s="616"/>
      <c r="AC94" s="535">
        <v>0</v>
      </c>
    </row>
    <row r="95" spans="1:30" ht="15" hidden="1" customHeight="1" outlineLevel="1">
      <c r="A95" s="607"/>
      <c r="B95" s="614" t="s">
        <v>414</v>
      </c>
      <c r="C95" s="607"/>
      <c r="D95" s="607"/>
      <c r="E95" s="614"/>
      <c r="F95" s="615"/>
      <c r="G95" s="345"/>
      <c r="H95" s="372"/>
      <c r="I95" s="439"/>
      <c r="J95" s="439"/>
      <c r="K95" s="439"/>
      <c r="L95" s="439"/>
      <c r="M95" s="439"/>
      <c r="N95" s="439"/>
      <c r="O95" s="439"/>
      <c r="P95" s="440"/>
      <c r="Q95" s="441"/>
      <c r="R95" s="441"/>
      <c r="S95" s="441"/>
      <c r="T95" s="390"/>
      <c r="U95" s="427"/>
      <c r="V95" s="427"/>
      <c r="W95" s="427"/>
      <c r="X95" s="427"/>
      <c r="Y95" s="427"/>
      <c r="Z95" s="427"/>
      <c r="AA95" s="428"/>
      <c r="AB95" s="616"/>
      <c r="AC95" s="535">
        <v>0</v>
      </c>
    </row>
    <row r="96" spans="1:30" ht="15" hidden="1" customHeight="1" outlineLevel="1">
      <c r="A96" s="607"/>
      <c r="B96" s="614" t="s">
        <v>415</v>
      </c>
      <c r="C96" s="607"/>
      <c r="D96" s="607"/>
      <c r="E96" s="614"/>
      <c r="F96" s="615"/>
      <c r="G96" s="345"/>
      <c r="H96" s="372"/>
      <c r="I96" s="439"/>
      <c r="J96" s="439"/>
      <c r="K96" s="439"/>
      <c r="L96" s="439"/>
      <c r="M96" s="439"/>
      <c r="N96" s="439"/>
      <c r="O96" s="439"/>
      <c r="P96" s="440"/>
      <c r="Q96" s="441"/>
      <c r="R96" s="441"/>
      <c r="S96" s="441"/>
      <c r="T96" s="347" t="s">
        <v>419</v>
      </c>
      <c r="U96" s="347">
        <f t="shared" ref="U96:Z96" ca="1" si="65">VLOOKUP($T96, $T$41:$AA$49, MATCH(U$4, $S$4:$AA$4,0),0)</f>
        <v>2.8708133971291794E-2</v>
      </c>
      <c r="V96" s="347">
        <f t="shared" ca="1" si="65"/>
        <v>5.7416267942583588E-2</v>
      </c>
      <c r="W96" s="347">
        <f t="shared" ca="1" si="65"/>
        <v>8.373205741626788E-2</v>
      </c>
      <c r="X96" s="347">
        <f t="shared" ca="1" si="65"/>
        <v>0.10925039872408293</v>
      </c>
      <c r="Y96" s="347">
        <f t="shared" ca="1" si="65"/>
        <v>0.13397129186602874</v>
      </c>
      <c r="Z96" s="347">
        <f t="shared" ca="1" si="65"/>
        <v>0.15948963317384379</v>
      </c>
      <c r="AA96" s="375">
        <f ca="1">VLOOKUP($T96, $T$41:$AA$49, MATCH(AA$4, $T$4:$AA$4,0),0)</f>
        <v>0.15948963317384379</v>
      </c>
      <c r="AB96" s="616"/>
      <c r="AC96" s="535">
        <v>0</v>
      </c>
    </row>
    <row r="97" spans="1:29" collapsed="1">
      <c r="A97" s="607"/>
      <c r="B97" s="614" t="s">
        <v>779</v>
      </c>
      <c r="C97" s="607" t="str">
        <f>LEFT($G$3,1) &amp; "S" &amp; D97</f>
        <v>MS_ParComOutreach</v>
      </c>
      <c r="D97" s="607" t="s">
        <v>528</v>
      </c>
      <c r="E97" s="607"/>
      <c r="F97" s="610"/>
      <c r="G97" s="345"/>
      <c r="H97" s="389" t="s">
        <v>317</v>
      </c>
      <c r="I97" s="351">
        <f t="shared" ref="I97:O97" ca="1" si="66">IFERROR(INDEX(INDIRECT($B$94 &amp; $B$95), MATCH($C97, INDIRECT($B$94 &amp; $B$96),0), MATCH(I$4, INDIRECT($B$94 &amp; $B$97), 0)),0)</f>
        <v>27.83</v>
      </c>
      <c r="J97" s="351">
        <f t="shared" ca="1" si="66"/>
        <v>28.628947368421048</v>
      </c>
      <c r="K97" s="351">
        <f t="shared" ca="1" si="66"/>
        <v>28.628947368421048</v>
      </c>
      <c r="L97" s="351">
        <f t="shared" ca="1" si="66"/>
        <v>30</v>
      </c>
      <c r="M97" s="351">
        <f t="shared" ca="1" si="66"/>
        <v>30</v>
      </c>
      <c r="N97" s="351">
        <f t="shared" ca="1" si="66"/>
        <v>28.628947368421048</v>
      </c>
      <c r="O97" s="351">
        <f t="shared" ca="1" si="66"/>
        <v>28.628947368421048</v>
      </c>
      <c r="P97" s="440"/>
      <c r="Q97" s="441"/>
      <c r="R97" s="441"/>
      <c r="S97" s="441"/>
      <c r="T97" s="390"/>
      <c r="U97" s="371">
        <f ca="1">I97*$H$2</f>
        <v>13915</v>
      </c>
      <c r="V97" s="371">
        <f t="shared" ref="V97:AA97" ca="1" si="67">J97*$H$2*(1+V96)</f>
        <v>15136.357340720218</v>
      </c>
      <c r="W97" s="371">
        <f t="shared" ca="1" si="67"/>
        <v>15513.054016620496</v>
      </c>
      <c r="X97" s="371">
        <f t="shared" ca="1" si="67"/>
        <v>16638.755980861242</v>
      </c>
      <c r="Y97" s="371">
        <f t="shared" ca="1" si="67"/>
        <v>17009.569377990432</v>
      </c>
      <c r="Z97" s="371">
        <f t="shared" ca="1" si="67"/>
        <v>16597.4838411819</v>
      </c>
      <c r="AA97" s="442">
        <f t="shared" ca="1" si="67"/>
        <v>16597.4838411819</v>
      </c>
      <c r="AB97" s="616"/>
      <c r="AC97" s="535">
        <v>1</v>
      </c>
    </row>
    <row r="98" spans="1:29" ht="15" hidden="1" customHeight="1" outlineLevel="1">
      <c r="A98" s="606"/>
      <c r="B98" s="617" t="s">
        <v>944</v>
      </c>
      <c r="C98" s="606"/>
      <c r="D98" s="606"/>
      <c r="E98" s="617"/>
      <c r="F98" s="618"/>
      <c r="G98" s="345"/>
      <c r="H98" s="444"/>
      <c r="I98" s="439"/>
      <c r="J98" s="439"/>
      <c r="K98" s="439"/>
      <c r="L98" s="439"/>
      <c r="M98" s="439"/>
      <c r="N98" s="439"/>
      <c r="O98" s="439"/>
      <c r="P98" s="440"/>
      <c r="Q98" s="441"/>
      <c r="R98" s="441"/>
      <c r="S98" s="441"/>
      <c r="T98" s="441"/>
      <c r="U98" s="441"/>
      <c r="V98" s="441"/>
      <c r="W98" s="441"/>
      <c r="X98" s="441"/>
      <c r="Y98" s="441"/>
      <c r="Z98" s="441"/>
      <c r="AA98" s="445"/>
      <c r="AB98" s="619"/>
      <c r="AC98" s="535">
        <v>0</v>
      </c>
    </row>
    <row r="99" spans="1:29" ht="15" hidden="1" customHeight="1" outlineLevel="1">
      <c r="A99" s="606"/>
      <c r="B99" s="620" t="s">
        <v>390</v>
      </c>
      <c r="C99" s="606"/>
      <c r="D99" s="606"/>
      <c r="E99" s="620"/>
      <c r="F99" s="621"/>
      <c r="G99" s="345"/>
      <c r="H99" s="444"/>
      <c r="I99" s="439"/>
      <c r="J99" s="439"/>
      <c r="K99" s="439"/>
      <c r="L99" s="439"/>
      <c r="M99" s="439"/>
      <c r="N99" s="439"/>
      <c r="O99" s="439"/>
      <c r="P99" s="440"/>
      <c r="Q99" s="441"/>
      <c r="R99" s="441"/>
      <c r="S99" s="441"/>
      <c r="T99" s="441"/>
      <c r="U99" s="441"/>
      <c r="V99" s="441"/>
      <c r="W99" s="441"/>
      <c r="X99" s="441"/>
      <c r="Y99" s="441"/>
      <c r="Z99" s="441"/>
      <c r="AA99" s="445"/>
      <c r="AB99" s="619"/>
      <c r="AC99" s="535">
        <v>0</v>
      </c>
    </row>
    <row r="100" spans="1:29" ht="15" hidden="1" customHeight="1" outlineLevel="1">
      <c r="A100" s="606"/>
      <c r="B100" s="620" t="s">
        <v>391</v>
      </c>
      <c r="C100" s="606"/>
      <c r="D100" s="606"/>
      <c r="E100" s="620"/>
      <c r="F100" s="621"/>
      <c r="G100" s="345"/>
      <c r="H100" s="444"/>
      <c r="I100" s="439"/>
      <c r="J100" s="439"/>
      <c r="K100" s="439"/>
      <c r="L100" s="439"/>
      <c r="M100" s="439"/>
      <c r="N100" s="439"/>
      <c r="O100" s="439"/>
      <c r="P100" s="440"/>
      <c r="Q100" s="441"/>
      <c r="R100" s="441"/>
      <c r="S100" s="441"/>
      <c r="T100" s="441"/>
      <c r="U100" s="441"/>
      <c r="V100" s="441"/>
      <c r="W100" s="441"/>
      <c r="X100" s="441"/>
      <c r="Y100" s="441"/>
      <c r="Z100" s="441"/>
      <c r="AA100" s="445"/>
      <c r="AB100" s="619"/>
      <c r="AC100" s="535">
        <v>0</v>
      </c>
    </row>
    <row r="101" spans="1:29" ht="15" hidden="1" customHeight="1" outlineLevel="1">
      <c r="A101" s="606"/>
      <c r="B101" s="620" t="s">
        <v>392</v>
      </c>
      <c r="C101" s="606"/>
      <c r="D101" s="606"/>
      <c r="E101" s="620"/>
      <c r="F101" s="621"/>
      <c r="G101" s="345"/>
      <c r="H101" s="444"/>
      <c r="I101" s="439"/>
      <c r="J101" s="439"/>
      <c r="K101" s="439"/>
      <c r="L101" s="439"/>
      <c r="M101" s="439"/>
      <c r="N101" s="439"/>
      <c r="O101" s="439"/>
      <c r="P101" s="440"/>
      <c r="Q101" s="441"/>
      <c r="R101" s="441"/>
      <c r="S101" s="441"/>
      <c r="T101" s="441" t="s">
        <v>419</v>
      </c>
      <c r="U101" s="347">
        <f t="shared" ref="U101:Z101" ca="1" si="68">VLOOKUP($T101, $T$41:$AA$49, MATCH(U$4, $S$4:$AA$4,0),0)</f>
        <v>2.8708133971291794E-2</v>
      </c>
      <c r="V101" s="347">
        <f t="shared" ca="1" si="68"/>
        <v>5.7416267942583588E-2</v>
      </c>
      <c r="W101" s="347">
        <f t="shared" ca="1" si="68"/>
        <v>8.373205741626788E-2</v>
      </c>
      <c r="X101" s="347">
        <f t="shared" ca="1" si="68"/>
        <v>0.10925039872408293</v>
      </c>
      <c r="Y101" s="347">
        <f t="shared" ca="1" si="68"/>
        <v>0.13397129186602874</v>
      </c>
      <c r="Z101" s="347">
        <f t="shared" ca="1" si="68"/>
        <v>0.15948963317384379</v>
      </c>
      <c r="AA101" s="375">
        <f ca="1">VLOOKUP($T101, $T$41:$AA$49, MATCH(AA$4, $T$4:$AA$4,0),0)</f>
        <v>0.15948963317384379</v>
      </c>
      <c r="AB101" s="619"/>
      <c r="AC101" s="535">
        <v>0</v>
      </c>
    </row>
    <row r="102" spans="1:29" collapsed="1">
      <c r="A102" s="606"/>
      <c r="B102" s="622" t="s">
        <v>195</v>
      </c>
      <c r="C102" s="606"/>
      <c r="D102" s="620"/>
      <c r="E102" s="620"/>
      <c r="F102" s="621"/>
      <c r="G102" s="356"/>
      <c r="H102" s="396" t="s">
        <v>316</v>
      </c>
      <c r="I102" s="381">
        <f t="shared" ref="I102:O102" ca="1" si="69">INDEX(INDIRECT($B$98 &amp; $B$99), MATCH($B102, INDIRECT($B$98 &amp; $B$100),0), MATCH($G$3, INDIRECT($B$98 &amp; $B$101), 0))</f>
        <v>39.515832223518309</v>
      </c>
      <c r="J102" s="381">
        <f t="shared" ca="1" si="69"/>
        <v>39.515832223518309</v>
      </c>
      <c r="K102" s="381">
        <f t="shared" ca="1" si="69"/>
        <v>39.515832223518309</v>
      </c>
      <c r="L102" s="381">
        <f t="shared" ca="1" si="69"/>
        <v>39.515832223518309</v>
      </c>
      <c r="M102" s="381">
        <f t="shared" ca="1" si="69"/>
        <v>39.515832223518309</v>
      </c>
      <c r="N102" s="381">
        <f t="shared" ca="1" si="69"/>
        <v>39.515832223518309</v>
      </c>
      <c r="O102" s="381">
        <f t="shared" ca="1" si="69"/>
        <v>39.515832223518309</v>
      </c>
      <c r="P102" s="447"/>
      <c r="Q102" s="448"/>
      <c r="R102" s="448"/>
      <c r="S102" s="448"/>
      <c r="T102" s="448"/>
      <c r="U102" s="449">
        <f ca="1">I102*$H$2</f>
        <v>19757.916111759154</v>
      </c>
      <c r="V102" s="449">
        <f t="shared" ref="V102:AA102" ca="1" si="70">J102*$H$2*(1+V101)</f>
        <v>20892.341917219008</v>
      </c>
      <c r="W102" s="449">
        <f t="shared" ca="1" si="70"/>
        <v>21412.287078054775</v>
      </c>
      <c r="X102" s="449">
        <f t="shared" ca="1" si="70"/>
        <v>21916.476324925825</v>
      </c>
      <c r="Y102" s="449">
        <f t="shared" ca="1" si="70"/>
        <v>22404.909657832151</v>
      </c>
      <c r="Z102" s="449">
        <f t="shared" ca="1" si="70"/>
        <v>22909.098904703198</v>
      </c>
      <c r="AA102" s="450">
        <f t="shared" ca="1" si="70"/>
        <v>22909.098904703198</v>
      </c>
      <c r="AB102" s="619"/>
      <c r="AC102" s="535">
        <v>1</v>
      </c>
    </row>
    <row r="103" spans="1:29" ht="15" hidden="1" customHeight="1" outlineLevel="1">
      <c r="A103" s="606"/>
      <c r="B103" s="622"/>
      <c r="C103" s="606"/>
      <c r="D103" s="620"/>
      <c r="E103" s="620"/>
      <c r="F103" s="620"/>
      <c r="G103" s="451"/>
      <c r="H103" s="451"/>
      <c r="I103" s="446"/>
      <c r="J103" s="446"/>
      <c r="K103" s="446"/>
      <c r="L103" s="446"/>
      <c r="M103" s="446"/>
      <c r="N103" s="446"/>
      <c r="O103" s="446"/>
      <c r="P103" s="451"/>
      <c r="Q103" s="446"/>
      <c r="R103" s="446"/>
      <c r="S103" s="446"/>
      <c r="T103" s="446"/>
      <c r="U103" s="446"/>
      <c r="V103" s="446"/>
      <c r="W103" s="446"/>
      <c r="X103" s="446"/>
      <c r="Y103" s="446"/>
      <c r="Z103" s="446"/>
      <c r="AA103" s="446"/>
      <c r="AB103" s="623"/>
      <c r="AC103" s="535">
        <v>0</v>
      </c>
    </row>
    <row r="104" spans="1:29" ht="15" hidden="1" customHeight="1" outlineLevel="1">
      <c r="A104" s="614"/>
      <c r="B104" s="614" t="s">
        <v>385</v>
      </c>
      <c r="C104" s="614"/>
      <c r="D104" s="617" t="s">
        <v>1062</v>
      </c>
      <c r="E104" s="614"/>
      <c r="F104" s="614"/>
      <c r="G104" s="389"/>
      <c r="H104" s="389"/>
      <c r="I104" s="354"/>
      <c r="J104" s="354"/>
      <c r="K104" s="354"/>
      <c r="L104" s="354"/>
      <c r="M104" s="354"/>
      <c r="N104" s="354"/>
      <c r="O104" s="354"/>
      <c r="P104" s="440"/>
      <c r="Q104" s="443" t="s">
        <v>1062</v>
      </c>
      <c r="R104" s="443"/>
      <c r="S104" s="452" t="s">
        <v>951</v>
      </c>
      <c r="T104" s="441"/>
      <c r="U104" s="441"/>
      <c r="V104" s="441"/>
      <c r="W104" s="441"/>
      <c r="X104" s="441"/>
      <c r="Y104" s="441"/>
      <c r="Z104" s="441"/>
      <c r="AA104" s="441"/>
      <c r="AB104" s="619"/>
      <c r="AC104" s="535">
        <v>0</v>
      </c>
    </row>
    <row r="105" spans="1:29" ht="15" hidden="1" customHeight="1" outlineLevel="1">
      <c r="A105" s="563"/>
      <c r="B105" s="563" t="s">
        <v>414</v>
      </c>
      <c r="C105" s="563"/>
      <c r="D105" s="624" t="s">
        <v>549</v>
      </c>
      <c r="E105" s="563"/>
      <c r="F105" s="563"/>
      <c r="G105" s="389"/>
      <c r="H105" s="389"/>
      <c r="I105" s="354"/>
      <c r="J105" s="354"/>
      <c r="K105" s="354"/>
      <c r="L105" s="354"/>
      <c r="M105" s="354"/>
      <c r="N105" s="354"/>
      <c r="O105" s="354"/>
      <c r="P105" s="440"/>
      <c r="Q105" s="446" t="s">
        <v>549</v>
      </c>
      <c r="R105" s="446"/>
      <c r="S105" s="441" t="s">
        <v>827</v>
      </c>
      <c r="T105" s="441"/>
      <c r="U105" s="441"/>
      <c r="V105" s="441"/>
      <c r="W105" s="441"/>
      <c r="X105" s="441"/>
      <c r="Y105" s="441"/>
      <c r="Z105" s="441"/>
      <c r="AA105" s="441"/>
      <c r="AB105" s="625"/>
      <c r="AC105" s="535">
        <v>0</v>
      </c>
    </row>
    <row r="106" spans="1:29" ht="15" hidden="1" customHeight="1" outlineLevel="1">
      <c r="A106" s="563"/>
      <c r="B106" s="563" t="s">
        <v>415</v>
      </c>
      <c r="C106" s="563"/>
      <c r="D106" s="624" t="s">
        <v>267</v>
      </c>
      <c r="E106" s="563"/>
      <c r="F106" s="563"/>
      <c r="G106" s="389"/>
      <c r="H106" s="389"/>
      <c r="I106" s="354"/>
      <c r="J106" s="354"/>
      <c r="K106" s="354"/>
      <c r="L106" s="354"/>
      <c r="M106" s="354"/>
      <c r="N106" s="354"/>
      <c r="O106" s="354"/>
      <c r="P106" s="440"/>
      <c r="Q106" s="446" t="s">
        <v>267</v>
      </c>
      <c r="R106" s="446"/>
      <c r="S106" s="441" t="s">
        <v>828</v>
      </c>
      <c r="T106" s="441"/>
      <c r="U106" s="441"/>
      <c r="V106" s="441"/>
      <c r="W106" s="441"/>
      <c r="X106" s="441"/>
      <c r="Y106" s="441"/>
      <c r="Z106" s="441"/>
      <c r="AA106" s="441"/>
      <c r="AB106" s="625"/>
      <c r="AC106" s="535">
        <v>0</v>
      </c>
    </row>
    <row r="107" spans="1:29" ht="15.95" hidden="1" customHeight="1" outlineLevel="1" thickBot="1">
      <c r="A107" s="563"/>
      <c r="B107" s="563" t="s">
        <v>416</v>
      </c>
      <c r="C107" s="563"/>
      <c r="D107" s="624" t="s">
        <v>542</v>
      </c>
      <c r="E107" s="563"/>
      <c r="F107" s="563"/>
      <c r="G107" s="389"/>
      <c r="H107" s="389"/>
      <c r="I107" s="354"/>
      <c r="J107" s="354"/>
      <c r="K107" s="354"/>
      <c r="L107" s="354"/>
      <c r="M107" s="354"/>
      <c r="N107" s="354"/>
      <c r="O107" s="354"/>
      <c r="P107" s="440"/>
      <c r="Q107" s="446" t="s">
        <v>542</v>
      </c>
      <c r="R107" s="446"/>
      <c r="S107" s="441" t="s">
        <v>826</v>
      </c>
      <c r="T107" s="441" t="s">
        <v>548</v>
      </c>
      <c r="U107" s="347">
        <f t="shared" ref="U107:AA107" ca="1" si="71">INDEX(INDIRECT($S$104 &amp; $S$105), MATCH($T$107, INDIRECT($S$104 &amp; $S$106), 0), MATCH(U$4,INDIRECT($S$104 &amp; $S$107),0))</f>
        <v>-4.3418524080574561E-2</v>
      </c>
      <c r="V107" s="347">
        <f t="shared" ca="1" si="71"/>
        <v>-3.9971619451295792E-2</v>
      </c>
      <c r="W107" s="347">
        <f t="shared" ca="1" si="71"/>
        <v>-3.6512294393833522E-2</v>
      </c>
      <c r="X107" s="347">
        <f t="shared" ca="1" si="71"/>
        <v>-3.3040504152950012E-2</v>
      </c>
      <c r="Y107" s="347">
        <f t="shared" ca="1" si="71"/>
        <v>-2.9556203812138304E-2</v>
      </c>
      <c r="Z107" s="347">
        <f t="shared" ca="1" si="71"/>
        <v>-2.6059348293041351E-2</v>
      </c>
      <c r="AA107" s="347">
        <f t="shared" ca="1" si="71"/>
        <v>-2.2549892354868595E-2</v>
      </c>
      <c r="AB107" s="625"/>
      <c r="AC107" s="535">
        <v>0</v>
      </c>
    </row>
    <row r="108" spans="1:29" ht="31.5" collapsed="1">
      <c r="A108" s="563"/>
      <c r="B108" s="563" t="str">
        <f>LEFT($G$3,1) &amp; "S" &amp; C108</f>
        <v>MS_CompHardware</v>
      </c>
      <c r="C108" s="563" t="s">
        <v>529</v>
      </c>
      <c r="D108" s="626" t="s">
        <v>536</v>
      </c>
      <c r="E108" s="563"/>
      <c r="F108" s="627">
        <f ca="1">INDEX(INDIRECT($D$104 &amp; $D$105), MATCH($F$3, INDIRECT($D$104 &amp; $D$106),0), MATCH($D108, INDIRECT($D$104 &amp; $D$107),0))</f>
        <v>554</v>
      </c>
      <c r="G108" s="336" t="s">
        <v>318</v>
      </c>
      <c r="H108" s="387" t="s">
        <v>406</v>
      </c>
      <c r="I108" s="453">
        <f t="shared" ref="I108:O109" ca="1" si="72">INDEX(INDIRECT($B$104 &amp; $B$105), MATCH($B108, INDIRECT($B$104 &amp; $B$106),0), MATCH(I$4, INDIRECT($B$104 &amp; $B$107), 0))</f>
        <v>0.2</v>
      </c>
      <c r="J108" s="453">
        <f t="shared" ca="1" si="72"/>
        <v>0.2</v>
      </c>
      <c r="K108" s="453">
        <f t="shared" ca="1" si="72"/>
        <v>0.2</v>
      </c>
      <c r="L108" s="453">
        <f t="shared" ca="1" si="72"/>
        <v>0.25</v>
      </c>
      <c r="M108" s="453">
        <f t="shared" ca="1" si="72"/>
        <v>0.25</v>
      </c>
      <c r="N108" s="453">
        <f t="shared" ca="1" si="72"/>
        <v>0.2</v>
      </c>
      <c r="O108" s="453">
        <f t="shared" ca="1" si="72"/>
        <v>0.2</v>
      </c>
      <c r="P108" s="454">
        <f ca="1">INDEX(INDIRECT($Q$104 &amp; $Q$105), MATCH($Q108, INDIRECT($Q$104 &amp; $Q$106),0), MATCH($D108, INDIRECT($Q$104 &amp; $Q$107),0))</f>
        <v>531.87678895801355</v>
      </c>
      <c r="Q108" s="455" t="s">
        <v>537</v>
      </c>
      <c r="R108" s="455"/>
      <c r="S108" s="456"/>
      <c r="T108" s="456"/>
      <c r="U108" s="393">
        <f t="shared" ref="U108:AA109" ca="1" si="73">$F108*$P108*I108*(1+U$107)</f>
        <v>56373.210003792541</v>
      </c>
      <c r="V108" s="393">
        <f t="shared" ca="1" si="73"/>
        <v>56576.342808912574</v>
      </c>
      <c r="W108" s="393">
        <f t="shared" ca="1" si="73"/>
        <v>56780.207574063148</v>
      </c>
      <c r="X108" s="393">
        <f t="shared" ca="1" si="73"/>
        <v>71231.00867094702</v>
      </c>
      <c r="Y108" s="393">
        <f t="shared" ca="1" si="73"/>
        <v>71487.679430016535</v>
      </c>
      <c r="Z108" s="393">
        <f t="shared" ca="1" si="73"/>
        <v>57396.220052385397</v>
      </c>
      <c r="AA108" s="457">
        <f t="shared" ca="1" si="73"/>
        <v>57603.039128002056</v>
      </c>
      <c r="AB108" s="625"/>
      <c r="AC108" s="535">
        <v>1</v>
      </c>
    </row>
    <row r="109" spans="1:29">
      <c r="A109" s="563"/>
      <c r="B109" s="563" t="str">
        <f>LEFT($G$3,1) &amp; "S" &amp; C109</f>
        <v>MS_CompSoftware</v>
      </c>
      <c r="C109" s="563" t="s">
        <v>530</v>
      </c>
      <c r="D109" s="626" t="s">
        <v>536</v>
      </c>
      <c r="E109" s="563"/>
      <c r="F109" s="627">
        <f ca="1">INDEX(INDIRECT($D$104 &amp; $D$105), MATCH($F$3, INDIRECT($D$104 &amp; $D$106),0), MATCH($D109, INDIRECT($D$104 &amp; $D$107),0))</f>
        <v>554</v>
      </c>
      <c r="G109" s="356"/>
      <c r="H109" s="396" t="s">
        <v>319</v>
      </c>
      <c r="I109" s="458">
        <f t="shared" ca="1" si="72"/>
        <v>0.25</v>
      </c>
      <c r="J109" s="458">
        <f t="shared" ca="1" si="72"/>
        <v>0.25</v>
      </c>
      <c r="K109" s="458">
        <f t="shared" ca="1" si="72"/>
        <v>0.25</v>
      </c>
      <c r="L109" s="458">
        <f t="shared" ca="1" si="72"/>
        <v>0.5</v>
      </c>
      <c r="M109" s="458">
        <f t="shared" ca="1" si="72"/>
        <v>0.5</v>
      </c>
      <c r="N109" s="458">
        <f t="shared" ca="1" si="72"/>
        <v>0.25</v>
      </c>
      <c r="O109" s="458">
        <f t="shared" ca="1" si="72"/>
        <v>0.25</v>
      </c>
      <c r="P109" s="459">
        <f ca="1">INDEX(INDIRECT($Q$104 &amp; $Q$105), MATCH($Q109, INDIRECT($Q$104 &amp; $Q$106),0), MATCH($D109, INDIRECT($Q$104 &amp; $Q$107),0))</f>
        <v>530</v>
      </c>
      <c r="Q109" s="460" t="s">
        <v>539</v>
      </c>
      <c r="R109" s="460"/>
      <c r="S109" s="448"/>
      <c r="T109" s="448"/>
      <c r="U109" s="449">
        <f t="shared" ca="1" si="73"/>
        <v>70217.86323986543</v>
      </c>
      <c r="V109" s="449">
        <f t="shared" ca="1" si="73"/>
        <v>70470.883274177628</v>
      </c>
      <c r="W109" s="449">
        <f t="shared" ca="1" si="73"/>
        <v>70724.815030020647</v>
      </c>
      <c r="X109" s="449">
        <f t="shared" ca="1" si="73"/>
        <v>141959.32358530542</v>
      </c>
      <c r="Y109" s="449">
        <f t="shared" ca="1" si="73"/>
        <v>142470.85371833999</v>
      </c>
      <c r="Z109" s="449">
        <f t="shared" ca="1" si="73"/>
        <v>71492.113538549296</v>
      </c>
      <c r="AA109" s="450">
        <f t="shared" ca="1" si="73"/>
        <v>71749.725151690873</v>
      </c>
      <c r="AB109" s="625"/>
      <c r="AC109" s="535">
        <v>1</v>
      </c>
    </row>
    <row r="110" spans="1:29" ht="15" hidden="1" customHeight="1" outlineLevel="1">
      <c r="A110" s="563"/>
      <c r="B110" s="563"/>
      <c r="C110" s="563"/>
      <c r="D110" s="563"/>
      <c r="E110" s="563"/>
      <c r="F110" s="563"/>
      <c r="G110" s="409"/>
      <c r="H110" s="409"/>
      <c r="I110" s="304"/>
      <c r="J110" s="304"/>
      <c r="K110" s="304"/>
      <c r="L110" s="304"/>
      <c r="M110" s="304"/>
      <c r="N110" s="304"/>
      <c r="O110" s="304"/>
      <c r="P110" s="409"/>
      <c r="Q110" s="304"/>
      <c r="R110" s="304"/>
      <c r="S110" s="304"/>
      <c r="T110" s="304"/>
      <c r="U110" s="304"/>
      <c r="V110" s="304"/>
      <c r="W110" s="304"/>
      <c r="X110" s="304"/>
      <c r="Y110" s="304"/>
      <c r="Z110" s="304"/>
      <c r="AA110" s="304"/>
      <c r="AB110" s="569"/>
      <c r="AC110" s="535">
        <v>0</v>
      </c>
    </row>
    <row r="111" spans="1:29" ht="15.95" hidden="1" customHeight="1" outlineLevel="1" thickBot="1">
      <c r="A111" s="628"/>
      <c r="B111" s="628"/>
      <c r="C111" s="628"/>
      <c r="D111" s="628"/>
      <c r="E111" s="629"/>
      <c r="F111" s="629"/>
      <c r="G111" s="389"/>
      <c r="H111" s="389"/>
      <c r="I111" s="462"/>
      <c r="J111" s="462"/>
      <c r="K111" s="462"/>
      <c r="L111" s="462"/>
      <c r="M111" s="462"/>
      <c r="N111" s="462"/>
      <c r="O111" s="462"/>
      <c r="P111" s="389"/>
      <c r="Q111" s="462"/>
      <c r="R111" s="462"/>
      <c r="S111" s="452" t="s">
        <v>951</v>
      </c>
      <c r="T111" s="441" t="s">
        <v>547</v>
      </c>
      <c r="U111" s="347">
        <f ca="1">INDEX(INDIRECT($S$111 &amp; $S$112), MATCH($T$111, INDIRECT($S$111 &amp; $S$113), 0), MATCH(U$4,INDIRECT($S$111 &amp; $S$114),0))</f>
        <v>7.1974335673871348E-2</v>
      </c>
      <c r="V111" s="347">
        <f t="shared" ref="V111:AA111" ca="1" si="74">INDEX(INDIRECT($S$111 &amp; $S$112), MATCH($T$111, INDIRECT($S$111 &amp; $S$113), 0), MATCH(V$4,INDIRECT($S$111 &amp; $S$114),0))</f>
        <v>9.9988752420327565E-2</v>
      </c>
      <c r="W111" s="347">
        <f t="shared" ca="1" si="74"/>
        <v>0.12873528328512296</v>
      </c>
      <c r="X111" s="347">
        <f t="shared" ca="1" si="74"/>
        <v>0.15823306095579937</v>
      </c>
      <c r="Y111" s="347">
        <f t="shared" ca="1" si="74"/>
        <v>0.18850171812354977</v>
      </c>
      <c r="Z111" s="347">
        <f t="shared" ca="1" si="74"/>
        <v>0.21956140055005324</v>
      </c>
      <c r="AA111" s="347">
        <f t="shared" ca="1" si="74"/>
        <v>0.25143278047578987</v>
      </c>
      <c r="AB111" s="630"/>
      <c r="AC111" s="535">
        <v>0</v>
      </c>
    </row>
    <row r="112" spans="1:29" collapsed="1">
      <c r="A112" s="628"/>
      <c r="B112" s="629" t="s">
        <v>385</v>
      </c>
      <c r="C112" s="631" t="str">
        <f>LEFT($G$3,1) &amp; "S" &amp; D112</f>
        <v>MS_TextsConsumables</v>
      </c>
      <c r="D112" s="629" t="s">
        <v>543</v>
      </c>
      <c r="E112" s="632"/>
      <c r="F112" s="633"/>
      <c r="G112" s="336" t="s">
        <v>320</v>
      </c>
      <c r="H112" s="387" t="s">
        <v>321</v>
      </c>
      <c r="I112" s="343">
        <f t="shared" ref="I112:O112" ca="1" si="75">INDEX(INDIRECT($B$112 &amp; $B$113), MATCH($C112, INDIRECT($B$112 &amp; $B$114),0), MATCH(I$4, INDIRECT($B$112 &amp; $B$115), 0))</f>
        <v>121.88</v>
      </c>
      <c r="J112" s="343">
        <f t="shared" ca="1" si="75"/>
        <v>125.37894736842104</v>
      </c>
      <c r="K112" s="343">
        <f t="shared" ca="1" si="75"/>
        <v>125.37894736842104</v>
      </c>
      <c r="L112" s="343">
        <f t="shared" ca="1" si="75"/>
        <v>125.37894736842104</v>
      </c>
      <c r="M112" s="343">
        <f t="shared" ca="1" si="75"/>
        <v>125.37894736842104</v>
      </c>
      <c r="N112" s="343">
        <f t="shared" ca="1" si="75"/>
        <v>125.37894736842104</v>
      </c>
      <c r="O112" s="343">
        <f t="shared" ca="1" si="75"/>
        <v>125.37894736842104</v>
      </c>
      <c r="P112" s="463"/>
      <c r="Q112" s="464"/>
      <c r="R112" s="464"/>
      <c r="S112" s="456" t="s">
        <v>827</v>
      </c>
      <c r="T112" s="456"/>
      <c r="U112" s="393">
        <f t="shared" ref="U112:Z112" ca="1" si="76">I112*$H$2*(1+U$111)</f>
        <v>65326.116015965723</v>
      </c>
      <c r="V112" s="393">
        <f t="shared" ca="1" si="76"/>
        <v>68957.715947781689</v>
      </c>
      <c r="W112" s="393">
        <f t="shared" ca="1" si="76"/>
        <v>70759.820837942621</v>
      </c>
      <c r="X112" s="393">
        <f t="shared" ca="1" si="76"/>
        <v>72609.020994971186</v>
      </c>
      <c r="Y112" s="393">
        <f t="shared" ca="1" si="76"/>
        <v>74506.547181945265</v>
      </c>
      <c r="Z112" s="393">
        <f t="shared" ca="1" si="76"/>
        <v>76453.662326061487</v>
      </c>
      <c r="AA112" s="457">
        <f ca="1">O112*$H$2*(1+AA$111)</f>
        <v>78451.662359195427</v>
      </c>
      <c r="AB112" s="634"/>
      <c r="AC112" s="535">
        <v>1</v>
      </c>
    </row>
    <row r="113" spans="1:30" ht="15" hidden="1" customHeight="1" outlineLevel="1">
      <c r="A113" s="628"/>
      <c r="B113" s="629" t="s">
        <v>414</v>
      </c>
      <c r="C113" s="631"/>
      <c r="D113" s="629"/>
      <c r="E113" s="632"/>
      <c r="F113" s="633"/>
      <c r="G113" s="345"/>
      <c r="H113" s="451"/>
      <c r="I113" s="465"/>
      <c r="J113" s="465"/>
      <c r="K113" s="465"/>
      <c r="L113" s="465"/>
      <c r="M113" s="465"/>
      <c r="N113" s="465"/>
      <c r="O113" s="465"/>
      <c r="P113" s="451"/>
      <c r="Q113" s="446"/>
      <c r="R113" s="446"/>
      <c r="S113" s="441" t="s">
        <v>828</v>
      </c>
      <c r="T113" s="462" t="s">
        <v>419</v>
      </c>
      <c r="U113" s="377">
        <f t="shared" ref="U113:Z113" ca="1" si="77">VLOOKUP($T113, $T$41:$AA$49, MATCH(U$4, $S$4:$AA$4,0),0)</f>
        <v>2.8708133971291794E-2</v>
      </c>
      <c r="V113" s="377">
        <f t="shared" ca="1" si="77"/>
        <v>5.7416267942583588E-2</v>
      </c>
      <c r="W113" s="377">
        <f t="shared" ca="1" si="77"/>
        <v>8.373205741626788E-2</v>
      </c>
      <c r="X113" s="377">
        <f t="shared" ca="1" si="77"/>
        <v>0.10925039872408293</v>
      </c>
      <c r="Y113" s="377">
        <f t="shared" ca="1" si="77"/>
        <v>0.13397129186602874</v>
      </c>
      <c r="Z113" s="377">
        <f t="shared" ca="1" si="77"/>
        <v>0.15948963317384379</v>
      </c>
      <c r="AA113" s="466">
        <f ca="1">VLOOKUP($T113, $T$41:$AA$49, MATCH(AA$4, $T$4:$AA$4,0),0)</f>
        <v>0.15948963317384379</v>
      </c>
      <c r="AB113" s="634"/>
      <c r="AC113" s="535">
        <v>0</v>
      </c>
    </row>
    <row r="114" spans="1:30" collapsed="1">
      <c r="A114" s="628"/>
      <c r="B114" s="629" t="s">
        <v>415</v>
      </c>
      <c r="C114" s="631" t="str">
        <f>LEFT($G$3,1) &amp; "S" &amp; D114</f>
        <v>MS_CME</v>
      </c>
      <c r="D114" s="629" t="s">
        <v>544</v>
      </c>
      <c r="E114" s="632"/>
      <c r="F114" s="633"/>
      <c r="G114" s="345"/>
      <c r="H114" s="389" t="s">
        <v>322</v>
      </c>
      <c r="I114" s="351">
        <f t="shared" ref="I114:O116" ca="1" si="78">INDEX(INDIRECT($B$112 &amp; $B$113), MATCH($C114, INDIRECT($B$112 &amp; $B$114),0), MATCH(I$4, INDIRECT($B$112 &amp; $B$115), 0))</f>
        <v>175</v>
      </c>
      <c r="J114" s="351">
        <f t="shared" ca="1" si="78"/>
        <v>180.02392344497608</v>
      </c>
      <c r="K114" s="351">
        <f t="shared" ca="1" si="78"/>
        <v>180.02392344497608</v>
      </c>
      <c r="L114" s="351">
        <f t="shared" ca="1" si="78"/>
        <v>180.02392344497608</v>
      </c>
      <c r="M114" s="351">
        <f t="shared" ca="1" si="78"/>
        <v>180.02392344497608</v>
      </c>
      <c r="N114" s="351">
        <f t="shared" ca="1" si="78"/>
        <v>180.02392344497608</v>
      </c>
      <c r="O114" s="351">
        <f t="shared" ca="1" si="78"/>
        <v>180.02392344497608</v>
      </c>
      <c r="P114" s="440"/>
      <c r="Q114" s="462"/>
      <c r="R114" s="462"/>
      <c r="S114" s="441" t="s">
        <v>826</v>
      </c>
      <c r="T114" s="462"/>
      <c r="U114" s="371">
        <f t="shared" ref="U114:Z116" ca="1" si="79">I114*$H$2*(1+U$113)</f>
        <v>90011.961722488035</v>
      </c>
      <c r="V114" s="371">
        <f t="shared" ca="1" si="79"/>
        <v>95180.112634783989</v>
      </c>
      <c r="W114" s="371">
        <f t="shared" ca="1" si="79"/>
        <v>97548.848469586315</v>
      </c>
      <c r="X114" s="371">
        <f t="shared" ca="1" si="79"/>
        <v>99845.804430606746</v>
      </c>
      <c r="Y114" s="371">
        <f t="shared" ca="1" si="79"/>
        <v>102070.98051784528</v>
      </c>
      <c r="Z114" s="371">
        <f t="shared" ca="1" si="79"/>
        <v>104367.93647886573</v>
      </c>
      <c r="AA114" s="442">
        <f ca="1">O114*$H$2*(1+AA$113)</f>
        <v>104367.93647886573</v>
      </c>
      <c r="AB114" s="634"/>
      <c r="AC114" s="535">
        <v>1</v>
      </c>
    </row>
    <row r="115" spans="1:30">
      <c r="A115" s="628"/>
      <c r="B115" s="629" t="s">
        <v>416</v>
      </c>
      <c r="C115" s="631" t="str">
        <f>LEFT($G$3,1) &amp; "S" &amp; D115</f>
        <v>MS_MediaMaterials</v>
      </c>
      <c r="D115" s="629" t="s">
        <v>545</v>
      </c>
      <c r="E115" s="631"/>
      <c r="F115" s="635"/>
      <c r="G115" s="345"/>
      <c r="H115" s="372" t="s">
        <v>323</v>
      </c>
      <c r="I115" s="351">
        <f t="shared" ca="1" si="78"/>
        <v>17.63</v>
      </c>
      <c r="J115" s="351">
        <f t="shared" ca="1" si="78"/>
        <v>18.136124401913872</v>
      </c>
      <c r="K115" s="351">
        <f t="shared" ca="1" si="78"/>
        <v>18.136124401913872</v>
      </c>
      <c r="L115" s="351">
        <f t="shared" ca="1" si="78"/>
        <v>34</v>
      </c>
      <c r="M115" s="351">
        <f t="shared" ca="1" si="78"/>
        <v>34</v>
      </c>
      <c r="N115" s="351">
        <f t="shared" ca="1" si="78"/>
        <v>18.136124401913872</v>
      </c>
      <c r="O115" s="351">
        <f t="shared" ca="1" si="78"/>
        <v>18.136124401913872</v>
      </c>
      <c r="P115" s="440"/>
      <c r="Q115" s="462"/>
      <c r="R115" s="462"/>
      <c r="S115" s="462"/>
      <c r="T115" s="462"/>
      <c r="U115" s="371">
        <f t="shared" ca="1" si="79"/>
        <v>9068.0622009569379</v>
      </c>
      <c r="V115" s="371">
        <f t="shared" ca="1" si="79"/>
        <v>9588.7164900070929</v>
      </c>
      <c r="W115" s="371">
        <f t="shared" ca="1" si="79"/>
        <v>9827.3497058217508</v>
      </c>
      <c r="X115" s="371">
        <f t="shared" ca="1" si="79"/>
        <v>18857.256778309409</v>
      </c>
      <c r="Y115" s="371">
        <f t="shared" ca="1" si="79"/>
        <v>19277.511961722488</v>
      </c>
      <c r="Z115" s="371">
        <f t="shared" ca="1" si="79"/>
        <v>10514.324114985156</v>
      </c>
      <c r="AA115" s="442">
        <f ca="1">O115*$H$2*(1+AA$113)</f>
        <v>10514.324114985156</v>
      </c>
      <c r="AB115" s="634"/>
      <c r="AC115" s="535">
        <v>1</v>
      </c>
    </row>
    <row r="116" spans="1:30" ht="31.5">
      <c r="A116" s="628"/>
      <c r="B116" s="628"/>
      <c r="C116" s="631" t="str">
        <f>LEFT($G$3,1) &amp; "S" &amp; D116</f>
        <v>MS_TeacherReimbExp</v>
      </c>
      <c r="D116" s="629" t="s">
        <v>546</v>
      </c>
      <c r="E116" s="631"/>
      <c r="F116" s="635"/>
      <c r="G116" s="356"/>
      <c r="H116" s="396" t="s">
        <v>324</v>
      </c>
      <c r="I116" s="381">
        <f t="shared" ca="1" si="78"/>
        <v>0</v>
      </c>
      <c r="J116" s="381">
        <f t="shared" ca="1" si="78"/>
        <v>0</v>
      </c>
      <c r="K116" s="381">
        <f t="shared" ca="1" si="78"/>
        <v>0</v>
      </c>
      <c r="L116" s="381">
        <f t="shared" ca="1" si="78"/>
        <v>23.721428571428572</v>
      </c>
      <c r="M116" s="381">
        <f t="shared" ca="1" si="78"/>
        <v>23.721428571428572</v>
      </c>
      <c r="N116" s="381">
        <f t="shared" ca="1" si="78"/>
        <v>0</v>
      </c>
      <c r="O116" s="381">
        <f t="shared" ca="1" si="78"/>
        <v>0</v>
      </c>
      <c r="P116" s="447"/>
      <c r="Q116" s="467"/>
      <c r="R116" s="467"/>
      <c r="S116" s="467"/>
      <c r="T116" s="467"/>
      <c r="U116" s="449">
        <f t="shared" ca="1" si="79"/>
        <v>0</v>
      </c>
      <c r="V116" s="449">
        <f t="shared" ca="1" si="79"/>
        <v>0</v>
      </c>
      <c r="W116" s="449">
        <f t="shared" ca="1" si="79"/>
        <v>0</v>
      </c>
      <c r="X116" s="449">
        <f t="shared" ca="1" si="79"/>
        <v>13156.502050580999</v>
      </c>
      <c r="Y116" s="449">
        <f t="shared" ca="1" si="79"/>
        <v>13449.709501025291</v>
      </c>
      <c r="Z116" s="449">
        <f t="shared" ca="1" si="79"/>
        <v>0</v>
      </c>
      <c r="AA116" s="450">
        <f ca="1">O116*$H$2*(1+AA$113)</f>
        <v>0</v>
      </c>
      <c r="AB116" s="634"/>
      <c r="AC116" s="535">
        <v>1</v>
      </c>
    </row>
    <row r="117" spans="1:30" ht="15" hidden="1" customHeight="1" outlineLevel="1">
      <c r="A117" s="628"/>
      <c r="B117" s="628"/>
      <c r="C117" s="628"/>
      <c r="D117" s="628"/>
      <c r="E117" s="628"/>
      <c r="F117" s="628"/>
      <c r="G117" s="468"/>
      <c r="H117" s="468"/>
      <c r="I117" s="461"/>
      <c r="J117" s="461"/>
      <c r="K117" s="461"/>
      <c r="L117" s="461"/>
      <c r="M117" s="461"/>
      <c r="N117" s="461"/>
      <c r="O117" s="461"/>
      <c r="P117" s="468"/>
      <c r="Q117" s="461"/>
      <c r="R117" s="461"/>
      <c r="S117" s="461"/>
      <c r="T117" s="461"/>
      <c r="U117" s="461"/>
      <c r="V117" s="461"/>
      <c r="W117" s="461"/>
      <c r="X117" s="461"/>
      <c r="Y117" s="461"/>
      <c r="Z117" s="461"/>
      <c r="AA117" s="461"/>
      <c r="AB117" s="634"/>
      <c r="AC117" s="535">
        <v>0</v>
      </c>
    </row>
    <row r="118" spans="1:30" ht="15" hidden="1" customHeight="1" outlineLevel="1">
      <c r="A118" s="636"/>
      <c r="B118" s="637"/>
      <c r="C118" s="637"/>
      <c r="D118" s="637"/>
      <c r="E118" s="637"/>
      <c r="F118" s="637"/>
      <c r="G118" s="468"/>
      <c r="H118" s="468"/>
      <c r="I118" s="461"/>
      <c r="J118" s="461"/>
      <c r="K118" s="461"/>
      <c r="L118" s="461"/>
      <c r="M118" s="461"/>
      <c r="N118" s="461"/>
      <c r="O118" s="461"/>
      <c r="P118" s="468"/>
      <c r="Q118" s="461"/>
      <c r="R118" s="461"/>
      <c r="S118" s="461"/>
      <c r="T118" s="75" t="s">
        <v>419</v>
      </c>
      <c r="U118" s="347">
        <f t="shared" ref="U118:AA119" si="80">VLOOKUP($T118, $T$41:$AA$49, MATCH(U$4, $T$4:$AA$4,0),0)</f>
        <v>0</v>
      </c>
      <c r="V118" s="347">
        <f t="shared" ca="1" si="80"/>
        <v>2.8708133971291794E-2</v>
      </c>
      <c r="W118" s="347">
        <f t="shared" ca="1" si="80"/>
        <v>5.7416267942583588E-2</v>
      </c>
      <c r="X118" s="347">
        <f t="shared" ca="1" si="80"/>
        <v>8.373205741626788E-2</v>
      </c>
      <c r="Y118" s="347">
        <f t="shared" ca="1" si="80"/>
        <v>0.10925039872408293</v>
      </c>
      <c r="Z118" s="347">
        <f t="shared" ca="1" si="80"/>
        <v>0.13397129186602874</v>
      </c>
      <c r="AA118" s="347">
        <f t="shared" ca="1" si="80"/>
        <v>0.15948963317384379</v>
      </c>
      <c r="AB118" s="638"/>
      <c r="AC118" s="535">
        <v>0</v>
      </c>
    </row>
    <row r="119" spans="1:30" ht="15.95" hidden="1" customHeight="1" outlineLevel="1" thickBot="1">
      <c r="A119" s="636"/>
      <c r="B119" s="637"/>
      <c r="C119" s="637"/>
      <c r="D119" s="637"/>
      <c r="E119" s="637"/>
      <c r="F119" s="637"/>
      <c r="G119" s="468"/>
      <c r="H119" s="468"/>
      <c r="I119" s="461"/>
      <c r="J119" s="461"/>
      <c r="K119" s="461"/>
      <c r="L119" s="461"/>
      <c r="M119" s="461"/>
      <c r="N119" s="461"/>
      <c r="O119" s="461"/>
      <c r="P119" s="468"/>
      <c r="Q119" s="461"/>
      <c r="R119" s="461"/>
      <c r="S119" s="461"/>
      <c r="T119" s="75" t="s">
        <v>425</v>
      </c>
      <c r="U119" s="347">
        <f t="shared" si="80"/>
        <v>0</v>
      </c>
      <c r="V119" s="347">
        <f t="shared" ca="1" si="80"/>
        <v>5.7261817291207384E-2</v>
      </c>
      <c r="W119" s="347">
        <f t="shared" ca="1" si="80"/>
        <v>0.13174354495091745</v>
      </c>
      <c r="X119" s="347">
        <f t="shared" ca="1" si="80"/>
        <v>0.17880098758961727</v>
      </c>
      <c r="Y119" s="347">
        <f t="shared" ca="1" si="80"/>
        <v>0.23178304764960789</v>
      </c>
      <c r="Z119" s="347">
        <f t="shared" ca="1" si="80"/>
        <v>0.26218253919621559</v>
      </c>
      <c r="AA119" s="347">
        <f t="shared" ca="1" si="80"/>
        <v>0.32831245087701122</v>
      </c>
      <c r="AB119" s="638"/>
      <c r="AC119" s="535">
        <v>0</v>
      </c>
    </row>
    <row r="120" spans="1:30" collapsed="1">
      <c r="A120" s="596"/>
      <c r="B120" s="604" t="s">
        <v>1061</v>
      </c>
      <c r="C120" s="598" t="str">
        <f>LEFT($G$3,1) &amp; "S" &amp; D120</f>
        <v>MS_ExCurrExp</v>
      </c>
      <c r="D120" s="639" t="s">
        <v>554</v>
      </c>
      <c r="E120" s="598"/>
      <c r="F120" s="602">
        <f>IF(LEFT($F$3,1)="H",0,1)</f>
        <v>1</v>
      </c>
      <c r="G120" s="336" t="s">
        <v>191</v>
      </c>
      <c r="H120" s="387" t="s">
        <v>555</v>
      </c>
      <c r="I120" s="469">
        <f t="shared" ref="I120:O123" ca="1" si="81">IFERROR(INDEX(INDIRECT($B$120 &amp; $B$121), MATCH($C120, INDIRECT($B$120 &amp; $B$122),0), MATCH(I$4, INDIRECT($B$120 &amp; $B$123), 0)),0)</f>
        <v>150</v>
      </c>
      <c r="J120" s="469">
        <f t="shared" ca="1" si="81"/>
        <v>150</v>
      </c>
      <c r="K120" s="469">
        <f t="shared" ca="1" si="81"/>
        <v>150</v>
      </c>
      <c r="L120" s="469">
        <f t="shared" ca="1" si="81"/>
        <v>150</v>
      </c>
      <c r="M120" s="469">
        <f t="shared" ca="1" si="81"/>
        <v>150</v>
      </c>
      <c r="N120" s="469">
        <f t="shared" ca="1" si="81"/>
        <v>150</v>
      </c>
      <c r="O120" s="469">
        <f t="shared" ca="1" si="81"/>
        <v>150</v>
      </c>
      <c r="P120" s="463"/>
      <c r="Q120" s="456"/>
      <c r="R120" s="456"/>
      <c r="S120" s="456"/>
      <c r="T120" s="470"/>
      <c r="U120" s="456">
        <f t="shared" ref="U120:Z120" ca="1" si="82">I120*$H$2*(1+U118)*$F120</f>
        <v>75000</v>
      </c>
      <c r="V120" s="456">
        <f t="shared" ca="1" si="82"/>
        <v>77153.110047846887</v>
      </c>
      <c r="W120" s="456">
        <f t="shared" ca="1" si="82"/>
        <v>79306.220095693774</v>
      </c>
      <c r="X120" s="456">
        <f t="shared" ca="1" si="82"/>
        <v>81279.904306220094</v>
      </c>
      <c r="Y120" s="456">
        <f t="shared" ca="1" si="82"/>
        <v>83193.779904306226</v>
      </c>
      <c r="Z120" s="456">
        <f t="shared" ca="1" si="82"/>
        <v>85047.846889952154</v>
      </c>
      <c r="AA120" s="471">
        <f ca="1">O120*$H$2*(1+AA118)*$F120</f>
        <v>86961.722488038286</v>
      </c>
      <c r="AB120" s="640"/>
      <c r="AC120" s="535">
        <v>1</v>
      </c>
    </row>
    <row r="121" spans="1:30">
      <c r="A121" s="596"/>
      <c r="B121" s="598" t="s">
        <v>853</v>
      </c>
      <c r="C121" s="598" t="str">
        <f>LEFT($G$3,1) &amp; "S" &amp; D121</f>
        <v>MS_Coach</v>
      </c>
      <c r="D121" s="639" t="s">
        <v>550</v>
      </c>
      <c r="E121" s="598"/>
      <c r="F121" s="602">
        <f>IF(LEFT($F$3,1)="M",1,0)</f>
        <v>1</v>
      </c>
      <c r="G121" s="345"/>
      <c r="H121" s="389" t="s">
        <v>429</v>
      </c>
      <c r="I121" s="472">
        <f ca="1">IFERROR(INDEX(INDIRECT($B$120 &amp; $B$121), MATCH($C121, INDIRECT($B$120 &amp; $B$122),0), MATCH(I$4, INDIRECT($B$120 &amp; $B$123), 0)),0)</f>
        <v>12</v>
      </c>
      <c r="J121" s="472">
        <f t="shared" ca="1" si="81"/>
        <v>12</v>
      </c>
      <c r="K121" s="472">
        <f t="shared" ca="1" si="81"/>
        <v>12</v>
      </c>
      <c r="L121" s="472">
        <f t="shared" ca="1" si="81"/>
        <v>12</v>
      </c>
      <c r="M121" s="472">
        <f t="shared" ca="1" si="81"/>
        <v>12</v>
      </c>
      <c r="N121" s="472">
        <f t="shared" ca="1" si="81"/>
        <v>12</v>
      </c>
      <c r="O121" s="472">
        <f t="shared" ca="1" si="81"/>
        <v>12</v>
      </c>
      <c r="P121" s="435">
        <f ca="1">IFERROR(INDEX(INDIRECT($B$120 &amp; $B$121), MATCH($C121, INDIRECT($B$120 &amp; $B$122),0), MATCH(P$4, INDIRECT($B$120 &amp; $B$123), 0)),0)</f>
        <v>4015</v>
      </c>
      <c r="Q121" s="177" t="s">
        <v>385</v>
      </c>
      <c r="R121" s="177"/>
      <c r="S121" s="390"/>
      <c r="T121" s="390"/>
      <c r="U121" s="441">
        <f ca="1">I121*$P121*$F121</f>
        <v>48180</v>
      </c>
      <c r="V121" s="441">
        <f t="shared" ref="V121:AA121" ca="1" si="83">J121*$P121*(1+V119)*$F121</f>
        <v>50938.874357090375</v>
      </c>
      <c r="W121" s="441">
        <f t="shared" ca="1" si="83"/>
        <v>54527.4039957352</v>
      </c>
      <c r="X121" s="441">
        <f t="shared" ca="1" si="83"/>
        <v>56794.631582067763</v>
      </c>
      <c r="Y121" s="441">
        <f t="shared" ca="1" si="83"/>
        <v>59347.307235758111</v>
      </c>
      <c r="Z121" s="441">
        <f t="shared" ca="1" si="83"/>
        <v>60811.954738473665</v>
      </c>
      <c r="AA121" s="445">
        <f t="shared" ca="1" si="83"/>
        <v>63998.093883254398</v>
      </c>
      <c r="AB121" s="640"/>
      <c r="AC121" s="535">
        <v>1</v>
      </c>
      <c r="AD121" s="45"/>
    </row>
    <row r="122" spans="1:30">
      <c r="A122" s="596"/>
      <c r="B122" s="598" t="s">
        <v>852</v>
      </c>
      <c r="C122" s="598" t="str">
        <f>LEFT($G$3,1) &amp; "S" &amp; D122</f>
        <v>MS_AthlEventExp</v>
      </c>
      <c r="D122" s="639" t="s">
        <v>551</v>
      </c>
      <c r="E122" s="598"/>
      <c r="F122" s="602">
        <f>IF(LEFT($F$3,1)="H",1,0)</f>
        <v>0</v>
      </c>
      <c r="G122" s="345"/>
      <c r="H122" s="389" t="s">
        <v>431</v>
      </c>
      <c r="I122" s="354">
        <f t="shared" ca="1" si="81"/>
        <v>0</v>
      </c>
      <c r="J122" s="354">
        <f t="shared" ca="1" si="81"/>
        <v>0</v>
      </c>
      <c r="K122" s="354">
        <f t="shared" ca="1" si="81"/>
        <v>0</v>
      </c>
      <c r="L122" s="354">
        <f t="shared" ca="1" si="81"/>
        <v>0</v>
      </c>
      <c r="M122" s="354">
        <f t="shared" ca="1" si="81"/>
        <v>0</v>
      </c>
      <c r="N122" s="354">
        <f t="shared" ca="1" si="81"/>
        <v>0</v>
      </c>
      <c r="O122" s="354">
        <f t="shared" ca="1" si="81"/>
        <v>0</v>
      </c>
      <c r="P122" s="330"/>
      <c r="Q122" s="177" t="s">
        <v>414</v>
      </c>
      <c r="R122" s="177"/>
      <c r="S122" s="390"/>
      <c r="T122" s="390"/>
      <c r="U122" s="441">
        <f t="shared" ref="U122:Z122" ca="1" si="84">I122*$H$2*(1+U118)*$F122</f>
        <v>0</v>
      </c>
      <c r="V122" s="441">
        <f t="shared" ca="1" si="84"/>
        <v>0</v>
      </c>
      <c r="W122" s="441">
        <f t="shared" ca="1" si="84"/>
        <v>0</v>
      </c>
      <c r="X122" s="441">
        <f t="shared" ca="1" si="84"/>
        <v>0</v>
      </c>
      <c r="Y122" s="441">
        <f t="shared" ca="1" si="84"/>
        <v>0</v>
      </c>
      <c r="Z122" s="441">
        <f t="shared" ca="1" si="84"/>
        <v>0</v>
      </c>
      <c r="AA122" s="445">
        <f ca="1">O122*$H$2*(1+AA118)*$F122</f>
        <v>0</v>
      </c>
      <c r="AB122" s="640"/>
      <c r="AC122" s="535">
        <v>1</v>
      </c>
    </row>
    <row r="123" spans="1:30">
      <c r="A123" s="596"/>
      <c r="B123" s="598" t="s">
        <v>773</v>
      </c>
      <c r="C123" s="598" t="str">
        <f>LEFT($G$3,1) &amp; "S" &amp; D123</f>
        <v>MS_OtherExtCurExp</v>
      </c>
      <c r="D123" s="639" t="s">
        <v>552</v>
      </c>
      <c r="E123" s="598"/>
      <c r="F123" s="602">
        <f>IF(LEFT($F$3,1)="H",1,0)</f>
        <v>0</v>
      </c>
      <c r="G123" s="345"/>
      <c r="H123" s="389" t="s">
        <v>432</v>
      </c>
      <c r="I123" s="354">
        <f t="shared" ca="1" si="81"/>
        <v>0</v>
      </c>
      <c r="J123" s="354">
        <f t="shared" ca="1" si="81"/>
        <v>0</v>
      </c>
      <c r="K123" s="354">
        <f t="shared" ca="1" si="81"/>
        <v>0</v>
      </c>
      <c r="L123" s="354">
        <f t="shared" ca="1" si="81"/>
        <v>0</v>
      </c>
      <c r="M123" s="354">
        <f t="shared" ca="1" si="81"/>
        <v>0</v>
      </c>
      <c r="N123" s="354">
        <f t="shared" ca="1" si="81"/>
        <v>0</v>
      </c>
      <c r="O123" s="354">
        <f t="shared" ca="1" si="81"/>
        <v>0</v>
      </c>
      <c r="P123" s="395"/>
      <c r="Q123" s="177" t="s">
        <v>415</v>
      </c>
      <c r="R123" s="177"/>
      <c r="S123" s="441"/>
      <c r="T123" s="441"/>
      <c r="U123" s="441">
        <f t="shared" ref="U123:Z123" ca="1" si="85">I123*$H$2*(1+U118)*$F123</f>
        <v>0</v>
      </c>
      <c r="V123" s="441">
        <f t="shared" ca="1" si="85"/>
        <v>0</v>
      </c>
      <c r="W123" s="441">
        <f t="shared" ca="1" si="85"/>
        <v>0</v>
      </c>
      <c r="X123" s="441">
        <f t="shared" ca="1" si="85"/>
        <v>0</v>
      </c>
      <c r="Y123" s="441">
        <f t="shared" ca="1" si="85"/>
        <v>0</v>
      </c>
      <c r="Z123" s="441">
        <f t="shared" ca="1" si="85"/>
        <v>0</v>
      </c>
      <c r="AA123" s="445">
        <f ca="1">O123*$H$2*(1+AA118)*$F123</f>
        <v>0</v>
      </c>
      <c r="AB123" s="640"/>
      <c r="AC123" s="535">
        <v>1</v>
      </c>
    </row>
    <row r="124" spans="1:30">
      <c r="A124" s="596"/>
      <c r="B124" s="599"/>
      <c r="C124" s="598" t="str">
        <f>LEFT($G$3,1) &amp; "S" &amp; D124</f>
        <v>MS_ExtraCurrSponsors</v>
      </c>
      <c r="D124" s="641" t="s">
        <v>553</v>
      </c>
      <c r="E124" s="598"/>
      <c r="F124" s="602">
        <f>IF(LEFT($F$3,1)="H",1,0)</f>
        <v>0</v>
      </c>
      <c r="G124" s="356"/>
      <c r="H124" s="396" t="s">
        <v>430</v>
      </c>
      <c r="I124" s="473">
        <f t="shared" ref="I124:O124" ca="1" si="86">IFERROR(INDEX(INDIRECT($Q$121 &amp; $Q$122), MATCH($C124, INDIRECT($Q$121 &amp; $Q$123),0), MATCH(I$4, INDIRECT($Q$121 &amp; $Q$124), 0)),0)</f>
        <v>0</v>
      </c>
      <c r="J124" s="473">
        <f t="shared" ca="1" si="86"/>
        <v>0</v>
      </c>
      <c r="K124" s="473">
        <f t="shared" ca="1" si="86"/>
        <v>0</v>
      </c>
      <c r="L124" s="473">
        <f t="shared" ca="1" si="86"/>
        <v>0</v>
      </c>
      <c r="M124" s="473">
        <f t="shared" ca="1" si="86"/>
        <v>0</v>
      </c>
      <c r="N124" s="473">
        <f t="shared" ca="1" si="86"/>
        <v>0</v>
      </c>
      <c r="O124" s="473">
        <f t="shared" ca="1" si="86"/>
        <v>0</v>
      </c>
      <c r="P124" s="474">
        <f ca="1">IFERROR(INDEX(INDIRECT($B$120 &amp; $B$121), MATCH($C124, INDIRECT($B$120 &amp; $B$122),0), MATCH(P$4, INDIRECT($B$120 &amp; $B$123), 0)),0)</f>
        <v>0</v>
      </c>
      <c r="Q124" s="235" t="s">
        <v>416</v>
      </c>
      <c r="R124" s="235"/>
      <c r="S124" s="448"/>
      <c r="T124" s="448"/>
      <c r="U124" s="448">
        <f ca="1">I124*$P124+25*1000*$F124</f>
        <v>0</v>
      </c>
      <c r="V124" s="448">
        <f t="shared" ref="V124:AA124" ca="1" si="87">(J124*$P124+25*1000)*(1+V119)*$F124</f>
        <v>0</v>
      </c>
      <c r="W124" s="448">
        <f t="shared" ca="1" si="87"/>
        <v>0</v>
      </c>
      <c r="X124" s="448">
        <f t="shared" ca="1" si="87"/>
        <v>0</v>
      </c>
      <c r="Y124" s="448">
        <f t="shared" ca="1" si="87"/>
        <v>0</v>
      </c>
      <c r="Z124" s="448">
        <f t="shared" ca="1" si="87"/>
        <v>0</v>
      </c>
      <c r="AA124" s="475">
        <f t="shared" ca="1" si="87"/>
        <v>0</v>
      </c>
      <c r="AB124" s="640"/>
      <c r="AC124" s="535">
        <v>1</v>
      </c>
    </row>
    <row r="125" spans="1:30" ht="15" hidden="1" customHeight="1" outlineLevel="1">
      <c r="A125" s="596"/>
      <c r="B125" s="599"/>
      <c r="C125" s="639"/>
      <c r="D125" s="598"/>
      <c r="E125" s="598"/>
      <c r="F125" s="598"/>
      <c r="G125" s="433"/>
      <c r="H125" s="389"/>
      <c r="I125" s="390"/>
      <c r="J125" s="390"/>
      <c r="K125" s="390"/>
      <c r="L125" s="390"/>
      <c r="M125" s="390"/>
      <c r="N125" s="390"/>
      <c r="O125" s="390"/>
      <c r="P125" s="440"/>
      <c r="Q125" s="441"/>
      <c r="R125" s="441"/>
      <c r="S125" s="441"/>
      <c r="T125" s="441"/>
      <c r="U125" s="427"/>
      <c r="V125" s="441"/>
      <c r="W125" s="441"/>
      <c r="X125" s="441"/>
      <c r="Y125" s="441"/>
      <c r="Z125" s="441"/>
      <c r="AA125" s="441"/>
      <c r="AB125" s="640"/>
      <c r="AC125" s="535">
        <v>0</v>
      </c>
    </row>
    <row r="126" spans="1:30" ht="15" hidden="1" customHeight="1" outlineLevel="1">
      <c r="A126" s="642"/>
      <c r="B126" s="643"/>
      <c r="C126" s="644"/>
      <c r="D126" s="645"/>
      <c r="E126" s="645"/>
      <c r="F126" s="645"/>
      <c r="G126" s="440"/>
      <c r="H126" s="440"/>
      <c r="I126" s="441"/>
      <c r="J126" s="441"/>
      <c r="K126" s="441"/>
      <c r="L126" s="441"/>
      <c r="M126" s="441"/>
      <c r="N126" s="441"/>
      <c r="O126" s="441"/>
      <c r="P126" s="440"/>
      <c r="Q126" s="441"/>
      <c r="R126" s="441"/>
      <c r="S126" s="441"/>
      <c r="T126" s="441" t="s">
        <v>419</v>
      </c>
      <c r="U126" s="347">
        <f t="shared" ref="U126:AA126" si="88">VLOOKUP($T126, $T$41:$AA$49, MATCH(U$4, $T$4:$AA$4,0),0)</f>
        <v>0</v>
      </c>
      <c r="V126" s="347">
        <f t="shared" ca="1" si="88"/>
        <v>2.8708133971291794E-2</v>
      </c>
      <c r="W126" s="347">
        <f t="shared" ca="1" si="88"/>
        <v>5.7416267942583588E-2</v>
      </c>
      <c r="X126" s="347">
        <f t="shared" ca="1" si="88"/>
        <v>8.373205741626788E-2</v>
      </c>
      <c r="Y126" s="347">
        <f t="shared" ca="1" si="88"/>
        <v>0.10925039872408293</v>
      </c>
      <c r="Z126" s="347">
        <f t="shared" ca="1" si="88"/>
        <v>0.13397129186602874</v>
      </c>
      <c r="AA126" s="347">
        <f t="shared" ca="1" si="88"/>
        <v>0.15948963317384379</v>
      </c>
      <c r="AB126" s="643"/>
      <c r="AC126" s="535">
        <v>0</v>
      </c>
    </row>
    <row r="127" spans="1:30" ht="15" hidden="1" customHeight="1" outlineLevel="1">
      <c r="A127" s="642"/>
      <c r="B127" s="643"/>
      <c r="C127" s="643" t="str">
        <f>LEFT($G$3,1) &amp; "S" &amp; D127</f>
        <v>MS_TeachProfDev</v>
      </c>
      <c r="D127" s="645" t="s">
        <v>561</v>
      </c>
      <c r="E127" s="645"/>
      <c r="F127" s="645"/>
      <c r="G127" s="440"/>
      <c r="H127" s="440"/>
      <c r="I127" s="441"/>
      <c r="J127" s="441"/>
      <c r="K127" s="441"/>
      <c r="L127" s="441"/>
      <c r="M127" s="441"/>
      <c r="N127" s="441"/>
      <c r="O127" s="441"/>
      <c r="P127" s="440"/>
      <c r="Q127" s="441"/>
      <c r="R127" s="441"/>
      <c r="S127" s="441"/>
      <c r="T127" s="441" t="str">
        <f>C127</f>
        <v>MS_TeachProfDev</v>
      </c>
      <c r="U127" s="476">
        <f t="shared" ref="U127:AA128" ca="1" si="89">INDEX(INDIRECT($B$129 &amp; $B$130), MATCH($C127, INDIRECT($B$129 &amp; $B$131),0), MATCH(U$4,INDIRECT($B$129 &amp; $B$132),0))</f>
        <v>5</v>
      </c>
      <c r="V127" s="476">
        <f t="shared" ca="1" si="89"/>
        <v>5</v>
      </c>
      <c r="W127" s="476">
        <f t="shared" ca="1" si="89"/>
        <v>5</v>
      </c>
      <c r="X127" s="476">
        <f t="shared" ca="1" si="89"/>
        <v>7</v>
      </c>
      <c r="Y127" s="476">
        <f t="shared" ca="1" si="89"/>
        <v>7</v>
      </c>
      <c r="Z127" s="476">
        <f t="shared" ca="1" si="89"/>
        <v>5</v>
      </c>
      <c r="AA127" s="476">
        <f t="shared" ca="1" si="89"/>
        <v>5</v>
      </c>
      <c r="AB127" s="643"/>
      <c r="AC127" s="535">
        <v>0</v>
      </c>
    </row>
    <row r="128" spans="1:30" ht="15.95" hidden="1" customHeight="1" outlineLevel="1" thickBot="1">
      <c r="A128" s="642"/>
      <c r="B128" s="643"/>
      <c r="C128" s="643" t="str">
        <f>LEFT($G$3,1) &amp; "S" &amp; D128</f>
        <v>MS_LeadershipDev</v>
      </c>
      <c r="D128" s="645" t="s">
        <v>559</v>
      </c>
      <c r="E128" s="645"/>
      <c r="F128" s="645"/>
      <c r="G128" s="440"/>
      <c r="H128" s="440"/>
      <c r="I128" s="441"/>
      <c r="J128" s="441"/>
      <c r="K128" s="441"/>
      <c r="L128" s="441"/>
      <c r="M128" s="441"/>
      <c r="N128" s="441"/>
      <c r="O128" s="441"/>
      <c r="P128" s="440"/>
      <c r="Q128" s="441"/>
      <c r="R128" s="441"/>
      <c r="S128" s="441"/>
      <c r="T128" s="441" t="str">
        <f>C128</f>
        <v>MS_LeadershipDev</v>
      </c>
      <c r="U128" s="476">
        <f t="shared" ca="1" si="89"/>
        <v>3</v>
      </c>
      <c r="V128" s="476">
        <f t="shared" ca="1" si="89"/>
        <v>3</v>
      </c>
      <c r="W128" s="476">
        <f t="shared" ca="1" si="89"/>
        <v>3</v>
      </c>
      <c r="X128" s="476">
        <f t="shared" ca="1" si="89"/>
        <v>4</v>
      </c>
      <c r="Y128" s="476">
        <f t="shared" ca="1" si="89"/>
        <v>4</v>
      </c>
      <c r="Z128" s="476">
        <f t="shared" ca="1" si="89"/>
        <v>3</v>
      </c>
      <c r="AA128" s="476">
        <f t="shared" ca="1" si="89"/>
        <v>3</v>
      </c>
      <c r="AB128" s="643"/>
      <c r="AC128" s="535">
        <v>0</v>
      </c>
    </row>
    <row r="129" spans="1:29" ht="31.5" collapsed="1">
      <c r="A129" s="642"/>
      <c r="B129" s="645" t="s">
        <v>385</v>
      </c>
      <c r="C129" s="863" t="s">
        <v>562</v>
      </c>
      <c r="D129" s="864"/>
      <c r="E129" s="864"/>
      <c r="F129" s="865"/>
      <c r="G129" s="336" t="s">
        <v>325</v>
      </c>
      <c r="H129" s="477" t="s">
        <v>407</v>
      </c>
      <c r="I129" s="478">
        <f ca="1">SUM(I23:I35)+I63</f>
        <v>32.5</v>
      </c>
      <c r="J129" s="478">
        <f t="shared" ref="J129:O129" ca="1" si="90">SUM(J23:J35)+J63</f>
        <v>32.5</v>
      </c>
      <c r="K129" s="478">
        <f t="shared" ca="1" si="90"/>
        <v>32.5</v>
      </c>
      <c r="L129" s="478">
        <f t="shared" ca="1" si="90"/>
        <v>36</v>
      </c>
      <c r="M129" s="478">
        <f t="shared" ca="1" si="90"/>
        <v>36</v>
      </c>
      <c r="N129" s="478">
        <f t="shared" ca="1" si="90"/>
        <v>32.5</v>
      </c>
      <c r="O129" s="478">
        <f t="shared" ca="1" si="90"/>
        <v>32.5</v>
      </c>
      <c r="P129" s="479">
        <f t="shared" ref="P129:P135" ca="1" si="91">IFERROR(INDEX(INDIRECT($B$120 &amp; $B$121), MATCH($Q129, INDIRECT($B$120 &amp; $B$122),0), MATCH(P$4, INDIRECT($B$120 &amp; $B$123), 0)),0)</f>
        <v>333</v>
      </c>
      <c r="Q129" s="470" t="str">
        <f>LEFT($G$3,1) &amp; "S_TchrProfDev"</f>
        <v>MS_TchrProfDev</v>
      </c>
      <c r="R129" s="470"/>
      <c r="S129" s="470"/>
      <c r="T129" s="369"/>
      <c r="U129" s="425">
        <f t="shared" ref="U129:AA129" ca="1" si="92">I129*$P129*U127*(1+U126)</f>
        <v>54112.5</v>
      </c>
      <c r="V129" s="425">
        <f t="shared" ca="1" si="92"/>
        <v>55665.968899521526</v>
      </c>
      <c r="W129" s="425">
        <f t="shared" ca="1" si="92"/>
        <v>57219.437799043051</v>
      </c>
      <c r="X129" s="425">
        <f t="shared" ca="1" si="92"/>
        <v>90942.459330143538</v>
      </c>
      <c r="Y129" s="425">
        <f t="shared" ca="1" si="92"/>
        <v>93083.856459330142</v>
      </c>
      <c r="Z129" s="425">
        <f t="shared" ca="1" si="92"/>
        <v>61362.021531100479</v>
      </c>
      <c r="AA129" s="426">
        <f t="shared" ca="1" si="92"/>
        <v>62742.882775119622</v>
      </c>
      <c r="AB129" s="646"/>
      <c r="AC129" s="535">
        <v>1</v>
      </c>
    </row>
    <row r="130" spans="1:29">
      <c r="A130" s="642"/>
      <c r="B130" s="645" t="s">
        <v>414</v>
      </c>
      <c r="C130" s="643" t="str">
        <f t="shared" ref="C130:C135" si="93">LEFT($G$3,1) &amp; "S" &amp; D130</f>
        <v>MS_TeacherCollab</v>
      </c>
      <c r="D130" s="645" t="s">
        <v>557</v>
      </c>
      <c r="E130" s="645"/>
      <c r="F130" s="647"/>
      <c r="G130" s="480"/>
      <c r="H130" s="481" t="s">
        <v>326</v>
      </c>
      <c r="I130" s="423">
        <f t="shared" ref="I130:O130" ca="1" si="94">INDEX(INDIRECT($B$129 &amp; $B$130), MATCH($C130, INDIRECT($B$129 &amp; $B$131),0), MATCH(I$4, INDIRECT($B$129 &amp; $B$132), 0))</f>
        <v>1</v>
      </c>
      <c r="J130" s="423">
        <f t="shared" ca="1" si="94"/>
        <v>1</v>
      </c>
      <c r="K130" s="423">
        <f t="shared" ca="1" si="94"/>
        <v>1</v>
      </c>
      <c r="L130" s="423">
        <f t="shared" ca="1" si="94"/>
        <v>2</v>
      </c>
      <c r="M130" s="423">
        <f t="shared" ca="1" si="94"/>
        <v>2</v>
      </c>
      <c r="N130" s="423">
        <f t="shared" ca="1" si="94"/>
        <v>1</v>
      </c>
      <c r="O130" s="423">
        <f t="shared" ca="1" si="94"/>
        <v>1</v>
      </c>
      <c r="P130" s="435">
        <f t="shared" ca="1" si="91"/>
        <v>0</v>
      </c>
      <c r="Q130" s="11" t="str">
        <f>LEFT($G$3,1) &amp; "S_TeacherCollab"</f>
        <v>MS_TeacherCollab</v>
      </c>
      <c r="S130" s="177">
        <v>1800</v>
      </c>
      <c r="T130" s="427"/>
      <c r="U130" s="441">
        <f t="shared" ref="U130:AA130" ca="1" si="95">U7*(1+U18)/$S130*I129*I130*36</f>
        <v>71732.459752138704</v>
      </c>
      <c r="V130" s="441">
        <f t="shared" ca="1" si="95"/>
        <v>76594.870320057016</v>
      </c>
      <c r="W130" s="441">
        <f t="shared" ca="1" si="95"/>
        <v>81990.80742665354</v>
      </c>
      <c r="X130" s="441">
        <f t="shared" ca="1" si="95"/>
        <v>186296.67280106928</v>
      </c>
      <c r="Y130" s="441">
        <f t="shared" ca="1" si="95"/>
        <v>194669.91104165252</v>
      </c>
      <c r="Z130" s="441">
        <f t="shared" ca="1" si="95"/>
        <v>90040.446522107319</v>
      </c>
      <c r="AA130" s="445">
        <f t="shared" ca="1" si="95"/>
        <v>94757.962880714374</v>
      </c>
      <c r="AB130" s="646"/>
      <c r="AC130" s="535">
        <v>1</v>
      </c>
    </row>
    <row r="131" spans="1:29" ht="31.5">
      <c r="A131" s="642"/>
      <c r="B131" s="645" t="s">
        <v>415</v>
      </c>
      <c r="C131" s="643" t="str">
        <f t="shared" si="93"/>
        <v>MS_STEM_Stipend</v>
      </c>
      <c r="D131" s="645" t="s">
        <v>893</v>
      </c>
      <c r="E131" s="645"/>
      <c r="F131" s="647"/>
      <c r="G131" s="480"/>
      <c r="H131" s="481" t="s">
        <v>556</v>
      </c>
      <c r="I131" s="423">
        <f ca="1">IF(LEFT($F$3,1)="E",0,I129*INDEX(INDIRECT($B$129 &amp; $B$130), MATCH($C131, INDIRECT($B$129 &amp; $B$131),0), MATCH(I$4, INDIRECT($B$129 &amp; $B$132), 0)))</f>
        <v>0</v>
      </c>
      <c r="J131" s="423">
        <f t="shared" ref="J131:O131" ca="1" si="96">IF(LEFT($F$3,1)="E",0,J129*INDEX(INDIRECT($B$129 &amp; $B$130), MATCH($C131, INDIRECT($B$129 &amp; $B$131),0), MATCH(J$4, INDIRECT($B$129 &amp; $B$132), 0)))</f>
        <v>0</v>
      </c>
      <c r="K131" s="423">
        <f t="shared" ca="1" si="96"/>
        <v>0</v>
      </c>
      <c r="L131" s="423">
        <f t="shared" ca="1" si="96"/>
        <v>1.8</v>
      </c>
      <c r="M131" s="423">
        <f t="shared" ca="1" si="96"/>
        <v>1.8</v>
      </c>
      <c r="N131" s="423">
        <f t="shared" ca="1" si="96"/>
        <v>0</v>
      </c>
      <c r="O131" s="423">
        <f t="shared" ca="1" si="96"/>
        <v>0</v>
      </c>
      <c r="P131" s="435">
        <f t="shared" ca="1" si="91"/>
        <v>5250</v>
      </c>
      <c r="Q131" s="11" t="str">
        <f>LEFT($G$3,1) &amp; "S_STEM_Stipend"</f>
        <v>MS_STEM_Stipend</v>
      </c>
      <c r="S131" s="177"/>
      <c r="T131" s="390"/>
      <c r="U131" s="441">
        <f ca="1">I131*$P131*(1+U126)</f>
        <v>0</v>
      </c>
      <c r="V131" s="441">
        <f t="shared" ref="V131:AA131" ca="1" si="97">J131*$P131*(1+V126)</f>
        <v>0</v>
      </c>
      <c r="W131" s="441">
        <f t="shared" ca="1" si="97"/>
        <v>0</v>
      </c>
      <c r="X131" s="441">
        <f t="shared" ca="1" si="97"/>
        <v>10241.267942583732</v>
      </c>
      <c r="Y131" s="441">
        <f t="shared" ca="1" si="97"/>
        <v>10482.416267942584</v>
      </c>
      <c r="Z131" s="441">
        <f t="shared" ca="1" si="97"/>
        <v>0</v>
      </c>
      <c r="AA131" s="445">
        <f t="shared" ca="1" si="97"/>
        <v>0</v>
      </c>
      <c r="AB131" s="646"/>
      <c r="AC131" s="535">
        <v>1</v>
      </c>
    </row>
    <row r="132" spans="1:29">
      <c r="A132" s="642"/>
      <c r="B132" s="645" t="s">
        <v>416</v>
      </c>
      <c r="C132" s="643" t="str">
        <f t="shared" si="93"/>
        <v>MS_ConsStaffDev</v>
      </c>
      <c r="D132" s="645" t="s">
        <v>560</v>
      </c>
      <c r="E132" s="645"/>
      <c r="F132" s="647"/>
      <c r="G132" s="480"/>
      <c r="H132" s="389" t="s">
        <v>328</v>
      </c>
      <c r="I132" s="351">
        <f t="shared" ref="I132:O132" ca="1" si="98">INDEX(INDIRECT($B$129 &amp; $B$130), MATCH($C132, INDIRECT($B$129 &amp; $B$131),0), MATCH(I$4, INDIRECT($B$129 &amp; $B$132), 0))</f>
        <v>3250</v>
      </c>
      <c r="J132" s="351">
        <f t="shared" ca="1" si="98"/>
        <v>3250</v>
      </c>
      <c r="K132" s="351">
        <f t="shared" ca="1" si="98"/>
        <v>3250</v>
      </c>
      <c r="L132" s="351">
        <f t="shared" ca="1" si="98"/>
        <v>10000</v>
      </c>
      <c r="M132" s="351">
        <f t="shared" ca="1" si="98"/>
        <v>10000</v>
      </c>
      <c r="N132" s="351">
        <f t="shared" ca="1" si="98"/>
        <v>3250</v>
      </c>
      <c r="O132" s="351">
        <f t="shared" ca="1" si="98"/>
        <v>3250</v>
      </c>
      <c r="P132" s="435">
        <f t="shared" ca="1" si="91"/>
        <v>0</v>
      </c>
      <c r="Q132" s="11" t="str">
        <f>LEFT($G$3,1) &amp; "S_ConsStaffDev"</f>
        <v>MS_ConsStaffDev</v>
      </c>
      <c r="S132" s="177"/>
      <c r="T132" s="390"/>
      <c r="U132" s="441">
        <f t="shared" ref="U132:Z132" ca="1" si="99">I132*(1+U126)</f>
        <v>3250</v>
      </c>
      <c r="V132" s="441">
        <f t="shared" ca="1" si="99"/>
        <v>3343.3014354066981</v>
      </c>
      <c r="W132" s="441">
        <f t="shared" ca="1" si="99"/>
        <v>3436.6028708133967</v>
      </c>
      <c r="X132" s="441">
        <f t="shared" ca="1" si="99"/>
        <v>10837.320574162679</v>
      </c>
      <c r="Y132" s="441">
        <f t="shared" ca="1" si="99"/>
        <v>11092.503987240829</v>
      </c>
      <c r="Z132" s="441">
        <f t="shared" ca="1" si="99"/>
        <v>3685.4066985645936</v>
      </c>
      <c r="AA132" s="445">
        <f ca="1">O132*(1+AA126)</f>
        <v>3768.3413078149924</v>
      </c>
      <c r="AB132" s="646"/>
      <c r="AC132" s="535">
        <v>1</v>
      </c>
    </row>
    <row r="133" spans="1:29">
      <c r="A133" s="642"/>
      <c r="B133" s="645"/>
      <c r="C133" s="643" t="str">
        <f t="shared" si="93"/>
        <v>MS_TeachProfDev</v>
      </c>
      <c r="D133" s="645" t="s">
        <v>561</v>
      </c>
      <c r="E133" s="645"/>
      <c r="F133" s="647"/>
      <c r="G133" s="480"/>
      <c r="H133" s="389" t="s">
        <v>329</v>
      </c>
      <c r="I133" s="423">
        <f ca="1">I69+I71</f>
        <v>5</v>
      </c>
      <c r="J133" s="423">
        <f t="shared" ref="J133:O133" ca="1" si="100">J69+J71</f>
        <v>5</v>
      </c>
      <c r="K133" s="423">
        <f t="shared" ca="1" si="100"/>
        <v>5</v>
      </c>
      <c r="L133" s="423">
        <f t="shared" ca="1" si="100"/>
        <v>5</v>
      </c>
      <c r="M133" s="423">
        <f t="shared" ca="1" si="100"/>
        <v>5</v>
      </c>
      <c r="N133" s="423">
        <f t="shared" ca="1" si="100"/>
        <v>5</v>
      </c>
      <c r="O133" s="423">
        <f t="shared" ca="1" si="100"/>
        <v>5</v>
      </c>
      <c r="P133" s="435">
        <f t="shared" ca="1" si="91"/>
        <v>117</v>
      </c>
      <c r="Q133" s="11" t="str">
        <f>LEFT($G$3,1) &amp; "S_SpEdSupport"</f>
        <v>MS_SpEdSupport</v>
      </c>
      <c r="S133" s="177"/>
      <c r="T133" s="482"/>
      <c r="U133" s="441">
        <f t="shared" ref="U133:AA133" ca="1" si="101">I133*$P133*U127*(1+U126)</f>
        <v>2925</v>
      </c>
      <c r="V133" s="441">
        <f t="shared" ca="1" si="101"/>
        <v>3008.9712918660284</v>
      </c>
      <c r="W133" s="441">
        <f t="shared" ca="1" si="101"/>
        <v>3092.9425837320568</v>
      </c>
      <c r="X133" s="441">
        <f t="shared" ca="1" si="101"/>
        <v>4437.8827751196168</v>
      </c>
      <c r="Y133" s="441">
        <f t="shared" ca="1" si="101"/>
        <v>4542.3803827751199</v>
      </c>
      <c r="Z133" s="441">
        <f t="shared" ca="1" si="101"/>
        <v>3316.8660287081339</v>
      </c>
      <c r="AA133" s="445">
        <f t="shared" ca="1" si="101"/>
        <v>3391.507177033493</v>
      </c>
      <c r="AB133" s="646"/>
      <c r="AC133" s="535">
        <v>1</v>
      </c>
    </row>
    <row r="134" spans="1:29">
      <c r="A134" s="642"/>
      <c r="B134" s="645"/>
      <c r="C134" s="643" t="str">
        <f t="shared" si="93"/>
        <v>MS_LeadershipDev</v>
      </c>
      <c r="D134" s="645" t="s">
        <v>559</v>
      </c>
      <c r="E134" s="645"/>
      <c r="F134" s="647"/>
      <c r="G134" s="480"/>
      <c r="H134" s="389" t="s">
        <v>330</v>
      </c>
      <c r="I134" s="423">
        <f ca="1">SUM(I90:I91)</f>
        <v>2</v>
      </c>
      <c r="J134" s="423">
        <f t="shared" ref="J134:O134" ca="1" si="102">SUM(J90:J91)</f>
        <v>2</v>
      </c>
      <c r="K134" s="423">
        <f t="shared" ca="1" si="102"/>
        <v>2</v>
      </c>
      <c r="L134" s="423">
        <f t="shared" ca="1" si="102"/>
        <v>2</v>
      </c>
      <c r="M134" s="423">
        <f t="shared" ca="1" si="102"/>
        <v>2</v>
      </c>
      <c r="N134" s="423">
        <f t="shared" ca="1" si="102"/>
        <v>2</v>
      </c>
      <c r="O134" s="423">
        <f t="shared" ca="1" si="102"/>
        <v>2</v>
      </c>
      <c r="P134" s="435">
        <f t="shared" ca="1" si="91"/>
        <v>350</v>
      </c>
      <c r="Q134" s="11" t="str">
        <f>LEFT($G$3,1) &amp; "S_PrinLeadership"</f>
        <v>MS_PrinLeadership</v>
      </c>
      <c r="S134" s="177"/>
      <c r="T134" s="390"/>
      <c r="U134" s="441">
        <f t="shared" ref="U134:AA134" ca="1" si="103">I134*$P134*U128*(1+U126)</f>
        <v>2100</v>
      </c>
      <c r="V134" s="441">
        <f t="shared" ca="1" si="103"/>
        <v>2160.2870813397126</v>
      </c>
      <c r="W134" s="441">
        <f t="shared" ca="1" si="103"/>
        <v>2220.5741626794256</v>
      </c>
      <c r="X134" s="441">
        <f t="shared" ca="1" si="103"/>
        <v>3034.4497607655499</v>
      </c>
      <c r="Y134" s="441">
        <f t="shared" ca="1" si="103"/>
        <v>3105.901116427432</v>
      </c>
      <c r="Z134" s="441">
        <f t="shared" ca="1" si="103"/>
        <v>2381.3397129186606</v>
      </c>
      <c r="AA134" s="445">
        <f t="shared" ca="1" si="103"/>
        <v>2434.9282296650717</v>
      </c>
      <c r="AB134" s="646"/>
      <c r="AC134" s="535">
        <v>1</v>
      </c>
    </row>
    <row r="135" spans="1:29">
      <c r="A135" s="642"/>
      <c r="B135" s="645"/>
      <c r="C135" s="643" t="str">
        <f t="shared" si="93"/>
        <v>MS_MaterTrav</v>
      </c>
      <c r="D135" s="645" t="s">
        <v>563</v>
      </c>
      <c r="E135" s="645"/>
      <c r="F135" s="647"/>
      <c r="G135" s="483"/>
      <c r="H135" s="396" t="s">
        <v>327</v>
      </c>
      <c r="I135" s="484"/>
      <c r="J135" s="484"/>
      <c r="K135" s="484"/>
      <c r="L135" s="484"/>
      <c r="M135" s="484"/>
      <c r="N135" s="484"/>
      <c r="O135" s="484"/>
      <c r="P135" s="474">
        <f t="shared" ca="1" si="91"/>
        <v>288</v>
      </c>
      <c r="Q135" s="235" t="str">
        <f>LEFT($G$3,1) &amp; "S_MaterTrav"</f>
        <v>MS_MaterTrav</v>
      </c>
      <c r="R135" s="235"/>
      <c r="S135" s="485"/>
      <c r="T135" s="397"/>
      <c r="U135" s="448">
        <f t="shared" ref="U135:AA135" ca="1" si="104">I129*$P135*(1+U126)</f>
        <v>9360</v>
      </c>
      <c r="V135" s="448">
        <f t="shared" ca="1" si="104"/>
        <v>9628.7081339712913</v>
      </c>
      <c r="W135" s="448">
        <f t="shared" ca="1" si="104"/>
        <v>9897.4162679425826</v>
      </c>
      <c r="X135" s="448">
        <f t="shared" ca="1" si="104"/>
        <v>11236.133971291865</v>
      </c>
      <c r="Y135" s="448">
        <f t="shared" ca="1" si="104"/>
        <v>11500.708133971291</v>
      </c>
      <c r="Z135" s="448">
        <f t="shared" ca="1" si="104"/>
        <v>10613.97129186603</v>
      </c>
      <c r="AA135" s="475">
        <f t="shared" ca="1" si="104"/>
        <v>10852.822966507178</v>
      </c>
      <c r="AB135" s="646"/>
      <c r="AC135" s="535">
        <v>1</v>
      </c>
    </row>
    <row r="136" spans="1:29" ht="15" hidden="1" customHeight="1" outlineLevel="1">
      <c r="A136" s="642"/>
      <c r="B136" s="645"/>
      <c r="C136" s="643"/>
      <c r="D136" s="645"/>
      <c r="E136" s="645"/>
      <c r="F136" s="645"/>
      <c r="G136" s="480"/>
      <c r="H136" s="389"/>
      <c r="I136" s="423"/>
      <c r="J136" s="423"/>
      <c r="K136" s="423"/>
      <c r="L136" s="423"/>
      <c r="M136" s="423"/>
      <c r="N136" s="423"/>
      <c r="O136" s="423"/>
      <c r="P136" s="435"/>
      <c r="S136" s="177"/>
      <c r="T136" s="390"/>
      <c r="U136" s="441"/>
      <c r="V136" s="427"/>
      <c r="W136" s="427"/>
      <c r="X136" s="427"/>
      <c r="Y136" s="427"/>
      <c r="Z136" s="427"/>
      <c r="AA136" s="427"/>
      <c r="AB136" s="643"/>
      <c r="AC136" s="535">
        <v>0</v>
      </c>
    </row>
    <row r="137" spans="1:29" ht="15" hidden="1" customHeight="1" outlineLevel="1">
      <c r="A137" s="648"/>
      <c r="B137" s="607"/>
      <c r="C137" s="606"/>
      <c r="D137" s="607"/>
      <c r="E137" s="607"/>
      <c r="F137" s="607"/>
      <c r="G137" s="480"/>
      <c r="H137" s="389"/>
      <c r="I137" s="423"/>
      <c r="J137" s="423"/>
      <c r="K137" s="423"/>
      <c r="L137" s="423"/>
      <c r="M137" s="423"/>
      <c r="N137" s="423"/>
      <c r="O137" s="423"/>
      <c r="P137" s="435"/>
      <c r="Q137" s="98" t="s">
        <v>1063</v>
      </c>
      <c r="S137" s="177"/>
      <c r="T137" s="212" t="s">
        <v>567</v>
      </c>
      <c r="U137" s="347">
        <f t="shared" ref="U137:AA137" ca="1" si="105">INDEX(INDIRECT($S$138 &amp; $S$139), MATCH($T$137, INDIRECT($S$138 &amp; $S$140), 0), MATCH(U$4,INDIRECT($S$138 &amp; $S$141),0))</f>
        <v>4.2666176287422079E-2</v>
      </c>
      <c r="V137" s="347">
        <f t="shared" ca="1" si="105"/>
        <v>8.7152755173833585E-2</v>
      </c>
      <c r="W137" s="347">
        <f t="shared" ca="1" si="105"/>
        <v>0.13353740627743704</v>
      </c>
      <c r="X137" s="347">
        <f t="shared" ca="1" si="105"/>
        <v>0.18190111308205736</v>
      </c>
      <c r="Y137" s="347">
        <f t="shared" ca="1" si="105"/>
        <v>0.23232831432711687</v>
      </c>
      <c r="Z137" s="347">
        <f t="shared" ca="1" si="105"/>
        <v>0.28490705143017925</v>
      </c>
      <c r="AA137" s="347">
        <f t="shared" ca="1" si="105"/>
        <v>0.33972912219945095</v>
      </c>
      <c r="AB137" s="606"/>
      <c r="AC137" s="535">
        <v>0</v>
      </c>
    </row>
    <row r="138" spans="1:29" ht="15" hidden="1" customHeight="1" outlineLevel="1">
      <c r="A138" s="648"/>
      <c r="B138" s="607"/>
      <c r="C138" s="606"/>
      <c r="D138" s="607"/>
      <c r="E138" s="607"/>
      <c r="F138" s="607"/>
      <c r="G138" s="480"/>
      <c r="H138" s="389"/>
      <c r="I138" s="423"/>
      <c r="J138" s="423"/>
      <c r="K138" s="423"/>
      <c r="L138" s="423"/>
      <c r="M138" s="423"/>
      <c r="N138" s="423"/>
      <c r="O138" s="423"/>
      <c r="P138" s="435"/>
      <c r="Q138" s="11" t="s">
        <v>596</v>
      </c>
      <c r="S138" s="385" t="s">
        <v>951</v>
      </c>
      <c r="T138" s="441" t="s">
        <v>568</v>
      </c>
      <c r="U138" s="347">
        <f t="shared" ref="U138:AA138" ca="1" si="106">INDEX(INDIRECT($S$138 &amp; $S$139), MATCH($T$138, INDIRECT($S$138 &amp; $S$140), 0), MATCH(U$4,INDIRECT($S$138 &amp; $S$141),0))</f>
        <v>5.4022496880633902E-2</v>
      </c>
      <c r="V138" s="347">
        <f t="shared" ca="1" si="106"/>
        <v>0.11096342393048597</v>
      </c>
      <c r="W138" s="347">
        <f t="shared" ca="1" si="106"/>
        <v>0.1709804420342691</v>
      </c>
      <c r="X138" s="347">
        <f t="shared" ca="1" si="106"/>
        <v>0.23423972931134873</v>
      </c>
      <c r="Y138" s="347">
        <f t="shared" ca="1" si="106"/>
        <v>0.30091644123802563</v>
      </c>
      <c r="Z138" s="347">
        <f t="shared" ca="1" si="106"/>
        <v>0.37119519562677228</v>
      </c>
      <c r="AA138" s="347">
        <f t="shared" ca="1" si="106"/>
        <v>0.44527058380525997</v>
      </c>
      <c r="AB138" s="606"/>
      <c r="AC138" s="535">
        <v>0</v>
      </c>
    </row>
    <row r="139" spans="1:29" ht="15.95" hidden="1" customHeight="1" outlineLevel="1" thickBot="1">
      <c r="A139" s="648"/>
      <c r="B139" s="649" t="s">
        <v>944</v>
      </c>
      <c r="C139" s="606"/>
      <c r="D139" s="607"/>
      <c r="E139" s="607"/>
      <c r="F139" s="607"/>
      <c r="G139" s="345"/>
      <c r="H139" s="389"/>
      <c r="I139" s="487"/>
      <c r="J139" s="487"/>
      <c r="K139" s="487"/>
      <c r="L139" s="487"/>
      <c r="M139" s="487"/>
      <c r="N139" s="487"/>
      <c r="O139" s="487"/>
      <c r="P139" s="391"/>
      <c r="Q139" s="11" t="s">
        <v>613</v>
      </c>
      <c r="R139" s="11" t="s">
        <v>531</v>
      </c>
      <c r="S139" s="65" t="s">
        <v>827</v>
      </c>
      <c r="T139" s="441" t="s">
        <v>419</v>
      </c>
      <c r="U139" s="347">
        <f t="shared" ref="U139:AA139" si="107">VLOOKUP($T139, $T$41:$AA$49, MATCH(U$4, $T$4:$AA$4,0),0)</f>
        <v>0</v>
      </c>
      <c r="V139" s="347">
        <f t="shared" ca="1" si="107"/>
        <v>2.8708133971291794E-2</v>
      </c>
      <c r="W139" s="347">
        <f t="shared" ca="1" si="107"/>
        <v>5.7416267942583588E-2</v>
      </c>
      <c r="X139" s="347">
        <f t="shared" ca="1" si="107"/>
        <v>8.373205741626788E-2</v>
      </c>
      <c r="Y139" s="347">
        <f t="shared" ca="1" si="107"/>
        <v>0.10925039872408293</v>
      </c>
      <c r="Z139" s="347">
        <f t="shared" ca="1" si="107"/>
        <v>0.13397129186602874</v>
      </c>
      <c r="AA139" s="347">
        <f t="shared" ca="1" si="107"/>
        <v>0.15948963317384379</v>
      </c>
      <c r="AB139" s="606"/>
      <c r="AC139" s="535">
        <v>0</v>
      </c>
    </row>
    <row r="140" spans="1:29" ht="31.5" collapsed="1">
      <c r="A140" s="648"/>
      <c r="B140" s="607" t="s">
        <v>390</v>
      </c>
      <c r="C140" s="650" t="s">
        <v>192</v>
      </c>
      <c r="D140" s="620"/>
      <c r="E140" s="620"/>
      <c r="F140" s="621"/>
      <c r="G140" s="336" t="s">
        <v>331</v>
      </c>
      <c r="H140" s="488" t="s">
        <v>332</v>
      </c>
      <c r="I140" s="343">
        <f t="shared" ref="I140:O140" ca="1" si="108">IFERROR(INDEX(INDIRECT($B$139 &amp; $B$140), MATCH($C140, INDIRECT($B$139 &amp; $B$142),0), MATCH($G$3, INDIRECT($B$139 &amp; $B$143), 0)),0)</f>
        <v>676.19460304600443</v>
      </c>
      <c r="J140" s="343">
        <f t="shared" ca="1" si="108"/>
        <v>676.19460304600443</v>
      </c>
      <c r="K140" s="343">
        <f t="shared" ca="1" si="108"/>
        <v>676.19460304600443</v>
      </c>
      <c r="L140" s="343">
        <f t="shared" ca="1" si="108"/>
        <v>676.19460304600443</v>
      </c>
      <c r="M140" s="343">
        <f t="shared" ca="1" si="108"/>
        <v>676.19460304600443</v>
      </c>
      <c r="N140" s="343">
        <f t="shared" ca="1" si="108"/>
        <v>676.19460304600443</v>
      </c>
      <c r="O140" s="343">
        <f t="shared" ca="1" si="108"/>
        <v>676.19460304600443</v>
      </c>
      <c r="P140" s="489"/>
      <c r="Q140" s="470" t="s">
        <v>597</v>
      </c>
      <c r="R140" s="490">
        <v>1</v>
      </c>
      <c r="S140" s="491" t="s">
        <v>828</v>
      </c>
      <c r="T140" s="492" t="s">
        <v>567</v>
      </c>
      <c r="U140" s="456">
        <f t="shared" ref="U140:AA140" ca="1" si="109">I140*$H$2*(1+VLOOKUP($T140, $T$137:$AA$139, MATCH(U$4, $T$4:$AA$4,0),0)*$R140)</f>
        <v>352522.62059208431</v>
      </c>
      <c r="V140" s="456">
        <f t="shared" ca="1" si="109"/>
        <v>367563.41286757024</v>
      </c>
      <c r="W140" s="456">
        <f t="shared" ca="1" si="109"/>
        <v>383245.93823778449</v>
      </c>
      <c r="X140" s="456">
        <f t="shared" ca="1" si="109"/>
        <v>399597.5770000763</v>
      </c>
      <c r="Y140" s="456">
        <f t="shared" ca="1" si="109"/>
        <v>416646.87766438827</v>
      </c>
      <c r="Z140" s="456">
        <f t="shared" ca="1" si="109"/>
        <v>434423.60679642105</v>
      </c>
      <c r="AA140" s="471">
        <f t="shared" ca="1" si="109"/>
        <v>452958.80098741484</v>
      </c>
      <c r="AB140" s="619"/>
      <c r="AC140" s="535">
        <v>1</v>
      </c>
    </row>
    <row r="141" spans="1:29" ht="15" hidden="1" customHeight="1" outlineLevel="1">
      <c r="A141" s="648"/>
      <c r="B141" s="607"/>
      <c r="C141" s="650"/>
      <c r="D141" s="620"/>
      <c r="E141" s="620"/>
      <c r="F141" s="621"/>
      <c r="G141" s="480"/>
      <c r="H141" s="372"/>
      <c r="I141" s="351"/>
      <c r="J141" s="351"/>
      <c r="K141" s="351"/>
      <c r="L141" s="351"/>
      <c r="M141" s="351"/>
      <c r="N141" s="351"/>
      <c r="O141" s="351"/>
      <c r="P141" s="493"/>
      <c r="R141" s="494"/>
      <c r="S141" s="495" t="s">
        <v>826</v>
      </c>
      <c r="T141" s="212" t="s">
        <v>598</v>
      </c>
      <c r="U141" s="347">
        <f ca="1">INDEX(INDIRECT($S$146 &amp; $S$147), MATCH($T141, INDIRECT($S$146 &amp; $S$148),0), MATCH(U$4, INDIRECT($S$146 &amp; $S$149),0))</f>
        <v>0</v>
      </c>
      <c r="V141" s="347">
        <f t="shared" ref="V141:AA141" ca="1" si="110">INDEX(INDIRECT($S$146 &amp; $S$147), MATCH($T141, INDIRECT($S$146 &amp; $S$148),0), MATCH(V$4, INDIRECT($S$146 &amp; $S$149),0))</f>
        <v>4.7724750277469585E-2</v>
      </c>
      <c r="W141" s="347">
        <f t="shared" ca="1" si="110"/>
        <v>0</v>
      </c>
      <c r="X141" s="347">
        <f t="shared" ca="1" si="110"/>
        <v>-7.3799435028248705E-2</v>
      </c>
      <c r="Y141" s="347">
        <f t="shared" ca="1" si="110"/>
        <v>0</v>
      </c>
      <c r="Z141" s="347">
        <f t="shared" ca="1" si="110"/>
        <v>0</v>
      </c>
      <c r="AA141" s="375">
        <f t="shared" ca="1" si="110"/>
        <v>0</v>
      </c>
      <c r="AB141" s="619"/>
      <c r="AC141" s="535">
        <v>0</v>
      </c>
    </row>
    <row r="142" spans="1:29" collapsed="1">
      <c r="A142" s="648"/>
      <c r="B142" s="607" t="s">
        <v>391</v>
      </c>
      <c r="C142" s="650" t="s">
        <v>206</v>
      </c>
      <c r="D142" s="620"/>
      <c r="E142" s="620"/>
      <c r="F142" s="621"/>
      <c r="G142" s="480"/>
      <c r="H142" s="372" t="s">
        <v>333</v>
      </c>
      <c r="I142" s="351">
        <f t="shared" ref="I142:O142" ca="1" si="111">IFERROR(INDEX(INDIRECT($B$139 &amp; $B$140), MATCH($C142, INDIRECT($B$139 &amp; $B$142),0), MATCH($G$3, INDIRECT($B$139 &amp; $B$143), 0)),0)</f>
        <v>975.56275942332059</v>
      </c>
      <c r="J142" s="351">
        <f t="shared" ca="1" si="111"/>
        <v>975.56275942332059</v>
      </c>
      <c r="K142" s="351">
        <f t="shared" ca="1" si="111"/>
        <v>975.56275942332059</v>
      </c>
      <c r="L142" s="351">
        <f t="shared" ca="1" si="111"/>
        <v>975.56275942332059</v>
      </c>
      <c r="M142" s="351">
        <f t="shared" ca="1" si="111"/>
        <v>975.56275942332059</v>
      </c>
      <c r="N142" s="351">
        <f t="shared" ca="1" si="111"/>
        <v>975.56275942332059</v>
      </c>
      <c r="O142" s="351">
        <f t="shared" ca="1" si="111"/>
        <v>975.56275942332059</v>
      </c>
      <c r="P142" s="493"/>
      <c r="Q142" s="140" t="s">
        <v>576</v>
      </c>
      <c r="R142" s="494">
        <f ca="1">INDEX(INDIRECT($Q$137 &amp; $Q$138), MATCH($Q142, INDIRECT($Q$137 &amp; $Q$139),0), MATCH($R$139, INDIRECT($Q$137 &amp; $Q$140),0))</f>
        <v>0.2597430016272822</v>
      </c>
      <c r="T142" s="441" t="s">
        <v>419</v>
      </c>
      <c r="U142" s="441">
        <f t="shared" ref="U142:AA146" ca="1" si="112">I142*$H$2*(1+VLOOKUP($T142,$T$137:$AA$139,MATCH(U$4,$T$4:$AA$4,0),0))*(1+U$141*$R142)</f>
        <v>487781.37971166027</v>
      </c>
      <c r="V142" s="441">
        <f t="shared" ca="1" si="112"/>
        <v>508004.88096219319</v>
      </c>
      <c r="W142" s="441">
        <f t="shared" ca="1" si="112"/>
        <v>515787.96610658808</v>
      </c>
      <c r="X142" s="441">
        <f t="shared" ca="1" si="112"/>
        <v>518491.17850334448</v>
      </c>
      <c r="Y142" s="441">
        <f t="shared" ca="1" si="112"/>
        <v>541071.68993534241</v>
      </c>
      <c r="Z142" s="441">
        <f t="shared" ca="1" si="112"/>
        <v>553130.08129982534</v>
      </c>
      <c r="AA142" s="445">
        <f t="shared" ca="1" si="112"/>
        <v>565577.45303090441</v>
      </c>
      <c r="AB142" s="619"/>
      <c r="AC142" s="535">
        <v>1</v>
      </c>
    </row>
    <row r="143" spans="1:29">
      <c r="A143" s="648"/>
      <c r="B143" s="607" t="s">
        <v>392</v>
      </c>
      <c r="C143" s="606" t="str">
        <f t="shared" ref="C143:C148" si="113">LEFT($G$3,1) &amp; "S" &amp; D143</f>
        <v>MS_TechServices</v>
      </c>
      <c r="D143" s="650" t="s">
        <v>602</v>
      </c>
      <c r="E143" s="607"/>
      <c r="F143" s="610"/>
      <c r="G143" s="480"/>
      <c r="H143" s="389" t="s">
        <v>334</v>
      </c>
      <c r="I143" s="351">
        <f ca="1">IFERROR(INDEX(INDIRECT($B$144 &amp; $B$145), MATCH($C143, INDIRECT($B$144 &amp; $B$146),0), MATCH(I$4, INDIRECT($B$144 &amp; $B$147), 0)),0)</f>
        <v>382.48</v>
      </c>
      <c r="J143" s="351">
        <f t="shared" ref="J143:O144" ca="1" si="114">IFERROR(INDEX(INDIRECT($B$144 &amp; $B$145), MATCH($C143, INDIRECT($B$144 &amp; $B$146),0), MATCH(J$4, INDIRECT($B$144 &amp; $B$147), 0)),0)</f>
        <v>393.46028708133969</v>
      </c>
      <c r="K143" s="351">
        <f t="shared" ca="1" si="114"/>
        <v>393.46028708133969</v>
      </c>
      <c r="L143" s="351">
        <f t="shared" ca="1" si="114"/>
        <v>393.46028708133969</v>
      </c>
      <c r="M143" s="351">
        <f t="shared" ca="1" si="114"/>
        <v>393.46028708133969</v>
      </c>
      <c r="N143" s="351">
        <f t="shared" ca="1" si="114"/>
        <v>393.46028708133969</v>
      </c>
      <c r="O143" s="351">
        <f t="shared" ca="1" si="114"/>
        <v>393.46028708133969</v>
      </c>
      <c r="P143" s="493"/>
      <c r="Q143" s="140" t="s">
        <v>578</v>
      </c>
      <c r="R143" s="494">
        <f ca="1">INDEX(INDIRECT($Q$137 &amp; $Q$138), MATCH($Q143, INDIRECT($Q$137 &amp; $Q$139),0), MATCH($R$139, INDIRECT($Q$137 &amp; $Q$140),0))</f>
        <v>0.34826962206502049</v>
      </c>
      <c r="S143" s="482"/>
      <c r="T143" s="441" t="s">
        <v>419</v>
      </c>
      <c r="U143" s="441">
        <f t="shared" ca="1" si="112"/>
        <v>191240</v>
      </c>
      <c r="V143" s="441">
        <f t="shared" ca="1" si="112"/>
        <v>205741.63825499281</v>
      </c>
      <c r="W143" s="441">
        <f t="shared" ca="1" si="112"/>
        <v>208025.65417458388</v>
      </c>
      <c r="X143" s="441">
        <f t="shared" ca="1" si="112"/>
        <v>207723.00418774664</v>
      </c>
      <c r="Y143" s="441">
        <f t="shared" ca="1" si="112"/>
        <v>218222.99016353409</v>
      </c>
      <c r="Z143" s="441">
        <f t="shared" ca="1" si="112"/>
        <v>223086.33501980265</v>
      </c>
      <c r="AA143" s="445">
        <f t="shared" ca="1" si="112"/>
        <v>228106.5619682089</v>
      </c>
      <c r="AB143" s="619"/>
      <c r="AC143" s="535">
        <v>1</v>
      </c>
    </row>
    <row r="144" spans="1:29">
      <c r="A144" s="648"/>
      <c r="B144" s="607" t="s">
        <v>385</v>
      </c>
      <c r="C144" s="606" t="str">
        <f t="shared" si="113"/>
        <v>MS_O&amp;M</v>
      </c>
      <c r="D144" s="650" t="s">
        <v>601</v>
      </c>
      <c r="E144" s="607"/>
      <c r="F144" s="610"/>
      <c r="G144" s="480"/>
      <c r="H144" s="389" t="s">
        <v>335</v>
      </c>
      <c r="I144" s="351">
        <f ca="1">IFERROR(INDEX(INDIRECT($B$144 &amp; $B$145), MATCH($C144, INDIRECT($B$144 &amp; $B$146),0), MATCH(I$4, INDIRECT($B$144 &amp; $B$147), 0)),0)</f>
        <v>1480.7</v>
      </c>
      <c r="J144" s="351">
        <f t="shared" ca="1" si="114"/>
        <v>1534.0052000000001</v>
      </c>
      <c r="K144" s="351">
        <f t="shared" ca="1" si="114"/>
        <v>1534.0052000000001</v>
      </c>
      <c r="L144" s="351">
        <f t="shared" ca="1" si="114"/>
        <v>1534.0052000000001</v>
      </c>
      <c r="M144" s="351">
        <f t="shared" ca="1" si="114"/>
        <v>1534.0052000000001</v>
      </c>
      <c r="N144" s="351">
        <f t="shared" ca="1" si="114"/>
        <v>1534.0052000000001</v>
      </c>
      <c r="O144" s="351">
        <f t="shared" ca="1" si="114"/>
        <v>1534.0052000000001</v>
      </c>
      <c r="P144" s="493"/>
      <c r="Q144" s="140" t="s">
        <v>564</v>
      </c>
      <c r="R144" s="494">
        <f ca="1">INDEX(INDIRECT($Q$137 &amp; $Q$138), MATCH($Q144, INDIRECT($Q$137 &amp; $Q$139),0), MATCH($R$139, INDIRECT($Q$137 &amp; $Q$140),0))</f>
        <v>0.31639177491113951</v>
      </c>
      <c r="T144" s="441" t="s">
        <v>419</v>
      </c>
      <c r="U144" s="441">
        <f t="shared" ca="1" si="112"/>
        <v>740350</v>
      </c>
      <c r="V144" s="441">
        <f t="shared" ca="1" si="112"/>
        <v>800935.82062834536</v>
      </c>
      <c r="W144" s="441">
        <f t="shared" ca="1" si="112"/>
        <v>811041.02679425827</v>
      </c>
      <c r="X144" s="441">
        <f t="shared" ca="1" si="112"/>
        <v>811816.58200736076</v>
      </c>
      <c r="Y144" s="441">
        <f t="shared" ca="1" si="112"/>
        <v>850797.93987240829</v>
      </c>
      <c r="Z144" s="441">
        <f t="shared" ca="1" si="112"/>
        <v>869758.92918660282</v>
      </c>
      <c r="AA144" s="445">
        <f t="shared" ca="1" si="112"/>
        <v>889331.56331738445</v>
      </c>
      <c r="AB144" s="619"/>
      <c r="AC144" s="535">
        <v>1</v>
      </c>
    </row>
    <row r="145" spans="1:29">
      <c r="A145" s="606"/>
      <c r="B145" s="607" t="s">
        <v>414</v>
      </c>
      <c r="C145" s="606" t="str">
        <f t="shared" si="113"/>
        <v>MS_OtherSuppServ</v>
      </c>
      <c r="D145" s="650" t="s">
        <v>711</v>
      </c>
      <c r="E145" s="607"/>
      <c r="F145" s="610"/>
      <c r="G145" s="480"/>
      <c r="H145" s="389" t="s">
        <v>336</v>
      </c>
      <c r="I145" s="351">
        <f ca="1">IFERROR(INDEX(INDIRECT($B$120 &amp; $B$121), MATCH($C145, INDIRECT($B$120 &amp; $B$122),0), MATCH(I$4, INDIRECT($B$120 &amp; $B$123), 0)),0)</f>
        <v>288.16000000000003</v>
      </c>
      <c r="J145" s="351">
        <f t="shared" ref="J145:O146" ca="1" si="115">IFERROR(INDEX(INDIRECT($B$120 &amp; $B$121), MATCH($C145, INDIRECT($B$120 &amp; $B$122),0), MATCH(J$4, INDIRECT($B$120 &amp; $B$123), 0)),0)</f>
        <v>288.16000000000003</v>
      </c>
      <c r="K145" s="351">
        <f t="shared" ca="1" si="115"/>
        <v>288.16000000000003</v>
      </c>
      <c r="L145" s="351">
        <f t="shared" ca="1" si="115"/>
        <v>288.16000000000003</v>
      </c>
      <c r="M145" s="351">
        <f t="shared" ca="1" si="115"/>
        <v>288.16000000000003</v>
      </c>
      <c r="N145" s="351">
        <f t="shared" ca="1" si="115"/>
        <v>288.16000000000003</v>
      </c>
      <c r="O145" s="351">
        <f t="shared" ca="1" si="115"/>
        <v>288.16000000000003</v>
      </c>
      <c r="P145" s="493"/>
      <c r="Q145" s="140" t="s">
        <v>579</v>
      </c>
      <c r="R145" s="494">
        <f ca="1">INDEX(INDIRECT($Q$137 &amp; $Q$138), MATCH($Q145, INDIRECT($Q$137 &amp; $Q$139),0), MATCH($R$139, INDIRECT($Q$137 &amp; $Q$140),0))</f>
        <v>0.49774998720871899</v>
      </c>
      <c r="S145" s="482"/>
      <c r="T145" s="441" t="s">
        <v>419</v>
      </c>
      <c r="U145" s="441">
        <f t="shared" ca="1" si="112"/>
        <v>144080</v>
      </c>
      <c r="V145" s="441">
        <f t="shared" ca="1" si="112"/>
        <v>151737.14447456977</v>
      </c>
      <c r="W145" s="441">
        <f t="shared" ca="1" si="112"/>
        <v>152352.53588516745</v>
      </c>
      <c r="X145" s="441">
        <f t="shared" ca="1" si="112"/>
        <v>150408.36878290036</v>
      </c>
      <c r="Y145" s="441">
        <f t="shared" ca="1" si="112"/>
        <v>159820.79744816586</v>
      </c>
      <c r="Z145" s="441">
        <f t="shared" ca="1" si="112"/>
        <v>163382.58373205742</v>
      </c>
      <c r="AA145" s="445">
        <f t="shared" ca="1" si="112"/>
        <v>167059.2663476874</v>
      </c>
      <c r="AB145" s="619"/>
      <c r="AC145" s="535">
        <v>1</v>
      </c>
    </row>
    <row r="146" spans="1:29">
      <c r="A146" s="606"/>
      <c r="B146" s="607" t="s">
        <v>415</v>
      </c>
      <c r="C146" s="606" t="str">
        <f t="shared" si="113"/>
        <v>MS_CentSpEd</v>
      </c>
      <c r="D146" s="650" t="s">
        <v>712</v>
      </c>
      <c r="E146" s="607"/>
      <c r="F146" s="610"/>
      <c r="G146" s="480"/>
      <c r="H146" s="389" t="s">
        <v>337</v>
      </c>
      <c r="I146" s="351">
        <f ca="1">IFERROR(INDEX(INDIRECT($B$120 &amp; $B$121), MATCH($C146, INDIRECT($B$120 &amp; $B$122),0), MATCH(I$4, INDIRECT($B$120 &amp; $B$123), 0)),0)</f>
        <v>241.05</v>
      </c>
      <c r="J146" s="351">
        <f t="shared" ca="1" si="115"/>
        <v>241.05</v>
      </c>
      <c r="K146" s="351">
        <f t="shared" ca="1" si="115"/>
        <v>241.05</v>
      </c>
      <c r="L146" s="351">
        <f t="shared" ca="1" si="115"/>
        <v>241.05</v>
      </c>
      <c r="M146" s="351">
        <f t="shared" ca="1" si="115"/>
        <v>241.05</v>
      </c>
      <c r="N146" s="351">
        <f t="shared" ca="1" si="115"/>
        <v>241.05</v>
      </c>
      <c r="O146" s="351">
        <f t="shared" ca="1" si="115"/>
        <v>241.05</v>
      </c>
      <c r="P146" s="493"/>
      <c r="Q146" s="140" t="s">
        <v>187</v>
      </c>
      <c r="R146" s="494">
        <f ca="1">INDEX(INDIRECT($Q$137 &amp; $Q$138), MATCH($Q146, INDIRECT($Q$137 &amp; $Q$139),0), MATCH($R$139, INDIRECT($Q$137 &amp; $Q$140),0))</f>
        <v>0.55403546902834855</v>
      </c>
      <c r="S146" s="98" t="s">
        <v>952</v>
      </c>
      <c r="T146" s="441" t="s">
        <v>568</v>
      </c>
      <c r="U146" s="441">
        <f t="shared" ca="1" si="112"/>
        <v>127036.06143653841</v>
      </c>
      <c r="V146" s="441">
        <f t="shared" ca="1" si="112"/>
        <v>137439.3139723186</v>
      </c>
      <c r="W146" s="441">
        <f t="shared" ca="1" si="112"/>
        <v>141132.41777618029</v>
      </c>
      <c r="X146" s="441">
        <f t="shared" ca="1" si="112"/>
        <v>142674.45134622819</v>
      </c>
      <c r="Y146" s="441">
        <f t="shared" ca="1" si="112"/>
        <v>156792.95408021304</v>
      </c>
      <c r="Z146" s="441">
        <f t="shared" ca="1" si="112"/>
        <v>165263.30095291673</v>
      </c>
      <c r="AA146" s="445">
        <f t="shared" ca="1" si="112"/>
        <v>174191.23711312897</v>
      </c>
      <c r="AB146" s="619"/>
      <c r="AC146" s="535">
        <v>1</v>
      </c>
    </row>
    <row r="147" spans="1:29" ht="15.95" hidden="1" customHeight="1" outlineLevel="1" thickBot="1">
      <c r="A147" s="648"/>
      <c r="B147" s="607" t="s">
        <v>416</v>
      </c>
      <c r="C147" s="606" t="str">
        <f t="shared" si="113"/>
        <v>MS_AssessCurDev</v>
      </c>
      <c r="D147" s="607" t="s">
        <v>566</v>
      </c>
      <c r="E147" s="607"/>
      <c r="F147" s="610"/>
      <c r="G147" s="480"/>
      <c r="H147" s="330"/>
      <c r="I147" s="351">
        <f t="shared" ref="I147:O148" ca="1" si="116">IFERROR(INDEX(INDIRECT($B$144 &amp; $B$145), MATCH($C147, INDIRECT($B$144 &amp; $B$146),0), MATCH(I$4, INDIRECT($B$144 &amp; $B$147), 0)),0)</f>
        <v>300.86</v>
      </c>
      <c r="J147" s="351">
        <f t="shared" ca="1" si="116"/>
        <v>309.49712918660288</v>
      </c>
      <c r="K147" s="351">
        <f t="shared" ca="1" si="116"/>
        <v>309.49712918660288</v>
      </c>
      <c r="L147" s="351">
        <f t="shared" ca="1" si="116"/>
        <v>309.49712918660288</v>
      </c>
      <c r="M147" s="351">
        <f t="shared" ca="1" si="116"/>
        <v>309.49712918660288</v>
      </c>
      <c r="N147" s="351">
        <f t="shared" ca="1" si="116"/>
        <v>309.49712918660288</v>
      </c>
      <c r="O147" s="351">
        <f t="shared" ca="1" si="116"/>
        <v>309.49712918660288</v>
      </c>
      <c r="P147" s="496"/>
      <c r="R147" s="347"/>
      <c r="S147" s="11" t="s">
        <v>600</v>
      </c>
      <c r="T147" s="441"/>
      <c r="U147" s="441"/>
      <c r="V147" s="441"/>
      <c r="W147" s="441"/>
      <c r="X147" s="441"/>
      <c r="Y147" s="441"/>
      <c r="Z147" s="441"/>
      <c r="AA147" s="445"/>
      <c r="AB147" s="619"/>
      <c r="AC147" s="535">
        <v>0</v>
      </c>
    </row>
    <row r="148" spans="1:29" ht="15" hidden="1" customHeight="1" outlineLevel="1">
      <c r="A148" s="648"/>
      <c r="B148" s="606"/>
      <c r="C148" s="606" t="str">
        <f t="shared" si="113"/>
        <v>MS_FormAssess</v>
      </c>
      <c r="D148" s="607" t="s">
        <v>570</v>
      </c>
      <c r="E148" s="607"/>
      <c r="F148" s="610"/>
      <c r="G148" s="480"/>
      <c r="H148" s="330"/>
      <c r="I148" s="351">
        <f t="shared" ca="1" si="116"/>
        <v>99</v>
      </c>
      <c r="J148" s="351">
        <f t="shared" ca="1" si="116"/>
        <v>99</v>
      </c>
      <c r="K148" s="351">
        <f t="shared" ca="1" si="116"/>
        <v>99</v>
      </c>
      <c r="L148" s="351">
        <f t="shared" ca="1" si="116"/>
        <v>99</v>
      </c>
      <c r="M148" s="351">
        <f t="shared" ca="1" si="116"/>
        <v>99</v>
      </c>
      <c r="N148" s="351">
        <f t="shared" ca="1" si="116"/>
        <v>99</v>
      </c>
      <c r="O148" s="351">
        <f t="shared" ca="1" si="116"/>
        <v>99</v>
      </c>
      <c r="P148" s="496"/>
      <c r="Q148" s="482"/>
      <c r="R148" s="347"/>
      <c r="S148" s="11" t="s">
        <v>569</v>
      </c>
      <c r="T148" s="441"/>
      <c r="U148" s="441"/>
      <c r="V148" s="441"/>
      <c r="W148" s="441"/>
      <c r="X148" s="441"/>
      <c r="Y148" s="441"/>
      <c r="Z148" s="441"/>
      <c r="AA148" s="445"/>
      <c r="AB148" s="651"/>
      <c r="AC148" s="535">
        <v>0</v>
      </c>
    </row>
    <row r="149" spans="1:29" collapsed="1">
      <c r="A149" s="648"/>
      <c r="B149" s="607"/>
      <c r="C149" s="614"/>
      <c r="D149" s="607"/>
      <c r="E149" s="607"/>
      <c r="F149" s="652"/>
      <c r="G149" s="483"/>
      <c r="H149" s="396" t="s">
        <v>338</v>
      </c>
      <c r="I149" s="381">
        <f ca="1">I147+I148</f>
        <v>399.86</v>
      </c>
      <c r="J149" s="381">
        <f t="shared" ref="J149:P149" ca="1" si="117">J147+J148</f>
        <v>408.49712918660288</v>
      </c>
      <c r="K149" s="381">
        <f t="shared" ca="1" si="117"/>
        <v>408.49712918660288</v>
      </c>
      <c r="L149" s="381">
        <f t="shared" ca="1" si="117"/>
        <v>408.49712918660288</v>
      </c>
      <c r="M149" s="381">
        <f t="shared" ca="1" si="117"/>
        <v>408.49712918660288</v>
      </c>
      <c r="N149" s="381">
        <f t="shared" ca="1" si="117"/>
        <v>408.49712918660288</v>
      </c>
      <c r="O149" s="381">
        <f t="shared" ca="1" si="117"/>
        <v>408.49712918660288</v>
      </c>
      <c r="P149" s="447">
        <f t="shared" si="117"/>
        <v>0</v>
      </c>
      <c r="Q149" s="497" t="s">
        <v>581</v>
      </c>
      <c r="R149" s="498">
        <f ca="1">INDEX(INDIRECT($Q$137 &amp; $Q$138), MATCH($Q149, INDIRECT($Q$137 &amp; $Q$139),0), MATCH($R$139, INDIRECT($Q$137 &amp; $Q$140),0))</f>
        <v>0.5482622865666773</v>
      </c>
      <c r="S149" s="498" t="s">
        <v>502</v>
      </c>
      <c r="T149" s="448" t="s">
        <v>419</v>
      </c>
      <c r="U149" s="448">
        <f t="shared" ref="U149:AA149" ca="1" si="118">I149*$H$2*(1+VLOOKUP($T149,$T$137:$AA$139,MATCH(U$4,$T$4:$AA$4,0),0))*(1+U$141*$R149)</f>
        <v>199930</v>
      </c>
      <c r="V149" s="448">
        <f t="shared" ca="1" si="118"/>
        <v>215609.88743499285</v>
      </c>
      <c r="W149" s="448">
        <f t="shared" ca="1" si="118"/>
        <v>215975.75490487853</v>
      </c>
      <c r="X149" s="448">
        <f t="shared" ca="1" si="118"/>
        <v>212394.54682231325</v>
      </c>
      <c r="Y149" s="448">
        <f t="shared" ca="1" si="118"/>
        <v>226562.80171394124</v>
      </c>
      <c r="Z149" s="448">
        <f t="shared" ca="1" si="118"/>
        <v>231612.00865364805</v>
      </c>
      <c r="AA149" s="475">
        <f t="shared" ca="1" si="118"/>
        <v>236824.09323657124</v>
      </c>
      <c r="AB149" s="653"/>
      <c r="AC149" s="654">
        <v>1</v>
      </c>
    </row>
    <row r="150" spans="1:29" ht="15" hidden="1" customHeight="1" outlineLevel="1">
      <c r="A150" s="648"/>
      <c r="B150" s="607"/>
      <c r="C150" s="614"/>
      <c r="D150" s="607"/>
      <c r="E150" s="607"/>
      <c r="F150" s="607"/>
      <c r="G150" s="480"/>
      <c r="H150" s="389"/>
      <c r="I150" s="351"/>
      <c r="J150" s="351"/>
      <c r="K150" s="351"/>
      <c r="L150" s="351"/>
      <c r="M150" s="351"/>
      <c r="N150" s="351"/>
      <c r="O150" s="351"/>
      <c r="P150" s="440"/>
      <c r="Q150" s="140"/>
      <c r="R150" s="494"/>
      <c r="S150" s="494"/>
      <c r="T150" s="441"/>
      <c r="U150" s="441"/>
      <c r="V150" s="441"/>
      <c r="W150" s="441"/>
      <c r="X150" s="441"/>
      <c r="Y150" s="441"/>
      <c r="Z150" s="441"/>
      <c r="AA150" s="441"/>
      <c r="AB150" s="655"/>
      <c r="AC150" s="535">
        <v>1</v>
      </c>
    </row>
    <row r="151" spans="1:29" ht="15.95" hidden="1" customHeight="1" outlineLevel="1" thickBot="1">
      <c r="A151" s="656"/>
      <c r="B151" s="657"/>
      <c r="C151" s="658"/>
      <c r="D151" s="657"/>
      <c r="E151" s="657"/>
      <c r="F151" s="657"/>
      <c r="G151" s="480"/>
      <c r="H151" s="389"/>
      <c r="I151" s="351"/>
      <c r="J151" s="351"/>
      <c r="K151" s="351"/>
      <c r="L151" s="351"/>
      <c r="M151" s="351"/>
      <c r="N151" s="351"/>
      <c r="O151" s="351"/>
      <c r="P151" s="440"/>
      <c r="Q151" s="140"/>
      <c r="R151" s="494"/>
      <c r="S151" s="494"/>
      <c r="T151" s="441"/>
      <c r="U151" s="441"/>
      <c r="V151" s="441"/>
      <c r="W151" s="441"/>
      <c r="X151" s="441"/>
      <c r="Y151" s="441"/>
      <c r="Z151" s="441"/>
      <c r="AA151" s="441"/>
      <c r="AB151" s="659"/>
      <c r="AC151" s="535">
        <v>1</v>
      </c>
    </row>
    <row r="152" spans="1:29" collapsed="1">
      <c r="A152" s="656"/>
      <c r="B152" s="649" t="s">
        <v>944</v>
      </c>
      <c r="C152" s="656" t="s">
        <v>185</v>
      </c>
      <c r="D152" s="657"/>
      <c r="E152" s="657"/>
      <c r="F152" s="660"/>
      <c r="G152" s="336" t="s">
        <v>339</v>
      </c>
      <c r="H152" s="387" t="s">
        <v>340</v>
      </c>
      <c r="I152" s="343">
        <f ca="1">IFERROR(INDEX(INDIRECT($B$152 &amp; $B$153), MATCH($C152, INDIRECT($B$139 &amp; $B$154),0), MATCH($G$3, INDIRECT($B$139 &amp; $B$155), 0)),0)</f>
        <v>241.13393122136912</v>
      </c>
      <c r="J152" s="343">
        <f t="shared" ref="J152:O152" ca="1" si="119">IFERROR(INDEX(INDIRECT($B$152 &amp; $B$153), MATCH($C152, INDIRECT($B$139 &amp; $B$154),0), MATCH($G$3, INDIRECT($B$139 &amp; $B$155), 0)),0)</f>
        <v>241.13393122136912</v>
      </c>
      <c r="K152" s="343">
        <f t="shared" ca="1" si="119"/>
        <v>241.13393122136912</v>
      </c>
      <c r="L152" s="343">
        <f t="shared" ca="1" si="119"/>
        <v>241.13393122136912</v>
      </c>
      <c r="M152" s="343">
        <f t="shared" ca="1" si="119"/>
        <v>241.13393122136912</v>
      </c>
      <c r="N152" s="343">
        <f t="shared" ca="1" si="119"/>
        <v>241.13393122136912</v>
      </c>
      <c r="O152" s="343">
        <f t="shared" ca="1" si="119"/>
        <v>241.13393122136912</v>
      </c>
      <c r="P152" s="479"/>
      <c r="Q152" s="470" t="s">
        <v>583</v>
      </c>
      <c r="R152" s="500">
        <f ca="1">INDEX(INDIRECT($S$152 &amp; $S$153), MATCH($Q152, INDIRECT($S$152 &amp; $S$154),0), MATCH($R$139, INDIRECT($S$152 &amp; $S$155),0))</f>
        <v>0.44934091103571139</v>
      </c>
      <c r="S152" s="501" t="s">
        <v>1063</v>
      </c>
      <c r="T152" s="456" t="s">
        <v>419</v>
      </c>
      <c r="U152" s="456">
        <f t="shared" ref="U152:AA155" ca="1" si="120">I152*$H$2*(1+VLOOKUP($T152,$T$137:$AA$139,MATCH(U$4,$T$4:$AA$4,0),0))*(1+U$141*$R152)</f>
        <v>120566.96561068457</v>
      </c>
      <c r="V152" s="456">
        <f t="shared" ca="1" si="120"/>
        <v>126687.9640058619</v>
      </c>
      <c r="W152" s="456">
        <f t="shared" ca="1" si="120"/>
        <v>127489.4708132119</v>
      </c>
      <c r="X152" s="456">
        <f t="shared" ca="1" si="120"/>
        <v>126329.3798738605</v>
      </c>
      <c r="Y152" s="456">
        <f t="shared" ca="1" si="120"/>
        <v>133738.95467660466</v>
      </c>
      <c r="Z152" s="456">
        <f t="shared" ca="1" si="120"/>
        <v>136719.47774991504</v>
      </c>
      <c r="AA152" s="471">
        <f t="shared" ca="1" si="120"/>
        <v>139796.14672881609</v>
      </c>
      <c r="AB152" s="661"/>
      <c r="AC152" s="535">
        <v>1</v>
      </c>
    </row>
    <row r="153" spans="1:29">
      <c r="A153" s="656"/>
      <c r="B153" s="656" t="s">
        <v>390</v>
      </c>
      <c r="C153" s="656" t="s">
        <v>183</v>
      </c>
      <c r="D153" s="657"/>
      <c r="E153" s="657"/>
      <c r="F153" s="660"/>
      <c r="G153" s="407"/>
      <c r="H153" s="389" t="s">
        <v>341</v>
      </c>
      <c r="I153" s="351">
        <f t="shared" ref="I153:O155" ca="1" si="121">IFERROR(INDEX(INDIRECT($B$152 &amp; $B$153), MATCH($C153, INDIRECT($B$139 &amp; $B$154),0), MATCH($G$3, INDIRECT($B$139 &amp; $B$155), 0)),0)</f>
        <v>336.67915165033691</v>
      </c>
      <c r="J153" s="351">
        <f t="shared" ca="1" si="121"/>
        <v>336.67915165033691</v>
      </c>
      <c r="K153" s="351">
        <f t="shared" ca="1" si="121"/>
        <v>336.67915165033691</v>
      </c>
      <c r="L153" s="351">
        <f t="shared" ca="1" si="121"/>
        <v>336.67915165033691</v>
      </c>
      <c r="M153" s="351">
        <f t="shared" ca="1" si="121"/>
        <v>336.67915165033691</v>
      </c>
      <c r="N153" s="351">
        <f t="shared" ca="1" si="121"/>
        <v>336.67915165033691</v>
      </c>
      <c r="O153" s="351">
        <f t="shared" ca="1" si="121"/>
        <v>336.67915165033691</v>
      </c>
      <c r="P153" s="435"/>
      <c r="Q153" s="11" t="s">
        <v>585</v>
      </c>
      <c r="R153" s="90">
        <f ca="1">INDEX(INDIRECT($S$152 &amp; $S$153), MATCH($Q153, INDIRECT($S$152 &amp; $S$154),0), MATCH($R$139, INDIRECT($S$152 &amp; $S$155),0))</f>
        <v>0.34884197616934026</v>
      </c>
      <c r="S153" s="494" t="s">
        <v>596</v>
      </c>
      <c r="T153" s="441" t="s">
        <v>419</v>
      </c>
      <c r="U153" s="441">
        <f t="shared" ca="1" si="120"/>
        <v>168339.57582516846</v>
      </c>
      <c r="V153" s="441">
        <f t="shared" ca="1" si="120"/>
        <v>176055.33183055959</v>
      </c>
      <c r="W153" s="441">
        <f t="shared" ca="1" si="120"/>
        <v>178005.00601608719</v>
      </c>
      <c r="X153" s="441">
        <f t="shared" ca="1" si="120"/>
        <v>177738.32618036473</v>
      </c>
      <c r="Y153" s="441">
        <f t="shared" ca="1" si="120"/>
        <v>186730.74160511111</v>
      </c>
      <c r="Z153" s="441">
        <f t="shared" ca="1" si="120"/>
        <v>190892.24627064558</v>
      </c>
      <c r="AA153" s="445">
        <f t="shared" ca="1" si="120"/>
        <v>195187.99302216503</v>
      </c>
      <c r="AB153" s="661"/>
      <c r="AC153" s="535">
        <v>1</v>
      </c>
    </row>
    <row r="154" spans="1:29">
      <c r="A154" s="656"/>
      <c r="B154" s="656" t="s">
        <v>391</v>
      </c>
      <c r="C154" s="656" t="s">
        <v>200</v>
      </c>
      <c r="D154" s="657"/>
      <c r="E154" s="657"/>
      <c r="F154" s="660"/>
      <c r="G154" s="407"/>
      <c r="H154" s="389" t="s">
        <v>201</v>
      </c>
      <c r="I154" s="351">
        <f t="shared" ca="1" si="121"/>
        <v>161.18302563299014</v>
      </c>
      <c r="J154" s="351">
        <f t="shared" ca="1" si="121"/>
        <v>161.18302563299014</v>
      </c>
      <c r="K154" s="351">
        <f t="shared" ca="1" si="121"/>
        <v>161.18302563299014</v>
      </c>
      <c r="L154" s="351">
        <f t="shared" ca="1" si="121"/>
        <v>161.18302563299014</v>
      </c>
      <c r="M154" s="351">
        <f t="shared" ca="1" si="121"/>
        <v>161.18302563299014</v>
      </c>
      <c r="N154" s="351">
        <f t="shared" ca="1" si="121"/>
        <v>161.18302563299014</v>
      </c>
      <c r="O154" s="351">
        <f t="shared" ca="1" si="121"/>
        <v>161.18302563299014</v>
      </c>
      <c r="P154" s="435"/>
      <c r="Q154" s="11" t="s">
        <v>587</v>
      </c>
      <c r="R154" s="90">
        <f ca="1">INDEX(INDIRECT($S$152 &amp; $S$153), MATCH($Q154, INDIRECT($S$152 &amp; $S$154),0), MATCH($R$139, INDIRECT($S$152 &amp; $S$155),0))</f>
        <v>0.49499865651105907</v>
      </c>
      <c r="S154" s="494" t="s">
        <v>613</v>
      </c>
      <c r="T154" s="441" t="s">
        <v>419</v>
      </c>
      <c r="U154" s="441">
        <f t="shared" ca="1" si="120"/>
        <v>80591.512816495073</v>
      </c>
      <c r="V154" s="441">
        <f t="shared" ca="1" si="120"/>
        <v>84863.669976317193</v>
      </c>
      <c r="W154" s="441">
        <f t="shared" ca="1" si="120"/>
        <v>85218.776710265112</v>
      </c>
      <c r="X154" s="441">
        <f t="shared" ca="1" si="120"/>
        <v>84149.035933403269</v>
      </c>
      <c r="Y154" s="441">
        <f t="shared" ca="1" si="120"/>
        <v>89396.167725474195</v>
      </c>
      <c r="Z154" s="441">
        <f t="shared" ca="1" si="120"/>
        <v>91388.461901958537</v>
      </c>
      <c r="AA154" s="445">
        <f t="shared" ca="1" si="120"/>
        <v>93445.023632523007</v>
      </c>
      <c r="AB154" s="661"/>
      <c r="AC154" s="535">
        <v>1</v>
      </c>
    </row>
    <row r="155" spans="1:29">
      <c r="A155" s="656"/>
      <c r="B155" s="656" t="s">
        <v>392</v>
      </c>
      <c r="C155" s="656" t="s">
        <v>202</v>
      </c>
      <c r="D155" s="657"/>
      <c r="E155" s="657"/>
      <c r="F155" s="662"/>
      <c r="G155" s="411"/>
      <c r="H155" s="396" t="s">
        <v>203</v>
      </c>
      <c r="I155" s="381">
        <f t="shared" ca="1" si="121"/>
        <v>49.729289447245442</v>
      </c>
      <c r="J155" s="381">
        <f t="shared" ca="1" si="121"/>
        <v>49.729289447245442</v>
      </c>
      <c r="K155" s="381">
        <f t="shared" ca="1" si="121"/>
        <v>49.729289447245442</v>
      </c>
      <c r="L155" s="381">
        <f t="shared" ca="1" si="121"/>
        <v>49.729289447245442</v>
      </c>
      <c r="M155" s="381">
        <f t="shared" ca="1" si="121"/>
        <v>49.729289447245442</v>
      </c>
      <c r="N155" s="381">
        <f t="shared" ca="1" si="121"/>
        <v>49.729289447245442</v>
      </c>
      <c r="O155" s="381">
        <f t="shared" ca="1" si="121"/>
        <v>49.729289447245442</v>
      </c>
      <c r="P155" s="474"/>
      <c r="Q155" s="235" t="s">
        <v>202</v>
      </c>
      <c r="R155" s="502">
        <f ca="1">INDEX(INDIRECT($S$152 &amp; $S$153), MATCH($Q155, INDIRECT($S$152 &amp; $S$154),0), MATCH($R$139, INDIRECT($S$152 &amp; $S$155),0))</f>
        <v>0.56046005250737874</v>
      </c>
      <c r="S155" s="498" t="s">
        <v>597</v>
      </c>
      <c r="T155" s="448" t="s">
        <v>419</v>
      </c>
      <c r="U155" s="448">
        <f t="shared" ca="1" si="120"/>
        <v>24864.644723622721</v>
      </c>
      <c r="V155" s="448">
        <f t="shared" ca="1" si="120"/>
        <v>26262.630279192141</v>
      </c>
      <c r="W155" s="448">
        <f t="shared" ca="1" si="120"/>
        <v>26292.279827371392</v>
      </c>
      <c r="X155" s="448">
        <f t="shared" ca="1" si="120"/>
        <v>25832.05662287791</v>
      </c>
      <c r="Y155" s="448">
        <f t="shared" ca="1" si="120"/>
        <v>27581.117073811169</v>
      </c>
      <c r="Z155" s="448">
        <f t="shared" ca="1" si="120"/>
        <v>28195.793299036293</v>
      </c>
      <c r="AA155" s="475">
        <f t="shared" ca="1" si="120"/>
        <v>28830.297789591259</v>
      </c>
      <c r="AB155" s="661"/>
      <c r="AC155" s="535">
        <v>1</v>
      </c>
    </row>
    <row r="156" spans="1:29" ht="15.95" hidden="1" customHeight="1" outlineLevel="1" thickBot="1">
      <c r="A156" s="656"/>
      <c r="B156" s="656"/>
      <c r="C156" s="656"/>
      <c r="D156" s="657"/>
      <c r="E156" s="657"/>
      <c r="F156" s="657"/>
      <c r="G156" s="407"/>
      <c r="H156" s="389"/>
      <c r="I156" s="351"/>
      <c r="J156" s="351"/>
      <c r="K156" s="351"/>
      <c r="L156" s="351"/>
      <c r="M156" s="351"/>
      <c r="N156" s="351"/>
      <c r="O156" s="351"/>
      <c r="P156" s="435"/>
      <c r="Q156" s="482"/>
      <c r="R156" s="482"/>
      <c r="S156" s="482"/>
      <c r="T156" s="482"/>
      <c r="U156" s="503"/>
      <c r="V156" s="504"/>
      <c r="W156" s="504"/>
      <c r="X156" s="504"/>
      <c r="Y156" s="504"/>
      <c r="Z156" s="504"/>
      <c r="AA156" s="504"/>
      <c r="AB156" s="661"/>
      <c r="AC156" s="535">
        <v>0</v>
      </c>
    </row>
    <row r="157" spans="1:29" collapsed="1">
      <c r="A157" s="663"/>
      <c r="B157" s="571" t="str">
        <f>'K-12_assumptions'!K5</f>
        <v>Full QEM</v>
      </c>
      <c r="C157" s="571" t="s">
        <v>936</v>
      </c>
      <c r="D157" s="571">
        <v>190</v>
      </c>
      <c r="E157" s="571"/>
      <c r="F157" s="575"/>
      <c r="G157" s="505" t="s">
        <v>604</v>
      </c>
      <c r="H157" s="506" t="s">
        <v>605</v>
      </c>
      <c r="I157" s="455" t="s">
        <v>607</v>
      </c>
      <c r="J157" s="470"/>
      <c r="K157" s="470"/>
      <c r="L157" s="470"/>
      <c r="M157" s="470"/>
      <c r="N157" s="470"/>
      <c r="O157" s="470"/>
      <c r="P157" s="507">
        <f ca="1">(SUM($U$23:$U$35)+$U$63-((SUM(I$23:I$35)+I$63)*U$17))/$H$2/$H$158</f>
        <v>38.02664250553579</v>
      </c>
      <c r="Q157" s="470"/>
      <c r="R157" s="470"/>
      <c r="S157" s="470"/>
      <c r="T157" s="470"/>
      <c r="U157" s="456"/>
      <c r="V157" s="456"/>
      <c r="W157" s="456"/>
      <c r="X157" s="456"/>
      <c r="Y157" s="456"/>
      <c r="Z157" s="456"/>
      <c r="AA157" s="471"/>
      <c r="AB157" s="663"/>
      <c r="AC157" s="535"/>
    </row>
    <row r="158" spans="1:29">
      <c r="A158" s="663"/>
      <c r="B158" s="571"/>
      <c r="C158" s="571" t="s">
        <v>5</v>
      </c>
      <c r="D158" s="571">
        <v>193</v>
      </c>
      <c r="E158" s="571"/>
      <c r="F158" s="575"/>
      <c r="G158" s="508"/>
      <c r="H158" s="330">
        <f>VLOOKUP($B$157, $C$157:$D$160,2,0)</f>
        <v>193</v>
      </c>
      <c r="I158" s="499" t="s">
        <v>608</v>
      </c>
      <c r="P158" s="509">
        <f ca="1">(SUM($U$68:$U$86)+$U$63-((SUM(I$68:I$86)+I$63)*U$17))/$H$2/$H$158</f>
        <v>10.144036072785168</v>
      </c>
      <c r="U158" s="441"/>
      <c r="V158" s="441"/>
      <c r="W158" s="441"/>
      <c r="X158" s="441"/>
      <c r="Y158" s="441"/>
      <c r="Z158" s="441"/>
      <c r="AA158" s="445"/>
      <c r="AB158" s="663"/>
      <c r="AC158" s="535"/>
    </row>
    <row r="159" spans="1:29">
      <c r="A159" s="663"/>
      <c r="B159" s="571"/>
      <c r="C159" s="571" t="s">
        <v>4</v>
      </c>
      <c r="D159" s="571">
        <v>190</v>
      </c>
      <c r="E159" s="571"/>
      <c r="F159" s="575"/>
      <c r="G159" s="508"/>
      <c r="H159" s="447"/>
      <c r="I159" s="460" t="s">
        <v>609</v>
      </c>
      <c r="J159" s="235"/>
      <c r="K159" s="235"/>
      <c r="L159" s="235"/>
      <c r="M159" s="235"/>
      <c r="N159" s="235"/>
      <c r="O159" s="235"/>
      <c r="P159" s="510">
        <f ca="1">($U$90-(I$90*U$17))/$H$2/$H$158</f>
        <v>2.0529155087401931</v>
      </c>
      <c r="Q159" s="235"/>
      <c r="R159" s="235"/>
      <c r="S159" s="235"/>
      <c r="T159" s="235"/>
      <c r="U159" s="448"/>
      <c r="V159" s="448"/>
      <c r="W159" s="448"/>
      <c r="X159" s="448"/>
      <c r="Y159" s="448"/>
      <c r="Z159" s="448"/>
      <c r="AA159" s="475"/>
      <c r="AB159" s="663"/>
      <c r="AC159" s="535"/>
    </row>
    <row r="160" spans="1:29">
      <c r="A160" s="663"/>
      <c r="B160" s="571"/>
      <c r="C160" s="571" t="s">
        <v>129</v>
      </c>
      <c r="D160" s="571">
        <v>190</v>
      </c>
      <c r="E160" s="571"/>
      <c r="F160" s="575"/>
      <c r="G160" s="508"/>
      <c r="H160" s="506" t="s">
        <v>606</v>
      </c>
      <c r="I160" s="455" t="s">
        <v>610</v>
      </c>
      <c r="J160" s="470"/>
      <c r="K160" s="470"/>
      <c r="L160" s="470"/>
      <c r="M160" s="470"/>
      <c r="N160" s="470"/>
      <c r="O160" s="470"/>
      <c r="P160" s="511">
        <f ca="1">SUMIFS(U$140:U$149, $AC$140:$AC$149,1)/$H$2/$H$161</f>
        <v>17.25338509030987</v>
      </c>
      <c r="Q160" s="470"/>
      <c r="R160" s="470"/>
      <c r="S160" s="470"/>
      <c r="T160" s="470"/>
      <c r="U160" s="456"/>
      <c r="V160" s="456"/>
      <c r="W160" s="456"/>
      <c r="X160" s="456"/>
      <c r="Y160" s="456"/>
      <c r="Z160" s="456"/>
      <c r="AA160" s="471"/>
      <c r="AB160" s="663"/>
      <c r="AC160" s="535"/>
    </row>
    <row r="161" spans="1:29">
      <c r="A161" s="663"/>
      <c r="B161" s="571"/>
      <c r="C161" s="571"/>
      <c r="D161" s="571"/>
      <c r="E161" s="571"/>
      <c r="F161" s="575"/>
      <c r="G161" s="508"/>
      <c r="H161" s="330">
        <v>260</v>
      </c>
      <c r="I161" s="499" t="s">
        <v>611</v>
      </c>
      <c r="P161" s="512">
        <f ca="1">SUMIFS(U$152:U$155, $AC$152:$AC$155,1)/$H$2/$H$161</f>
        <v>3.0335592228920829</v>
      </c>
      <c r="U161" s="441"/>
      <c r="V161" s="441"/>
      <c r="W161" s="441"/>
      <c r="X161" s="441"/>
      <c r="Y161" s="441"/>
      <c r="Z161" s="441"/>
      <c r="AA161" s="445"/>
      <c r="AB161" s="663"/>
      <c r="AC161" s="535"/>
    </row>
    <row r="162" spans="1:29">
      <c r="A162" s="663"/>
      <c r="B162" s="571"/>
      <c r="C162" s="571"/>
      <c r="D162" s="571"/>
      <c r="E162" s="571"/>
      <c r="F162" s="575"/>
      <c r="G162" s="508"/>
      <c r="H162" s="440"/>
      <c r="I162" s="499" t="s">
        <v>612</v>
      </c>
      <c r="P162" s="509">
        <f ca="1">SUM(P157:P161)</f>
        <v>70.510538400263101</v>
      </c>
      <c r="U162" s="441"/>
      <c r="V162" s="441"/>
      <c r="W162" s="441"/>
      <c r="X162" s="441"/>
      <c r="Y162" s="441"/>
      <c r="Z162" s="441"/>
      <c r="AA162" s="445"/>
      <c r="AB162" s="663"/>
      <c r="AC162" s="535"/>
    </row>
    <row r="163" spans="1:29" ht="15" hidden="1" customHeight="1" outlineLevel="1">
      <c r="A163" s="664"/>
      <c r="B163" s="664"/>
      <c r="C163" s="664"/>
      <c r="D163" s="588"/>
      <c r="E163" s="588"/>
      <c r="F163" s="588"/>
      <c r="G163" s="407"/>
      <c r="H163" s="389"/>
      <c r="I163" s="351"/>
      <c r="J163" s="351"/>
      <c r="K163" s="351"/>
      <c r="L163" s="351"/>
      <c r="M163" s="351"/>
      <c r="N163" s="351"/>
      <c r="O163" s="351"/>
      <c r="P163" s="435"/>
      <c r="Q163" s="482"/>
      <c r="R163" s="482"/>
      <c r="S163" s="482"/>
      <c r="T163" s="482"/>
      <c r="U163" s="503"/>
      <c r="V163" s="504"/>
      <c r="W163" s="504"/>
      <c r="X163" s="504"/>
      <c r="Y163" s="504"/>
      <c r="Z163" s="504"/>
      <c r="AA163" s="513"/>
      <c r="AB163" s="665"/>
      <c r="AC163" s="535">
        <v>0</v>
      </c>
    </row>
    <row r="164" spans="1:29" ht="15" hidden="1" customHeight="1" outlineLevel="1">
      <c r="A164" s="664"/>
      <c r="B164" s="666"/>
      <c r="C164" s="666" t="str">
        <f>LEFT($G$3,1) &amp; "S" &amp; D164</f>
        <v>MS_InstructionDays</v>
      </c>
      <c r="D164" s="588" t="s">
        <v>603</v>
      </c>
      <c r="E164" s="588"/>
      <c r="F164" s="588"/>
      <c r="G164" s="407"/>
      <c r="H164" s="389"/>
      <c r="I164" s="472">
        <f t="shared" ref="I164:O164" ca="1" si="122">INDEX(INDIRECT($B$166 &amp; $B$167), MATCH($C164, INDIRECT($B$166 &amp; $B$168),0), MATCH(I$4, INDIRECT($B$166 &amp; $B$169), 0))</f>
        <v>170</v>
      </c>
      <c r="J164" s="472">
        <f t="shared" ca="1" si="122"/>
        <v>170</v>
      </c>
      <c r="K164" s="472">
        <f t="shared" ca="1" si="122"/>
        <v>170</v>
      </c>
      <c r="L164" s="472">
        <f t="shared" ca="1" si="122"/>
        <v>170</v>
      </c>
      <c r="M164" s="472">
        <f t="shared" ca="1" si="122"/>
        <v>170</v>
      </c>
      <c r="N164" s="472">
        <f t="shared" ca="1" si="122"/>
        <v>170</v>
      </c>
      <c r="O164" s="472">
        <f t="shared" ca="1" si="122"/>
        <v>170</v>
      </c>
      <c r="P164" s="496"/>
      <c r="Q164" s="482"/>
      <c r="R164" s="482"/>
      <c r="S164" s="482"/>
      <c r="T164" s="482"/>
      <c r="U164" s="503"/>
      <c r="V164" s="504"/>
      <c r="W164" s="504"/>
      <c r="X164" s="504"/>
      <c r="Y164" s="504"/>
      <c r="Z164" s="504"/>
      <c r="AA164" s="513"/>
      <c r="AB164" s="665"/>
      <c r="AC164" s="535">
        <v>0</v>
      </c>
    </row>
    <row r="165" spans="1:29" ht="15.95" hidden="1" customHeight="1" outlineLevel="1" thickBot="1">
      <c r="A165" s="664"/>
      <c r="B165" s="588"/>
      <c r="C165" s="666" t="str">
        <f>LEFT($G$3,1) &amp; "S" &amp; D165</f>
        <v>MS_InstructionDays</v>
      </c>
      <c r="D165" s="588" t="s">
        <v>603</v>
      </c>
      <c r="E165" s="588" t="s">
        <v>8</v>
      </c>
      <c r="F165" s="588"/>
      <c r="G165" s="407"/>
      <c r="H165" s="389"/>
      <c r="I165" s="472">
        <f ca="1">INDEX(INDIRECT($B$166 &amp; $B$167), MATCH($C165, INDIRECT($B$166 &amp; $B$168),0), MATCH($E$165, INDIRECT($B$166 &amp; $B$169), 0))</f>
        <v>170</v>
      </c>
      <c r="J165" s="472">
        <f t="shared" ref="J165:O165" ca="1" si="123">INDEX(INDIRECT($B$166 &amp; $B$167), MATCH($C165, INDIRECT($B$166 &amp; $B$168),0), MATCH($E$165, INDIRECT($B$166 &amp; $B$169), 0))</f>
        <v>170</v>
      </c>
      <c r="K165" s="472">
        <f t="shared" ca="1" si="123"/>
        <v>170</v>
      </c>
      <c r="L165" s="472">
        <f t="shared" ca="1" si="123"/>
        <v>170</v>
      </c>
      <c r="M165" s="472">
        <f t="shared" ca="1" si="123"/>
        <v>170</v>
      </c>
      <c r="N165" s="472">
        <f t="shared" ca="1" si="123"/>
        <v>170</v>
      </c>
      <c r="O165" s="472">
        <f t="shared" ca="1" si="123"/>
        <v>170</v>
      </c>
      <c r="P165" s="496"/>
      <c r="Q165" s="482"/>
      <c r="R165" s="482"/>
      <c r="S165" s="482"/>
      <c r="T165" s="482"/>
      <c r="U165" s="503"/>
      <c r="V165" s="504"/>
      <c r="W165" s="504"/>
      <c r="X165" s="504"/>
      <c r="Y165" s="504"/>
      <c r="Z165" s="504"/>
      <c r="AA165" s="513"/>
      <c r="AB165" s="665"/>
      <c r="AC165" s="535">
        <v>0</v>
      </c>
    </row>
    <row r="166" spans="1:29" collapsed="1">
      <c r="A166" s="664"/>
      <c r="B166" s="588" t="s">
        <v>385</v>
      </c>
      <c r="C166" s="666"/>
      <c r="D166" s="588"/>
      <c r="E166" s="588"/>
      <c r="F166" s="589"/>
      <c r="G166" s="416" t="s">
        <v>342</v>
      </c>
      <c r="H166" s="514"/>
      <c r="I166" s="515">
        <f ca="1">I164-I165</f>
        <v>0</v>
      </c>
      <c r="J166" s="515">
        <f t="shared" ref="J166:O166" ca="1" si="124">J164-J165</f>
        <v>0</v>
      </c>
      <c r="K166" s="515">
        <f t="shared" ca="1" si="124"/>
        <v>0</v>
      </c>
      <c r="L166" s="515">
        <f t="shared" ca="1" si="124"/>
        <v>0</v>
      </c>
      <c r="M166" s="515">
        <f t="shared" ca="1" si="124"/>
        <v>0</v>
      </c>
      <c r="N166" s="515">
        <f t="shared" ca="1" si="124"/>
        <v>0</v>
      </c>
      <c r="O166" s="515">
        <f t="shared" ca="1" si="124"/>
        <v>0</v>
      </c>
      <c r="P166" s="516"/>
      <c r="Q166" s="517"/>
      <c r="R166" s="517"/>
      <c r="S166" s="517"/>
      <c r="T166" s="517"/>
      <c r="U166" s="518">
        <f t="shared" ref="U166:AA166" ca="1" si="125">I$166*$P$162 * $H$2</f>
        <v>0</v>
      </c>
      <c r="V166" s="518">
        <f t="shared" ca="1" si="125"/>
        <v>0</v>
      </c>
      <c r="W166" s="518">
        <f t="shared" ca="1" si="125"/>
        <v>0</v>
      </c>
      <c r="X166" s="518">
        <f t="shared" ca="1" si="125"/>
        <v>0</v>
      </c>
      <c r="Y166" s="518">
        <f t="shared" ca="1" si="125"/>
        <v>0</v>
      </c>
      <c r="Z166" s="518">
        <f t="shared" ca="1" si="125"/>
        <v>0</v>
      </c>
      <c r="AA166" s="519">
        <f t="shared" ca="1" si="125"/>
        <v>0</v>
      </c>
      <c r="AB166" s="665"/>
      <c r="AC166" s="535">
        <v>1</v>
      </c>
    </row>
    <row r="167" spans="1:29" ht="15.95" hidden="1" customHeight="1" outlineLevel="1" thickBot="1">
      <c r="A167" s="664"/>
      <c r="B167" s="588" t="s">
        <v>414</v>
      </c>
      <c r="C167" s="666"/>
      <c r="D167" s="588"/>
      <c r="E167" s="588"/>
      <c r="F167" s="588"/>
      <c r="G167" s="345"/>
      <c r="H167" s="389"/>
      <c r="I167" s="520"/>
      <c r="J167" s="520"/>
      <c r="K167" s="520"/>
      <c r="L167" s="520"/>
      <c r="M167" s="520"/>
      <c r="N167" s="520"/>
      <c r="O167" s="520"/>
      <c r="P167" s="521"/>
      <c r="Q167" s="520"/>
      <c r="R167" s="520"/>
      <c r="S167" s="520"/>
      <c r="T167" s="520"/>
      <c r="U167" s="504"/>
      <c r="V167" s="504"/>
      <c r="W167" s="504"/>
      <c r="X167" s="504"/>
      <c r="Y167" s="504"/>
      <c r="Z167" s="504"/>
      <c r="AA167" s="504"/>
      <c r="AB167" s="665"/>
      <c r="AC167" s="535">
        <v>0</v>
      </c>
    </row>
    <row r="168" spans="1:29" collapsed="1">
      <c r="A168" s="664" t="s">
        <v>343</v>
      </c>
      <c r="B168" s="666" t="s">
        <v>415</v>
      </c>
      <c r="C168" s="666"/>
      <c r="D168" s="666"/>
      <c r="E168" s="666"/>
      <c r="F168" s="667"/>
      <c r="G168" s="522" t="s">
        <v>343</v>
      </c>
      <c r="H168" s="516"/>
      <c r="I168" s="421"/>
      <c r="J168" s="421"/>
      <c r="K168" s="421"/>
      <c r="L168" s="421"/>
      <c r="M168" s="421"/>
      <c r="N168" s="421"/>
      <c r="O168" s="421"/>
      <c r="P168" s="516"/>
      <c r="Q168" s="517"/>
      <c r="R168" s="517"/>
      <c r="S168" s="517"/>
      <c r="T168" s="517"/>
      <c r="U168" s="523">
        <f t="shared" ref="U168:AA168" ca="1" si="126">SUMIFS(U$23:U$167, $AC$23:$AC$167, 1)</f>
        <v>9667088.8518092819</v>
      </c>
      <c r="V168" s="523">
        <f t="shared" ca="1" si="126"/>
        <v>10230210.33762298</v>
      </c>
      <c r="W168" s="523">
        <f t="shared" ca="1" si="126"/>
        <v>10673716.641261775</v>
      </c>
      <c r="X168" s="523">
        <f t="shared" ca="1" si="126"/>
        <v>11826376.373164764</v>
      </c>
      <c r="Y168" s="523">
        <f t="shared" ca="1" si="126"/>
        <v>12318278.220712623</v>
      </c>
      <c r="Z168" s="523">
        <f t="shared" ca="1" si="126"/>
        <v>11636586.10319504</v>
      </c>
      <c r="AA168" s="524">
        <f t="shared" ca="1" si="126"/>
        <v>12038738.360372644</v>
      </c>
      <c r="AB168" s="665"/>
      <c r="AC168" s="535"/>
    </row>
    <row r="169" spans="1:29">
      <c r="A169" s="664" t="s">
        <v>344</v>
      </c>
      <c r="B169" s="666" t="s">
        <v>416</v>
      </c>
      <c r="C169" s="666"/>
      <c r="D169" s="666"/>
      <c r="E169" s="666"/>
      <c r="F169" s="667"/>
      <c r="G169" s="522" t="s">
        <v>344</v>
      </c>
      <c r="H169" s="516"/>
      <c r="I169" s="421"/>
      <c r="J169" s="421"/>
      <c r="K169" s="421"/>
      <c r="L169" s="421"/>
      <c r="M169" s="421"/>
      <c r="N169" s="421"/>
      <c r="O169" s="421"/>
      <c r="P169" s="516"/>
      <c r="Q169" s="517"/>
      <c r="R169" s="517"/>
      <c r="S169" s="517"/>
      <c r="T169" s="517"/>
      <c r="U169" s="525">
        <f ca="1">U168/$H$2</f>
        <v>19334.177703618563</v>
      </c>
      <c r="V169" s="525">
        <f t="shared" ref="V169:AA169" ca="1" si="127">V168/$H$2</f>
        <v>20460.420675245958</v>
      </c>
      <c r="W169" s="525">
        <f t="shared" ca="1" si="127"/>
        <v>21347.433282523551</v>
      </c>
      <c r="X169" s="525">
        <f t="shared" ca="1" si="127"/>
        <v>23652.752746329526</v>
      </c>
      <c r="Y169" s="525">
        <f t="shared" ca="1" si="127"/>
        <v>24636.556441425244</v>
      </c>
      <c r="Z169" s="525">
        <f t="shared" ca="1" si="127"/>
        <v>23273.172206390078</v>
      </c>
      <c r="AA169" s="526">
        <f t="shared" ca="1" si="127"/>
        <v>24077.47672074529</v>
      </c>
      <c r="AB169" s="665"/>
      <c r="AC169" s="535"/>
    </row>
    <row r="170" spans="1:29" ht="15.95" hidden="1" customHeight="1" outlineLevel="1" thickBot="1">
      <c r="A170" s="668"/>
      <c r="B170" s="668"/>
      <c r="C170" s="668"/>
      <c r="D170" s="668"/>
      <c r="E170" s="668"/>
      <c r="F170" s="668"/>
      <c r="G170" s="345"/>
      <c r="H170" s="345"/>
      <c r="I170" s="527"/>
      <c r="J170" s="527"/>
      <c r="K170" s="527"/>
      <c r="L170" s="527"/>
      <c r="M170" s="527"/>
      <c r="N170" s="527"/>
      <c r="O170" s="527"/>
      <c r="P170" s="345"/>
      <c r="Q170" s="527"/>
      <c r="R170" s="527"/>
      <c r="S170" s="527"/>
      <c r="T170" s="365" t="s">
        <v>598</v>
      </c>
      <c r="U170" s="347">
        <f ca="1">INDEX(INDIRECT($S$146 &amp; $S$147), MATCH($T170, INDIRECT($S$146 &amp; $S$148),0), MATCH(U$4, INDIRECT($S$146 &amp; $S$149),0))</f>
        <v>0</v>
      </c>
      <c r="V170" s="347">
        <f t="shared" ref="V170:AA170" ca="1" si="128">INDEX(INDIRECT($S$146 &amp; $S$147), MATCH($T170, INDIRECT($S$146 &amp; $S$148),0), MATCH(V$4, INDIRECT($S$146 &amp; $S$149),0))</f>
        <v>4.7724750277469585E-2</v>
      </c>
      <c r="W170" s="347">
        <f t="shared" ca="1" si="128"/>
        <v>0</v>
      </c>
      <c r="X170" s="347">
        <f t="shared" ca="1" si="128"/>
        <v>-7.3799435028248705E-2</v>
      </c>
      <c r="Y170" s="347">
        <f t="shared" ca="1" si="128"/>
        <v>0</v>
      </c>
      <c r="Z170" s="347">
        <f t="shared" ca="1" si="128"/>
        <v>0</v>
      </c>
      <c r="AA170" s="347">
        <f t="shared" ca="1" si="128"/>
        <v>0</v>
      </c>
      <c r="AB170" s="669"/>
      <c r="AC170" s="535"/>
    </row>
    <row r="171" spans="1:29" collapsed="1">
      <c r="A171" s="668"/>
      <c r="B171" s="670"/>
      <c r="C171" s="671" t="s">
        <v>123</v>
      </c>
      <c r="D171" s="672"/>
      <c r="E171" s="672"/>
      <c r="F171" s="670"/>
      <c r="G171" s="336" t="s">
        <v>345</v>
      </c>
      <c r="H171" s="387" t="s">
        <v>213</v>
      </c>
      <c r="I171" s="343">
        <f t="shared" ref="I171:O175" ca="1" si="129">INDEX(INDIRECT($B$166 &amp; $B$167), MATCH($C171, INDIRECT($B$166 &amp; $B$168),0), MATCH(I$4, INDIRECT($B$166 &amp; $B$169),0))</f>
        <v>561.69148625945911</v>
      </c>
      <c r="J171" s="343">
        <f t="shared" ca="1" si="129"/>
        <v>577.81660069752968</v>
      </c>
      <c r="K171" s="343">
        <f t="shared" ca="1" si="129"/>
        <v>577.81660069752968</v>
      </c>
      <c r="L171" s="343">
        <f t="shared" ca="1" si="129"/>
        <v>577.81660069752968</v>
      </c>
      <c r="M171" s="343">
        <f t="shared" ca="1" si="129"/>
        <v>577.81660069752968</v>
      </c>
      <c r="N171" s="343">
        <f t="shared" ca="1" si="129"/>
        <v>577.81660069752968</v>
      </c>
      <c r="O171" s="343">
        <f t="shared" ca="1" si="129"/>
        <v>577.81660069752968</v>
      </c>
      <c r="P171" s="479"/>
      <c r="Q171" s="528" t="s">
        <v>123</v>
      </c>
      <c r="R171" s="453">
        <f ca="1">INDEX(INDIRECT($S$171 &amp; $S$172), MATCH($Q171, INDIRECT($S$171 &amp; $S$173),0), MATCH($R$139, INDIRECT($S$171 &amp; $S$174),0))</f>
        <v>0.5056927606954541</v>
      </c>
      <c r="S171" s="529" t="s">
        <v>1063</v>
      </c>
      <c r="T171" s="530" t="s">
        <v>568</v>
      </c>
      <c r="U171" s="456">
        <f t="shared" ref="U171:AA175" ca="1" si="130">I171*$H$2*(1+VLOOKUP($T171,$T$137:$AA$139,MATCH(U$4,$T$4:$AA$4,0),0))*(1+U$141*$R171)</f>
        <v>296017.73141189473</v>
      </c>
      <c r="V171" s="456">
        <f t="shared" ca="1" si="130"/>
        <v>328712.78087460052</v>
      </c>
      <c r="W171" s="456">
        <f t="shared" ca="1" si="130"/>
        <v>338305.96924976609</v>
      </c>
      <c r="X171" s="456">
        <f t="shared" ca="1" si="130"/>
        <v>343274.51539588347</v>
      </c>
      <c r="Y171" s="456">
        <f t="shared" ca="1" si="130"/>
        <v>375845.55793384183</v>
      </c>
      <c r="Z171" s="456">
        <f t="shared" ca="1" si="130"/>
        <v>396149.6734149229</v>
      </c>
      <c r="AA171" s="471">
        <f t="shared" ca="1" si="130"/>
        <v>417550.66791124479</v>
      </c>
      <c r="AB171" s="673"/>
      <c r="AC171" s="535"/>
    </row>
    <row r="172" spans="1:29">
      <c r="A172" s="668"/>
      <c r="B172" s="670"/>
      <c r="C172" s="671" t="s">
        <v>124</v>
      </c>
      <c r="D172" s="672"/>
      <c r="E172" s="672"/>
      <c r="F172" s="670"/>
      <c r="G172" s="345"/>
      <c r="H172" s="389" t="s">
        <v>214</v>
      </c>
      <c r="I172" s="351">
        <f t="shared" ca="1" si="129"/>
        <v>269.59081319019515</v>
      </c>
      <c r="J172" s="351">
        <f t="shared" ca="1" si="129"/>
        <v>279.29608246504216</v>
      </c>
      <c r="K172" s="351">
        <f t="shared" ca="1" si="129"/>
        <v>279.29608246504216</v>
      </c>
      <c r="L172" s="351">
        <f t="shared" ca="1" si="129"/>
        <v>279.29608246504216</v>
      </c>
      <c r="M172" s="351">
        <f t="shared" ca="1" si="129"/>
        <v>279.29608246504216</v>
      </c>
      <c r="N172" s="351">
        <f t="shared" ca="1" si="129"/>
        <v>279.29608246504216</v>
      </c>
      <c r="O172" s="351">
        <f t="shared" ca="1" si="129"/>
        <v>279.29608246504216</v>
      </c>
      <c r="P172" s="435"/>
      <c r="Q172" s="10" t="s">
        <v>590</v>
      </c>
      <c r="R172" s="402">
        <f ca="1">INDEX(INDIRECT($S$171 &amp; $S$172), MATCH($Q172, INDIRECT($S$171 &amp; $S$173),0), MATCH($R$139, INDIRECT($S$171 &amp; $S$174),0))</f>
        <v>0.39705621942378394</v>
      </c>
      <c r="S172" s="423" t="s">
        <v>596</v>
      </c>
      <c r="T172" s="423" t="s">
        <v>419</v>
      </c>
      <c r="U172" s="441">
        <f t="shared" ca="1" si="130"/>
        <v>134795.40659509756</v>
      </c>
      <c r="V172" s="441">
        <f t="shared" ca="1" si="130"/>
        <v>146379.29258443433</v>
      </c>
      <c r="W172" s="441">
        <f t="shared" ca="1" si="130"/>
        <v>147666.11058558448</v>
      </c>
      <c r="X172" s="441">
        <f t="shared" ca="1" si="130"/>
        <v>146906.38392330921</v>
      </c>
      <c r="Y172" s="441">
        <f t="shared" ca="1" si="130"/>
        <v>154904.64541821121</v>
      </c>
      <c r="Z172" s="441">
        <f t="shared" ca="1" si="130"/>
        <v>158356.8697230024</v>
      </c>
      <c r="AA172" s="445">
        <f t="shared" ca="1" si="130"/>
        <v>161920.4561021417</v>
      </c>
      <c r="AB172" s="673"/>
      <c r="AC172" s="535"/>
    </row>
    <row r="173" spans="1:29">
      <c r="A173" s="668"/>
      <c r="B173" s="670"/>
      <c r="C173" s="671" t="s">
        <v>125</v>
      </c>
      <c r="D173" s="672"/>
      <c r="E173" s="672"/>
      <c r="F173" s="670"/>
      <c r="G173" s="345"/>
      <c r="H173" s="389" t="s">
        <v>215</v>
      </c>
      <c r="I173" s="351">
        <f t="shared" ca="1" si="129"/>
        <v>92.31574193489989</v>
      </c>
      <c r="J173" s="351">
        <f t="shared" ca="1" si="129"/>
        <v>94.965954622026203</v>
      </c>
      <c r="K173" s="351">
        <f t="shared" ca="1" si="129"/>
        <v>94.965954622026203</v>
      </c>
      <c r="L173" s="351">
        <f t="shared" ca="1" si="129"/>
        <v>94.965954622026203</v>
      </c>
      <c r="M173" s="351">
        <f t="shared" ca="1" si="129"/>
        <v>94.965954622026203</v>
      </c>
      <c r="N173" s="351">
        <f t="shared" ca="1" si="129"/>
        <v>94.965954622026203</v>
      </c>
      <c r="O173" s="351">
        <f t="shared" ca="1" si="129"/>
        <v>94.965954622026203</v>
      </c>
      <c r="P173" s="435"/>
      <c r="Q173" s="10" t="s">
        <v>592</v>
      </c>
      <c r="R173" s="402">
        <f ca="1">INDEX(INDIRECT($S$171 &amp; $S$172), MATCH($Q173, INDIRECT($S$171 &amp; $S$173),0), MATCH($R$139, INDIRECT($S$171 &amp; $S$174),0))</f>
        <v>0.36106412342112754</v>
      </c>
      <c r="S173" s="423" t="s">
        <v>613</v>
      </c>
      <c r="T173" s="423" t="s">
        <v>419</v>
      </c>
      <c r="U173" s="441">
        <f t="shared" ca="1" si="130"/>
        <v>46157.870967449948</v>
      </c>
      <c r="V173" s="441">
        <f t="shared" ca="1" si="130"/>
        <v>49687.826518764865</v>
      </c>
      <c r="W173" s="441">
        <f t="shared" ca="1" si="130"/>
        <v>50209.272659013841</v>
      </c>
      <c r="X173" s="441">
        <f t="shared" ca="1" si="130"/>
        <v>50087.635955900761</v>
      </c>
      <c r="Y173" s="441">
        <f t="shared" ca="1" si="130"/>
        <v>52670.511514847865</v>
      </c>
      <c r="Z173" s="441">
        <f t="shared" ca="1" si="130"/>
        <v>53844.333123014854</v>
      </c>
      <c r="AA173" s="445">
        <f t="shared" ca="1" si="130"/>
        <v>55056.019944348525</v>
      </c>
      <c r="AB173" s="673"/>
      <c r="AC173" s="535"/>
    </row>
    <row r="174" spans="1:29">
      <c r="A174" s="668"/>
      <c r="B174" s="670"/>
      <c r="C174" s="671" t="s">
        <v>126</v>
      </c>
      <c r="D174" s="672"/>
      <c r="E174" s="672"/>
      <c r="F174" s="670"/>
      <c r="G174" s="345"/>
      <c r="H174" s="389" t="s">
        <v>216</v>
      </c>
      <c r="I174" s="351">
        <f t="shared" ca="1" si="129"/>
        <v>71.20107681306348</v>
      </c>
      <c r="J174" s="351">
        <f t="shared" ca="1" si="129"/>
        <v>71.20107681306348</v>
      </c>
      <c r="K174" s="351">
        <f t="shared" ca="1" si="129"/>
        <v>71.20107681306348</v>
      </c>
      <c r="L174" s="351">
        <f t="shared" ca="1" si="129"/>
        <v>71.20107681306348</v>
      </c>
      <c r="M174" s="351">
        <f t="shared" ca="1" si="129"/>
        <v>71.20107681306348</v>
      </c>
      <c r="N174" s="351">
        <f t="shared" ca="1" si="129"/>
        <v>71.20107681306348</v>
      </c>
      <c r="O174" s="351">
        <f t="shared" ca="1" si="129"/>
        <v>71.20107681306348</v>
      </c>
      <c r="P174" s="435"/>
      <c r="Q174" s="10" t="s">
        <v>594</v>
      </c>
      <c r="R174" s="402">
        <f ca="1">INDEX(INDIRECT($S$171 &amp; $S$172), MATCH($Q174, INDIRECT($S$171 &amp; $S$173),0), MATCH($R$139, INDIRECT($S$171 &amp; $S$174),0))</f>
        <v>0.3610308294638373</v>
      </c>
      <c r="S174" s="423" t="s">
        <v>597</v>
      </c>
      <c r="T174" s="423" t="s">
        <v>419</v>
      </c>
      <c r="U174" s="441">
        <f t="shared" ca="1" si="130"/>
        <v>35600.538406531741</v>
      </c>
      <c r="V174" s="441">
        <f t="shared" ca="1" si="130"/>
        <v>37253.574089033107</v>
      </c>
      <c r="W174" s="441">
        <f t="shared" ca="1" si="130"/>
        <v>37644.588458581406</v>
      </c>
      <c r="X174" s="441">
        <f t="shared" ca="1" si="130"/>
        <v>37553.485686647953</v>
      </c>
      <c r="Y174" s="441">
        <f t="shared" ca="1" si="130"/>
        <v>39489.911422237361</v>
      </c>
      <c r="Z174" s="441">
        <f t="shared" ca="1" si="130"/>
        <v>40369.988527980968</v>
      </c>
      <c r="AA174" s="445">
        <f t="shared" ca="1" si="130"/>
        <v>41278.455217780829</v>
      </c>
      <c r="AB174" s="673"/>
      <c r="AC174" s="535"/>
    </row>
    <row r="175" spans="1:29">
      <c r="A175" s="668"/>
      <c r="B175" s="670"/>
      <c r="C175" s="671" t="s">
        <v>127</v>
      </c>
      <c r="D175" s="672"/>
      <c r="E175" s="672"/>
      <c r="F175" s="670"/>
      <c r="G175" s="356"/>
      <c r="H175" s="396" t="s">
        <v>217</v>
      </c>
      <c r="I175" s="381">
        <f t="shared" ca="1" si="129"/>
        <v>144.06795322060901</v>
      </c>
      <c r="J175" s="381">
        <f t="shared" ca="1" si="129"/>
        <v>144.58708149915898</v>
      </c>
      <c r="K175" s="381">
        <f t="shared" ca="1" si="129"/>
        <v>144.58708149915898</v>
      </c>
      <c r="L175" s="381">
        <f t="shared" ca="1" si="129"/>
        <v>144.58708149915898</v>
      </c>
      <c r="M175" s="381">
        <f t="shared" ca="1" si="129"/>
        <v>144.58708149915898</v>
      </c>
      <c r="N175" s="381">
        <f t="shared" ca="1" si="129"/>
        <v>144.58708149915898</v>
      </c>
      <c r="O175" s="381">
        <f t="shared" ca="1" si="129"/>
        <v>144.58708149915898</v>
      </c>
      <c r="P175" s="474"/>
      <c r="Q175" s="84" t="s">
        <v>127</v>
      </c>
      <c r="R175" s="458">
        <f ca="1">INDEX(INDIRECT($S$171 &amp; $S$172), MATCH($Q175, INDIRECT($S$171 &amp; $S$173),0), MATCH($R$139, INDIRECT($S$171 &amp; $S$174),0))</f>
        <v>0.43986958249734731</v>
      </c>
      <c r="S175" s="484"/>
      <c r="T175" s="484" t="s">
        <v>419</v>
      </c>
      <c r="U175" s="448">
        <f t="shared" ca="1" si="130"/>
        <v>72033.976610304511</v>
      </c>
      <c r="V175" s="448">
        <f t="shared" ca="1" si="130"/>
        <v>75930.156000693023</v>
      </c>
      <c r="W175" s="448">
        <f t="shared" ca="1" si="130"/>
        <v>76444.366055775434</v>
      </c>
      <c r="X175" s="448">
        <f t="shared" ca="1" si="130"/>
        <v>75803.523010591249</v>
      </c>
      <c r="Y175" s="448">
        <f t="shared" ca="1" si="130"/>
        <v>80191.638901646787</v>
      </c>
      <c r="Z175" s="448">
        <f t="shared" ca="1" si="130"/>
        <v>81978.799797370055</v>
      </c>
      <c r="AA175" s="475">
        <f t="shared" ca="1" si="130"/>
        <v>83823.611044568257</v>
      </c>
      <c r="AB175" s="673"/>
      <c r="AC175" s="535"/>
    </row>
    <row r="176" spans="1:29" ht="15.95" hidden="1" customHeight="1" outlineLevel="1" thickBot="1">
      <c r="A176" s="668"/>
      <c r="B176" s="670"/>
      <c r="C176" s="671"/>
      <c r="D176" s="672"/>
      <c r="E176" s="672"/>
      <c r="F176" s="672"/>
      <c r="G176" s="345"/>
      <c r="H176" s="345"/>
      <c r="I176" s="527"/>
      <c r="J176" s="527"/>
      <c r="K176" s="527"/>
      <c r="L176" s="527"/>
      <c r="M176" s="527"/>
      <c r="N176" s="527"/>
      <c r="O176" s="527"/>
      <c r="P176" s="345"/>
      <c r="Q176" s="527"/>
      <c r="R176" s="527"/>
      <c r="S176" s="527"/>
      <c r="T176" s="527"/>
      <c r="U176" s="527"/>
      <c r="V176" s="527"/>
      <c r="W176" s="527"/>
      <c r="X176" s="527"/>
      <c r="Y176" s="527"/>
      <c r="Z176" s="527"/>
      <c r="AA176" s="527"/>
      <c r="AB176" s="668"/>
      <c r="AC176" s="535"/>
    </row>
    <row r="177" spans="1:29" collapsed="1">
      <c r="A177" s="674" t="s">
        <v>346</v>
      </c>
      <c r="B177" s="670"/>
      <c r="C177" s="671"/>
      <c r="D177" s="672"/>
      <c r="E177" s="672"/>
      <c r="F177" s="670"/>
      <c r="G177" s="532" t="s">
        <v>346</v>
      </c>
      <c r="H177" s="516"/>
      <c r="I177" s="421"/>
      <c r="J177" s="421"/>
      <c r="K177" s="421"/>
      <c r="L177" s="421"/>
      <c r="M177" s="421"/>
      <c r="N177" s="421"/>
      <c r="O177" s="421"/>
      <c r="P177" s="516"/>
      <c r="Q177" s="533"/>
      <c r="R177" s="533"/>
      <c r="S177" s="533"/>
      <c r="T177" s="533"/>
      <c r="U177" s="523">
        <f ca="1">U168+SUM(U171:U175)</f>
        <v>10251694.375800561</v>
      </c>
      <c r="V177" s="523">
        <f t="shared" ref="V177:AA177" ca="1" si="131">V168+SUM(V171:V175)</f>
        <v>10868173.967690505</v>
      </c>
      <c r="W177" s="523">
        <f t="shared" ca="1" si="131"/>
        <v>11323986.948270496</v>
      </c>
      <c r="X177" s="523">
        <f t="shared" ca="1" si="131"/>
        <v>12480001.917137096</v>
      </c>
      <c r="Y177" s="523">
        <f t="shared" ca="1" si="131"/>
        <v>13021380.485903408</v>
      </c>
      <c r="Z177" s="523">
        <f t="shared" ca="1" si="131"/>
        <v>12367285.76778133</v>
      </c>
      <c r="AA177" s="524">
        <f t="shared" ca="1" si="131"/>
        <v>12798367.570592728</v>
      </c>
      <c r="AB177" s="668"/>
      <c r="AC177" s="535"/>
    </row>
    <row r="178" spans="1:29">
      <c r="A178" s="674" t="s">
        <v>347</v>
      </c>
      <c r="B178" s="670"/>
      <c r="C178" s="671"/>
      <c r="D178" s="672"/>
      <c r="E178" s="672"/>
      <c r="F178" s="670"/>
      <c r="G178" s="532" t="s">
        <v>347</v>
      </c>
      <c r="H178" s="516"/>
      <c r="I178" s="421"/>
      <c r="J178" s="421"/>
      <c r="K178" s="421"/>
      <c r="L178" s="421"/>
      <c r="M178" s="421"/>
      <c r="N178" s="421"/>
      <c r="O178" s="421"/>
      <c r="P178" s="516"/>
      <c r="Q178" s="533"/>
      <c r="R178" s="533"/>
      <c r="S178" s="533"/>
      <c r="T178" s="533"/>
      <c r="U178" s="525">
        <f ca="1">U177/$H$2</f>
        <v>20503.388751601124</v>
      </c>
      <c r="V178" s="525">
        <f t="shared" ref="V178:AA178" ca="1" si="132">V177/$H$2</f>
        <v>21736.347935381011</v>
      </c>
      <c r="W178" s="525">
        <f t="shared" ca="1" si="132"/>
        <v>22647.973896540992</v>
      </c>
      <c r="X178" s="525">
        <f t="shared" ca="1" si="132"/>
        <v>24960.00383427419</v>
      </c>
      <c r="Y178" s="525">
        <f t="shared" ca="1" si="132"/>
        <v>26042.760971806816</v>
      </c>
      <c r="Z178" s="525">
        <f t="shared" ca="1" si="132"/>
        <v>24734.57153556266</v>
      </c>
      <c r="AA178" s="526">
        <f t="shared" ca="1" si="132"/>
        <v>25596.735141185454</v>
      </c>
      <c r="AB178" s="668"/>
      <c r="AC178" s="535"/>
    </row>
    <row r="179" spans="1:29">
      <c r="A179" s="11" t="s">
        <v>663</v>
      </c>
      <c r="G179" s="534" t="s">
        <v>1115</v>
      </c>
      <c r="H179" s="535"/>
      <c r="I179" s="536">
        <f ca="1">U179</f>
        <v>1169.2110479825606</v>
      </c>
      <c r="J179" s="536">
        <f ca="1">V179</f>
        <v>1275.9272601350531</v>
      </c>
      <c r="K179" s="536">
        <f ca="1">W179</f>
        <v>1300.5406140174418</v>
      </c>
      <c r="L179" s="536">
        <f ca="1">X179</f>
        <v>1307.2510879446636</v>
      </c>
      <c r="M179" s="536">
        <f ca="1">Y179</f>
        <v>1406.2045303815721</v>
      </c>
      <c r="N179" s="536">
        <f t="shared" ref="N179:O179" ca="1" si="133">Z179</f>
        <v>1461.3993291725819</v>
      </c>
      <c r="O179" s="536">
        <f t="shared" ca="1" si="133"/>
        <v>1519.2584204401646</v>
      </c>
      <c r="P179" s="535"/>
      <c r="Q179" s="515"/>
      <c r="R179" s="515"/>
      <c r="S179" s="515"/>
      <c r="T179" s="515"/>
      <c r="U179" s="536">
        <f ca="1">U178-U169</f>
        <v>1169.2110479825606</v>
      </c>
      <c r="V179" s="536">
        <f t="shared" ref="V179:AA179" ca="1" si="134">V178-V169</f>
        <v>1275.9272601350531</v>
      </c>
      <c r="W179" s="536">
        <f t="shared" ca="1" si="134"/>
        <v>1300.5406140174418</v>
      </c>
      <c r="X179" s="536">
        <f t="shared" ca="1" si="134"/>
        <v>1307.2510879446636</v>
      </c>
      <c r="Y179" s="536">
        <f t="shared" ca="1" si="134"/>
        <v>1406.2045303815721</v>
      </c>
      <c r="Z179" s="536">
        <f t="shared" ca="1" si="134"/>
        <v>1461.3993291725819</v>
      </c>
      <c r="AA179" s="537">
        <f t="shared" ca="1" si="134"/>
        <v>1519.2584204401646</v>
      </c>
    </row>
    <row r="180" spans="1:29">
      <c r="H180" s="538"/>
    </row>
    <row r="181" spans="1:29">
      <c r="H181" s="499"/>
    </row>
    <row r="182" spans="1:29">
      <c r="H182" s="499"/>
      <c r="U182" s="45"/>
      <c r="V182" s="45"/>
      <c r="W182" s="45"/>
      <c r="X182" s="45"/>
      <c r="Y182" s="45"/>
    </row>
    <row r="183" spans="1:29">
      <c r="H183" s="499"/>
    </row>
    <row r="184" spans="1:29">
      <c r="H184" s="499"/>
      <c r="U184" s="45"/>
      <c r="V184" s="45"/>
      <c r="W184" s="45"/>
      <c r="X184" s="45"/>
      <c r="Y184" s="45"/>
    </row>
    <row r="185" spans="1:29">
      <c r="H185" s="499"/>
    </row>
    <row r="186" spans="1:29">
      <c r="H186" s="499"/>
    </row>
    <row r="187" spans="1:29">
      <c r="H187" s="499"/>
    </row>
    <row r="188" spans="1:29">
      <c r="H188" s="499"/>
    </row>
    <row r="189" spans="1:29">
      <c r="H189" s="499"/>
    </row>
  </sheetData>
  <sheetProtection sheet="1" objects="1" scenarios="1"/>
  <mergeCells count="1">
    <mergeCell ref="C129:F129"/>
  </mergeCells>
  <dataValidations disablePrompts="1" count="1">
    <dataValidation type="list" allowBlank="1" showInputMessage="1" showErrorMessage="1" sqref="F3" xr:uid="{00000000-0002-0000-0F00-000000000000}">
      <formula1>$B$3:$B$5</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89"/>
  <sheetViews>
    <sheetView topLeftCell="A2" zoomScaleNormal="100" workbookViewId="0">
      <pane xSplit="8" ySplit="5" topLeftCell="I7" activePane="bottomRight" state="frozen"/>
      <selection activeCell="I7" sqref="I7"/>
      <selection pane="topRight" activeCell="I7" sqref="I7"/>
      <selection pane="bottomLeft" activeCell="I7" sqref="I7"/>
      <selection pane="bottomRight" activeCell="I7" sqref="I7"/>
    </sheetView>
  </sheetViews>
  <sheetFormatPr defaultColWidth="12.7109375" defaultRowHeight="15.75" outlineLevelRow="1" outlineLevelCol="1"/>
  <cols>
    <col min="1" max="1" width="2.7109375" style="11" hidden="1" customWidth="1" outlineLevel="1"/>
    <col min="2" max="2" width="30" style="304" hidden="1" customWidth="1" outlineLevel="1"/>
    <col min="3" max="3" width="21.7109375" style="304" hidden="1" customWidth="1" outlineLevel="1"/>
    <col min="4" max="4" width="24.42578125" style="304" hidden="1" customWidth="1" outlineLevel="1"/>
    <col min="5" max="5" width="6.28515625" style="304" hidden="1" customWidth="1" outlineLevel="1"/>
    <col min="6" max="6" width="10.7109375" style="304" hidden="1" customWidth="1" outlineLevel="1"/>
    <col min="7" max="7" width="55" style="65" bestFit="1" customWidth="1" collapsed="1"/>
    <col min="8" max="8" width="70.140625" style="11" bestFit="1" customWidth="1"/>
    <col min="9" max="9" width="62.7109375" style="11" bestFit="1" customWidth="1"/>
    <col min="10" max="10" width="10.7109375" style="11" bestFit="1" customWidth="1"/>
    <col min="11" max="15" width="11.140625" style="11" bestFit="1" customWidth="1"/>
    <col min="16" max="16" width="12.42578125" style="11" bestFit="1" customWidth="1"/>
    <col min="17" max="17" width="24.42578125" style="11" hidden="1" customWidth="1" outlineLevel="1"/>
    <col min="18" max="18" width="9.5703125" style="11" hidden="1" customWidth="1" outlineLevel="1"/>
    <col min="19" max="19" width="25.28515625" style="11" hidden="1" customWidth="1" outlineLevel="1"/>
    <col min="20" max="20" width="54.85546875" style="11" hidden="1" customWidth="1" outlineLevel="1"/>
    <col min="21" max="21" width="13.42578125" style="11" bestFit="1" customWidth="1" collapsed="1"/>
    <col min="22" max="22" width="13.42578125" style="11" bestFit="1" customWidth="1"/>
    <col min="23" max="23" width="13.85546875" style="11" bestFit="1" customWidth="1"/>
    <col min="24" max="24" width="13.42578125" style="11" bestFit="1" customWidth="1"/>
    <col min="25" max="27" width="13.85546875" style="11" bestFit="1" customWidth="1"/>
    <col min="28" max="28" width="6.140625" style="11" hidden="1" customWidth="1" outlineLevel="1"/>
    <col min="29" max="29" width="2.5703125" style="11" hidden="1" customWidth="1" outlineLevel="1"/>
    <col min="30" max="30" width="12.7109375" style="11" collapsed="1"/>
    <col min="31" max="16384" width="12.7109375" style="11"/>
  </cols>
  <sheetData>
    <row r="1" spans="1:29" ht="15.95" hidden="1" customHeight="1" outlineLevel="1" thickBot="1">
      <c r="A1" s="675"/>
      <c r="B1" s="675"/>
      <c r="C1" s="675"/>
      <c r="D1" s="675"/>
      <c r="E1" s="675"/>
      <c r="F1" s="675"/>
      <c r="G1" s="676"/>
      <c r="H1" s="654"/>
      <c r="I1" s="535"/>
      <c r="J1" s="535"/>
      <c r="K1" s="535"/>
      <c r="L1" s="535"/>
      <c r="M1" s="535"/>
      <c r="N1" s="535"/>
      <c r="O1" s="535"/>
      <c r="P1" s="535"/>
      <c r="Q1" s="677"/>
      <c r="R1" s="677"/>
      <c r="S1" s="535"/>
      <c r="T1" s="535"/>
      <c r="U1" s="535"/>
      <c r="V1" s="535"/>
      <c r="W1" s="535"/>
      <c r="X1" s="535"/>
      <c r="Y1" s="535"/>
      <c r="Z1" s="535"/>
      <c r="AA1" s="535"/>
      <c r="AB1" s="678"/>
      <c r="AC1" s="535"/>
    </row>
    <row r="2" spans="1:29" collapsed="1">
      <c r="A2" s="675"/>
      <c r="B2" s="675"/>
      <c r="C2" s="675" t="s">
        <v>384</v>
      </c>
      <c r="D2" s="679"/>
      <c r="E2" s="679"/>
      <c r="F2" s="680"/>
      <c r="G2" s="305" t="s">
        <v>279</v>
      </c>
      <c r="H2" s="305">
        <f>VLOOKUP($F$3, $B$2:$C$5, MATCH("School Size", $B$2:$C$2,0),0)</f>
        <v>1000</v>
      </c>
      <c r="I2" s="306"/>
      <c r="J2" s="306"/>
      <c r="K2" s="306"/>
      <c r="L2" s="307"/>
      <c r="M2" s="307"/>
      <c r="N2" s="307"/>
      <c r="O2" s="307"/>
      <c r="P2" s="307"/>
      <c r="Q2" s="307"/>
      <c r="R2" s="307"/>
      <c r="S2" s="307"/>
      <c r="T2" s="307"/>
      <c r="U2" s="308"/>
      <c r="V2" s="308"/>
      <c r="W2" s="308"/>
      <c r="X2" s="308"/>
      <c r="Y2" s="308"/>
      <c r="Z2" s="308"/>
      <c r="AA2" s="309"/>
      <c r="AB2" s="678"/>
      <c r="AC2" s="535"/>
    </row>
    <row r="3" spans="1:29" ht="15" customHeight="1">
      <c r="A3" s="675"/>
      <c r="B3" s="679" t="s">
        <v>374</v>
      </c>
      <c r="C3" s="675">
        <f>VLOOKUP($B3, ComputerAssumptions!$A$2:$B$5, MATCH($C$2, ComputerAssumptions!$A$2:$B$2,0),0)</f>
        <v>360</v>
      </c>
      <c r="D3" s="679"/>
      <c r="E3" s="679"/>
      <c r="F3" s="680" t="s">
        <v>376</v>
      </c>
      <c r="G3" s="310" t="str">
        <f>$F$3 &amp; " School"</f>
        <v>High School</v>
      </c>
      <c r="H3" s="311" t="s">
        <v>281</v>
      </c>
      <c r="I3" s="312" t="s">
        <v>350</v>
      </c>
      <c r="J3" s="313"/>
      <c r="K3" s="313"/>
      <c r="L3" s="313"/>
      <c r="M3" s="313"/>
      <c r="N3" s="313"/>
      <c r="O3" s="313"/>
      <c r="P3" s="314"/>
      <c r="Q3" s="315"/>
      <c r="R3" s="315"/>
      <c r="S3" s="316"/>
      <c r="T3" s="316"/>
      <c r="U3" s="317" t="s">
        <v>348</v>
      </c>
      <c r="V3" s="318"/>
      <c r="W3" s="318"/>
      <c r="X3" s="318"/>
      <c r="Y3" s="318"/>
      <c r="Z3" s="318"/>
      <c r="AA3" s="319"/>
      <c r="AB3" s="678"/>
      <c r="AC3" s="535"/>
    </row>
    <row r="4" spans="1:29" ht="32.25" thickBot="1">
      <c r="A4" s="675"/>
      <c r="B4" s="679" t="s">
        <v>375</v>
      </c>
      <c r="C4" s="675">
        <f>VLOOKUP($B4, ComputerAssumptions!$A$2:$B$5, MATCH($C$2, ComputerAssumptions!$A$2:$B$2,0),0)</f>
        <v>500</v>
      </c>
      <c r="D4" s="681"/>
      <c r="E4" s="681"/>
      <c r="F4" s="682"/>
      <c r="G4" s="321" t="s">
        <v>280</v>
      </c>
      <c r="H4" s="322"/>
      <c r="I4" s="323" t="str">
        <f>Years!A7</f>
        <v>2024-25</v>
      </c>
      <c r="J4" s="323" t="str">
        <f>Years!B7</f>
        <v>2025-26</v>
      </c>
      <c r="K4" s="323" t="str">
        <f>Years!C7</f>
        <v>2026-27</v>
      </c>
      <c r="L4" s="323" t="str">
        <f>Years!D7</f>
        <v>2027-28</v>
      </c>
      <c r="M4" s="323" t="str">
        <f>Years!E7</f>
        <v>2028-29</v>
      </c>
      <c r="N4" s="323" t="str">
        <f>Years!F7</f>
        <v>2029-30</v>
      </c>
      <c r="O4" s="323" t="str">
        <f>Years!G7</f>
        <v>2030-31</v>
      </c>
      <c r="P4" s="324" t="s">
        <v>282</v>
      </c>
      <c r="Q4" s="325"/>
      <c r="R4" s="325"/>
      <c r="S4" s="323"/>
      <c r="T4" s="323"/>
      <c r="U4" s="326" t="str">
        <f t="shared" ref="U4:AA4" si="0">I4</f>
        <v>2024-25</v>
      </c>
      <c r="V4" s="327" t="str">
        <f t="shared" si="0"/>
        <v>2025-26</v>
      </c>
      <c r="W4" s="327" t="str">
        <f t="shared" si="0"/>
        <v>2026-27</v>
      </c>
      <c r="X4" s="327" t="str">
        <f t="shared" si="0"/>
        <v>2027-28</v>
      </c>
      <c r="Y4" s="327" t="str">
        <f t="shared" si="0"/>
        <v>2028-29</v>
      </c>
      <c r="Z4" s="327" t="str">
        <f t="shared" si="0"/>
        <v>2029-30</v>
      </c>
      <c r="AA4" s="328" t="str">
        <f t="shared" si="0"/>
        <v>2030-31</v>
      </c>
      <c r="AB4" s="683"/>
      <c r="AC4" s="535"/>
    </row>
    <row r="5" spans="1:29" ht="15" hidden="1" customHeight="1" outlineLevel="1">
      <c r="A5" s="675"/>
      <c r="B5" s="681" t="s">
        <v>376</v>
      </c>
      <c r="C5" s="675">
        <f>VLOOKUP($B5, ComputerAssumptions!$A$2:$B$5, MATCH($C$2, ComputerAssumptions!$A$2:$B$2,0),0)</f>
        <v>1000</v>
      </c>
      <c r="D5" s="535"/>
      <c r="E5" s="535"/>
      <c r="F5" s="535"/>
      <c r="G5" s="329"/>
      <c r="H5" s="330"/>
      <c r="I5" s="331"/>
      <c r="J5" s="331"/>
      <c r="K5" s="331"/>
      <c r="L5" s="331"/>
      <c r="M5" s="331"/>
      <c r="N5" s="331"/>
      <c r="O5" s="331"/>
      <c r="P5" s="332"/>
      <c r="Q5" s="331"/>
      <c r="R5" s="331"/>
      <c r="T5" s="333"/>
      <c r="U5" s="333"/>
      <c r="V5" s="334"/>
      <c r="W5" s="334"/>
      <c r="X5" s="334"/>
      <c r="Y5" s="334"/>
      <c r="Z5" s="334"/>
      <c r="AA5" s="334"/>
      <c r="AB5" s="684"/>
      <c r="AC5" s="535"/>
    </row>
    <row r="6" spans="1:29" ht="15.95" hidden="1" customHeight="1" outlineLevel="1" thickBot="1">
      <c r="A6" s="681"/>
      <c r="B6" s="681"/>
      <c r="C6" s="675"/>
      <c r="D6" s="535"/>
      <c r="E6" s="535"/>
      <c r="F6" s="535"/>
      <c r="G6" s="329"/>
      <c r="H6" s="330"/>
      <c r="I6" s="331"/>
      <c r="J6" s="331"/>
      <c r="K6" s="331"/>
      <c r="L6" s="331"/>
      <c r="M6" s="331"/>
      <c r="N6" s="331"/>
      <c r="O6" s="331"/>
      <c r="P6" s="332"/>
      <c r="Q6" s="331"/>
      <c r="R6" s="331"/>
      <c r="T6" s="333"/>
      <c r="U6" s="333"/>
      <c r="V6" s="334"/>
      <c r="W6" s="334"/>
      <c r="X6" s="334"/>
      <c r="Y6" s="334"/>
      <c r="Z6" s="334"/>
      <c r="AA6" s="334"/>
      <c r="AB6" s="678"/>
      <c r="AC6" s="535"/>
    </row>
    <row r="7" spans="1:29" collapsed="1">
      <c r="A7" s="681"/>
      <c r="B7" s="685" t="s">
        <v>948</v>
      </c>
      <c r="C7" s="675"/>
      <c r="D7" s="675" t="s">
        <v>250</v>
      </c>
      <c r="E7" s="675"/>
      <c r="F7" s="686"/>
      <c r="G7" s="336" t="s">
        <v>283</v>
      </c>
      <c r="H7" s="337">
        <f t="shared" ref="H7:H13" ca="1" si="1">INDEX(INDIRECT($S$7 &amp; $S$8), MATCH($T7, INDIRECT($S$7 &amp; $S$9), 0), MATCH(I$4, INDIRECT($S$7 &amp; $S$10), 0))</f>
        <v>81660</v>
      </c>
      <c r="I7" s="338">
        <f t="shared" ref="I7:O12" ca="1" si="2">INDEX(INDIRECT($B$7 &amp; $B$8), MATCH($D7, INDIRECT($B$7 &amp; $B$9), 0), MATCH(I$4, INDIRECT($B$7 &amp; $B$10), 0))</f>
        <v>5.9308841843088489E-2</v>
      </c>
      <c r="J7" s="338">
        <f t="shared" ca="1" si="2"/>
        <v>5.7261817291207384E-2</v>
      </c>
      <c r="K7" s="338">
        <f t="shared" ca="1" si="2"/>
        <v>7.0447760849378316E-2</v>
      </c>
      <c r="L7" s="338">
        <f t="shared" ca="1" si="2"/>
        <v>4.1579598884074587E-2</v>
      </c>
      <c r="M7" s="338">
        <f t="shared" ca="1" si="2"/>
        <v>4.4945720794081545E-2</v>
      </c>
      <c r="N7" s="338">
        <f t="shared" ca="1" si="2"/>
        <v>2.4679257929887566E-2</v>
      </c>
      <c r="O7" s="338">
        <f t="shared" ca="1" si="2"/>
        <v>5.2393302574846645E-2</v>
      </c>
      <c r="P7" s="339"/>
      <c r="Q7" s="340"/>
      <c r="R7" s="340"/>
      <c r="S7" s="341" t="s">
        <v>948</v>
      </c>
      <c r="T7" s="342" t="s">
        <v>236</v>
      </c>
      <c r="U7" s="343">
        <f t="shared" ref="U7:U12" ca="1" si="3">INDEX(INDIRECT($S$7 &amp; $S$8), MATCH($T7, INDIRECT($S$7 &amp; $S$9), 0), MATCH(U$4, INDIRECT($S$7 &amp; $S$10), 0))</f>
        <v>81660</v>
      </c>
      <c r="V7" s="343">
        <f t="shared" ref="V7:AA12" ca="1" si="4">U7*(1+J7)</f>
        <v>86336</v>
      </c>
      <c r="W7" s="343">
        <f t="shared" ca="1" si="4"/>
        <v>92418.177880691932</v>
      </c>
      <c r="X7" s="343">
        <f t="shared" ca="1" si="4"/>
        <v>96260.888646568157</v>
      </c>
      <c r="Y7" s="343">
        <f t="shared" ca="1" si="4"/>
        <v>100587.40367106699</v>
      </c>
      <c r="Z7" s="343">
        <f t="shared" ca="1" si="4"/>
        <v>103069.82615076296</v>
      </c>
      <c r="AA7" s="344">
        <f t="shared" ca="1" si="4"/>
        <v>108469.99473861673</v>
      </c>
      <c r="AB7" s="678"/>
      <c r="AC7" s="535"/>
    </row>
    <row r="8" spans="1:29">
      <c r="A8" s="681"/>
      <c r="B8" s="685" t="s">
        <v>417</v>
      </c>
      <c r="C8" s="675"/>
      <c r="D8" s="675" t="s">
        <v>252</v>
      </c>
      <c r="E8" s="675"/>
      <c r="F8" s="686"/>
      <c r="G8" s="345" t="s">
        <v>284</v>
      </c>
      <c r="H8" s="346">
        <f t="shared" ca="1" si="1"/>
        <v>139550</v>
      </c>
      <c r="I8" s="347">
        <f t="shared" ca="1" si="2"/>
        <v>4.5703880221213078E-2</v>
      </c>
      <c r="J8" s="347">
        <f t="shared" ca="1" si="2"/>
        <v>5.1825575979074889E-2</v>
      </c>
      <c r="K8" s="347">
        <f t="shared" ca="1" si="2"/>
        <v>5.2738529701662484E-2</v>
      </c>
      <c r="L8" s="347">
        <f t="shared" ca="1" si="2"/>
        <v>4.1313245307906366E-2</v>
      </c>
      <c r="M8" s="347">
        <f t="shared" ca="1" si="2"/>
        <v>3.7784331107246771E-2</v>
      </c>
      <c r="N8" s="347">
        <f t="shared" ca="1" si="2"/>
        <v>3.9128222957597769E-2</v>
      </c>
      <c r="O8" s="347">
        <f t="shared" ca="1" si="2"/>
        <v>4.004798957319089E-2</v>
      </c>
      <c r="P8" s="348"/>
      <c r="Q8" s="349"/>
      <c r="R8" s="349"/>
      <c r="S8" s="333" t="s">
        <v>417</v>
      </c>
      <c r="T8" s="350" t="s">
        <v>240</v>
      </c>
      <c r="U8" s="351">
        <f t="shared" ca="1" si="3"/>
        <v>139550</v>
      </c>
      <c r="V8" s="351">
        <f t="shared" ca="1" si="4"/>
        <v>146782.25912787989</v>
      </c>
      <c r="W8" s="351">
        <f t="shared" ca="1" si="4"/>
        <v>154523.3396605727</v>
      </c>
      <c r="X8" s="351">
        <f t="shared" ca="1" si="4"/>
        <v>160907.20029776689</v>
      </c>
      <c r="Y8" s="351">
        <f t="shared" ca="1" si="4"/>
        <v>166986.97123135778</v>
      </c>
      <c r="Z8" s="351">
        <f t="shared" ca="1" si="4"/>
        <v>173520.87467271232</v>
      </c>
      <c r="AA8" s="352">
        <f t="shared" ca="1" si="4"/>
        <v>180470.03685233608</v>
      </c>
      <c r="AB8" s="678"/>
      <c r="AC8" s="535"/>
    </row>
    <row r="9" spans="1:29">
      <c r="A9" s="681"/>
      <c r="B9" s="685" t="s">
        <v>418</v>
      </c>
      <c r="C9" s="675"/>
      <c r="D9" s="675" t="s">
        <v>251</v>
      </c>
      <c r="E9" s="675"/>
      <c r="F9" s="686"/>
      <c r="G9" s="345" t="s">
        <v>285</v>
      </c>
      <c r="H9" s="346">
        <f t="shared" ca="1" si="1"/>
        <v>128760</v>
      </c>
      <c r="I9" s="347">
        <f t="shared" ca="1" si="2"/>
        <v>4.9887878664329088E-2</v>
      </c>
      <c r="J9" s="347">
        <f t="shared" ca="1" si="2"/>
        <v>4.8721194845945393E-2</v>
      </c>
      <c r="K9" s="347">
        <f t="shared" ca="1" si="2"/>
        <v>5.3637233778851989E-2</v>
      </c>
      <c r="L9" s="347">
        <f t="shared" ca="1" si="2"/>
        <v>3.6566725385370091E-2</v>
      </c>
      <c r="M9" s="347">
        <f t="shared" ca="1" si="2"/>
        <v>3.5345931053278212E-2</v>
      </c>
      <c r="N9" s="347">
        <f t="shared" ca="1" si="2"/>
        <v>3.7075282692875078E-2</v>
      </c>
      <c r="O9" s="347">
        <f t="shared" ca="1" si="2"/>
        <v>3.8305673517575967E-2</v>
      </c>
      <c r="P9" s="348"/>
      <c r="Q9" s="349"/>
      <c r="R9" s="349"/>
      <c r="S9" s="333" t="s">
        <v>418</v>
      </c>
      <c r="T9" s="350" t="s">
        <v>242</v>
      </c>
      <c r="U9" s="351">
        <f t="shared" ca="1" si="3"/>
        <v>128760</v>
      </c>
      <c r="V9" s="351">
        <f t="shared" ca="1" si="4"/>
        <v>135033.34104836392</v>
      </c>
      <c r="W9" s="351">
        <f t="shared" ca="1" si="4"/>
        <v>142276.15593011447</v>
      </c>
      <c r="X9" s="351">
        <f t="shared" ca="1" si="4"/>
        <v>147478.72905289708</v>
      </c>
      <c r="Y9" s="351">
        <f t="shared" ca="1" si="4"/>
        <v>152691.50204182588</v>
      </c>
      <c r="Z9" s="351">
        <f t="shared" ca="1" si="4"/>
        <v>158352.5826448263</v>
      </c>
      <c r="AA9" s="352">
        <f t="shared" ca="1" si="4"/>
        <v>164418.38497628397</v>
      </c>
      <c r="AB9" s="678"/>
      <c r="AC9" s="535"/>
    </row>
    <row r="10" spans="1:29">
      <c r="A10" s="681"/>
      <c r="B10" s="685" t="s">
        <v>349</v>
      </c>
      <c r="C10" s="675"/>
      <c r="D10" s="675" t="s">
        <v>250</v>
      </c>
      <c r="E10" s="675"/>
      <c r="F10" s="686"/>
      <c r="G10" s="345" t="s">
        <v>286</v>
      </c>
      <c r="H10" s="346">
        <f t="shared" ca="1" si="1"/>
        <v>84114.457464438587</v>
      </c>
      <c r="I10" s="347">
        <f t="shared" ca="1" si="2"/>
        <v>5.9308841843088489E-2</v>
      </c>
      <c r="J10" s="347">
        <f t="shared" ca="1" si="2"/>
        <v>5.7261817291207384E-2</v>
      </c>
      <c r="K10" s="347">
        <f t="shared" ca="1" si="2"/>
        <v>7.0447760849378316E-2</v>
      </c>
      <c r="L10" s="347">
        <f t="shared" ca="1" si="2"/>
        <v>4.1579598884074587E-2</v>
      </c>
      <c r="M10" s="347">
        <f t="shared" ca="1" si="2"/>
        <v>4.4945720794081545E-2</v>
      </c>
      <c r="N10" s="347">
        <f t="shared" ca="1" si="2"/>
        <v>2.4679257929887566E-2</v>
      </c>
      <c r="O10" s="347">
        <f t="shared" ca="1" si="2"/>
        <v>5.2393302574846645E-2</v>
      </c>
      <c r="P10" s="348"/>
      <c r="Q10" s="349"/>
      <c r="R10" s="349"/>
      <c r="S10" s="333" t="s">
        <v>349</v>
      </c>
      <c r="T10" s="350" t="s">
        <v>238</v>
      </c>
      <c r="U10" s="351">
        <f t="shared" ca="1" si="3"/>
        <v>84114.457464438587</v>
      </c>
      <c r="V10" s="351">
        <f t="shared" ca="1" si="4"/>
        <v>88931.004159316304</v>
      </c>
      <c r="W10" s="351">
        <f t="shared" ca="1" si="4"/>
        <v>95195.994272426891</v>
      </c>
      <c r="X10" s="351">
        <f t="shared" ca="1" si="4"/>
        <v>99154.205529645056</v>
      </c>
      <c r="Y10" s="351">
        <f t="shared" ca="1" si="4"/>
        <v>103610.76276693946</v>
      </c>
      <c r="Z10" s="351">
        <f t="shared" ca="1" si="4"/>
        <v>106167.79950557715</v>
      </c>
      <c r="AA10" s="352">
        <f t="shared" ca="1" si="4"/>
        <v>111730.28114877851</v>
      </c>
      <c r="AB10" s="678"/>
      <c r="AC10" s="535"/>
    </row>
    <row r="11" spans="1:29">
      <c r="A11" s="681"/>
      <c r="B11" s="675"/>
      <c r="C11" s="675"/>
      <c r="D11" s="675" t="s">
        <v>269</v>
      </c>
      <c r="E11" s="675"/>
      <c r="F11" s="686"/>
      <c r="G11" s="345" t="s">
        <v>287</v>
      </c>
      <c r="H11" s="353">
        <f t="shared" ca="1" si="1"/>
        <v>26.257861826323364</v>
      </c>
      <c r="I11" s="347">
        <f t="shared" ca="1" si="2"/>
        <v>2.9095091077493085E-2</v>
      </c>
      <c r="J11" s="347">
        <f t="shared" ca="1" si="2"/>
        <v>2.8327327327327345E-2</v>
      </c>
      <c r="K11" s="347">
        <f t="shared" ca="1" si="2"/>
        <v>2.3800350774627277E-2</v>
      </c>
      <c r="L11" s="347">
        <f t="shared" ca="1" si="2"/>
        <v>2.843641040297229E-2</v>
      </c>
      <c r="M11" s="347">
        <f t="shared" ca="1" si="2"/>
        <v>2.4922114047288058E-2</v>
      </c>
      <c r="N11" s="347">
        <f t="shared" ca="1" si="2"/>
        <v>2.3819885900570381E-2</v>
      </c>
      <c r="O11" s="347">
        <f t="shared" ca="1" si="2"/>
        <v>2.4107569721115607E-2</v>
      </c>
      <c r="P11" s="348"/>
      <c r="Q11" s="349"/>
      <c r="R11" s="349"/>
      <c r="T11" s="350" t="s">
        <v>245</v>
      </c>
      <c r="U11" s="354">
        <f t="shared" ca="1" si="3"/>
        <v>26.257861826323364</v>
      </c>
      <c r="V11" s="354">
        <f t="shared" ca="1" si="4"/>
        <v>27.001676873193361</v>
      </c>
      <c r="W11" s="354">
        <f t="shared" ca="1" si="4"/>
        <v>27.6443262542785</v>
      </c>
      <c r="X11" s="354">
        <f t="shared" ca="1" si="4"/>
        <v>28.430431660958821</v>
      </c>
      <c r="Y11" s="354">
        <f t="shared" ca="1" si="4"/>
        <v>29.13897812122687</v>
      </c>
      <c r="Z11" s="354">
        <f t="shared" ca="1" si="4"/>
        <v>29.833065255333707</v>
      </c>
      <c r="AA11" s="355">
        <f t="shared" ca="1" si="4"/>
        <v>30.552267955971253</v>
      </c>
      <c r="AB11" s="678"/>
      <c r="AC11" s="535"/>
    </row>
    <row r="12" spans="1:29">
      <c r="A12" s="681"/>
      <c r="B12" s="675"/>
      <c r="C12" s="675"/>
      <c r="D12" s="675" t="s">
        <v>269</v>
      </c>
      <c r="E12" s="675"/>
      <c r="F12" s="686"/>
      <c r="G12" s="345" t="s">
        <v>288</v>
      </c>
      <c r="H12" s="353">
        <f t="shared" ca="1" si="1"/>
        <v>21.797802197802195</v>
      </c>
      <c r="I12" s="347">
        <f t="shared" ca="1" si="2"/>
        <v>2.9095091077493085E-2</v>
      </c>
      <c r="J12" s="347">
        <f t="shared" ca="1" si="2"/>
        <v>2.8327327327327345E-2</v>
      </c>
      <c r="K12" s="347">
        <f t="shared" ca="1" si="2"/>
        <v>2.3800350774627277E-2</v>
      </c>
      <c r="L12" s="347">
        <f t="shared" ca="1" si="2"/>
        <v>2.843641040297229E-2</v>
      </c>
      <c r="M12" s="347">
        <f t="shared" ca="1" si="2"/>
        <v>2.4922114047288058E-2</v>
      </c>
      <c r="N12" s="347">
        <f t="shared" ca="1" si="2"/>
        <v>2.3819885900570381E-2</v>
      </c>
      <c r="O12" s="347">
        <f t="shared" ca="1" si="2"/>
        <v>2.4107569721115607E-2</v>
      </c>
      <c r="P12" s="348"/>
      <c r="Q12" s="349"/>
      <c r="R12" s="349"/>
      <c r="T12" s="350" t="s">
        <v>243</v>
      </c>
      <c r="U12" s="354">
        <f t="shared" ca="1" si="3"/>
        <v>21.797802197802195</v>
      </c>
      <c r="V12" s="354">
        <f t="shared" ca="1" si="4"/>
        <v>22.415275675675677</v>
      </c>
      <c r="W12" s="354">
        <f t="shared" ca="1" si="4"/>
        <v>22.948767099466725</v>
      </c>
      <c r="X12" s="354">
        <f t="shared" ca="1" si="4"/>
        <v>23.601347658949386</v>
      </c>
      <c r="Y12" s="354">
        <f t="shared" ca="1" si="4"/>
        <v>24.18954313697542</v>
      </c>
      <c r="Z12" s="354">
        <f t="shared" ca="1" si="4"/>
        <v>24.765735294485097</v>
      </c>
      <c r="AA12" s="355">
        <f t="shared" ca="1" si="4"/>
        <v>25.362776984791587</v>
      </c>
      <c r="AB12" s="678"/>
      <c r="AC12" s="535"/>
    </row>
    <row r="13" spans="1:29">
      <c r="A13" s="681"/>
      <c r="B13" s="675"/>
      <c r="C13" s="679"/>
      <c r="D13" s="679"/>
      <c r="E13" s="679"/>
      <c r="F13" s="680"/>
      <c r="G13" s="356" t="s">
        <v>289</v>
      </c>
      <c r="H13" s="357">
        <f t="shared" ca="1" si="1"/>
        <v>27.570754917639533</v>
      </c>
      <c r="I13" s="347"/>
      <c r="J13" s="347">
        <f t="shared" ref="J13:O13" ca="1" si="5">V13/U13-1</f>
        <v>2.8327327327327456E-2</v>
      </c>
      <c r="K13" s="347">
        <f t="shared" ca="1" si="5"/>
        <v>2.3800350774627166E-2</v>
      </c>
      <c r="L13" s="347">
        <f t="shared" ca="1" si="5"/>
        <v>2.8436410402972179E-2</v>
      </c>
      <c r="M13" s="347">
        <f t="shared" ca="1" si="5"/>
        <v>2.4922114047288391E-2</v>
      </c>
      <c r="N13" s="347">
        <f t="shared" ca="1" si="5"/>
        <v>2.381988590057027E-2</v>
      </c>
      <c r="O13" s="347">
        <f t="shared" ca="1" si="5"/>
        <v>2.4107569721115496E-2</v>
      </c>
      <c r="P13" s="358"/>
      <c r="Q13" s="359"/>
      <c r="R13" s="359"/>
      <c r="S13" s="235"/>
      <c r="T13" s="360" t="s">
        <v>247</v>
      </c>
      <c r="U13" s="361">
        <f ca="1">U11*1.05</f>
        <v>27.570754917639533</v>
      </c>
      <c r="V13" s="361">
        <f t="shared" ref="V13:AA13" ca="1" si="6">V11*1.05</f>
        <v>28.351760716853029</v>
      </c>
      <c r="W13" s="361">
        <f t="shared" ca="1" si="6"/>
        <v>29.026542566992426</v>
      </c>
      <c r="X13" s="361">
        <f t="shared" ca="1" si="6"/>
        <v>29.851953244006761</v>
      </c>
      <c r="Y13" s="361">
        <f t="shared" ca="1" si="6"/>
        <v>30.595927027288216</v>
      </c>
      <c r="Z13" s="361">
        <f t="shared" ca="1" si="6"/>
        <v>31.324718518100394</v>
      </c>
      <c r="AA13" s="362">
        <f t="shared" ca="1" si="6"/>
        <v>32.079881353769814</v>
      </c>
      <c r="AB13" s="678"/>
      <c r="AC13" s="535"/>
    </row>
    <row r="14" spans="1:29" ht="15" hidden="1" customHeight="1" outlineLevel="1">
      <c r="A14" s="681"/>
      <c r="B14" s="675"/>
      <c r="C14" s="679"/>
      <c r="D14" s="679"/>
      <c r="E14" s="679"/>
      <c r="F14" s="680"/>
      <c r="G14" s="345"/>
      <c r="H14" s="353"/>
      <c r="I14" s="349"/>
      <c r="J14" s="349"/>
      <c r="K14" s="349"/>
      <c r="L14" s="349"/>
      <c r="M14" s="349"/>
      <c r="N14" s="349"/>
      <c r="O14" s="349"/>
      <c r="P14" s="348"/>
      <c r="Q14" s="349"/>
      <c r="R14" s="349"/>
      <c r="S14" s="350"/>
      <c r="T14" s="350"/>
      <c r="U14" s="363"/>
      <c r="V14" s="363"/>
      <c r="W14" s="363"/>
      <c r="X14" s="363"/>
      <c r="Y14" s="363"/>
      <c r="Z14" s="363"/>
      <c r="AA14" s="363"/>
      <c r="AB14" s="678"/>
      <c r="AC14" s="535"/>
    </row>
    <row r="15" spans="1:29" ht="15" hidden="1" customHeight="1" outlineLevel="1">
      <c r="A15" s="675"/>
      <c r="B15" s="675"/>
      <c r="C15" s="679"/>
      <c r="D15" s="679"/>
      <c r="E15" s="679"/>
      <c r="F15" s="680"/>
      <c r="G15" s="345"/>
      <c r="H15" s="353"/>
      <c r="I15" s="349"/>
      <c r="J15" s="349"/>
      <c r="K15" s="349"/>
      <c r="L15" s="349"/>
      <c r="M15" s="349"/>
      <c r="N15" s="349"/>
      <c r="O15" s="349"/>
      <c r="P15" s="348"/>
      <c r="Q15" s="349"/>
      <c r="R15" s="349"/>
      <c r="S15" s="350"/>
      <c r="T15" s="350"/>
      <c r="U15" s="363"/>
      <c r="V15" s="363"/>
      <c r="W15" s="363"/>
      <c r="X15" s="363"/>
      <c r="Y15" s="363"/>
      <c r="Z15" s="363"/>
      <c r="AA15" s="363"/>
      <c r="AB15" s="678"/>
      <c r="AC15" s="535"/>
    </row>
    <row r="16" spans="1:29" ht="15.95" hidden="1" customHeight="1" outlineLevel="1" thickBot="1">
      <c r="A16" s="675"/>
      <c r="B16" s="685" t="s">
        <v>952</v>
      </c>
      <c r="C16" s="679"/>
      <c r="D16" s="675"/>
      <c r="E16" s="675"/>
      <c r="F16" s="686"/>
      <c r="G16" s="345"/>
      <c r="H16" s="364"/>
      <c r="I16" s="365"/>
      <c r="J16" s="365"/>
      <c r="K16" s="365"/>
      <c r="L16" s="365"/>
      <c r="M16" s="365"/>
      <c r="N16" s="365"/>
      <c r="O16" s="365"/>
      <c r="P16" s="364"/>
      <c r="Q16" s="365"/>
      <c r="R16" s="365"/>
      <c r="S16" s="366" t="s">
        <v>952</v>
      </c>
      <c r="T16" s="26" t="s">
        <v>291</v>
      </c>
      <c r="U16" s="347">
        <f ca="1">INDEX(INDIRECT($S$16 &amp; $S$17), MATCH($T16, INDIRECT($S$16 &amp; $S$18), 0), MATCH(U$4, INDIRECT($S$16 &amp; $S$19), 0))</f>
        <v>3.4000000000000002E-2</v>
      </c>
      <c r="V16" s="347">
        <f t="shared" ref="V16:AA16" ca="1" si="7">INDEX(INDIRECT($S$16 &amp; $S$17), MATCH($T16, INDIRECT($S$16 &amp; $S$18), 0), MATCH(V$4, INDIRECT($S$16 &amp; $S$19), 0))</f>
        <v>3.4000000000000002E-2</v>
      </c>
      <c r="W16" s="347">
        <f t="shared" ca="1" si="7"/>
        <v>3.4000000000000002E-2</v>
      </c>
      <c r="X16" s="347">
        <f t="shared" ca="1" si="7"/>
        <v>3.4000000000000002E-2</v>
      </c>
      <c r="Y16" s="347">
        <f t="shared" ca="1" si="7"/>
        <v>3.4000000000000002E-2</v>
      </c>
      <c r="Z16" s="347">
        <f t="shared" ca="1" si="7"/>
        <v>3.4000000000000002E-2</v>
      </c>
      <c r="AA16" s="347">
        <f t="shared" ca="1" si="7"/>
        <v>3.4000000000000002E-2</v>
      </c>
      <c r="AB16" s="678"/>
      <c r="AC16" s="535"/>
    </row>
    <row r="17" spans="1:30" collapsed="1">
      <c r="A17" s="675"/>
      <c r="B17" s="685" t="s">
        <v>501</v>
      </c>
      <c r="C17" s="679"/>
      <c r="D17" s="675" t="s">
        <v>290</v>
      </c>
      <c r="E17" s="675"/>
      <c r="F17" s="686"/>
      <c r="G17" s="336" t="s">
        <v>292</v>
      </c>
      <c r="H17" s="367" t="s">
        <v>292</v>
      </c>
      <c r="I17" s="368">
        <f ca="1">INDEX(INDIRECT($B$16 &amp; $B$17), MATCH($D17, INDIRECT($B$16 &amp; $B$18), 0), MATCH(I$4, INDIRECT($B$16 &amp; $B$19), 0))</f>
        <v>20131</v>
      </c>
      <c r="J17" s="369"/>
      <c r="K17" s="369"/>
      <c r="L17" s="369"/>
      <c r="M17" s="369"/>
      <c r="N17" s="369"/>
      <c r="O17" s="370"/>
      <c r="P17" s="337"/>
      <c r="Q17" s="371"/>
      <c r="R17" s="371"/>
      <c r="S17" s="366" t="s">
        <v>600</v>
      </c>
      <c r="T17" s="75"/>
      <c r="U17" s="368">
        <f ca="1">I17</f>
        <v>20131</v>
      </c>
      <c r="V17" s="343">
        <f t="shared" ref="V17:AA17" ca="1" si="8">U17*(1+V16)</f>
        <v>20815.454000000002</v>
      </c>
      <c r="W17" s="343">
        <f t="shared" ca="1" si="8"/>
        <v>21523.179436000002</v>
      </c>
      <c r="X17" s="343">
        <f t="shared" ca="1" si="8"/>
        <v>22254.967536824002</v>
      </c>
      <c r="Y17" s="343">
        <f t="shared" ca="1" si="8"/>
        <v>23011.636433076019</v>
      </c>
      <c r="Z17" s="343">
        <f t="shared" ca="1" si="8"/>
        <v>23794.032071800604</v>
      </c>
      <c r="AA17" s="344">
        <f t="shared" ca="1" si="8"/>
        <v>24603.029162241826</v>
      </c>
      <c r="AB17" s="678"/>
      <c r="AC17" s="535"/>
    </row>
    <row r="18" spans="1:30" s="304" customFormat="1">
      <c r="A18" s="675"/>
      <c r="B18" s="685" t="s">
        <v>503</v>
      </c>
      <c r="C18" s="679"/>
      <c r="D18" s="679" t="s">
        <v>293</v>
      </c>
      <c r="E18" s="679"/>
      <c r="F18" s="680"/>
      <c r="G18" s="372" t="s">
        <v>294</v>
      </c>
      <c r="H18" s="373" t="s">
        <v>294</v>
      </c>
      <c r="I18" s="374">
        <f ca="1">INDEX(INDIRECT($B$16 &amp; $B$17), MATCH($D18, INDIRECT($B$16 &amp; $B$18), 0), MATCH(I$4, INDIRECT($B$16 &amp; $B$19), 0))</f>
        <v>0.35142824379017512</v>
      </c>
      <c r="J18" s="347">
        <f t="shared" ref="J18:O19" ca="1" si="9">INDEX(INDIRECT($B$16 &amp; $B$17), MATCH($D18, INDIRECT($B$16 &amp; $B$18), 0), MATCH(J$4, INDIRECT($B$16 &amp; $B$19), 0))</f>
        <v>0.36487979557608557</v>
      </c>
      <c r="K18" s="347">
        <f t="shared" ca="1" si="9"/>
        <v>0.36487979557608557</v>
      </c>
      <c r="L18" s="347">
        <f t="shared" ca="1" si="9"/>
        <v>0.34397979557608555</v>
      </c>
      <c r="M18" s="347">
        <f t="shared" ca="1" si="9"/>
        <v>0.34397979557608555</v>
      </c>
      <c r="N18" s="347">
        <f t="shared" ca="1" si="9"/>
        <v>0.34397979557608555</v>
      </c>
      <c r="O18" s="375">
        <f t="shared" ca="1" si="9"/>
        <v>0.34397979557608555</v>
      </c>
      <c r="P18" s="376"/>
      <c r="Q18" s="377"/>
      <c r="R18" s="377"/>
      <c r="S18" s="366" t="s">
        <v>599</v>
      </c>
      <c r="T18" s="378"/>
      <c r="U18" s="374">
        <f ca="1">I18</f>
        <v>0.35142824379017512</v>
      </c>
      <c r="V18" s="347">
        <f t="shared" ref="V18:AA19" ca="1" si="10">J18</f>
        <v>0.36487979557608557</v>
      </c>
      <c r="W18" s="347">
        <f t="shared" ca="1" si="10"/>
        <v>0.36487979557608557</v>
      </c>
      <c r="X18" s="347">
        <f t="shared" ca="1" si="10"/>
        <v>0.34397979557608555</v>
      </c>
      <c r="Y18" s="347">
        <f t="shared" ca="1" si="10"/>
        <v>0.34397979557608555</v>
      </c>
      <c r="Z18" s="347">
        <f t="shared" ca="1" si="10"/>
        <v>0.34397979557608555</v>
      </c>
      <c r="AA18" s="375">
        <f t="shared" ca="1" si="10"/>
        <v>0.34397979557608555</v>
      </c>
      <c r="AB18" s="687"/>
      <c r="AC18" s="535"/>
      <c r="AD18" s="11"/>
    </row>
    <row r="19" spans="1:30">
      <c r="A19" s="675"/>
      <c r="B19" s="685" t="s">
        <v>502</v>
      </c>
      <c r="C19" s="679"/>
      <c r="D19" s="679" t="s">
        <v>295</v>
      </c>
      <c r="E19" s="679"/>
      <c r="F19" s="680"/>
      <c r="G19" s="356" t="s">
        <v>296</v>
      </c>
      <c r="H19" s="379" t="s">
        <v>296</v>
      </c>
      <c r="I19" s="380">
        <f ca="1">INDEX(INDIRECT($B$16 &amp; $B$17), MATCH($D19, INDIRECT($B$16 &amp; $B$18), 0), MATCH(I$4, INDIRECT($B$16 &amp; $B$19), 0))</f>
        <v>420</v>
      </c>
      <c r="J19" s="381">
        <f t="shared" ca="1" si="9"/>
        <v>420</v>
      </c>
      <c r="K19" s="381">
        <f t="shared" ca="1" si="9"/>
        <v>420</v>
      </c>
      <c r="L19" s="381">
        <f t="shared" ca="1" si="9"/>
        <v>420</v>
      </c>
      <c r="M19" s="381">
        <f t="shared" ca="1" si="9"/>
        <v>420</v>
      </c>
      <c r="N19" s="381">
        <f t="shared" ca="1" si="9"/>
        <v>420</v>
      </c>
      <c r="O19" s="382">
        <f t="shared" ca="1" si="9"/>
        <v>420</v>
      </c>
      <c r="P19" s="383"/>
      <c r="Q19" s="371"/>
      <c r="R19" s="371"/>
      <c r="S19" s="366" t="s">
        <v>502</v>
      </c>
      <c r="T19" s="384"/>
      <c r="U19" s="380">
        <f ca="1">I19</f>
        <v>420</v>
      </c>
      <c r="V19" s="381">
        <f t="shared" ca="1" si="10"/>
        <v>420</v>
      </c>
      <c r="W19" s="381">
        <f t="shared" ca="1" si="10"/>
        <v>420</v>
      </c>
      <c r="X19" s="381">
        <f t="shared" ca="1" si="10"/>
        <v>420</v>
      </c>
      <c r="Y19" s="381">
        <f t="shared" ca="1" si="10"/>
        <v>420</v>
      </c>
      <c r="Z19" s="381">
        <f t="shared" ca="1" si="10"/>
        <v>420</v>
      </c>
      <c r="AA19" s="382">
        <f t="shared" ca="1" si="10"/>
        <v>420</v>
      </c>
      <c r="AB19" s="678"/>
      <c r="AC19" s="535"/>
    </row>
    <row r="20" spans="1:30" ht="15" hidden="1" customHeight="1" outlineLevel="1">
      <c r="A20" s="675"/>
      <c r="B20" s="675"/>
      <c r="C20" s="679"/>
      <c r="D20" s="679"/>
      <c r="E20" s="679"/>
      <c r="F20" s="679"/>
      <c r="G20" s="345"/>
      <c r="H20" s="330"/>
      <c r="I20" s="371"/>
      <c r="J20" s="371"/>
      <c r="K20" s="371"/>
      <c r="L20" s="371"/>
      <c r="M20" s="371"/>
      <c r="N20" s="371"/>
      <c r="O20" s="371"/>
      <c r="P20" s="346"/>
      <c r="Q20" s="371"/>
      <c r="R20" s="371"/>
      <c r="S20" s="384"/>
      <c r="T20" s="384"/>
      <c r="U20" s="371"/>
      <c r="V20" s="371"/>
      <c r="W20" s="371"/>
      <c r="X20" s="371"/>
      <c r="Y20" s="371"/>
      <c r="Z20" s="371"/>
      <c r="AA20" s="371"/>
      <c r="AB20" s="678"/>
      <c r="AC20" s="535"/>
    </row>
    <row r="21" spans="1:30" ht="15" hidden="1" customHeight="1" outlineLevel="1">
      <c r="A21" s="679"/>
      <c r="B21" s="675"/>
      <c r="C21" s="679"/>
      <c r="D21" s="679"/>
      <c r="E21" s="679"/>
      <c r="F21" s="679"/>
      <c r="G21" s="345"/>
      <c r="H21" s="330"/>
      <c r="I21" s="371"/>
      <c r="J21" s="371"/>
      <c r="K21" s="371"/>
      <c r="L21" s="371"/>
      <c r="M21" s="371"/>
      <c r="N21" s="371"/>
      <c r="O21" s="371"/>
      <c r="P21" s="346"/>
      <c r="Q21" s="371"/>
      <c r="R21" s="371"/>
      <c r="S21" s="384"/>
      <c r="T21" s="384"/>
      <c r="U21" s="371"/>
      <c r="V21" s="371"/>
      <c r="W21" s="371"/>
      <c r="X21" s="371"/>
      <c r="Y21" s="371"/>
      <c r="Z21" s="371"/>
      <c r="AA21" s="371"/>
      <c r="AB21" s="678"/>
      <c r="AC21" s="535"/>
    </row>
    <row r="22" spans="1:30" ht="15.95" hidden="1" customHeight="1" outlineLevel="1" thickBot="1">
      <c r="A22" s="679"/>
      <c r="B22" s="675"/>
      <c r="C22" s="679"/>
      <c r="D22" s="679"/>
      <c r="E22" s="679"/>
      <c r="F22" s="679"/>
      <c r="G22" s="345"/>
      <c r="H22" s="330"/>
      <c r="I22" s="371"/>
      <c r="J22" s="371"/>
      <c r="K22" s="371"/>
      <c r="L22" s="371"/>
      <c r="M22" s="371"/>
      <c r="N22" s="371"/>
      <c r="O22" s="371"/>
      <c r="P22" s="346"/>
      <c r="Q22" s="371"/>
      <c r="R22" s="371"/>
      <c r="S22" s="366" t="s">
        <v>952</v>
      </c>
      <c r="T22" s="384" t="s">
        <v>304</v>
      </c>
      <c r="U22" s="347">
        <f t="shared" ref="U22:AA22" ca="1" si="11">INDEX(INDIRECT($S$22 &amp; $S$23), MATCH($T22, INDIRECT($S$22 &amp; $S$24), 0), MATCH(U$4, INDIRECT($S$22 &amp; $S$25), 0))</f>
        <v>4.6282437901751152E-3</v>
      </c>
      <c r="V22" s="347">
        <f t="shared" ca="1" si="11"/>
        <v>5.1797955760855708E-3</v>
      </c>
      <c r="W22" s="347">
        <f t="shared" ca="1" si="11"/>
        <v>5.1797955760855708E-3</v>
      </c>
      <c r="X22" s="347">
        <f t="shared" ca="1" si="11"/>
        <v>5.1797955760855708E-3</v>
      </c>
      <c r="Y22" s="347">
        <f t="shared" ca="1" si="11"/>
        <v>5.1797955760855708E-3</v>
      </c>
      <c r="Z22" s="347">
        <f t="shared" ca="1" si="11"/>
        <v>5.1797955760855708E-3</v>
      </c>
      <c r="AA22" s="347">
        <f t="shared" ca="1" si="11"/>
        <v>5.1797955760855708E-3</v>
      </c>
      <c r="AB22" s="678"/>
      <c r="AC22" s="535"/>
    </row>
    <row r="23" spans="1:30" collapsed="1">
      <c r="A23" s="679"/>
      <c r="B23" s="688" t="s">
        <v>385</v>
      </c>
      <c r="C23" s="679" t="s">
        <v>59</v>
      </c>
      <c r="D23" s="679" t="s">
        <v>13</v>
      </c>
      <c r="E23" s="689">
        <f>IF(LEFT($F$3)="E", (1/6)*$H$2,0)</f>
        <v>0</v>
      </c>
      <c r="F23" s="686">
        <f>IF(LEFT($G$3, 1)="E", 1, 0)</f>
        <v>0</v>
      </c>
      <c r="G23" s="336" t="s">
        <v>297</v>
      </c>
      <c r="H23" s="387" t="s">
        <v>400</v>
      </c>
      <c r="I23" s="369">
        <f t="shared" ref="I23:O23" ca="1" si="12">$F23*IF(VLOOKUP($C23,INDIRECT($B$23 &amp; $B$24), MATCH(I$4,INDIRECT($B$23 &amp; $B$25),0)+6, 0)="Y",$E23/VLOOKUP($D23,INDIRECT($B$23 &amp; $B$24), MATCH(I$4,INDIRECT($B$23 &amp; $B$25),0)+6, 0),(0.5*$E23)/VLOOKUP($D23,INDIRECT($B$23 &amp; $B$24), MATCH(I$4,INDIRECT($B$23 &amp; $B$25),0)+6, 0))</f>
        <v>0</v>
      </c>
      <c r="J23" s="369">
        <f t="shared" ca="1" si="12"/>
        <v>0</v>
      </c>
      <c r="K23" s="369">
        <f t="shared" ca="1" si="12"/>
        <v>0</v>
      </c>
      <c r="L23" s="369">
        <f t="shared" ca="1" si="12"/>
        <v>0</v>
      </c>
      <c r="M23" s="369">
        <f t="shared" ca="1" si="12"/>
        <v>0</v>
      </c>
      <c r="N23" s="369">
        <f t="shared" ca="1" si="12"/>
        <v>0</v>
      </c>
      <c r="O23" s="369">
        <f t="shared" ca="1" si="12"/>
        <v>0</v>
      </c>
      <c r="P23" s="388"/>
      <c r="Q23" s="371"/>
      <c r="R23" s="371"/>
      <c r="S23" s="366" t="s">
        <v>600</v>
      </c>
      <c r="T23" s="384"/>
      <c r="U23" s="368">
        <f t="shared" ref="U23:U32" ca="1" si="13">((U$7*(1+U$18))+U$17+U$19)*I23</f>
        <v>0</v>
      </c>
      <c r="V23" s="343">
        <f t="shared" ref="V23:V32" ca="1" si="14">((V$7*(1+V$18))+V$17+V$19)*J23</f>
        <v>0</v>
      </c>
      <c r="W23" s="343">
        <f t="shared" ref="W23:W32" ca="1" si="15">((W$7*(1+W$18))+W$17+W$19)*K23</f>
        <v>0</v>
      </c>
      <c r="X23" s="343">
        <f t="shared" ref="X23:X32" ca="1" si="16">((X$7*(1+X$18))+X$17+X$19)*L23</f>
        <v>0</v>
      </c>
      <c r="Y23" s="343">
        <f t="shared" ref="Y23:Y32" ca="1" si="17">((Y$7*(1+Y$18))+Y$17+Y$19)*M23</f>
        <v>0</v>
      </c>
      <c r="Z23" s="343">
        <f t="shared" ref="Z23:Z32" ca="1" si="18">((Z$7*(1+Z$18))+Z$17+Z$19)*N23</f>
        <v>0</v>
      </c>
      <c r="AA23" s="344">
        <f t="shared" ref="AA23:AA32" ca="1" si="19">((AA$7*(1+AA$18))+AA$17+AA$19)*O23</f>
        <v>0</v>
      </c>
      <c r="AB23" s="678"/>
      <c r="AC23" s="535">
        <v>1</v>
      </c>
    </row>
    <row r="24" spans="1:30">
      <c r="A24" s="679"/>
      <c r="B24" s="679" t="s">
        <v>386</v>
      </c>
      <c r="C24" s="679" t="s">
        <v>59</v>
      </c>
      <c r="D24" s="679" t="s">
        <v>14</v>
      </c>
      <c r="E24" s="689">
        <f>IF(LEFT($F$3)="E", (1/6)*$H$2, 0)</f>
        <v>0</v>
      </c>
      <c r="F24" s="686">
        <f>IF(LEFT($G$3, 1)="E", 1, 0)</f>
        <v>0</v>
      </c>
      <c r="G24" s="345"/>
      <c r="H24" s="389" t="s">
        <v>401</v>
      </c>
      <c r="I24" s="390">
        <f t="shared" ref="I24:O26" ca="1" si="20">$F24*$E24/VLOOKUP($D24,INDIRECT($B$23 &amp; $B$24), MATCH(I$4,INDIRECT($B$23 &amp; $B$25),0)+6, 0)</f>
        <v>0</v>
      </c>
      <c r="J24" s="390">
        <f t="shared" ca="1" si="20"/>
        <v>0</v>
      </c>
      <c r="K24" s="390">
        <f t="shared" ca="1" si="20"/>
        <v>0</v>
      </c>
      <c r="L24" s="390">
        <f t="shared" ca="1" si="20"/>
        <v>0</v>
      </c>
      <c r="M24" s="390">
        <f t="shared" ca="1" si="20"/>
        <v>0</v>
      </c>
      <c r="N24" s="390">
        <f t="shared" ca="1" si="20"/>
        <v>0</v>
      </c>
      <c r="O24" s="390">
        <f t="shared" ca="1" si="20"/>
        <v>0</v>
      </c>
      <c r="P24" s="391"/>
      <c r="Q24" s="371"/>
      <c r="R24" s="371"/>
      <c r="S24" s="371" t="s">
        <v>599</v>
      </c>
      <c r="T24" s="390"/>
      <c r="U24" s="392">
        <f t="shared" ca="1" si="13"/>
        <v>0</v>
      </c>
      <c r="V24" s="351">
        <f t="shared" ca="1" si="14"/>
        <v>0</v>
      </c>
      <c r="W24" s="351">
        <f t="shared" ca="1" si="15"/>
        <v>0</v>
      </c>
      <c r="X24" s="351">
        <f t="shared" ca="1" si="16"/>
        <v>0</v>
      </c>
      <c r="Y24" s="351">
        <f t="shared" ca="1" si="17"/>
        <v>0</v>
      </c>
      <c r="Z24" s="351">
        <f t="shared" ca="1" si="18"/>
        <v>0</v>
      </c>
      <c r="AA24" s="352">
        <f t="shared" ca="1" si="19"/>
        <v>0</v>
      </c>
      <c r="AB24" s="678"/>
      <c r="AC24" s="535">
        <v>1</v>
      </c>
    </row>
    <row r="25" spans="1:30">
      <c r="A25" s="679"/>
      <c r="B25" s="679" t="s">
        <v>387</v>
      </c>
      <c r="C25" s="679" t="s">
        <v>59</v>
      </c>
      <c r="D25" s="679" t="s">
        <v>63</v>
      </c>
      <c r="E25" s="689">
        <f>IF(LEFT($F$3)="E", (2/6)*$H$2,0)</f>
        <v>0</v>
      </c>
      <c r="F25" s="686">
        <f>IF(LEFT($G$3, 1)="E", 1, 0)</f>
        <v>0</v>
      </c>
      <c r="G25" s="345"/>
      <c r="H25" s="389" t="s">
        <v>402</v>
      </c>
      <c r="I25" s="390">
        <f t="shared" ca="1" si="20"/>
        <v>0</v>
      </c>
      <c r="J25" s="390">
        <f t="shared" ca="1" si="20"/>
        <v>0</v>
      </c>
      <c r="K25" s="390">
        <f t="shared" ca="1" si="20"/>
        <v>0</v>
      </c>
      <c r="L25" s="390">
        <f t="shared" ca="1" si="20"/>
        <v>0</v>
      </c>
      <c r="M25" s="390">
        <f t="shared" ca="1" si="20"/>
        <v>0</v>
      </c>
      <c r="N25" s="390">
        <f t="shared" ca="1" si="20"/>
        <v>0</v>
      </c>
      <c r="O25" s="390">
        <f t="shared" ca="1" si="20"/>
        <v>0</v>
      </c>
      <c r="P25" s="391"/>
      <c r="Q25" s="371"/>
      <c r="R25" s="371"/>
      <c r="S25" s="366" t="s">
        <v>502</v>
      </c>
      <c r="T25" s="390"/>
      <c r="U25" s="392">
        <f t="shared" ca="1" si="13"/>
        <v>0</v>
      </c>
      <c r="V25" s="351">
        <f t="shared" ca="1" si="14"/>
        <v>0</v>
      </c>
      <c r="W25" s="351">
        <f t="shared" ca="1" si="15"/>
        <v>0</v>
      </c>
      <c r="X25" s="351">
        <f t="shared" ca="1" si="16"/>
        <v>0</v>
      </c>
      <c r="Y25" s="351">
        <f t="shared" ca="1" si="17"/>
        <v>0</v>
      </c>
      <c r="Z25" s="351">
        <f t="shared" ca="1" si="18"/>
        <v>0</v>
      </c>
      <c r="AA25" s="352">
        <f t="shared" ca="1" si="19"/>
        <v>0</v>
      </c>
      <c r="AB25" s="678"/>
      <c r="AC25" s="535">
        <v>1</v>
      </c>
    </row>
    <row r="26" spans="1:30">
      <c r="A26" s="679"/>
      <c r="B26" s="679"/>
      <c r="C26" s="679" t="s">
        <v>59</v>
      </c>
      <c r="D26" s="679" t="s">
        <v>64</v>
      </c>
      <c r="E26" s="689">
        <f>IF(LEFT($F$3)="E", (2/6)*$H$2, 0)</f>
        <v>0</v>
      </c>
      <c r="F26" s="686">
        <f>IF(LEFT($G$3, 1)="E", 1, 0)</f>
        <v>0</v>
      </c>
      <c r="G26" s="345"/>
      <c r="H26" s="389" t="s">
        <v>403</v>
      </c>
      <c r="I26" s="390">
        <f t="shared" ca="1" si="20"/>
        <v>0</v>
      </c>
      <c r="J26" s="390">
        <f t="shared" ca="1" si="20"/>
        <v>0</v>
      </c>
      <c r="K26" s="390">
        <f t="shared" ca="1" si="20"/>
        <v>0</v>
      </c>
      <c r="L26" s="390">
        <f t="shared" ca="1" si="20"/>
        <v>0</v>
      </c>
      <c r="M26" s="390">
        <f t="shared" ca="1" si="20"/>
        <v>0</v>
      </c>
      <c r="N26" s="390">
        <f t="shared" ca="1" si="20"/>
        <v>0</v>
      </c>
      <c r="O26" s="390">
        <f t="shared" ca="1" si="20"/>
        <v>0</v>
      </c>
      <c r="P26" s="391"/>
      <c r="Q26" s="371"/>
      <c r="R26" s="371"/>
      <c r="S26" s="371"/>
      <c r="T26" s="390"/>
      <c r="U26" s="392">
        <f t="shared" ca="1" si="13"/>
        <v>0</v>
      </c>
      <c r="V26" s="351">
        <f t="shared" ca="1" si="14"/>
        <v>0</v>
      </c>
      <c r="W26" s="351">
        <f t="shared" ca="1" si="15"/>
        <v>0</v>
      </c>
      <c r="X26" s="351">
        <f t="shared" ca="1" si="16"/>
        <v>0</v>
      </c>
      <c r="Y26" s="351">
        <f t="shared" ca="1" si="17"/>
        <v>0</v>
      </c>
      <c r="Z26" s="351">
        <f t="shared" ca="1" si="18"/>
        <v>0</v>
      </c>
      <c r="AA26" s="352">
        <f t="shared" ca="1" si="19"/>
        <v>0</v>
      </c>
      <c r="AB26" s="678"/>
      <c r="AC26" s="535">
        <v>1</v>
      </c>
    </row>
    <row r="27" spans="1:30">
      <c r="A27" s="679"/>
      <c r="B27" s="679"/>
      <c r="C27" s="679" t="s">
        <v>59</v>
      </c>
      <c r="D27" s="679" t="str">
        <f>LEFT($G$3,1) &amp; "S_ProgramStaff"</f>
        <v>HS_ProgramStaff</v>
      </c>
      <c r="E27" s="679"/>
      <c r="F27" s="686">
        <f>IF(LEFT($G$3, 1)="E", 1, 0)</f>
        <v>0</v>
      </c>
      <c r="G27" s="345"/>
      <c r="H27" s="372" t="s">
        <v>397</v>
      </c>
      <c r="I27" s="390">
        <f t="shared" ref="I27:O27" ca="1" si="21">$F27*VLOOKUP($D27,INDIRECT($B$23 &amp; $B$24), MATCH(I$4,INDIRECT($B$23 &amp; $B$25),0)+6, 0)</f>
        <v>0</v>
      </c>
      <c r="J27" s="390">
        <f t="shared" ca="1" si="21"/>
        <v>0</v>
      </c>
      <c r="K27" s="390">
        <f t="shared" ca="1" si="21"/>
        <v>0</v>
      </c>
      <c r="L27" s="390">
        <f t="shared" ca="1" si="21"/>
        <v>0</v>
      </c>
      <c r="M27" s="390">
        <f t="shared" ca="1" si="21"/>
        <v>0</v>
      </c>
      <c r="N27" s="390">
        <f t="shared" ca="1" si="21"/>
        <v>0</v>
      </c>
      <c r="O27" s="390">
        <f t="shared" ca="1" si="21"/>
        <v>0</v>
      </c>
      <c r="P27" s="391"/>
      <c r="Q27" s="371"/>
      <c r="R27" s="371"/>
      <c r="S27" s="390"/>
      <c r="T27" s="390"/>
      <c r="U27" s="392">
        <f t="shared" ca="1" si="13"/>
        <v>0</v>
      </c>
      <c r="V27" s="351">
        <f t="shared" ca="1" si="14"/>
        <v>0</v>
      </c>
      <c r="W27" s="351">
        <f t="shared" ca="1" si="15"/>
        <v>0</v>
      </c>
      <c r="X27" s="351">
        <f t="shared" ca="1" si="16"/>
        <v>0</v>
      </c>
      <c r="Y27" s="351">
        <f t="shared" ca="1" si="17"/>
        <v>0</v>
      </c>
      <c r="Z27" s="351">
        <f t="shared" ca="1" si="18"/>
        <v>0</v>
      </c>
      <c r="AA27" s="352">
        <f t="shared" ca="1" si="19"/>
        <v>0</v>
      </c>
      <c r="AB27" s="678"/>
      <c r="AC27" s="535">
        <v>1</v>
      </c>
    </row>
    <row r="28" spans="1:30">
      <c r="A28" s="679"/>
      <c r="B28" s="679"/>
      <c r="C28" s="679"/>
      <c r="D28" s="242" t="str">
        <f>LEFT($G$3,1) &amp; "S_CoreStaff"</f>
        <v>HS_CoreStaff</v>
      </c>
      <c r="E28" s="679"/>
      <c r="F28" s="686">
        <f>IF(LEFT($G$3, 1)="E", 0, 1)</f>
        <v>1</v>
      </c>
      <c r="G28" s="345"/>
      <c r="H28" s="389" t="s">
        <v>399</v>
      </c>
      <c r="I28" s="390">
        <f t="shared" ref="I28:O28" ca="1" si="22">IFERROR($F28*VLOOKUP($D28,INDIRECT($B$23 &amp; $B$24), MATCH(I$4,INDIRECT($B$23 &amp; $B$25),0)+6, 0),0)</f>
        <v>42</v>
      </c>
      <c r="J28" s="390">
        <f t="shared" ca="1" si="22"/>
        <v>42</v>
      </c>
      <c r="K28" s="390">
        <f t="shared" ca="1" si="22"/>
        <v>42</v>
      </c>
      <c r="L28" s="390">
        <f t="shared" ca="1" si="22"/>
        <v>44</v>
      </c>
      <c r="M28" s="390">
        <f t="shared" ca="1" si="22"/>
        <v>44</v>
      </c>
      <c r="N28" s="390">
        <f t="shared" ca="1" si="22"/>
        <v>42</v>
      </c>
      <c r="O28" s="390">
        <f t="shared" ca="1" si="22"/>
        <v>42</v>
      </c>
      <c r="P28" s="391"/>
      <c r="Q28" s="371"/>
      <c r="R28" s="371"/>
      <c r="S28" s="390"/>
      <c r="T28" s="390"/>
      <c r="U28" s="392">
        <f t="shared" ca="1" si="13"/>
        <v>5498162.4762920393</v>
      </c>
      <c r="V28" s="351">
        <f t="shared" ca="1" si="14"/>
        <v>5841096.0732959919</v>
      </c>
      <c r="W28" s="351">
        <f t="shared" ca="1" si="15"/>
        <v>6219481.0931111509</v>
      </c>
      <c r="X28" s="351">
        <f t="shared" ca="1" si="16"/>
        <v>6690096.9072084846</v>
      </c>
      <c r="Y28" s="351">
        <f t="shared" ca="1" si="17"/>
        <v>6979239.2848836165</v>
      </c>
      <c r="Z28" s="351">
        <f t="shared" ca="1" si="18"/>
        <v>6834987.4299825598</v>
      </c>
      <c r="AA28" s="352">
        <f t="shared" ca="1" si="19"/>
        <v>7173789.4417218547</v>
      </c>
      <c r="AB28" s="678"/>
      <c r="AC28" s="535">
        <v>1</v>
      </c>
    </row>
    <row r="29" spans="1:30">
      <c r="A29" s="679"/>
      <c r="B29" s="679"/>
      <c r="C29" s="679"/>
      <c r="D29" s="242" t="str">
        <f>LEFT($G$3,1) &amp; "S_ProgramStaff"</f>
        <v>HS_ProgramStaff</v>
      </c>
      <c r="E29" s="679"/>
      <c r="F29" s="686">
        <f>IF(LEFT($G$3, 1)="E", 0, 1)</f>
        <v>1</v>
      </c>
      <c r="G29" s="336"/>
      <c r="H29" s="387" t="s">
        <v>398</v>
      </c>
      <c r="I29" s="369">
        <f t="shared" ref="I29:O29" ca="1" si="23">$F29*VLOOKUP($D29,INDIRECT($B$23 &amp; $B$24), MATCH(I$4,INDIRECT($B$23 &amp; $B$25),0)+6, 0)</f>
        <v>1.5</v>
      </c>
      <c r="J29" s="369">
        <f t="shared" ca="1" si="23"/>
        <v>1.5</v>
      </c>
      <c r="K29" s="369">
        <f t="shared" ca="1" si="23"/>
        <v>1.5</v>
      </c>
      <c r="L29" s="369">
        <f t="shared" ca="1" si="23"/>
        <v>3</v>
      </c>
      <c r="M29" s="369">
        <f t="shared" ca="1" si="23"/>
        <v>3</v>
      </c>
      <c r="N29" s="369">
        <f t="shared" ca="1" si="23"/>
        <v>1.5</v>
      </c>
      <c r="O29" s="369">
        <f t="shared" ca="1" si="23"/>
        <v>1.5</v>
      </c>
      <c r="P29" s="388"/>
      <c r="Q29" s="393"/>
      <c r="R29" s="393"/>
      <c r="S29" s="369"/>
      <c r="T29" s="369"/>
      <c r="U29" s="343">
        <f t="shared" ca="1" si="13"/>
        <v>196362.94558185854</v>
      </c>
      <c r="V29" s="343">
        <f t="shared" ca="1" si="14"/>
        <v>208610.57404628542</v>
      </c>
      <c r="W29" s="343">
        <f t="shared" ca="1" si="15"/>
        <v>222124.32475396967</v>
      </c>
      <c r="X29" s="343">
        <f t="shared" ca="1" si="16"/>
        <v>456142.97094603302</v>
      </c>
      <c r="Y29" s="343">
        <f t="shared" ca="1" si="17"/>
        <v>475857.22396933747</v>
      </c>
      <c r="Z29" s="343">
        <f t="shared" ca="1" si="18"/>
        <v>244106.69392794854</v>
      </c>
      <c r="AA29" s="344">
        <f t="shared" ca="1" si="19"/>
        <v>256206.76577578051</v>
      </c>
      <c r="AB29" s="678"/>
      <c r="AC29" s="535">
        <v>1</v>
      </c>
    </row>
    <row r="30" spans="1:30">
      <c r="A30" s="679"/>
      <c r="B30" s="679"/>
      <c r="C30" s="679"/>
      <c r="D30" s="690" t="str">
        <f>LEFT($G$3,1) &amp; "S_librarian"</f>
        <v>HS_librarian</v>
      </c>
      <c r="E30" s="679"/>
      <c r="F30" s="686"/>
      <c r="G30" s="345"/>
      <c r="H30" s="372" t="s">
        <v>298</v>
      </c>
      <c r="I30" s="390">
        <f t="shared" ref="I30:O32" ca="1" si="24">VLOOKUP($D30,INDIRECT($B$23 &amp; $B$24), MATCH(I$4,INDIRECT($B$23 &amp; $B$25),0)+6, 0)</f>
        <v>1</v>
      </c>
      <c r="J30" s="390">
        <f t="shared" ca="1" si="24"/>
        <v>1</v>
      </c>
      <c r="K30" s="390">
        <f t="shared" ca="1" si="24"/>
        <v>1</v>
      </c>
      <c r="L30" s="390">
        <f t="shared" ca="1" si="24"/>
        <v>1</v>
      </c>
      <c r="M30" s="390">
        <f t="shared" ca="1" si="24"/>
        <v>1</v>
      </c>
      <c r="N30" s="390">
        <f t="shared" ca="1" si="24"/>
        <v>1</v>
      </c>
      <c r="O30" s="390">
        <f t="shared" ca="1" si="24"/>
        <v>1</v>
      </c>
      <c r="P30" s="391"/>
      <c r="Q30" s="371"/>
      <c r="R30" s="371"/>
      <c r="S30" s="390"/>
      <c r="T30" s="390"/>
      <c r="U30" s="351">
        <f t="shared" ca="1" si="13"/>
        <v>130908.63038790569</v>
      </c>
      <c r="V30" s="351">
        <f t="shared" ca="1" si="14"/>
        <v>139073.71603085694</v>
      </c>
      <c r="W30" s="351">
        <f t="shared" ca="1" si="15"/>
        <v>148082.88316931311</v>
      </c>
      <c r="X30" s="351">
        <f t="shared" ca="1" si="16"/>
        <v>152047.65698201102</v>
      </c>
      <c r="Y30" s="351">
        <f t="shared" ca="1" si="17"/>
        <v>158619.07465644582</v>
      </c>
      <c r="Z30" s="351">
        <f t="shared" ca="1" si="18"/>
        <v>162737.7959519657</v>
      </c>
      <c r="AA30" s="352">
        <f t="shared" ca="1" si="19"/>
        <v>170804.51051718701</v>
      </c>
      <c r="AB30" s="678"/>
      <c r="AC30" s="535">
        <v>1</v>
      </c>
    </row>
    <row r="31" spans="1:30">
      <c r="A31" s="679"/>
      <c r="B31" s="679"/>
      <c r="C31" s="679"/>
      <c r="D31" s="679" t="str">
        <f>LEFT($G$3,1) &amp; "S_ESL"</f>
        <v>HS_ESL</v>
      </c>
      <c r="E31" s="679"/>
      <c r="F31" s="686"/>
      <c r="G31" s="345"/>
      <c r="H31" s="389" t="s">
        <v>299</v>
      </c>
      <c r="I31" s="390">
        <f t="shared" ca="1" si="24"/>
        <v>0.5</v>
      </c>
      <c r="J31" s="390">
        <f t="shared" ca="1" si="24"/>
        <v>0.5</v>
      </c>
      <c r="K31" s="390">
        <f t="shared" ca="1" si="24"/>
        <v>0.5</v>
      </c>
      <c r="L31" s="390">
        <f t="shared" ca="1" si="24"/>
        <v>1</v>
      </c>
      <c r="M31" s="390">
        <f t="shared" ca="1" si="24"/>
        <v>1</v>
      </c>
      <c r="N31" s="390">
        <f t="shared" ca="1" si="24"/>
        <v>0.5</v>
      </c>
      <c r="O31" s="390">
        <f t="shared" ca="1" si="24"/>
        <v>0.5</v>
      </c>
      <c r="P31" s="391"/>
      <c r="Q31" s="390"/>
      <c r="R31" s="390"/>
      <c r="S31" s="394" t="s">
        <v>944</v>
      </c>
      <c r="T31" s="394"/>
      <c r="U31" s="351">
        <f t="shared" ca="1" si="13"/>
        <v>65454.315193952847</v>
      </c>
      <c r="V31" s="351">
        <f t="shared" ca="1" si="14"/>
        <v>69536.858015428472</v>
      </c>
      <c r="W31" s="351">
        <f t="shared" ca="1" si="15"/>
        <v>74041.441584656553</v>
      </c>
      <c r="X31" s="351">
        <f t="shared" ca="1" si="16"/>
        <v>152047.65698201102</v>
      </c>
      <c r="Y31" s="351">
        <f t="shared" ca="1" si="17"/>
        <v>158619.07465644582</v>
      </c>
      <c r="Z31" s="351">
        <f t="shared" ca="1" si="18"/>
        <v>81368.897975982851</v>
      </c>
      <c r="AA31" s="352">
        <f t="shared" ca="1" si="19"/>
        <v>85402.255258593505</v>
      </c>
      <c r="AB31" s="678"/>
      <c r="AC31" s="535">
        <v>1</v>
      </c>
    </row>
    <row r="32" spans="1:30">
      <c r="A32" s="679"/>
      <c r="B32" s="679"/>
      <c r="C32" s="679"/>
      <c r="D32" s="679" t="str">
        <f>LEFT($G$3,1) &amp; "S_SpEd"</f>
        <v>HS_SpEd</v>
      </c>
      <c r="E32" s="679"/>
      <c r="F32" s="686"/>
      <c r="G32" s="345"/>
      <c r="H32" s="372" t="s">
        <v>300</v>
      </c>
      <c r="I32" s="390">
        <f t="shared" ca="1" si="24"/>
        <v>5.75</v>
      </c>
      <c r="J32" s="390">
        <f t="shared" ca="1" si="24"/>
        <v>5.75</v>
      </c>
      <c r="K32" s="390">
        <f t="shared" ca="1" si="24"/>
        <v>5.75</v>
      </c>
      <c r="L32" s="390">
        <f t="shared" ca="1" si="24"/>
        <v>5.75</v>
      </c>
      <c r="M32" s="390">
        <f t="shared" ca="1" si="24"/>
        <v>5.75</v>
      </c>
      <c r="N32" s="390">
        <f t="shared" ca="1" si="24"/>
        <v>5.75</v>
      </c>
      <c r="O32" s="390">
        <f t="shared" ca="1" si="24"/>
        <v>5.75</v>
      </c>
      <c r="P32" s="391"/>
      <c r="Q32" s="390"/>
      <c r="R32" s="390"/>
      <c r="S32" s="390" t="s">
        <v>390</v>
      </c>
      <c r="T32" s="390"/>
      <c r="U32" s="351">
        <f t="shared" ca="1" si="13"/>
        <v>752724.62473045778</v>
      </c>
      <c r="V32" s="351">
        <f t="shared" ca="1" si="14"/>
        <v>799673.8671774274</v>
      </c>
      <c r="W32" s="351">
        <f t="shared" ca="1" si="15"/>
        <v>851476.57822355034</v>
      </c>
      <c r="X32" s="351">
        <f t="shared" ca="1" si="16"/>
        <v>874274.02764656337</v>
      </c>
      <c r="Y32" s="351">
        <f t="shared" ca="1" si="17"/>
        <v>912059.67927456344</v>
      </c>
      <c r="Z32" s="351">
        <f t="shared" ca="1" si="18"/>
        <v>935742.32672380283</v>
      </c>
      <c r="AA32" s="352">
        <f t="shared" ca="1" si="19"/>
        <v>982125.93547382532</v>
      </c>
      <c r="AB32" s="678"/>
      <c r="AC32" s="535">
        <v>1</v>
      </c>
    </row>
    <row r="33" spans="1:29">
      <c r="A33" s="679"/>
      <c r="B33" s="679"/>
      <c r="C33" s="679"/>
      <c r="D33" s="679"/>
      <c r="E33" s="679"/>
      <c r="F33" s="686"/>
      <c r="G33" s="345"/>
      <c r="H33" s="389" t="s">
        <v>301</v>
      </c>
      <c r="I33" s="390"/>
      <c r="J33" s="390"/>
      <c r="K33" s="390"/>
      <c r="L33" s="390"/>
      <c r="M33" s="390"/>
      <c r="N33" s="390"/>
      <c r="O33" s="390"/>
      <c r="P33" s="395">
        <f ca="1">INDEX(INDIRECT($S$31 &amp; $S$32),MATCH($T33,INDIRECT($S$31 &amp; $S$33),0),MATCH($G$3,INDIRECT($S$31 &amp; $S$34),0))</f>
        <v>96.580392994887319</v>
      </c>
      <c r="Q33" s="390"/>
      <c r="R33" s="390"/>
      <c r="S33" s="390" t="s">
        <v>391</v>
      </c>
      <c r="T33" s="177" t="s">
        <v>389</v>
      </c>
      <c r="U33" s="351">
        <f ca="1">$P33*$H$2</f>
        <v>96580.392994887312</v>
      </c>
      <c r="V33" s="351">
        <f t="shared" ref="V33:AA34" ca="1" si="25">U33*(1+J$7)</f>
        <v>102110.76181247356</v>
      </c>
      <c r="W33" s="351">
        <f t="shared" ca="1" si="25"/>
        <v>109304.23634078653</v>
      </c>
      <c r="X33" s="351">
        <f t="shared" ca="1" si="25"/>
        <v>113849.06264416652</v>
      </c>
      <c r="Y33" s="351">
        <f t="shared" ca="1" si="25"/>
        <v>118966.09082643913</v>
      </c>
      <c r="Z33" s="351">
        <f t="shared" ca="1" si="25"/>
        <v>121902.08566685526</v>
      </c>
      <c r="AA33" s="352">
        <f t="shared" ca="1" si="25"/>
        <v>128288.93852570368</v>
      </c>
      <c r="AB33" s="678"/>
      <c r="AC33" s="535">
        <v>1</v>
      </c>
    </row>
    <row r="34" spans="1:29">
      <c r="A34" s="679"/>
      <c r="B34" s="679"/>
      <c r="C34" s="679"/>
      <c r="D34" s="679"/>
      <c r="E34" s="679"/>
      <c r="F34" s="686"/>
      <c r="G34" s="345"/>
      <c r="H34" s="389" t="s">
        <v>302</v>
      </c>
      <c r="I34" s="390"/>
      <c r="J34" s="390"/>
      <c r="K34" s="390"/>
      <c r="L34" s="390"/>
      <c r="M34" s="390"/>
      <c r="N34" s="390"/>
      <c r="O34" s="390"/>
      <c r="P34" s="395">
        <f ca="1">INDEX(INDIRECT($S$31 &amp; $S$32),MATCH($T34,INDIRECT($S$31 &amp; $S$33),0),MATCH($G$3,INDIRECT($S$31 &amp; $S$34),0))</f>
        <v>17.364125464121894</v>
      </c>
      <c r="Q34" s="390"/>
      <c r="R34" s="390"/>
      <c r="S34" s="390" t="s">
        <v>392</v>
      </c>
      <c r="T34" s="177" t="s">
        <v>388</v>
      </c>
      <c r="U34" s="351">
        <f ca="1">$P34*$H$2</f>
        <v>17364.125464121895</v>
      </c>
      <c r="V34" s="351">
        <f t="shared" ca="1" si="25"/>
        <v>18358.426843870046</v>
      </c>
      <c r="W34" s="351">
        <f t="shared" ca="1" si="25"/>
        <v>19651.73690773781</v>
      </c>
      <c r="X34" s="351">
        <f t="shared" ca="1" si="25"/>
        <v>20468.848245736914</v>
      </c>
      <c r="Y34" s="351">
        <f t="shared" ca="1" si="25"/>
        <v>21388.83538396623</v>
      </c>
      <c r="Z34" s="351">
        <f t="shared" ca="1" si="25"/>
        <v>21916.695969227039</v>
      </c>
      <c r="AA34" s="352">
        <f t="shared" ca="1" si="25"/>
        <v>23064.984052583673</v>
      </c>
      <c r="AB34" s="678"/>
      <c r="AC34" s="535">
        <v>1</v>
      </c>
    </row>
    <row r="35" spans="1:29">
      <c r="A35" s="679"/>
      <c r="B35" s="679"/>
      <c r="C35" s="679"/>
      <c r="D35" s="679" t="str">
        <f>LEFT($G$3,1) &amp; "S_ASSP"</f>
        <v>HS_ASSP</v>
      </c>
      <c r="E35" s="679"/>
      <c r="F35" s="686">
        <f>IF(LEFT($G$3, 1)="E", 0, 1)</f>
        <v>1</v>
      </c>
      <c r="G35" s="345"/>
      <c r="H35" s="372" t="s">
        <v>303</v>
      </c>
      <c r="I35" s="390">
        <f t="shared" ref="I35:O35" ca="1" si="26">IFERROR($F35*VLOOKUP($D35,INDIRECT($B$23 &amp; $B$24), MATCH(I$4,INDIRECT($B$23 &amp; $B$25),0)+6, 0),0)</f>
        <v>2.5</v>
      </c>
      <c r="J35" s="390">
        <f t="shared" ca="1" si="26"/>
        <v>2.5</v>
      </c>
      <c r="K35" s="390">
        <f t="shared" ca="1" si="26"/>
        <v>2.5</v>
      </c>
      <c r="L35" s="390">
        <f t="shared" ca="1" si="26"/>
        <v>2.5</v>
      </c>
      <c r="M35" s="390">
        <f t="shared" ca="1" si="26"/>
        <v>2.5</v>
      </c>
      <c r="N35" s="390">
        <f t="shared" ca="1" si="26"/>
        <v>2.5</v>
      </c>
      <c r="O35" s="390">
        <f t="shared" ca="1" si="26"/>
        <v>2.5</v>
      </c>
      <c r="P35" s="391"/>
      <c r="Q35" s="390"/>
      <c r="R35" s="390"/>
      <c r="S35" s="390"/>
      <c r="T35" s="390"/>
      <c r="U35" s="351">
        <f t="shared" ref="U35:AA35" ca="1" si="27">((U$7*(1+U$18))+U$17+U$19)*I35</f>
        <v>327271.57596976426</v>
      </c>
      <c r="V35" s="351">
        <f t="shared" ca="1" si="27"/>
        <v>347684.29007714236</v>
      </c>
      <c r="W35" s="351">
        <f t="shared" ca="1" si="27"/>
        <v>370207.20792328275</v>
      </c>
      <c r="X35" s="351">
        <f t="shared" ca="1" si="27"/>
        <v>380119.14245502756</v>
      </c>
      <c r="Y35" s="351">
        <f t="shared" ca="1" si="27"/>
        <v>396547.68664111453</v>
      </c>
      <c r="Z35" s="351">
        <f t="shared" ca="1" si="27"/>
        <v>406844.48987991427</v>
      </c>
      <c r="AA35" s="352">
        <f t="shared" ca="1" si="27"/>
        <v>427011.27629296749</v>
      </c>
      <c r="AB35" s="678"/>
      <c r="AC35" s="535">
        <v>1</v>
      </c>
    </row>
    <row r="36" spans="1:29">
      <c r="A36" s="679"/>
      <c r="B36" s="679"/>
      <c r="C36" s="679"/>
      <c r="D36" s="679" t="str">
        <f>LEFT($G$3,1) &amp; "S_Couns"</f>
        <v>HS_Couns</v>
      </c>
      <c r="E36" s="679"/>
      <c r="F36" s="686">
        <v>1</v>
      </c>
      <c r="G36" s="345"/>
      <c r="H36" s="389" t="s">
        <v>157</v>
      </c>
      <c r="I36" s="390">
        <f t="shared" ref="I36:O37" ca="1" si="28">VLOOKUP($D36,INDIRECT($B$23 &amp; $B$24), MATCH(I$4,INDIRECT($B$23 &amp; $B$25),0)+6, 0)</f>
        <v>3.5</v>
      </c>
      <c r="J36" s="390">
        <f t="shared" ca="1" si="28"/>
        <v>3.5</v>
      </c>
      <c r="K36" s="390">
        <f t="shared" ca="1" si="28"/>
        <v>3.5</v>
      </c>
      <c r="L36" s="390">
        <f t="shared" ca="1" si="28"/>
        <v>4</v>
      </c>
      <c r="M36" s="390">
        <f t="shared" ca="1" si="28"/>
        <v>4</v>
      </c>
      <c r="N36" s="390">
        <f t="shared" ca="1" si="28"/>
        <v>3.5</v>
      </c>
      <c r="O36" s="390">
        <f t="shared" ca="1" si="28"/>
        <v>3.5</v>
      </c>
      <c r="P36" s="391"/>
      <c r="Q36" s="390"/>
      <c r="R36" s="390"/>
      <c r="S36" s="390"/>
      <c r="T36" s="390"/>
      <c r="U36" s="351">
        <f t="shared" ref="U36:AA36" ca="1" si="29">((U$10*(1+U$18))+U$17+U$19)*I36</f>
        <v>469789.78734985366</v>
      </c>
      <c r="V36" s="351">
        <f t="shared" ca="1" si="29"/>
        <v>499154.54672070284</v>
      </c>
      <c r="W36" s="351">
        <f t="shared" ca="1" si="29"/>
        <v>531559.94023374282</v>
      </c>
      <c r="X36" s="351">
        <f t="shared" ca="1" si="29"/>
        <v>623744.86566026206</v>
      </c>
      <c r="Y36" s="351">
        <f t="shared" ca="1" si="29"/>
        <v>650729.63278427848</v>
      </c>
      <c r="Z36" s="351">
        <f t="shared" ca="1" si="29"/>
        <v>584154.93341824156</v>
      </c>
      <c r="AA36" s="352">
        <f t="shared" ca="1" si="29"/>
        <v>613151.94353082497</v>
      </c>
      <c r="AB36" s="678"/>
      <c r="AC36" s="535">
        <v>1</v>
      </c>
    </row>
    <row r="37" spans="1:29">
      <c r="A37" s="679"/>
      <c r="B37" s="679"/>
      <c r="C37" s="679"/>
      <c r="D37" s="679" t="str">
        <f>LEFT($G$3,1) &amp; "S_InstAsst"</f>
        <v>HS_InstAsst</v>
      </c>
      <c r="E37" s="679"/>
      <c r="F37" s="686">
        <v>1</v>
      </c>
      <c r="G37" s="345"/>
      <c r="H37" s="389" t="s">
        <v>305</v>
      </c>
      <c r="I37" s="390">
        <f t="shared" ca="1" si="28"/>
        <v>1.2</v>
      </c>
      <c r="J37" s="390">
        <f t="shared" ca="1" si="28"/>
        <v>1.2</v>
      </c>
      <c r="K37" s="390">
        <f t="shared" ca="1" si="28"/>
        <v>1.2</v>
      </c>
      <c r="L37" s="390">
        <f t="shared" ca="1" si="28"/>
        <v>4</v>
      </c>
      <c r="M37" s="390">
        <f t="shared" ca="1" si="28"/>
        <v>4</v>
      </c>
      <c r="N37" s="390">
        <f t="shared" ca="1" si="28"/>
        <v>1.2</v>
      </c>
      <c r="O37" s="390">
        <f t="shared" ca="1" si="28"/>
        <v>1.2</v>
      </c>
      <c r="P37" s="391"/>
      <c r="Q37" s="390"/>
      <c r="R37" s="390"/>
      <c r="S37" s="390"/>
      <c r="T37" s="390"/>
      <c r="U37" s="351">
        <f t="shared" ref="U37:AA37" ca="1" si="30">((U$12*8*185*(1+U$18-U$22))+U$17+U$19)*I37</f>
        <v>76799.729279999985</v>
      </c>
      <c r="V37" s="351">
        <f t="shared" ca="1" si="30"/>
        <v>79611.562197120002</v>
      </c>
      <c r="W37" s="351">
        <f t="shared" ca="1" si="30"/>
        <v>81749.122321457355</v>
      </c>
      <c r="X37" s="351">
        <f t="shared" ca="1" si="30"/>
        <v>277756.9768824405</v>
      </c>
      <c r="Y37" s="351">
        <f t="shared" ca="1" si="30"/>
        <v>285445.51101485756</v>
      </c>
      <c r="Z37" s="351">
        <f t="shared" ca="1" si="30"/>
        <v>87942.545234328529</v>
      </c>
      <c r="AA37" s="352">
        <f t="shared" ca="1" si="30"/>
        <v>90332.933023866615</v>
      </c>
      <c r="AB37" s="678"/>
      <c r="AC37" s="535">
        <v>1</v>
      </c>
    </row>
    <row r="38" spans="1:29">
      <c r="A38" s="679"/>
      <c r="B38" s="679"/>
      <c r="C38" s="679"/>
      <c r="D38" s="691" t="s">
        <v>77</v>
      </c>
      <c r="E38" s="679"/>
      <c r="F38" s="686">
        <f>IF(LEFT($G$3, 1)="H", 1, 0)</f>
        <v>1</v>
      </c>
      <c r="G38" s="356"/>
      <c r="H38" s="396" t="s">
        <v>306</v>
      </c>
      <c r="I38" s="397">
        <f t="shared" ref="I38:O38" ca="1" si="31">$F38*VLOOKUP($D38,INDIRECT($B$23 &amp; $B$24), MATCH(I$4,INDIRECT($B$23 &amp; $B$25),0)+6, 0)</f>
        <v>1</v>
      </c>
      <c r="J38" s="397">
        <f t="shared" ca="1" si="31"/>
        <v>1</v>
      </c>
      <c r="K38" s="397">
        <f t="shared" ca="1" si="31"/>
        <v>1</v>
      </c>
      <c r="L38" s="397">
        <f t="shared" ca="1" si="31"/>
        <v>1</v>
      </c>
      <c r="M38" s="397">
        <f t="shared" ca="1" si="31"/>
        <v>1</v>
      </c>
      <c r="N38" s="397">
        <f t="shared" ca="1" si="31"/>
        <v>1</v>
      </c>
      <c r="O38" s="397">
        <f t="shared" ca="1" si="31"/>
        <v>1</v>
      </c>
      <c r="P38" s="398"/>
      <c r="Q38" s="397"/>
      <c r="R38" s="397"/>
      <c r="S38" s="397"/>
      <c r="T38" s="397"/>
      <c r="U38" s="381">
        <f t="shared" ref="U38:AA38" ca="1" si="32">((U$7*(1+U$18))+U$17+U$19)*I38</f>
        <v>130908.63038790569</v>
      </c>
      <c r="V38" s="381">
        <f t="shared" ca="1" si="32"/>
        <v>139073.71603085694</v>
      </c>
      <c r="W38" s="381">
        <f t="shared" ca="1" si="32"/>
        <v>148082.88316931311</v>
      </c>
      <c r="X38" s="381">
        <f t="shared" ca="1" si="32"/>
        <v>152047.65698201102</v>
      </c>
      <c r="Y38" s="381">
        <f t="shared" ca="1" si="32"/>
        <v>158619.07465644582</v>
      </c>
      <c r="Z38" s="381">
        <f t="shared" ca="1" si="32"/>
        <v>162737.7959519657</v>
      </c>
      <c r="AA38" s="382">
        <f t="shared" ca="1" si="32"/>
        <v>170804.51051718701</v>
      </c>
      <c r="AB38" s="678"/>
      <c r="AC38" s="535">
        <v>1</v>
      </c>
    </row>
    <row r="39" spans="1:29" ht="15" hidden="1" customHeight="1" outlineLevel="1">
      <c r="A39" s="691"/>
      <c r="B39" s="691"/>
      <c r="C39" s="679"/>
      <c r="D39" s="679"/>
      <c r="E39" s="679"/>
      <c r="F39" s="675"/>
      <c r="G39" s="345"/>
      <c r="H39" s="389"/>
      <c r="I39" s="390"/>
      <c r="J39" s="390"/>
      <c r="K39" s="390"/>
      <c r="L39" s="390"/>
      <c r="M39" s="390"/>
      <c r="N39" s="390"/>
      <c r="O39" s="390"/>
      <c r="P39" s="391"/>
      <c r="Q39" s="390"/>
      <c r="R39" s="390"/>
      <c r="S39" s="390"/>
      <c r="T39" s="390"/>
      <c r="U39" s="351"/>
      <c r="V39" s="351"/>
      <c r="W39" s="351"/>
      <c r="X39" s="351"/>
      <c r="Y39" s="351"/>
      <c r="Z39" s="351"/>
      <c r="AA39" s="351"/>
      <c r="AB39" s="678"/>
      <c r="AC39" s="535">
        <v>0</v>
      </c>
    </row>
    <row r="40" spans="1:29" ht="15.95" hidden="1" customHeight="1" outlineLevel="1" thickBot="1">
      <c r="A40" s="691"/>
      <c r="B40" s="691"/>
      <c r="C40" s="679"/>
      <c r="D40" s="679"/>
      <c r="E40" s="679"/>
      <c r="F40" s="675"/>
      <c r="G40" s="345"/>
      <c r="H40" s="389"/>
      <c r="I40" s="390"/>
      <c r="J40" s="390"/>
      <c r="K40" s="390"/>
      <c r="L40" s="390"/>
      <c r="M40" s="390"/>
      <c r="N40" s="390"/>
      <c r="O40" s="390"/>
      <c r="P40" s="391"/>
      <c r="Q40" s="390"/>
      <c r="R40" s="390"/>
      <c r="S40" s="390"/>
      <c r="T40" s="390"/>
      <c r="U40" s="351"/>
      <c r="V40" s="351"/>
      <c r="W40" s="351"/>
      <c r="X40" s="351"/>
      <c r="Y40" s="351"/>
      <c r="Z40" s="351"/>
      <c r="AA40" s="351"/>
      <c r="AB40" s="678"/>
      <c r="AC40" s="535">
        <v>0</v>
      </c>
    </row>
    <row r="41" spans="1:29" ht="15" hidden="1" customHeight="1" outlineLevel="1">
      <c r="A41" s="691"/>
      <c r="B41" s="691"/>
      <c r="C41" s="675"/>
      <c r="D41" s="675"/>
      <c r="E41" s="675"/>
      <c r="F41" s="675"/>
      <c r="G41" s="345"/>
      <c r="H41" s="389"/>
      <c r="I41" s="390"/>
      <c r="J41" s="390"/>
      <c r="K41" s="390"/>
      <c r="L41" s="390"/>
      <c r="M41" s="390"/>
      <c r="N41" s="390"/>
      <c r="O41" s="390"/>
      <c r="P41" s="399"/>
      <c r="Q41" s="75"/>
      <c r="R41" s="75"/>
      <c r="S41" s="400" t="s">
        <v>385</v>
      </c>
      <c r="T41" s="75" t="str">
        <f>LEFT($G$3,1) &amp; "S_AIT"</f>
        <v>HS_AIT</v>
      </c>
      <c r="U41" s="390">
        <f t="shared" ref="U41:AA41" ca="1" si="33">INDEX(INDIRECT($S$41 &amp; $S$42), MATCH($T$41, INDIRECT($S$41 &amp; $S$43), 0), MATCH(U$4, INDIRECT($S$41 &amp; $S$44),0))</f>
        <v>2</v>
      </c>
      <c r="V41" s="390">
        <f t="shared" ca="1" si="33"/>
        <v>2</v>
      </c>
      <c r="W41" s="390">
        <f t="shared" ca="1" si="33"/>
        <v>2</v>
      </c>
      <c r="X41" s="390">
        <f t="shared" ca="1" si="33"/>
        <v>4</v>
      </c>
      <c r="Y41" s="390">
        <f t="shared" ca="1" si="33"/>
        <v>4</v>
      </c>
      <c r="Z41" s="390">
        <f t="shared" ca="1" si="33"/>
        <v>2</v>
      </c>
      <c r="AA41" s="390">
        <f t="shared" ca="1" si="33"/>
        <v>2</v>
      </c>
      <c r="AB41" s="678"/>
      <c r="AC41" s="535">
        <v>0</v>
      </c>
    </row>
    <row r="42" spans="1:29" ht="15" hidden="1" customHeight="1" outlineLevel="1">
      <c r="A42" s="691"/>
      <c r="B42" s="691"/>
      <c r="C42" s="675"/>
      <c r="D42" s="675"/>
      <c r="E42" s="675"/>
      <c r="F42" s="675"/>
      <c r="G42" s="345"/>
      <c r="H42" s="389"/>
      <c r="I42" s="390"/>
      <c r="J42" s="390"/>
      <c r="K42" s="390"/>
      <c r="L42" s="390"/>
      <c r="M42" s="390"/>
      <c r="N42" s="390"/>
      <c r="O42" s="390"/>
      <c r="P42" s="399"/>
      <c r="Q42" s="75"/>
      <c r="R42" s="75"/>
      <c r="S42" s="401" t="s">
        <v>414</v>
      </c>
      <c r="T42" s="351" t="s">
        <v>9</v>
      </c>
      <c r="U42" s="390">
        <f t="shared" ref="U42:AA42" ca="1" si="34">INDEX(INDIRECT($S$41 &amp; $S$42), MATCH($T$41, INDIRECT($S$41 &amp; $S$43), 0), MATCH($T$42, INDIRECT($S$41 &amp; $S$44),0))</f>
        <v>4</v>
      </c>
      <c r="V42" s="390">
        <f t="shared" ca="1" si="34"/>
        <v>4</v>
      </c>
      <c r="W42" s="390">
        <f t="shared" ca="1" si="34"/>
        <v>4</v>
      </c>
      <c r="X42" s="390">
        <f t="shared" ca="1" si="34"/>
        <v>4</v>
      </c>
      <c r="Y42" s="390">
        <f t="shared" ca="1" si="34"/>
        <v>4</v>
      </c>
      <c r="Z42" s="390">
        <f t="shared" ca="1" si="34"/>
        <v>4</v>
      </c>
      <c r="AA42" s="390">
        <f t="shared" ca="1" si="34"/>
        <v>4</v>
      </c>
      <c r="AB42" s="678"/>
      <c r="AC42" s="535">
        <v>0</v>
      </c>
    </row>
    <row r="43" spans="1:29" ht="15" hidden="1" customHeight="1" outlineLevel="1">
      <c r="A43" s="691"/>
      <c r="B43" s="691"/>
      <c r="C43" s="675"/>
      <c r="D43" s="675"/>
      <c r="E43" s="675"/>
      <c r="F43" s="675"/>
      <c r="G43" s="345"/>
      <c r="H43" s="389"/>
      <c r="I43" s="390"/>
      <c r="J43" s="390"/>
      <c r="K43" s="390"/>
      <c r="L43" s="390"/>
      <c r="M43" s="390"/>
      <c r="N43" s="390"/>
      <c r="O43" s="390"/>
      <c r="P43" s="399"/>
      <c r="Q43" s="75"/>
      <c r="R43" s="75"/>
      <c r="S43" s="401" t="s">
        <v>415</v>
      </c>
      <c r="T43" s="75" t="str">
        <f>T41 &amp; "/" &amp;T42</f>
        <v>HS_AIT/QEM</v>
      </c>
      <c r="U43" s="402">
        <f ca="1">U41/U42</f>
        <v>0.5</v>
      </c>
      <c r="V43" s="402">
        <f t="shared" ref="V43:AA43" ca="1" si="35">V41/V42</f>
        <v>0.5</v>
      </c>
      <c r="W43" s="402">
        <f t="shared" ca="1" si="35"/>
        <v>0.5</v>
      </c>
      <c r="X43" s="402">
        <f t="shared" ca="1" si="35"/>
        <v>1</v>
      </c>
      <c r="Y43" s="402">
        <f t="shared" ca="1" si="35"/>
        <v>1</v>
      </c>
      <c r="Z43" s="402">
        <f t="shared" ca="1" si="35"/>
        <v>0.5</v>
      </c>
      <c r="AA43" s="402">
        <f t="shared" ca="1" si="35"/>
        <v>0.5</v>
      </c>
      <c r="AB43" s="678"/>
      <c r="AC43" s="535">
        <v>0</v>
      </c>
    </row>
    <row r="44" spans="1:29" ht="15" hidden="1" customHeight="1" outlineLevel="1">
      <c r="A44" s="691"/>
      <c r="B44" s="691"/>
      <c r="C44" s="675"/>
      <c r="D44" s="675"/>
      <c r="E44" s="675"/>
      <c r="F44" s="675"/>
      <c r="G44" s="345"/>
      <c r="H44" s="389"/>
      <c r="I44" s="390"/>
      <c r="J44" s="390"/>
      <c r="K44" s="390"/>
      <c r="L44" s="390"/>
      <c r="M44" s="390"/>
      <c r="N44" s="390"/>
      <c r="O44" s="390"/>
      <c r="P44" s="399"/>
      <c r="Q44" s="75"/>
      <c r="R44" s="75"/>
      <c r="S44" s="401" t="s">
        <v>416</v>
      </c>
      <c r="T44" s="401" t="s">
        <v>250</v>
      </c>
      <c r="U44" s="347">
        <f t="shared" ref="U44:AA44" ca="1" si="36">VLOOKUP($T44, $D$7:$O$12, MATCH(U$4, $D$4:$O$4, 0), 0)</f>
        <v>5.9308841843088489E-2</v>
      </c>
      <c r="V44" s="347">
        <f t="shared" ca="1" si="36"/>
        <v>5.7261817291207384E-2</v>
      </c>
      <c r="W44" s="347">
        <f t="shared" ca="1" si="36"/>
        <v>7.0447760849378316E-2</v>
      </c>
      <c r="X44" s="347">
        <f t="shared" ca="1" si="36"/>
        <v>4.1579598884074587E-2</v>
      </c>
      <c r="Y44" s="347">
        <f t="shared" ca="1" si="36"/>
        <v>4.4945720794081545E-2</v>
      </c>
      <c r="Z44" s="347">
        <f t="shared" ca="1" si="36"/>
        <v>2.4679257929887566E-2</v>
      </c>
      <c r="AA44" s="347">
        <f t="shared" ca="1" si="36"/>
        <v>5.2393302574846645E-2</v>
      </c>
      <c r="AB44" s="692"/>
      <c r="AC44" s="535">
        <v>0</v>
      </c>
    </row>
    <row r="45" spans="1:29" ht="15" hidden="1" customHeight="1" outlineLevel="1">
      <c r="A45" s="691"/>
      <c r="B45" s="691"/>
      <c r="C45" s="675"/>
      <c r="D45" s="675"/>
      <c r="E45" s="675"/>
      <c r="F45" s="675"/>
      <c r="G45" s="345"/>
      <c r="H45" s="389"/>
      <c r="I45" s="390"/>
      <c r="J45" s="390"/>
      <c r="K45" s="390"/>
      <c r="L45" s="390"/>
      <c r="M45" s="390"/>
      <c r="N45" s="390"/>
      <c r="O45" s="390"/>
      <c r="P45" s="399"/>
      <c r="Q45" s="75"/>
      <c r="R45" s="75"/>
      <c r="S45" s="394" t="s">
        <v>951</v>
      </c>
      <c r="T45" s="75" t="s">
        <v>425</v>
      </c>
      <c r="U45" s="347"/>
      <c r="V45" s="347">
        <f ca="1">V44</f>
        <v>5.7261817291207384E-2</v>
      </c>
      <c r="W45" s="347">
        <f ca="1">(1+V45)*(1+W44)-1</f>
        <v>0.13174354495091745</v>
      </c>
      <c r="X45" s="347">
        <f ca="1">(1+W45)*(1+X44)-1</f>
        <v>0.17880098758961727</v>
      </c>
      <c r="Y45" s="347">
        <f ca="1">(1+X45)*(1+Y44)-1</f>
        <v>0.23178304764960789</v>
      </c>
      <c r="Z45" s="347">
        <f ca="1">(1+Y45)*(1+Z44)-1</f>
        <v>0.26218253919621559</v>
      </c>
      <c r="AA45" s="347">
        <f ca="1">(1+Z45)*(1+AA44)-1</f>
        <v>0.32831245087701122</v>
      </c>
      <c r="AB45" s="692"/>
      <c r="AC45" s="535">
        <v>0</v>
      </c>
    </row>
    <row r="46" spans="1:29" ht="15" hidden="1" customHeight="1" outlineLevel="1">
      <c r="A46" s="691"/>
      <c r="B46" s="691"/>
      <c r="C46" s="675"/>
      <c r="D46" s="675"/>
      <c r="E46" s="675"/>
      <c r="F46" s="675"/>
      <c r="G46" s="345"/>
      <c r="H46" s="389"/>
      <c r="I46" s="390"/>
      <c r="J46" s="390"/>
      <c r="K46" s="390"/>
      <c r="L46" s="390"/>
      <c r="M46" s="390"/>
      <c r="N46" s="390"/>
      <c r="O46" s="390"/>
      <c r="P46" s="399"/>
      <c r="Q46" s="75"/>
      <c r="R46" s="75"/>
      <c r="S46" s="75" t="s">
        <v>827</v>
      </c>
      <c r="T46" s="75" t="s">
        <v>269</v>
      </c>
      <c r="U46" s="347">
        <f t="shared" ref="U46:AA46" ca="1" si="37">VLOOKUP($T46, $D$7:$O$12, MATCH(U$4, $D$4:$O$4, 0), 0)</f>
        <v>2.9095091077493085E-2</v>
      </c>
      <c r="V46" s="347">
        <f t="shared" ca="1" si="37"/>
        <v>2.8327327327327345E-2</v>
      </c>
      <c r="W46" s="347">
        <f t="shared" ca="1" si="37"/>
        <v>2.3800350774627277E-2</v>
      </c>
      <c r="X46" s="347">
        <f t="shared" ca="1" si="37"/>
        <v>2.843641040297229E-2</v>
      </c>
      <c r="Y46" s="347">
        <f t="shared" ca="1" si="37"/>
        <v>2.4922114047288058E-2</v>
      </c>
      <c r="Z46" s="347">
        <f t="shared" ca="1" si="37"/>
        <v>2.3819885900570381E-2</v>
      </c>
      <c r="AA46" s="347">
        <f t="shared" ca="1" si="37"/>
        <v>2.4107569721115607E-2</v>
      </c>
      <c r="AB46" s="692"/>
      <c r="AC46" s="535">
        <v>0</v>
      </c>
    </row>
    <row r="47" spans="1:29" ht="15" hidden="1" customHeight="1" outlineLevel="1">
      <c r="A47" s="691"/>
      <c r="B47" s="691"/>
      <c r="C47" s="675"/>
      <c r="D47" s="675"/>
      <c r="E47" s="675"/>
      <c r="F47" s="675"/>
      <c r="G47" s="345"/>
      <c r="H47" s="389"/>
      <c r="I47" s="390"/>
      <c r="J47" s="390"/>
      <c r="K47" s="390"/>
      <c r="L47" s="390"/>
      <c r="M47" s="390"/>
      <c r="N47" s="390"/>
      <c r="O47" s="390"/>
      <c r="P47" s="399"/>
      <c r="Q47" s="75"/>
      <c r="R47" s="75"/>
      <c r="S47" s="75" t="s">
        <v>828</v>
      </c>
      <c r="T47" s="75" t="s">
        <v>426</v>
      </c>
      <c r="U47" s="347"/>
      <c r="V47" s="347">
        <f ca="1">V46</f>
        <v>2.8327327327327345E-2</v>
      </c>
      <c r="W47" s="347">
        <f ca="1">(1+V47)*(1+W46)-1</f>
        <v>5.2801878428852644E-2</v>
      </c>
      <c r="X47" s="347">
        <f ca="1">(1+W47)*(1+X46)-1</f>
        <v>8.2739784716875597E-2</v>
      </c>
      <c r="Y47" s="347">
        <f ca="1">(1+X47)*(1+Y46)-1</f>
        <v>0.10972394911512584</v>
      </c>
      <c r="Z47" s="347">
        <f ca="1">(1+Y47)*(1+Z46)-1</f>
        <v>0.13615744696417842</v>
      </c>
      <c r="AA47" s="347">
        <f ca="1">(1+Z47)*(1+AA46)-1</f>
        <v>0.16354744183103187</v>
      </c>
      <c r="AB47" s="692"/>
      <c r="AC47" s="535">
        <v>0</v>
      </c>
    </row>
    <row r="48" spans="1:29" ht="15" hidden="1" customHeight="1" outlineLevel="1">
      <c r="A48" s="691"/>
      <c r="B48" s="691"/>
      <c r="C48" s="675"/>
      <c r="D48" s="675"/>
      <c r="E48" s="675"/>
      <c r="F48" s="675"/>
      <c r="G48" s="345"/>
      <c r="H48" s="389"/>
      <c r="I48" s="390"/>
      <c r="J48" s="390"/>
      <c r="K48" s="390"/>
      <c r="L48" s="390"/>
      <c r="M48" s="390"/>
      <c r="N48" s="390"/>
      <c r="O48" s="390"/>
      <c r="P48" s="399"/>
      <c r="Q48" s="75"/>
      <c r="R48" s="75"/>
      <c r="S48" s="75" t="s">
        <v>826</v>
      </c>
      <c r="T48" s="75" t="s">
        <v>258</v>
      </c>
      <c r="U48" s="347">
        <f t="shared" ref="U48:AA48" ca="1" si="38">VLOOKUP($T48,INDIRECT($S$45 &amp; $S$46), MATCH(U$4, INDIRECT($S$45 &amp; $S$48), 0), 0)</f>
        <v>2.450980392156854E-2</v>
      </c>
      <c r="V48" s="347">
        <f t="shared" ca="1" si="38"/>
        <v>2.8708133971291794E-2</v>
      </c>
      <c r="W48" s="347">
        <f t="shared" ca="1" si="38"/>
        <v>2.7906976744185963E-2</v>
      </c>
      <c r="X48" s="347">
        <f t="shared" ca="1" si="38"/>
        <v>2.4886877828054432E-2</v>
      </c>
      <c r="Y48" s="347">
        <f t="shared" ca="1" si="38"/>
        <v>2.3546725533480473E-2</v>
      </c>
      <c r="Z48" s="347">
        <f t="shared" ca="1" si="38"/>
        <v>2.2286125089863384E-2</v>
      </c>
      <c r="AA48" s="347">
        <f t="shared" ca="1" si="38"/>
        <v>2.2503516174402272E-2</v>
      </c>
      <c r="AB48" s="692"/>
      <c r="AC48" s="535">
        <v>0</v>
      </c>
    </row>
    <row r="49" spans="1:29" ht="15.95" hidden="1" customHeight="1" outlineLevel="1" thickBot="1">
      <c r="A49" s="691"/>
      <c r="B49" s="691"/>
      <c r="C49" s="675"/>
      <c r="D49" s="675"/>
      <c r="E49" s="675"/>
      <c r="F49" s="675"/>
      <c r="G49" s="345"/>
      <c r="H49" s="389"/>
      <c r="I49" s="390"/>
      <c r="J49" s="390"/>
      <c r="K49" s="390"/>
      <c r="L49" s="390"/>
      <c r="M49" s="390"/>
      <c r="N49" s="390"/>
      <c r="O49" s="390"/>
      <c r="P49" s="399"/>
      <c r="Q49" s="75"/>
      <c r="R49" s="75"/>
      <c r="S49" s="75"/>
      <c r="T49" s="75" t="s">
        <v>419</v>
      </c>
      <c r="U49" s="347"/>
      <c r="V49" s="347">
        <f ca="1">V48</f>
        <v>2.8708133971291794E-2</v>
      </c>
      <c r="W49" s="347">
        <f ca="1">(1+V49)*(1+W48)-1</f>
        <v>5.7416267942583588E-2</v>
      </c>
      <c r="X49" s="347">
        <f ca="1">(1+W49)*(1+X48)-1</f>
        <v>8.373205741626788E-2</v>
      </c>
      <c r="Y49" s="347">
        <f ca="1">(1+X49)*(1+Y48)-1</f>
        <v>0.10925039872408293</v>
      </c>
      <c r="Z49" s="347">
        <f ca="1">(1+Y49)*(1+Z48)-1</f>
        <v>0.13397129186602874</v>
      </c>
      <c r="AA49" s="347">
        <f ca="1">(1+Z49)*(1+AA48)-1</f>
        <v>0.15948963317384379</v>
      </c>
      <c r="AB49" s="692"/>
      <c r="AC49" s="535">
        <v>0</v>
      </c>
    </row>
    <row r="50" spans="1:29" ht="15" hidden="1" customHeight="1" outlineLevel="1">
      <c r="A50" s="691"/>
      <c r="B50" s="691"/>
      <c r="C50" s="675"/>
      <c r="D50" s="675"/>
      <c r="E50" s="675"/>
      <c r="F50" s="675"/>
      <c r="G50" s="345"/>
      <c r="H50" s="389"/>
      <c r="I50" s="390"/>
      <c r="J50" s="390"/>
      <c r="K50" s="390"/>
      <c r="L50" s="390"/>
      <c r="M50" s="75"/>
      <c r="N50" s="390"/>
      <c r="O50" s="390"/>
      <c r="P50" s="391"/>
      <c r="Q50" s="390"/>
      <c r="R50" s="390"/>
      <c r="S50" s="390"/>
      <c r="T50" s="390"/>
      <c r="U50" s="390"/>
      <c r="V50" s="390"/>
      <c r="W50" s="390"/>
      <c r="X50" s="390"/>
      <c r="Y50" s="390"/>
      <c r="Z50" s="390"/>
      <c r="AA50" s="390"/>
      <c r="AB50" s="693"/>
      <c r="AC50" s="535">
        <v>0</v>
      </c>
    </row>
    <row r="51" spans="1:29" ht="15.95" hidden="1" customHeight="1" outlineLevel="1" thickBot="1">
      <c r="A51" s="691"/>
      <c r="B51" s="694" t="s">
        <v>1061</v>
      </c>
      <c r="C51" s="675"/>
      <c r="D51" s="675"/>
      <c r="E51" s="675"/>
      <c r="F51" s="675"/>
      <c r="G51" s="345"/>
      <c r="H51" s="389"/>
      <c r="I51" s="390"/>
      <c r="J51" s="390"/>
      <c r="K51" s="390"/>
      <c r="L51" s="390"/>
      <c r="M51" s="390"/>
      <c r="N51" s="390"/>
      <c r="O51" s="390"/>
      <c r="P51" s="391"/>
      <c r="Q51" s="390"/>
      <c r="R51" s="390"/>
      <c r="S51" s="390"/>
      <c r="T51" s="390"/>
      <c r="U51" s="390"/>
      <c r="V51" s="390"/>
      <c r="W51" s="390"/>
      <c r="X51" s="390"/>
      <c r="Y51" s="390"/>
      <c r="Z51" s="390"/>
      <c r="AA51" s="390"/>
      <c r="AB51" s="693"/>
      <c r="AC51" s="535">
        <v>0</v>
      </c>
    </row>
    <row r="52" spans="1:29" ht="31.5" collapsed="1">
      <c r="A52" s="691"/>
      <c r="B52" s="675" t="s">
        <v>830</v>
      </c>
      <c r="C52" s="679" t="str">
        <f>LEFT($G$3,1) &amp; "S_SumSchool"</f>
        <v>HS_SumSchool</v>
      </c>
      <c r="D52" s="675"/>
      <c r="E52" s="675"/>
      <c r="F52" s="680">
        <v>20</v>
      </c>
      <c r="G52" s="336" t="s">
        <v>307</v>
      </c>
      <c r="H52" s="387" t="s">
        <v>393</v>
      </c>
      <c r="I52" s="369">
        <f t="shared" ref="I52:O53" ca="1" si="39">INDEX(INDIRECT($B$51 &amp; $B$52), MATCH($C52, INDIRECT($B$51 &amp; $B$53),0), MATCH(I$4, INDIRECT($B$51 &amp; $B$54),0))</f>
        <v>13</v>
      </c>
      <c r="J52" s="369">
        <f t="shared" ca="1" si="39"/>
        <v>13</v>
      </c>
      <c r="K52" s="369">
        <f t="shared" ca="1" si="39"/>
        <v>13</v>
      </c>
      <c r="L52" s="369">
        <f t="shared" ca="1" si="39"/>
        <v>13</v>
      </c>
      <c r="M52" s="369">
        <f t="shared" ca="1" si="39"/>
        <v>13</v>
      </c>
      <c r="N52" s="369">
        <f t="shared" ca="1" si="39"/>
        <v>13</v>
      </c>
      <c r="O52" s="369">
        <f t="shared" ca="1" si="39"/>
        <v>13</v>
      </c>
      <c r="P52" s="404">
        <f ca="1">INDEX(INDIRECT($S$52 &amp; $S$53), MATCH($T52, INDIRECT($S$52 &amp; $S$54),0), MATCH(I$4, INDIRECT($S$52 &amp; $S$55),0))</f>
        <v>578.84046315789476</v>
      </c>
      <c r="Q52" s="369"/>
      <c r="R52" s="369"/>
      <c r="S52" s="405" t="s">
        <v>948</v>
      </c>
      <c r="T52" s="406" t="s">
        <v>421</v>
      </c>
      <c r="U52" s="343">
        <f ca="1">$P52*$F52*I52*U43</f>
        <v>75249.260210526321</v>
      </c>
      <c r="V52" s="343">
        <f t="shared" ref="V52:AA52" ca="1" si="40">$P52*$F52*J52*V43*(1+V45)</f>
        <v>79558.169600000008</v>
      </c>
      <c r="W52" s="343">
        <f t="shared" ca="1" si="40"/>
        <v>85162.864505595076</v>
      </c>
      <c r="X52" s="343">
        <f t="shared" ca="1" si="40"/>
        <v>177407.80450311303</v>
      </c>
      <c r="Y52" s="343">
        <f t="shared" ca="1" si="40"/>
        <v>185381.52615100096</v>
      </c>
      <c r="Z52" s="343">
        <f t="shared" ca="1" si="40"/>
        <v>94978.30232515886</v>
      </c>
      <c r="AA52" s="344">
        <f t="shared" ca="1" si="40"/>
        <v>99954.52925692618</v>
      </c>
      <c r="AB52" s="693"/>
      <c r="AC52" s="535">
        <v>1</v>
      </c>
    </row>
    <row r="53" spans="1:29">
      <c r="A53" s="691"/>
      <c r="B53" s="675" t="s">
        <v>831</v>
      </c>
      <c r="C53" s="679" t="str">
        <f>LEFT($G$3,1) &amp; "S_ClsfdSumSchool"</f>
        <v>HS_ClsfdSumSchool</v>
      </c>
      <c r="D53" s="675"/>
      <c r="E53" s="675"/>
      <c r="F53" s="680">
        <v>20</v>
      </c>
      <c r="G53" s="407"/>
      <c r="H53" s="389" t="s">
        <v>309</v>
      </c>
      <c r="I53" s="390">
        <f t="shared" ca="1" si="39"/>
        <v>4</v>
      </c>
      <c r="J53" s="390">
        <f t="shared" ca="1" si="39"/>
        <v>4</v>
      </c>
      <c r="K53" s="390">
        <f t="shared" ca="1" si="39"/>
        <v>4</v>
      </c>
      <c r="L53" s="390">
        <f t="shared" ca="1" si="39"/>
        <v>4</v>
      </c>
      <c r="M53" s="390">
        <f t="shared" ca="1" si="39"/>
        <v>4</v>
      </c>
      <c r="N53" s="390">
        <f t="shared" ca="1" si="39"/>
        <v>4</v>
      </c>
      <c r="O53" s="390">
        <f t="shared" ca="1" si="39"/>
        <v>4</v>
      </c>
      <c r="P53" s="395">
        <f ca="1">INDEX(INDIRECT($S$52 &amp; $S$53), MATCH($T53, INDIRECT($S$52 &amp; $S$54),0), MATCH(I$4, INDIRECT($S$52 &amp; $S$55),0))</f>
        <v>298.6884298467935</v>
      </c>
      <c r="Q53" s="390"/>
      <c r="R53" s="390"/>
      <c r="S53" s="401" t="s">
        <v>428</v>
      </c>
      <c r="T53" s="390" t="s">
        <v>308</v>
      </c>
      <c r="U53" s="351">
        <f ca="1">$P53*$F53*I53*U43</f>
        <v>11947.53719387174</v>
      </c>
      <c r="V53" s="351">
        <f t="shared" ref="V53:AA53" ca="1" si="41">$P53*$F53*J53*V43*(1+V47)</f>
        <v>12285.978990717964</v>
      </c>
      <c r="W53" s="351">
        <f t="shared" ca="1" si="41"/>
        <v>12578.389600306751</v>
      </c>
      <c r="X53" s="351">
        <f t="shared" ca="1" si="41"/>
        <v>25872.147698379104</v>
      </c>
      <c r="Y53" s="351">
        <f t="shared" ca="1" si="41"/>
        <v>26516.936313966391</v>
      </c>
      <c r="Z53" s="351">
        <f t="shared" ca="1" si="41"/>
        <v>13574.283355698881</v>
      </c>
      <c r="AA53" s="352">
        <f t="shared" ca="1" si="41"/>
        <v>13901.526338110569</v>
      </c>
      <c r="AB53" s="693"/>
      <c r="AC53" s="535">
        <v>1</v>
      </c>
    </row>
    <row r="54" spans="1:29">
      <c r="A54" s="691"/>
      <c r="B54" s="675" t="s">
        <v>773</v>
      </c>
      <c r="C54" s="679" t="str">
        <f>LEFT($G$3,1) &amp; "S_SumSchlSupplies"</f>
        <v>HS_SumSchlSupplies</v>
      </c>
      <c r="D54" s="675"/>
      <c r="E54" s="675"/>
      <c r="F54" s="680">
        <f>IF(LEFT($F$3,1) = "E", 0.2*(5/6)*$H$2, 0.2*$H$2)</f>
        <v>200</v>
      </c>
      <c r="G54" s="407"/>
      <c r="H54" s="389" t="s">
        <v>310</v>
      </c>
      <c r="I54" s="390"/>
      <c r="J54" s="390"/>
      <c r="K54" s="390"/>
      <c r="L54" s="390"/>
      <c r="M54" s="390"/>
      <c r="N54" s="390"/>
      <c r="O54" s="390"/>
      <c r="P54" s="395">
        <f ca="1">INDEX(INDIRECT($B$51 &amp; $B$52), MATCH($C54, INDIRECT($B$51 &amp; $B$53),0), MATCH(P$4, INDIRECT($B$51 &amp; $B$54),0))</f>
        <v>24</v>
      </c>
      <c r="Q54" s="390"/>
      <c r="R54" s="390"/>
      <c r="S54" s="401" t="s">
        <v>272</v>
      </c>
      <c r="T54" s="401"/>
      <c r="U54" s="351">
        <f ca="1">$P54*$F54*U43</f>
        <v>2400</v>
      </c>
      <c r="V54" s="351">
        <f t="shared" ref="V54:AA54" ca="1" si="42">$P54*$F54*V43*(1+V49)</f>
        <v>2468.8995215311002</v>
      </c>
      <c r="W54" s="351">
        <f t="shared" ca="1" si="42"/>
        <v>2537.7990430622008</v>
      </c>
      <c r="X54" s="351">
        <f t="shared" ca="1" si="42"/>
        <v>5201.9138755980857</v>
      </c>
      <c r="Y54" s="351">
        <f t="shared" ca="1" si="42"/>
        <v>5324.4019138755984</v>
      </c>
      <c r="Z54" s="351">
        <f t="shared" ca="1" si="42"/>
        <v>2721.5311004784689</v>
      </c>
      <c r="AA54" s="352">
        <f t="shared" ca="1" si="42"/>
        <v>2782.7751196172253</v>
      </c>
      <c r="AB54" s="693"/>
      <c r="AC54" s="535">
        <v>1</v>
      </c>
    </row>
    <row r="55" spans="1:29" ht="15" hidden="1" customHeight="1" outlineLevel="1">
      <c r="A55" s="691"/>
      <c r="B55" s="679"/>
      <c r="C55" s="679"/>
      <c r="D55" s="675"/>
      <c r="E55" s="675"/>
      <c r="F55" s="680"/>
      <c r="G55" s="407"/>
      <c r="H55" s="391"/>
      <c r="I55" s="390"/>
      <c r="J55" s="390"/>
      <c r="K55" s="390"/>
      <c r="L55" s="390"/>
      <c r="M55" s="390"/>
      <c r="N55" s="390"/>
      <c r="O55" s="390"/>
      <c r="P55" s="391"/>
      <c r="Q55" s="390"/>
      <c r="R55" s="390"/>
      <c r="S55" s="401" t="s">
        <v>349</v>
      </c>
      <c r="T55" s="390"/>
      <c r="U55" s="390"/>
      <c r="V55" s="390"/>
      <c r="W55" s="390"/>
      <c r="X55" s="390"/>
      <c r="Y55" s="390"/>
      <c r="Z55" s="390"/>
      <c r="AA55" s="408"/>
      <c r="AB55" s="693"/>
      <c r="AC55" s="535">
        <v>0</v>
      </c>
    </row>
    <row r="56" spans="1:29" ht="15" hidden="1" customHeight="1" outlineLevel="1">
      <c r="A56" s="675"/>
      <c r="B56" s="675"/>
      <c r="C56" s="675"/>
      <c r="D56" s="675"/>
      <c r="E56" s="675"/>
      <c r="F56" s="686"/>
      <c r="G56" s="407"/>
      <c r="H56" s="409"/>
      <c r="I56" s="304"/>
      <c r="J56" s="304"/>
      <c r="K56" s="304"/>
      <c r="L56" s="304"/>
      <c r="M56" s="304"/>
      <c r="N56" s="304"/>
      <c r="O56" s="304"/>
      <c r="P56" s="409"/>
      <c r="Q56" s="304"/>
      <c r="R56" s="304"/>
      <c r="S56" s="304"/>
      <c r="T56" s="304"/>
      <c r="U56" s="304"/>
      <c r="V56" s="304"/>
      <c r="W56" s="304"/>
      <c r="X56" s="304"/>
      <c r="Y56" s="304"/>
      <c r="Z56" s="304"/>
      <c r="AA56" s="410"/>
      <c r="AB56" s="687"/>
      <c r="AC56" s="535">
        <v>0</v>
      </c>
    </row>
    <row r="57" spans="1:29" collapsed="1">
      <c r="A57" s="675"/>
      <c r="B57" s="694" t="s">
        <v>385</v>
      </c>
      <c r="C57" s="679" t="str">
        <f>LEFT($G$3,1) &amp; "S_atRisk"</f>
        <v>HS_atRisk</v>
      </c>
      <c r="D57" s="675"/>
      <c r="E57" s="675"/>
      <c r="F57" s="680">
        <f>IF(LEFT($F$3,1) = "E", $H$2-$F54, $H$2)</f>
        <v>1000</v>
      </c>
      <c r="G57" s="411"/>
      <c r="H57" s="396" t="s">
        <v>404</v>
      </c>
      <c r="I57" s="397">
        <f t="shared" ref="I57:O57" ca="1" si="43">INDEX(INDIRECT($B$57&amp;$B$58),MATCH($C57,INDIRECT($B$57&amp;$B$59),0),MATCH(I$4,INDIRECT($B$57&amp;$B$60),0))</f>
        <v>0.2</v>
      </c>
      <c r="J57" s="397">
        <f t="shared" ca="1" si="43"/>
        <v>0.25</v>
      </c>
      <c r="K57" s="397">
        <f t="shared" ca="1" si="43"/>
        <v>0.25</v>
      </c>
      <c r="L57" s="397">
        <f t="shared" ca="1" si="43"/>
        <v>0.25</v>
      </c>
      <c r="M57" s="397">
        <f t="shared" ca="1" si="43"/>
        <v>0.25</v>
      </c>
      <c r="N57" s="397">
        <f t="shared" ca="1" si="43"/>
        <v>0.25</v>
      </c>
      <c r="O57" s="397">
        <f t="shared" ca="1" si="43"/>
        <v>0.25</v>
      </c>
      <c r="P57" s="412">
        <f ca="1">INDEX(INDIRECT($B$51 &amp; $B$52), MATCH($C57, INDIRECT($B$51 &amp; $B$53),0), MATCH(P$4, INDIRECT($B$51 &amp; $B$54),0))</f>
        <v>461</v>
      </c>
      <c r="Q57" s="397"/>
      <c r="R57" s="397"/>
      <c r="S57" s="397"/>
      <c r="T57" s="413"/>
      <c r="U57" s="381">
        <f ca="1">$P57*I57*$F$57</f>
        <v>92200</v>
      </c>
      <c r="V57" s="381">
        <f t="shared" ref="V57:AA57" ca="1" si="44">$P57*J57*$F$57*(1+V45)</f>
        <v>121849.42444281165</v>
      </c>
      <c r="W57" s="381">
        <f t="shared" ca="1" si="44"/>
        <v>130433.44355559323</v>
      </c>
      <c r="X57" s="381">
        <f t="shared" ca="1" si="44"/>
        <v>135856.81381970338</v>
      </c>
      <c r="Y57" s="381">
        <f t="shared" ca="1" si="44"/>
        <v>141962.99624161731</v>
      </c>
      <c r="Z57" s="381">
        <f t="shared" ca="1" si="44"/>
        <v>145466.53764236384</v>
      </c>
      <c r="AA57" s="382">
        <f t="shared" ca="1" si="44"/>
        <v>153088.00996357555</v>
      </c>
      <c r="AB57" s="422"/>
      <c r="AC57" s="535">
        <v>1</v>
      </c>
    </row>
    <row r="58" spans="1:29" ht="15" hidden="1" customHeight="1" outlineLevel="1">
      <c r="A58" s="675"/>
      <c r="B58" s="675" t="s">
        <v>414</v>
      </c>
      <c r="C58" s="675"/>
      <c r="D58" s="675"/>
      <c r="E58" s="675"/>
      <c r="F58" s="686"/>
      <c r="G58" s="407"/>
      <c r="H58" s="389"/>
      <c r="I58" s="390"/>
      <c r="J58" s="390"/>
      <c r="K58" s="390"/>
      <c r="L58" s="390"/>
      <c r="M58" s="390"/>
      <c r="N58" s="390"/>
      <c r="O58" s="390"/>
      <c r="P58" s="391"/>
      <c r="Q58" s="390"/>
      <c r="R58" s="390"/>
      <c r="S58" s="390"/>
      <c r="T58" s="390"/>
      <c r="U58" s="351"/>
      <c r="V58" s="351"/>
      <c r="W58" s="351"/>
      <c r="X58" s="351"/>
      <c r="Y58" s="351"/>
      <c r="Z58" s="351"/>
      <c r="AA58" s="351"/>
      <c r="AB58" s="422"/>
      <c r="AC58" s="535">
        <v>0</v>
      </c>
    </row>
    <row r="59" spans="1:29" ht="15" hidden="1" customHeight="1" outlineLevel="1">
      <c r="A59" s="675"/>
      <c r="B59" s="675" t="s">
        <v>415</v>
      </c>
      <c r="C59" s="675"/>
      <c r="D59" s="675"/>
      <c r="E59" s="675"/>
      <c r="F59" s="686"/>
      <c r="G59" s="407"/>
      <c r="H59" s="389"/>
      <c r="I59" s="390"/>
      <c r="J59" s="390"/>
      <c r="K59" s="390"/>
      <c r="L59" s="390"/>
      <c r="M59" s="390"/>
      <c r="N59" s="390"/>
      <c r="O59" s="390"/>
      <c r="P59" s="391"/>
      <c r="Q59" s="390"/>
      <c r="R59" s="390"/>
      <c r="S59" s="390"/>
      <c r="T59" s="390"/>
      <c r="U59" s="351"/>
      <c r="V59" s="351"/>
      <c r="W59" s="351"/>
      <c r="X59" s="351"/>
      <c r="Y59" s="351"/>
      <c r="Z59" s="351"/>
      <c r="AA59" s="351"/>
      <c r="AB59" s="422"/>
      <c r="AC59" s="535">
        <v>0</v>
      </c>
    </row>
    <row r="60" spans="1:29" ht="15.95" hidden="1" customHeight="1" outlineLevel="1" thickBot="1">
      <c r="A60" s="675"/>
      <c r="B60" s="675" t="s">
        <v>416</v>
      </c>
      <c r="C60" s="675"/>
      <c r="D60" s="675"/>
      <c r="E60" s="675"/>
      <c r="F60" s="686"/>
      <c r="G60" s="407"/>
      <c r="H60" s="389"/>
      <c r="I60" s="390"/>
      <c r="J60" s="390"/>
      <c r="K60" s="390"/>
      <c r="L60" s="390"/>
      <c r="M60" s="390"/>
      <c r="N60" s="390"/>
      <c r="O60" s="390"/>
      <c r="P60" s="391"/>
      <c r="Q60" s="390"/>
      <c r="R60" s="390"/>
      <c r="S60" s="390"/>
      <c r="T60" s="390"/>
      <c r="U60" s="351"/>
      <c r="V60" s="351"/>
      <c r="W60" s="351"/>
      <c r="X60" s="351"/>
      <c r="Y60" s="351"/>
      <c r="Z60" s="351"/>
      <c r="AA60" s="351"/>
      <c r="AB60" s="422"/>
      <c r="AC60" s="535">
        <v>0</v>
      </c>
    </row>
    <row r="61" spans="1:29" ht="15" hidden="1" customHeight="1" outlineLevel="1">
      <c r="A61" s="675"/>
      <c r="B61" s="679"/>
      <c r="C61" s="679"/>
      <c r="D61" s="679"/>
      <c r="E61" s="679"/>
      <c r="F61" s="679"/>
      <c r="G61" s="414"/>
      <c r="H61" s="414"/>
      <c r="I61" s="177"/>
      <c r="J61" s="177"/>
      <c r="K61" s="177"/>
      <c r="L61" s="177"/>
      <c r="M61" s="177"/>
      <c r="N61" s="177"/>
      <c r="O61" s="177"/>
      <c r="P61" s="414"/>
      <c r="Q61" s="177"/>
      <c r="R61" s="177"/>
      <c r="S61" s="177"/>
      <c r="T61" s="177"/>
      <c r="U61" s="177"/>
      <c r="V61" s="177"/>
      <c r="W61" s="177"/>
      <c r="X61" s="177"/>
      <c r="Y61" s="177"/>
      <c r="Z61" s="177"/>
      <c r="AA61" s="177"/>
      <c r="AB61" s="695"/>
      <c r="AC61" s="535">
        <v>0</v>
      </c>
    </row>
    <row r="62" spans="1:29" ht="15.95" hidden="1" customHeight="1" outlineLevel="1" thickBot="1">
      <c r="B62" s="694" t="s">
        <v>385</v>
      </c>
      <c r="C62" s="679"/>
      <c r="D62" s="679"/>
      <c r="E62" s="679"/>
      <c r="F62" s="679"/>
      <c r="G62" s="414"/>
      <c r="H62" s="414"/>
      <c r="I62" s="177"/>
      <c r="J62" s="177"/>
      <c r="K62" s="177"/>
      <c r="L62" s="177"/>
      <c r="M62" s="177"/>
      <c r="N62" s="177"/>
      <c r="O62" s="177"/>
      <c r="P62" s="414"/>
      <c r="Q62" s="177"/>
      <c r="R62" s="177"/>
      <c r="S62" s="415" t="s">
        <v>952</v>
      </c>
      <c r="T62" s="384" t="s">
        <v>304</v>
      </c>
      <c r="U62" s="402">
        <f t="shared" ref="U62:AA62" ca="1" si="45">INDEX(INDIRECT($S$62 &amp; $S$63), MATCH($T62, INDIRECT($S$62 &amp; $S$64), 0), MATCH(U$4, INDIRECT($S$62 &amp; $S$65), 0))</f>
        <v>4.6282437901751152E-3</v>
      </c>
      <c r="V62" s="402">
        <f t="shared" ca="1" si="45"/>
        <v>5.1797955760855708E-3</v>
      </c>
      <c r="W62" s="402">
        <f t="shared" ca="1" si="45"/>
        <v>5.1797955760855708E-3</v>
      </c>
      <c r="X62" s="402">
        <f t="shared" ca="1" si="45"/>
        <v>5.1797955760855708E-3</v>
      </c>
      <c r="Y62" s="402">
        <f t="shared" ca="1" si="45"/>
        <v>5.1797955760855708E-3</v>
      </c>
      <c r="Z62" s="402">
        <f t="shared" ca="1" si="45"/>
        <v>5.1797955760855708E-3</v>
      </c>
      <c r="AA62" s="402">
        <f t="shared" ca="1" si="45"/>
        <v>5.1797955760855708E-3</v>
      </c>
      <c r="AB62" s="695"/>
      <c r="AC62" s="535">
        <v>0</v>
      </c>
    </row>
    <row r="63" spans="1:29" collapsed="1">
      <c r="B63" s="675" t="s">
        <v>414</v>
      </c>
      <c r="C63" s="679" t="str">
        <f>LEFT($G$3,1) &amp; "S_InstImp"</f>
        <v>HS_InstImp</v>
      </c>
      <c r="D63" s="679"/>
      <c r="E63" s="694"/>
      <c r="F63" s="696"/>
      <c r="G63" s="416" t="s">
        <v>311</v>
      </c>
      <c r="H63" s="416" t="s">
        <v>311</v>
      </c>
      <c r="I63" s="417">
        <f t="shared" ref="I63:O63" ca="1" si="46">INDEX(INDIRECT($B$62&amp;$B$63),MATCH($C63,INDIRECT($B$62&amp;$B$64),0),MATCH(I$4,INDIRECT($B$62&amp;$B$65),0))</f>
        <v>2</v>
      </c>
      <c r="J63" s="417">
        <f t="shared" ca="1" si="46"/>
        <v>2</v>
      </c>
      <c r="K63" s="417">
        <f t="shared" ca="1" si="46"/>
        <v>2</v>
      </c>
      <c r="L63" s="417">
        <f t="shared" ca="1" si="46"/>
        <v>4</v>
      </c>
      <c r="M63" s="417">
        <f t="shared" ca="1" si="46"/>
        <v>4</v>
      </c>
      <c r="N63" s="417">
        <f t="shared" ca="1" si="46"/>
        <v>2</v>
      </c>
      <c r="O63" s="417">
        <f t="shared" ca="1" si="46"/>
        <v>2</v>
      </c>
      <c r="P63" s="418"/>
      <c r="Q63" s="419"/>
      <c r="R63" s="419"/>
      <c r="S63" s="420" t="s">
        <v>600</v>
      </c>
      <c r="T63" s="420"/>
      <c r="U63" s="421">
        <f t="shared" ref="U63:AA63" ca="1" si="47">(U7*(1+U18-U62)+U17+U19)*I63</f>
        <v>261061.37599999999</v>
      </c>
      <c r="V63" s="421">
        <f t="shared" ca="1" si="47"/>
        <v>277253.02640000003</v>
      </c>
      <c r="W63" s="421">
        <f t="shared" ca="1" si="47"/>
        <v>295208.35180075368</v>
      </c>
      <c r="X63" s="421">
        <f t="shared" ca="1" si="47"/>
        <v>606196.18102739786</v>
      </c>
      <c r="Y63" s="421">
        <f t="shared" ca="1" si="47"/>
        <v>632392.20987160201</v>
      </c>
      <c r="Z63" s="421">
        <f t="shared" ca="1" si="47"/>
        <v>324407.83064488415</v>
      </c>
      <c r="AA63" s="422">
        <f t="shared" ca="1" si="47"/>
        <v>340485.31623660377</v>
      </c>
      <c r="AB63" s="678"/>
      <c r="AC63" s="535">
        <v>1</v>
      </c>
    </row>
    <row r="64" spans="1:29" ht="15" hidden="1" customHeight="1" outlineLevel="1">
      <c r="B64" s="675" t="s">
        <v>415</v>
      </c>
      <c r="C64" s="679"/>
      <c r="D64" s="679"/>
      <c r="E64" s="675"/>
      <c r="F64" s="675"/>
      <c r="G64" s="407"/>
      <c r="H64" s="389"/>
      <c r="I64" s="423"/>
      <c r="J64" s="423"/>
      <c r="K64" s="423"/>
      <c r="L64" s="423"/>
      <c r="M64" s="423"/>
      <c r="N64" s="423"/>
      <c r="O64" s="423"/>
      <c r="P64" s="395"/>
      <c r="Q64" s="354"/>
      <c r="R64" s="354"/>
      <c r="S64" s="371" t="s">
        <v>599</v>
      </c>
      <c r="T64" s="371"/>
      <c r="U64" s="371"/>
      <c r="V64" s="371"/>
      <c r="W64" s="371"/>
      <c r="X64" s="371"/>
      <c r="Y64" s="371"/>
      <c r="Z64" s="371"/>
      <c r="AA64" s="371"/>
      <c r="AB64" s="678"/>
      <c r="AC64" s="535">
        <v>0</v>
      </c>
    </row>
    <row r="65" spans="1:29" ht="15" hidden="1" customHeight="1" outlineLevel="1">
      <c r="B65" s="675" t="s">
        <v>416</v>
      </c>
      <c r="C65" s="679"/>
      <c r="D65" s="679"/>
      <c r="E65" s="675"/>
      <c r="F65" s="675"/>
      <c r="G65" s="407"/>
      <c r="H65" s="389"/>
      <c r="I65" s="423"/>
      <c r="J65" s="423"/>
      <c r="K65" s="423"/>
      <c r="L65" s="423"/>
      <c r="M65" s="423"/>
      <c r="N65" s="423"/>
      <c r="O65" s="423"/>
      <c r="P65" s="395"/>
      <c r="Q65" s="354"/>
      <c r="R65" s="354"/>
      <c r="S65" s="371" t="s">
        <v>502</v>
      </c>
      <c r="T65" s="371"/>
      <c r="U65" s="371"/>
      <c r="V65" s="371"/>
      <c r="W65" s="371"/>
      <c r="X65" s="371"/>
      <c r="Y65" s="371"/>
      <c r="Z65" s="371"/>
      <c r="AA65" s="371"/>
      <c r="AB65" s="678"/>
      <c r="AC65" s="535">
        <v>0</v>
      </c>
    </row>
    <row r="66" spans="1:29" ht="15" hidden="1" customHeight="1" outlineLevel="1">
      <c r="B66" s="11"/>
      <c r="C66" s="679"/>
      <c r="D66" s="679"/>
      <c r="E66" s="679"/>
      <c r="F66" s="679"/>
      <c r="G66" s="330"/>
      <c r="H66" s="330"/>
      <c r="P66" s="391"/>
      <c r="Q66" s="390"/>
      <c r="R66" s="390"/>
      <c r="S66" s="390"/>
      <c r="AB66" s="678"/>
      <c r="AC66" s="535">
        <v>0</v>
      </c>
    </row>
    <row r="67" spans="1:29" ht="15.95" hidden="1" customHeight="1" outlineLevel="1" thickBot="1">
      <c r="B67" s="11"/>
      <c r="C67" s="11"/>
      <c r="D67" s="11"/>
      <c r="E67" s="11"/>
      <c r="F67" s="11"/>
      <c r="G67" s="330"/>
      <c r="H67" s="330"/>
      <c r="P67" s="330"/>
      <c r="AC67" s="535">
        <v>0</v>
      </c>
    </row>
    <row r="68" spans="1:29" collapsed="1">
      <c r="B68" s="694" t="s">
        <v>385</v>
      </c>
      <c r="C68" s="679" t="str">
        <f t="shared" ref="C68:C87" si="48">LEFT($G$3,1) &amp; "S" &amp; D68</f>
        <v>HS_Clsfd</v>
      </c>
      <c r="D68" s="535" t="s">
        <v>522</v>
      </c>
      <c r="E68" s="694"/>
      <c r="F68" s="696"/>
      <c r="G68" s="336" t="s">
        <v>312</v>
      </c>
      <c r="H68" s="387" t="s">
        <v>314</v>
      </c>
      <c r="I68" s="369">
        <f t="shared" ref="I68:O68" ca="1" si="49">IFERROR(INDEX(INDIRECT($B$68 &amp; $B$69), MATCH($C68, INDIRECT($B$68 &amp; $B$70),0), MATCH(I$4, INDIRECT($B$68 &amp; $B$71), 0)),0)-I69-I70</f>
        <v>12</v>
      </c>
      <c r="J68" s="369">
        <f t="shared" ca="1" si="49"/>
        <v>12</v>
      </c>
      <c r="K68" s="369">
        <f t="shared" ca="1" si="49"/>
        <v>12</v>
      </c>
      <c r="L68" s="369">
        <f t="shared" ca="1" si="49"/>
        <v>10</v>
      </c>
      <c r="M68" s="369">
        <f t="shared" ca="1" si="49"/>
        <v>10</v>
      </c>
      <c r="N68" s="369">
        <f t="shared" ca="1" si="49"/>
        <v>12</v>
      </c>
      <c r="O68" s="369">
        <f t="shared" ca="1" si="49"/>
        <v>12</v>
      </c>
      <c r="P68" s="424"/>
      <c r="Q68" s="369">
        <v>8</v>
      </c>
      <c r="R68" s="369"/>
      <c r="S68" s="369">
        <v>185</v>
      </c>
      <c r="T68" s="342" t="s">
        <v>245</v>
      </c>
      <c r="U68" s="425">
        <f t="shared" ref="U68:Z68" si="50">IF(LEFT($G$3,1)="E", (VLOOKUP($T68, $T$7:$AA$13, MATCH(U$4, $S$4:$AA$4,0),0)*$Q68*$S68*(1+U$18-U$22)+U$17+U$19)*I68, 0)</f>
        <v>0</v>
      </c>
      <c r="V68" s="425">
        <f t="shared" si="50"/>
        <v>0</v>
      </c>
      <c r="W68" s="425">
        <f t="shared" si="50"/>
        <v>0</v>
      </c>
      <c r="X68" s="425">
        <f t="shared" si="50"/>
        <v>0</v>
      </c>
      <c r="Y68" s="425">
        <f t="shared" si="50"/>
        <v>0</v>
      </c>
      <c r="Z68" s="425">
        <f t="shared" si="50"/>
        <v>0</v>
      </c>
      <c r="AA68" s="426">
        <f>IF(LEFT($G$3,1)="E", (VLOOKUP($T68, $T$7:$AA$13, MATCH(AA$4, $T$4:$AA$4,0),0)*$Q68*$S68*(1+AA$18-AA$22)+AA$17+AA$19)*O68, 0)</f>
        <v>0</v>
      </c>
      <c r="AC68" s="535">
        <v>1</v>
      </c>
    </row>
    <row r="69" spans="1:29">
      <c r="A69" s="679"/>
      <c r="B69" s="675" t="s">
        <v>414</v>
      </c>
      <c r="C69" s="679" t="str">
        <f t="shared" si="48"/>
        <v>HS_SpEdStaff</v>
      </c>
      <c r="D69" s="679" t="s">
        <v>505</v>
      </c>
      <c r="E69" s="679"/>
      <c r="F69" s="680"/>
      <c r="G69" s="345"/>
      <c r="H69" s="389" t="s">
        <v>313</v>
      </c>
      <c r="I69" s="390">
        <f t="shared" ref="I69:O78" ca="1" si="51">IFERROR(INDEX(INDIRECT($B$73 &amp; $B$74), MATCH($C69, INDIRECT($B$73 &amp; $B$75),0), MATCH(I$4, INDIRECT($B$73 &amp; $B$76), 0)),0)</f>
        <v>9</v>
      </c>
      <c r="J69" s="390">
        <f t="shared" ca="1" si="51"/>
        <v>9</v>
      </c>
      <c r="K69" s="390">
        <f t="shared" ca="1" si="51"/>
        <v>9</v>
      </c>
      <c r="L69" s="390">
        <f t="shared" ca="1" si="51"/>
        <v>9</v>
      </c>
      <c r="M69" s="390">
        <f t="shared" ca="1" si="51"/>
        <v>9</v>
      </c>
      <c r="N69" s="390">
        <f t="shared" ca="1" si="51"/>
        <v>9</v>
      </c>
      <c r="O69" s="390">
        <f t="shared" ca="1" si="51"/>
        <v>9</v>
      </c>
      <c r="P69" s="391"/>
      <c r="Q69" s="390">
        <v>8</v>
      </c>
      <c r="R69" s="390"/>
      <c r="S69" s="390">
        <v>185</v>
      </c>
      <c r="T69" s="350" t="s">
        <v>245</v>
      </c>
      <c r="U69" s="427">
        <f t="shared" ref="U69:U87" ca="1" si="52">(VLOOKUP($T69, $T$7:$AA$13, MATCH(U$4, $S$4:$AA$4,0),0)*$Q69*$S69*(1+$U$18-$U$22)+$U$17+$U$19)*I69</f>
        <v>669352.23405872006</v>
      </c>
      <c r="V69" s="427">
        <f t="shared" ref="V69:V87" ca="1" si="53">(VLOOKUP($T69, $T$7:$AA$13, MATCH(V$4, $S$4:$AA$4,0),0)*$Q69*$S69*(1+V$18-V$22)+V$17+V$19)*J69</f>
        <v>691791.11823379388</v>
      </c>
      <c r="W69" s="427">
        <f t="shared" ref="W69:W87" ca="1" si="54">(VLOOKUP($T69, $T$7:$AA$13, MATCH(W$4, $S$4:$AA$4,0),0)*$Q69*$S69*(1+W$18-W$22)+W$17+W$19)*K69</f>
        <v>712397.96254368406</v>
      </c>
      <c r="X69" s="427">
        <f t="shared" ref="X69:X87" ca="1" si="55">(VLOOKUP($T69, $T$7:$AA$13, MATCH(X$4, $S$4:$AA$4,0),0)*$Q69*$S69*(1+X$18-X$22)+X$17+X$19)*L69</f>
        <v>723704.74309528049</v>
      </c>
      <c r="Y69" s="427">
        <f t="shared" ref="Y69:Y87" ca="1" si="56">(VLOOKUP($T69, $T$7:$AA$13, MATCH(Y$4, $S$4:$AA$4,0),0)*$Q69*$S69*(1+Y$18-Y$22)+Y$17+Y$19)*M69</f>
        <v>742892.29131204309</v>
      </c>
      <c r="Z69" s="427">
        <f t="shared" ref="Z69:Z87" ca="1" si="57">(VLOOKUP($T69, $T$7:$AA$13, MATCH(Z$4, $S$4:$AA$4,0),0)*$Q69*$S69*(1+Z$18-Z$22)+Z$17+Z$19)*N69</f>
        <v>762759.26148773683</v>
      </c>
      <c r="AA69" s="428">
        <f t="shared" ref="AA69:AA87" ca="1" si="58">(VLOOKUP($T69, $T$7:$AA$13, MATCH(AA$4, $T$4:$AA$4,0),0)*$Q69*$S69*(1+AA$18-AA$22)+AA$17+AA$19)*O69</f>
        <v>770040.23530170787</v>
      </c>
      <c r="AB69" s="697"/>
      <c r="AC69" s="535">
        <v>1</v>
      </c>
    </row>
    <row r="70" spans="1:29">
      <c r="A70" s="679"/>
      <c r="B70" s="675" t="s">
        <v>415</v>
      </c>
      <c r="C70" s="679" t="str">
        <f t="shared" si="48"/>
        <v>HS_PrinSec</v>
      </c>
      <c r="D70" s="679" t="s">
        <v>506</v>
      </c>
      <c r="E70" s="679"/>
      <c r="F70" s="680"/>
      <c r="G70" s="345"/>
      <c r="H70" s="389" t="s">
        <v>358</v>
      </c>
      <c r="I70" s="390">
        <f t="shared" ca="1" si="51"/>
        <v>1</v>
      </c>
      <c r="J70" s="390">
        <f t="shared" ca="1" si="51"/>
        <v>1</v>
      </c>
      <c r="K70" s="390">
        <f t="shared" ca="1" si="51"/>
        <v>1</v>
      </c>
      <c r="L70" s="390">
        <f t="shared" ca="1" si="51"/>
        <v>1</v>
      </c>
      <c r="M70" s="390">
        <f t="shared" ca="1" si="51"/>
        <v>1</v>
      </c>
      <c r="N70" s="390">
        <f t="shared" ca="1" si="51"/>
        <v>1</v>
      </c>
      <c r="O70" s="390">
        <f t="shared" ca="1" si="51"/>
        <v>1</v>
      </c>
      <c r="P70" s="391"/>
      <c r="Q70" s="390">
        <v>8</v>
      </c>
      <c r="R70" s="390"/>
      <c r="S70" s="390">
        <f>IF(LEFT($G$3, 1) = "E", 210,260)</f>
        <v>260</v>
      </c>
      <c r="T70" s="350" t="s">
        <v>247</v>
      </c>
      <c r="U70" s="427">
        <f t="shared" ca="1" si="52"/>
        <v>99974.034773591935</v>
      </c>
      <c r="V70" s="427">
        <f t="shared" ca="1" si="53"/>
        <v>103327.62505094637</v>
      </c>
      <c r="W70" s="427">
        <f t="shared" ca="1" si="54"/>
        <v>106369.75715382208</v>
      </c>
      <c r="X70" s="427">
        <f t="shared" ca="1" si="55"/>
        <v>107875.5679134216</v>
      </c>
      <c r="Y70" s="427">
        <f t="shared" ca="1" si="56"/>
        <v>110661.70538930426</v>
      </c>
      <c r="Z70" s="427">
        <f t="shared" ca="1" si="57"/>
        <v>113547.00599716883</v>
      </c>
      <c r="AA70" s="428">
        <f t="shared" ca="1" si="58"/>
        <v>114356.00308761005</v>
      </c>
      <c r="AB70" s="697"/>
      <c r="AC70" s="535">
        <v>1</v>
      </c>
    </row>
    <row r="71" spans="1:29">
      <c r="A71" s="679"/>
      <c r="B71" s="675" t="s">
        <v>416</v>
      </c>
      <c r="C71" s="679" t="str">
        <f t="shared" si="48"/>
        <v>HS_AltEdTeenParent</v>
      </c>
      <c r="D71" s="679" t="s">
        <v>515</v>
      </c>
      <c r="E71" s="679"/>
      <c r="F71" s="680"/>
      <c r="G71" s="345"/>
      <c r="H71" s="389" t="s">
        <v>405</v>
      </c>
      <c r="I71" s="390">
        <f t="shared" ca="1" si="51"/>
        <v>1.5</v>
      </c>
      <c r="J71" s="390">
        <f t="shared" ca="1" si="51"/>
        <v>1.5</v>
      </c>
      <c r="K71" s="390">
        <f t="shared" ca="1" si="51"/>
        <v>1.5</v>
      </c>
      <c r="L71" s="390">
        <f t="shared" ca="1" si="51"/>
        <v>1.5</v>
      </c>
      <c r="M71" s="390">
        <f t="shared" ca="1" si="51"/>
        <v>1.5</v>
      </c>
      <c r="N71" s="390">
        <f t="shared" ca="1" si="51"/>
        <v>1.5</v>
      </c>
      <c r="O71" s="390">
        <f t="shared" ca="1" si="51"/>
        <v>1.5</v>
      </c>
      <c r="P71" s="391"/>
      <c r="Q71" s="390">
        <v>8</v>
      </c>
      <c r="R71" s="390"/>
      <c r="S71" s="390">
        <v>220</v>
      </c>
      <c r="T71" s="350" t="s">
        <v>245</v>
      </c>
      <c r="U71" s="427">
        <f t="shared" ca="1" si="52"/>
        <v>126832.3662098364</v>
      </c>
      <c r="V71" s="427">
        <f t="shared" ca="1" si="53"/>
        <v>131085.47567696814</v>
      </c>
      <c r="W71" s="427">
        <f t="shared" ca="1" si="54"/>
        <v>134968.87408763109</v>
      </c>
      <c r="X71" s="427">
        <f t="shared" ca="1" si="55"/>
        <v>137002.18802420012</v>
      </c>
      <c r="Y71" s="427">
        <f t="shared" ca="1" si="56"/>
        <v>140590.39514615366</v>
      </c>
      <c r="Z71" s="427">
        <f t="shared" ca="1" si="57"/>
        <v>144305.96164386027</v>
      </c>
      <c r="AA71" s="428">
        <f t="shared" ca="1" si="58"/>
        <v>145519.45727952215</v>
      </c>
      <c r="AB71" s="697"/>
      <c r="AC71" s="535">
        <v>1</v>
      </c>
    </row>
    <row r="72" spans="1:29">
      <c r="A72" s="679"/>
      <c r="B72" s="679"/>
      <c r="C72" s="679" t="str">
        <f t="shared" si="48"/>
        <v>HS_CounsOffice</v>
      </c>
      <c r="D72" s="679" t="s">
        <v>516</v>
      </c>
      <c r="E72" s="679"/>
      <c r="F72" s="680"/>
      <c r="G72" s="345"/>
      <c r="H72" s="389" t="s">
        <v>360</v>
      </c>
      <c r="I72" s="390">
        <f t="shared" ca="1" si="51"/>
        <v>2</v>
      </c>
      <c r="J72" s="390">
        <f t="shared" ca="1" si="51"/>
        <v>2</v>
      </c>
      <c r="K72" s="390">
        <f t="shared" ca="1" si="51"/>
        <v>2</v>
      </c>
      <c r="L72" s="390">
        <f t="shared" ca="1" si="51"/>
        <v>2</v>
      </c>
      <c r="M72" s="390">
        <f t="shared" ca="1" si="51"/>
        <v>2</v>
      </c>
      <c r="N72" s="390">
        <f t="shared" ca="1" si="51"/>
        <v>2</v>
      </c>
      <c r="O72" s="390">
        <f t="shared" ca="1" si="51"/>
        <v>2</v>
      </c>
      <c r="P72" s="391"/>
      <c r="Q72" s="390">
        <v>8</v>
      </c>
      <c r="R72" s="390"/>
      <c r="S72" s="390">
        <v>220</v>
      </c>
      <c r="T72" s="350" t="s">
        <v>245</v>
      </c>
      <c r="U72" s="427">
        <f t="shared" ca="1" si="52"/>
        <v>169109.8216131152</v>
      </c>
      <c r="V72" s="427">
        <f t="shared" ca="1" si="53"/>
        <v>174780.63423595752</v>
      </c>
      <c r="W72" s="427">
        <f t="shared" ca="1" si="54"/>
        <v>179958.49878350811</v>
      </c>
      <c r="X72" s="427">
        <f t="shared" ca="1" si="55"/>
        <v>182669.58403226684</v>
      </c>
      <c r="Y72" s="427">
        <f t="shared" ca="1" si="56"/>
        <v>187453.86019487155</v>
      </c>
      <c r="Z72" s="427">
        <f t="shared" ca="1" si="57"/>
        <v>192407.94885848038</v>
      </c>
      <c r="AA72" s="428">
        <f t="shared" ca="1" si="58"/>
        <v>194025.94303936284</v>
      </c>
      <c r="AB72" s="697"/>
      <c r="AC72" s="535">
        <v>1</v>
      </c>
    </row>
    <row r="73" spans="1:29">
      <c r="A73" s="679"/>
      <c r="B73" s="688" t="s">
        <v>1061</v>
      </c>
      <c r="C73" s="679" t="str">
        <f t="shared" si="48"/>
        <v>HS_S2W_Coord</v>
      </c>
      <c r="D73" s="679" t="s">
        <v>517</v>
      </c>
      <c r="E73" s="679"/>
      <c r="F73" s="680"/>
      <c r="G73" s="345"/>
      <c r="H73" s="389" t="s">
        <v>361</v>
      </c>
      <c r="I73" s="390">
        <f t="shared" ca="1" si="51"/>
        <v>2</v>
      </c>
      <c r="J73" s="390">
        <f t="shared" ca="1" si="51"/>
        <v>2</v>
      </c>
      <c r="K73" s="390">
        <f t="shared" ca="1" si="51"/>
        <v>2</v>
      </c>
      <c r="L73" s="390">
        <f t="shared" ca="1" si="51"/>
        <v>2</v>
      </c>
      <c r="M73" s="390">
        <f t="shared" ca="1" si="51"/>
        <v>2</v>
      </c>
      <c r="N73" s="390">
        <f t="shared" ca="1" si="51"/>
        <v>2</v>
      </c>
      <c r="O73" s="390">
        <f t="shared" ca="1" si="51"/>
        <v>2</v>
      </c>
      <c r="P73" s="391"/>
      <c r="Q73" s="390">
        <v>8</v>
      </c>
      <c r="R73" s="390"/>
      <c r="S73" s="390">
        <v>220</v>
      </c>
      <c r="T73" s="350" t="s">
        <v>245</v>
      </c>
      <c r="U73" s="427">
        <f t="shared" ca="1" si="52"/>
        <v>169109.8216131152</v>
      </c>
      <c r="V73" s="427">
        <f t="shared" ca="1" si="53"/>
        <v>174780.63423595752</v>
      </c>
      <c r="W73" s="427">
        <f t="shared" ca="1" si="54"/>
        <v>179958.49878350811</v>
      </c>
      <c r="X73" s="427">
        <f t="shared" ca="1" si="55"/>
        <v>182669.58403226684</v>
      </c>
      <c r="Y73" s="427">
        <f t="shared" ca="1" si="56"/>
        <v>187453.86019487155</v>
      </c>
      <c r="Z73" s="427">
        <f t="shared" ca="1" si="57"/>
        <v>192407.94885848038</v>
      </c>
      <c r="AA73" s="428">
        <f t="shared" ca="1" si="58"/>
        <v>194025.94303936284</v>
      </c>
      <c r="AB73" s="697"/>
      <c r="AC73" s="535">
        <v>1</v>
      </c>
    </row>
    <row r="74" spans="1:29">
      <c r="A74" s="679"/>
      <c r="B74" s="679" t="s">
        <v>851</v>
      </c>
      <c r="C74" s="679" t="str">
        <f t="shared" si="48"/>
        <v>HS_Registrar</v>
      </c>
      <c r="D74" s="679" t="s">
        <v>518</v>
      </c>
      <c r="E74" s="679"/>
      <c r="F74" s="680"/>
      <c r="G74" s="345"/>
      <c r="H74" s="389" t="s">
        <v>362</v>
      </c>
      <c r="I74" s="390">
        <f t="shared" ca="1" si="51"/>
        <v>0.5</v>
      </c>
      <c r="J74" s="390">
        <f t="shared" ca="1" si="51"/>
        <v>0.5</v>
      </c>
      <c r="K74" s="390">
        <f t="shared" ca="1" si="51"/>
        <v>0.5</v>
      </c>
      <c r="L74" s="390">
        <f t="shared" ca="1" si="51"/>
        <v>0.5</v>
      </c>
      <c r="M74" s="390">
        <f t="shared" ca="1" si="51"/>
        <v>0.5</v>
      </c>
      <c r="N74" s="390">
        <f t="shared" ca="1" si="51"/>
        <v>0.5</v>
      </c>
      <c r="O74" s="390">
        <f t="shared" ca="1" si="51"/>
        <v>0.5</v>
      </c>
      <c r="P74" s="391"/>
      <c r="Q74" s="390">
        <v>8</v>
      </c>
      <c r="R74" s="390"/>
      <c r="S74" s="390">
        <v>260</v>
      </c>
      <c r="T74" s="350" t="s">
        <v>245</v>
      </c>
      <c r="U74" s="427">
        <f t="shared" ca="1" si="52"/>
        <v>48095.992749329496</v>
      </c>
      <c r="V74" s="427">
        <f t="shared" ca="1" si="53"/>
        <v>49709.237024260176</v>
      </c>
      <c r="W74" s="427">
        <f t="shared" ca="1" si="54"/>
        <v>51174.721964581942</v>
      </c>
      <c r="X74" s="427">
        <f t="shared" ca="1" si="55"/>
        <v>51909.198233458475</v>
      </c>
      <c r="Y74" s="427">
        <f t="shared" ca="1" si="56"/>
        <v>53253.946290932407</v>
      </c>
      <c r="Z74" s="427">
        <f t="shared" ca="1" si="57"/>
        <v>54646.527428932794</v>
      </c>
      <c r="AA74" s="428">
        <f t="shared" ca="1" si="58"/>
        <v>55051.025974153403</v>
      </c>
      <c r="AB74" s="697"/>
      <c r="AC74" s="535">
        <v>1</v>
      </c>
    </row>
    <row r="75" spans="1:29">
      <c r="A75" s="679"/>
      <c r="B75" s="679" t="s">
        <v>852</v>
      </c>
      <c r="C75" s="679" t="str">
        <f t="shared" si="48"/>
        <v>HS_Attendance</v>
      </c>
      <c r="D75" s="679" t="s">
        <v>508</v>
      </c>
      <c r="E75" s="679"/>
      <c r="F75" s="680"/>
      <c r="G75" s="345"/>
      <c r="H75" s="389" t="s">
        <v>363</v>
      </c>
      <c r="I75" s="390">
        <f t="shared" ca="1" si="51"/>
        <v>1</v>
      </c>
      <c r="J75" s="390">
        <f t="shared" ca="1" si="51"/>
        <v>1</v>
      </c>
      <c r="K75" s="390">
        <f t="shared" ca="1" si="51"/>
        <v>1</v>
      </c>
      <c r="L75" s="390">
        <f t="shared" ca="1" si="51"/>
        <v>1</v>
      </c>
      <c r="M75" s="390">
        <f t="shared" ca="1" si="51"/>
        <v>1</v>
      </c>
      <c r="N75" s="390">
        <f t="shared" ca="1" si="51"/>
        <v>1</v>
      </c>
      <c r="O75" s="390">
        <f t="shared" ca="1" si="51"/>
        <v>1</v>
      </c>
      <c r="P75" s="391"/>
      <c r="Q75" s="390">
        <v>8</v>
      </c>
      <c r="R75" s="390"/>
      <c r="S75" s="390">
        <v>185</v>
      </c>
      <c r="T75" s="350" t="s">
        <v>245</v>
      </c>
      <c r="U75" s="427">
        <f t="shared" ca="1" si="52"/>
        <v>74372.470450968889</v>
      </c>
      <c r="V75" s="427">
        <f t="shared" ca="1" si="53"/>
        <v>76865.679803754872</v>
      </c>
      <c r="W75" s="427">
        <f t="shared" ca="1" si="54"/>
        <v>79155.329171520454</v>
      </c>
      <c r="X75" s="427">
        <f t="shared" ca="1" si="55"/>
        <v>80411.638121697833</v>
      </c>
      <c r="Y75" s="427">
        <f t="shared" ca="1" si="56"/>
        <v>82543.58792356035</v>
      </c>
      <c r="Z75" s="427">
        <f t="shared" ca="1" si="57"/>
        <v>84751.029054192986</v>
      </c>
      <c r="AA75" s="428">
        <f t="shared" ca="1" si="58"/>
        <v>85560.026144634205</v>
      </c>
      <c r="AB75" s="697"/>
      <c r="AC75" s="535">
        <v>1</v>
      </c>
    </row>
    <row r="76" spans="1:29">
      <c r="A76" s="679"/>
      <c r="B76" s="679" t="s">
        <v>773</v>
      </c>
      <c r="C76" s="679" t="str">
        <f t="shared" si="48"/>
        <v>HS_CommOutreach</v>
      </c>
      <c r="D76" s="679" t="s">
        <v>509</v>
      </c>
      <c r="E76" s="679"/>
      <c r="F76" s="680"/>
      <c r="G76" s="345"/>
      <c r="H76" s="389" t="s">
        <v>364</v>
      </c>
      <c r="I76" s="390">
        <f t="shared" ca="1" si="51"/>
        <v>1</v>
      </c>
      <c r="J76" s="390">
        <f t="shared" ca="1" si="51"/>
        <v>1</v>
      </c>
      <c r="K76" s="390">
        <f t="shared" ca="1" si="51"/>
        <v>1</v>
      </c>
      <c r="L76" s="390">
        <f t="shared" ca="1" si="51"/>
        <v>1</v>
      </c>
      <c r="M76" s="390">
        <f t="shared" ca="1" si="51"/>
        <v>1</v>
      </c>
      <c r="N76" s="390">
        <f t="shared" ca="1" si="51"/>
        <v>1</v>
      </c>
      <c r="O76" s="390">
        <f t="shared" ca="1" si="51"/>
        <v>1</v>
      </c>
      <c r="P76" s="391"/>
      <c r="Q76" s="390">
        <v>8</v>
      </c>
      <c r="R76" s="390"/>
      <c r="S76" s="390">
        <v>185</v>
      </c>
      <c r="T76" s="350" t="s">
        <v>245</v>
      </c>
      <c r="U76" s="427">
        <f t="shared" ca="1" si="52"/>
        <v>74372.470450968889</v>
      </c>
      <c r="V76" s="427">
        <f t="shared" ca="1" si="53"/>
        <v>76865.679803754872</v>
      </c>
      <c r="W76" s="427">
        <f t="shared" ca="1" si="54"/>
        <v>79155.329171520454</v>
      </c>
      <c r="X76" s="427">
        <f t="shared" ca="1" si="55"/>
        <v>80411.638121697833</v>
      </c>
      <c r="Y76" s="427">
        <f t="shared" ca="1" si="56"/>
        <v>82543.58792356035</v>
      </c>
      <c r="Z76" s="427">
        <f t="shared" ca="1" si="57"/>
        <v>84751.029054192986</v>
      </c>
      <c r="AA76" s="428">
        <f t="shared" ca="1" si="58"/>
        <v>85560.026144634205</v>
      </c>
      <c r="AB76" s="697"/>
      <c r="AC76" s="535">
        <v>1</v>
      </c>
    </row>
    <row r="77" spans="1:29">
      <c r="A77" s="679"/>
      <c r="B77" s="679"/>
      <c r="C77" s="679" t="str">
        <f t="shared" si="48"/>
        <v>HS_FamResCenCoord</v>
      </c>
      <c r="D77" s="679" t="s">
        <v>510</v>
      </c>
      <c r="E77" s="679"/>
      <c r="F77" s="680"/>
      <c r="G77" s="345"/>
      <c r="H77" s="389" t="s">
        <v>365</v>
      </c>
      <c r="I77" s="390">
        <f t="shared" ca="1" si="51"/>
        <v>1</v>
      </c>
      <c r="J77" s="390">
        <f t="shared" ca="1" si="51"/>
        <v>1</v>
      </c>
      <c r="K77" s="390">
        <f t="shared" ca="1" si="51"/>
        <v>1</v>
      </c>
      <c r="L77" s="390">
        <f t="shared" ca="1" si="51"/>
        <v>1</v>
      </c>
      <c r="M77" s="390">
        <f t="shared" ca="1" si="51"/>
        <v>1</v>
      </c>
      <c r="N77" s="390">
        <f t="shared" ca="1" si="51"/>
        <v>1</v>
      </c>
      <c r="O77" s="390">
        <f t="shared" ca="1" si="51"/>
        <v>1</v>
      </c>
      <c r="P77" s="391"/>
      <c r="Q77" s="390">
        <v>8</v>
      </c>
      <c r="R77" s="390"/>
      <c r="S77" s="390">
        <v>185</v>
      </c>
      <c r="T77" s="350" t="s">
        <v>245</v>
      </c>
      <c r="U77" s="427">
        <f t="shared" ca="1" si="52"/>
        <v>74372.470450968889</v>
      </c>
      <c r="V77" s="427">
        <f t="shared" ca="1" si="53"/>
        <v>76865.679803754872</v>
      </c>
      <c r="W77" s="427">
        <f t="shared" ca="1" si="54"/>
        <v>79155.329171520454</v>
      </c>
      <c r="X77" s="427">
        <f t="shared" ca="1" si="55"/>
        <v>80411.638121697833</v>
      </c>
      <c r="Y77" s="427">
        <f t="shared" ca="1" si="56"/>
        <v>82543.58792356035</v>
      </c>
      <c r="Z77" s="427">
        <f t="shared" ca="1" si="57"/>
        <v>84751.029054192986</v>
      </c>
      <c r="AA77" s="428">
        <f t="shared" ca="1" si="58"/>
        <v>85560.026144634205</v>
      </c>
      <c r="AB77" s="697"/>
      <c r="AC77" s="535">
        <v>1</v>
      </c>
    </row>
    <row r="78" spans="1:29">
      <c r="A78" s="679"/>
      <c r="B78" s="679"/>
      <c r="C78" s="679" t="str">
        <f t="shared" si="48"/>
        <v>HS_DeptSupport</v>
      </c>
      <c r="D78" s="679" t="s">
        <v>519</v>
      </c>
      <c r="E78" s="679"/>
      <c r="F78" s="680"/>
      <c r="G78" s="345"/>
      <c r="H78" s="389" t="s">
        <v>366</v>
      </c>
      <c r="I78" s="390">
        <f t="shared" ca="1" si="51"/>
        <v>2</v>
      </c>
      <c r="J78" s="390">
        <f t="shared" ca="1" si="51"/>
        <v>2</v>
      </c>
      <c r="K78" s="390">
        <f t="shared" ca="1" si="51"/>
        <v>2</v>
      </c>
      <c r="L78" s="390">
        <f t="shared" ca="1" si="51"/>
        <v>2</v>
      </c>
      <c r="M78" s="390">
        <f t="shared" ca="1" si="51"/>
        <v>2</v>
      </c>
      <c r="N78" s="390">
        <f t="shared" ca="1" si="51"/>
        <v>2</v>
      </c>
      <c r="O78" s="390">
        <f t="shared" ca="1" si="51"/>
        <v>2</v>
      </c>
      <c r="P78" s="391"/>
      <c r="Q78" s="390">
        <v>8</v>
      </c>
      <c r="R78" s="390"/>
      <c r="S78" s="390">
        <v>185</v>
      </c>
      <c r="T78" s="350" t="s">
        <v>245</v>
      </c>
      <c r="U78" s="427">
        <f t="shared" ca="1" si="52"/>
        <v>148744.94090193778</v>
      </c>
      <c r="V78" s="427">
        <f t="shared" ca="1" si="53"/>
        <v>153731.35960750974</v>
      </c>
      <c r="W78" s="427">
        <f t="shared" ca="1" si="54"/>
        <v>158310.65834304091</v>
      </c>
      <c r="X78" s="427">
        <f t="shared" ca="1" si="55"/>
        <v>160823.27624339567</v>
      </c>
      <c r="Y78" s="427">
        <f t="shared" ca="1" si="56"/>
        <v>165087.1758471207</v>
      </c>
      <c r="Z78" s="427">
        <f t="shared" ca="1" si="57"/>
        <v>169502.05810838597</v>
      </c>
      <c r="AA78" s="428">
        <f t="shared" ca="1" si="58"/>
        <v>171120.05228926841</v>
      </c>
      <c r="AB78" s="697"/>
      <c r="AC78" s="535">
        <v>1</v>
      </c>
    </row>
    <row r="79" spans="1:29">
      <c r="A79" s="679"/>
      <c r="B79" s="679"/>
      <c r="C79" s="679" t="str">
        <f t="shared" si="48"/>
        <v>HS_Bookkeeper</v>
      </c>
      <c r="D79" s="679" t="s">
        <v>520</v>
      </c>
      <c r="E79" s="679"/>
      <c r="F79" s="680"/>
      <c r="G79" s="345"/>
      <c r="H79" s="389" t="s">
        <v>367</v>
      </c>
      <c r="I79" s="390">
        <f t="shared" ref="I79:O86" ca="1" si="59">IFERROR(INDEX(INDIRECT($B$73 &amp; $B$74), MATCH($C79, INDIRECT($B$73 &amp; $B$75),0), MATCH(I$4, INDIRECT($B$73 &amp; $B$76), 0)),0)</f>
        <v>1</v>
      </c>
      <c r="J79" s="390">
        <f t="shared" ca="1" si="59"/>
        <v>1</v>
      </c>
      <c r="K79" s="390">
        <f t="shared" ca="1" si="59"/>
        <v>1</v>
      </c>
      <c r="L79" s="390">
        <f t="shared" ca="1" si="59"/>
        <v>1</v>
      </c>
      <c r="M79" s="390">
        <f t="shared" ca="1" si="59"/>
        <v>1</v>
      </c>
      <c r="N79" s="390">
        <f t="shared" ca="1" si="59"/>
        <v>1</v>
      </c>
      <c r="O79" s="390">
        <f t="shared" ca="1" si="59"/>
        <v>1</v>
      </c>
      <c r="P79" s="391"/>
      <c r="Q79" s="390">
        <v>8</v>
      </c>
      <c r="R79" s="390"/>
      <c r="S79" s="390">
        <v>260</v>
      </c>
      <c r="T79" s="350" t="s">
        <v>245</v>
      </c>
      <c r="U79" s="427">
        <f t="shared" ca="1" si="52"/>
        <v>96191.985498658993</v>
      </c>
      <c r="V79" s="427">
        <f t="shared" ca="1" si="53"/>
        <v>99418.474048520351</v>
      </c>
      <c r="W79" s="427">
        <f t="shared" ca="1" si="54"/>
        <v>102349.44392916388</v>
      </c>
      <c r="X79" s="427">
        <f t="shared" ca="1" si="55"/>
        <v>103818.39646691695</v>
      </c>
      <c r="Y79" s="427">
        <f t="shared" ca="1" si="56"/>
        <v>106507.89258186481</v>
      </c>
      <c r="Z79" s="427">
        <f t="shared" ca="1" si="57"/>
        <v>109293.05485786559</v>
      </c>
      <c r="AA79" s="428">
        <f t="shared" ca="1" si="58"/>
        <v>110102.05194830681</v>
      </c>
      <c r="AB79" s="697"/>
      <c r="AC79" s="535">
        <v>1</v>
      </c>
    </row>
    <row r="80" spans="1:29">
      <c r="A80" s="679"/>
      <c r="B80" s="679"/>
      <c r="C80" s="679" t="str">
        <f t="shared" si="48"/>
        <v>HS_Vol_Coord</v>
      </c>
      <c r="D80" s="679" t="s">
        <v>511</v>
      </c>
      <c r="E80" s="679"/>
      <c r="F80" s="680"/>
      <c r="G80" s="345"/>
      <c r="H80" s="389" t="s">
        <v>368</v>
      </c>
      <c r="I80" s="390">
        <f t="shared" ca="1" si="59"/>
        <v>1</v>
      </c>
      <c r="J80" s="390">
        <f t="shared" ca="1" si="59"/>
        <v>1</v>
      </c>
      <c r="K80" s="390">
        <f t="shared" ca="1" si="59"/>
        <v>1</v>
      </c>
      <c r="L80" s="390">
        <f t="shared" ca="1" si="59"/>
        <v>1</v>
      </c>
      <c r="M80" s="390">
        <f t="shared" ca="1" si="59"/>
        <v>1</v>
      </c>
      <c r="N80" s="390">
        <f t="shared" ca="1" si="59"/>
        <v>1</v>
      </c>
      <c r="O80" s="390">
        <f t="shared" ca="1" si="59"/>
        <v>1</v>
      </c>
      <c r="P80" s="391"/>
      <c r="Q80" s="390">
        <v>8</v>
      </c>
      <c r="R80" s="390"/>
      <c r="S80" s="390">
        <v>220</v>
      </c>
      <c r="T80" s="350" t="s">
        <v>245</v>
      </c>
      <c r="U80" s="427">
        <f t="shared" ca="1" si="52"/>
        <v>84554.9108065576</v>
      </c>
      <c r="V80" s="427">
        <f t="shared" ca="1" si="53"/>
        <v>87390.317117978761</v>
      </c>
      <c r="W80" s="427">
        <f t="shared" ca="1" si="54"/>
        <v>89979.249391754056</v>
      </c>
      <c r="X80" s="427">
        <f t="shared" ca="1" si="55"/>
        <v>91334.792016133419</v>
      </c>
      <c r="Y80" s="427">
        <f t="shared" ca="1" si="56"/>
        <v>93726.930097435776</v>
      </c>
      <c r="Z80" s="427">
        <f t="shared" ca="1" si="57"/>
        <v>96203.974429240188</v>
      </c>
      <c r="AA80" s="428">
        <f t="shared" ca="1" si="58"/>
        <v>97012.971519681421</v>
      </c>
      <c r="AB80" s="697"/>
      <c r="AC80" s="535">
        <v>1</v>
      </c>
    </row>
    <row r="81" spans="1:29">
      <c r="A81" s="679"/>
      <c r="B81" s="679"/>
      <c r="C81" s="679" t="str">
        <f t="shared" si="48"/>
        <v>HS_HlthClrk</v>
      </c>
      <c r="D81" s="679" t="s">
        <v>521</v>
      </c>
      <c r="E81" s="679"/>
      <c r="F81" s="680"/>
      <c r="G81" s="345"/>
      <c r="H81" s="389" t="s">
        <v>369</v>
      </c>
      <c r="I81" s="390">
        <f t="shared" ca="1" si="59"/>
        <v>0.5</v>
      </c>
      <c r="J81" s="390">
        <f t="shared" ca="1" si="59"/>
        <v>0.5</v>
      </c>
      <c r="K81" s="390">
        <f t="shared" ca="1" si="59"/>
        <v>0.5</v>
      </c>
      <c r="L81" s="390">
        <f t="shared" ca="1" si="59"/>
        <v>0.5</v>
      </c>
      <c r="M81" s="390">
        <f t="shared" ca="1" si="59"/>
        <v>0.5</v>
      </c>
      <c r="N81" s="390">
        <f t="shared" ca="1" si="59"/>
        <v>0.5</v>
      </c>
      <c r="O81" s="390">
        <f t="shared" ca="1" si="59"/>
        <v>0.5</v>
      </c>
      <c r="P81" s="391"/>
      <c r="Q81" s="390">
        <v>8</v>
      </c>
      <c r="R81" s="390"/>
      <c r="S81" s="390">
        <v>185</v>
      </c>
      <c r="T81" s="350" t="s">
        <v>245</v>
      </c>
      <c r="U81" s="427">
        <f t="shared" ca="1" si="52"/>
        <v>37186.235225484445</v>
      </c>
      <c r="V81" s="427">
        <f t="shared" ca="1" si="53"/>
        <v>38432.839901877436</v>
      </c>
      <c r="W81" s="427">
        <f t="shared" ca="1" si="54"/>
        <v>39577.664585760227</v>
      </c>
      <c r="X81" s="427">
        <f t="shared" ca="1" si="55"/>
        <v>40205.819060848917</v>
      </c>
      <c r="Y81" s="427">
        <f t="shared" ca="1" si="56"/>
        <v>41271.793961780175</v>
      </c>
      <c r="Z81" s="427">
        <f t="shared" ca="1" si="57"/>
        <v>42375.514527096493</v>
      </c>
      <c r="AA81" s="428">
        <f t="shared" ca="1" si="58"/>
        <v>42780.013072317102</v>
      </c>
      <c r="AB81" s="697"/>
      <c r="AC81" s="535">
        <v>1</v>
      </c>
    </row>
    <row r="82" spans="1:29">
      <c r="A82" s="679"/>
      <c r="B82" s="679"/>
      <c r="C82" s="679" t="str">
        <f t="shared" si="48"/>
        <v>HS_MediaCentAsst</v>
      </c>
      <c r="D82" s="679" t="s">
        <v>512</v>
      </c>
      <c r="E82" s="679"/>
      <c r="F82" s="680"/>
      <c r="G82" s="345"/>
      <c r="H82" s="389" t="s">
        <v>370</v>
      </c>
      <c r="I82" s="390">
        <f t="shared" ca="1" si="59"/>
        <v>1</v>
      </c>
      <c r="J82" s="390">
        <f t="shared" ca="1" si="59"/>
        <v>1</v>
      </c>
      <c r="K82" s="390">
        <f t="shared" ca="1" si="59"/>
        <v>1</v>
      </c>
      <c r="L82" s="390">
        <f t="shared" ca="1" si="59"/>
        <v>1</v>
      </c>
      <c r="M82" s="390">
        <f t="shared" ca="1" si="59"/>
        <v>1</v>
      </c>
      <c r="N82" s="390">
        <f t="shared" ca="1" si="59"/>
        <v>1</v>
      </c>
      <c r="O82" s="390">
        <f t="shared" ca="1" si="59"/>
        <v>1</v>
      </c>
      <c r="P82" s="391"/>
      <c r="Q82" s="390">
        <v>8</v>
      </c>
      <c r="R82" s="390"/>
      <c r="S82" s="390">
        <v>220</v>
      </c>
      <c r="T82" s="350" t="s">
        <v>245</v>
      </c>
      <c r="U82" s="427">
        <f t="shared" ca="1" si="52"/>
        <v>84554.9108065576</v>
      </c>
      <c r="V82" s="427">
        <f t="shared" ca="1" si="53"/>
        <v>87390.317117978761</v>
      </c>
      <c r="W82" s="427">
        <f t="shared" ca="1" si="54"/>
        <v>89979.249391754056</v>
      </c>
      <c r="X82" s="427">
        <f t="shared" ca="1" si="55"/>
        <v>91334.792016133419</v>
      </c>
      <c r="Y82" s="427">
        <f t="shared" ca="1" si="56"/>
        <v>93726.930097435776</v>
      </c>
      <c r="Z82" s="427">
        <f t="shared" ca="1" si="57"/>
        <v>96203.974429240188</v>
      </c>
      <c r="AA82" s="428">
        <f t="shared" ca="1" si="58"/>
        <v>97012.971519681421</v>
      </c>
      <c r="AB82" s="697"/>
      <c r="AC82" s="535">
        <v>1</v>
      </c>
    </row>
    <row r="83" spans="1:29">
      <c r="A83" s="679"/>
      <c r="B83" s="679"/>
      <c r="C83" s="679" t="str">
        <f t="shared" si="48"/>
        <v>HS_Receptionist</v>
      </c>
      <c r="D83" s="679" t="s">
        <v>513</v>
      </c>
      <c r="E83" s="679"/>
      <c r="F83" s="680"/>
      <c r="G83" s="345"/>
      <c r="H83" s="389" t="s">
        <v>371</v>
      </c>
      <c r="I83" s="390">
        <f t="shared" ca="1" si="59"/>
        <v>1</v>
      </c>
      <c r="J83" s="390">
        <f t="shared" ca="1" si="59"/>
        <v>1</v>
      </c>
      <c r="K83" s="390">
        <f t="shared" ca="1" si="59"/>
        <v>1</v>
      </c>
      <c r="L83" s="390">
        <f t="shared" ca="1" si="59"/>
        <v>1</v>
      </c>
      <c r="M83" s="390">
        <f t="shared" ca="1" si="59"/>
        <v>1</v>
      </c>
      <c r="N83" s="390">
        <f t="shared" ca="1" si="59"/>
        <v>1</v>
      </c>
      <c r="O83" s="390">
        <f t="shared" ca="1" si="59"/>
        <v>1</v>
      </c>
      <c r="P83" s="391"/>
      <c r="Q83" s="390">
        <v>8</v>
      </c>
      <c r="R83" s="390"/>
      <c r="S83" s="390">
        <v>185</v>
      </c>
      <c r="T83" s="350" t="s">
        <v>245</v>
      </c>
      <c r="U83" s="427">
        <f t="shared" ca="1" si="52"/>
        <v>74372.470450968889</v>
      </c>
      <c r="V83" s="427">
        <f t="shared" ca="1" si="53"/>
        <v>76865.679803754872</v>
      </c>
      <c r="W83" s="427">
        <f t="shared" ca="1" si="54"/>
        <v>79155.329171520454</v>
      </c>
      <c r="X83" s="427">
        <f t="shared" ca="1" si="55"/>
        <v>80411.638121697833</v>
      </c>
      <c r="Y83" s="427">
        <f t="shared" ca="1" si="56"/>
        <v>82543.58792356035</v>
      </c>
      <c r="Z83" s="427">
        <f t="shared" ca="1" si="57"/>
        <v>84751.029054192986</v>
      </c>
      <c r="AA83" s="428">
        <f t="shared" ca="1" si="58"/>
        <v>85560.026144634205</v>
      </c>
      <c r="AB83" s="697"/>
      <c r="AC83" s="535">
        <v>1</v>
      </c>
    </row>
    <row r="84" spans="1:29">
      <c r="A84" s="679"/>
      <c r="B84" s="679"/>
      <c r="C84" s="679" t="str">
        <f t="shared" si="48"/>
        <v>HS_AddlSupport</v>
      </c>
      <c r="D84" s="679" t="s">
        <v>524</v>
      </c>
      <c r="E84" s="679"/>
      <c r="F84" s="680"/>
      <c r="G84" s="345"/>
      <c r="H84" s="389" t="s">
        <v>523</v>
      </c>
      <c r="I84" s="390">
        <f t="shared" ca="1" si="59"/>
        <v>0</v>
      </c>
      <c r="J84" s="390">
        <f t="shared" ca="1" si="59"/>
        <v>0</v>
      </c>
      <c r="K84" s="390">
        <f t="shared" ca="1" si="59"/>
        <v>0</v>
      </c>
      <c r="L84" s="390">
        <f t="shared" ca="1" si="59"/>
        <v>0</v>
      </c>
      <c r="M84" s="390">
        <f t="shared" ca="1" si="59"/>
        <v>0</v>
      </c>
      <c r="N84" s="390">
        <f t="shared" ca="1" si="59"/>
        <v>0</v>
      </c>
      <c r="O84" s="390">
        <f t="shared" ca="1" si="59"/>
        <v>0</v>
      </c>
      <c r="P84" s="391"/>
      <c r="Q84" s="390">
        <v>8</v>
      </c>
      <c r="R84" s="390"/>
      <c r="S84" s="390">
        <v>185</v>
      </c>
      <c r="T84" s="350" t="s">
        <v>245</v>
      </c>
      <c r="U84" s="427">
        <f t="shared" ca="1" si="52"/>
        <v>0</v>
      </c>
      <c r="V84" s="427">
        <f t="shared" ca="1" si="53"/>
        <v>0</v>
      </c>
      <c r="W84" s="427">
        <f t="shared" ca="1" si="54"/>
        <v>0</v>
      </c>
      <c r="X84" s="427">
        <f t="shared" ca="1" si="55"/>
        <v>0</v>
      </c>
      <c r="Y84" s="427">
        <f t="shared" ca="1" si="56"/>
        <v>0</v>
      </c>
      <c r="Z84" s="427">
        <f t="shared" ca="1" si="57"/>
        <v>0</v>
      </c>
      <c r="AA84" s="428">
        <f t="shared" ca="1" si="58"/>
        <v>0</v>
      </c>
      <c r="AB84" s="697"/>
      <c r="AC84" s="535">
        <v>1</v>
      </c>
    </row>
    <row r="85" spans="1:29">
      <c r="A85" s="679"/>
      <c r="B85" s="679"/>
      <c r="C85" s="679" t="str">
        <f t="shared" si="48"/>
        <v>HS_CampusMonitor</v>
      </c>
      <c r="D85" s="679" t="s">
        <v>514</v>
      </c>
      <c r="E85" s="679"/>
      <c r="F85" s="680"/>
      <c r="G85" s="345"/>
      <c r="H85" s="389" t="s">
        <v>372</v>
      </c>
      <c r="I85" s="390">
        <f t="shared" ca="1" si="59"/>
        <v>3</v>
      </c>
      <c r="J85" s="390">
        <f t="shared" ca="1" si="59"/>
        <v>3</v>
      </c>
      <c r="K85" s="390">
        <f t="shared" ca="1" si="59"/>
        <v>3</v>
      </c>
      <c r="L85" s="390">
        <f t="shared" ca="1" si="59"/>
        <v>3</v>
      </c>
      <c r="M85" s="390">
        <f t="shared" ca="1" si="59"/>
        <v>3</v>
      </c>
      <c r="N85" s="390">
        <f t="shared" ca="1" si="59"/>
        <v>3</v>
      </c>
      <c r="O85" s="390">
        <f t="shared" ca="1" si="59"/>
        <v>3</v>
      </c>
      <c r="P85" s="391"/>
      <c r="Q85" s="390">
        <v>8</v>
      </c>
      <c r="R85" s="390"/>
      <c r="S85" s="390">
        <v>185</v>
      </c>
      <c r="T85" s="350" t="s">
        <v>245</v>
      </c>
      <c r="U85" s="427">
        <f t="shared" ca="1" si="52"/>
        <v>223117.41135290667</v>
      </c>
      <c r="V85" s="427">
        <f t="shared" ca="1" si="53"/>
        <v>230597.03941126462</v>
      </c>
      <c r="W85" s="427">
        <f t="shared" ca="1" si="54"/>
        <v>237465.98751456136</v>
      </c>
      <c r="X85" s="427">
        <f t="shared" ca="1" si="55"/>
        <v>241234.91436509351</v>
      </c>
      <c r="Y85" s="427">
        <f t="shared" ca="1" si="56"/>
        <v>247630.76377068105</v>
      </c>
      <c r="Z85" s="427">
        <f t="shared" ca="1" si="57"/>
        <v>254253.08716257894</v>
      </c>
      <c r="AA85" s="428">
        <f t="shared" ca="1" si="58"/>
        <v>256680.07843390261</v>
      </c>
      <c r="AB85" s="697"/>
      <c r="AC85" s="535">
        <v>1</v>
      </c>
    </row>
    <row r="86" spans="1:29">
      <c r="A86" s="679"/>
      <c r="B86" s="679"/>
      <c r="C86" s="679" t="str">
        <f t="shared" si="48"/>
        <v>HS_Nurse</v>
      </c>
      <c r="D86" s="679" t="s">
        <v>507</v>
      </c>
      <c r="E86" s="679"/>
      <c r="F86" s="680"/>
      <c r="G86" s="345"/>
      <c r="H86" s="372" t="s">
        <v>359</v>
      </c>
      <c r="I86" s="390">
        <f t="shared" ca="1" si="59"/>
        <v>1.3333333333333333</v>
      </c>
      <c r="J86" s="390">
        <f t="shared" ca="1" si="59"/>
        <v>1.3333333333333333</v>
      </c>
      <c r="K86" s="390">
        <f t="shared" ca="1" si="59"/>
        <v>1.3333333333333333</v>
      </c>
      <c r="L86" s="390">
        <f t="shared" ca="1" si="59"/>
        <v>1.3333333333333333</v>
      </c>
      <c r="M86" s="390">
        <f t="shared" ca="1" si="59"/>
        <v>1.3333333333333333</v>
      </c>
      <c r="N86" s="390">
        <f t="shared" ca="1" si="59"/>
        <v>1.3333333333333333</v>
      </c>
      <c r="O86" s="390">
        <f t="shared" ca="1" si="59"/>
        <v>1.3333333333333333</v>
      </c>
      <c r="P86" s="391"/>
      <c r="Q86" s="390">
        <v>1</v>
      </c>
      <c r="R86" s="390"/>
      <c r="S86" s="390">
        <v>1</v>
      </c>
      <c r="T86" s="350" t="s">
        <v>236</v>
      </c>
      <c r="U86" s="427">
        <f t="shared" ca="1" si="52"/>
        <v>182437.76639999999</v>
      </c>
      <c r="V86" s="427">
        <f t="shared" ca="1" si="53"/>
        <v>195861.93395250244</v>
      </c>
      <c r="W86" s="427">
        <f t="shared" ca="1" si="54"/>
        <v>203772.14630498496</v>
      </c>
      <c r="X86" s="427">
        <f t="shared" ca="1" si="55"/>
        <v>209788.51142886461</v>
      </c>
      <c r="Y86" s="427">
        <f t="shared" ca="1" si="56"/>
        <v>215228.69291162331</v>
      </c>
      <c r="Z86" s="427">
        <f t="shared" ca="1" si="57"/>
        <v>225911.54803714756</v>
      </c>
      <c r="AA86" s="428">
        <f t="shared" ca="1" si="58"/>
        <v>226990.21082440251</v>
      </c>
      <c r="AB86" s="697"/>
      <c r="AC86" s="535">
        <v>1</v>
      </c>
    </row>
    <row r="87" spans="1:29">
      <c r="A87" s="535"/>
      <c r="B87" s="535"/>
      <c r="C87" s="679" t="str">
        <f t="shared" si="48"/>
        <v>HS_Clsfd</v>
      </c>
      <c r="D87" s="535" t="s">
        <v>522</v>
      </c>
      <c r="E87" s="535" t="s">
        <v>8</v>
      </c>
      <c r="F87" s="677">
        <f ca="1">INDEX(INDIRECT($B$68&amp;$B$69),MATCH($C87,INDIRECT($B$68&amp;$B$70),0),MATCH(E$87,INDIRECT($B$68&amp;$B$71),0))</f>
        <v>22</v>
      </c>
      <c r="G87" s="429"/>
      <c r="H87" s="430" t="s">
        <v>373</v>
      </c>
      <c r="I87" s="397">
        <f t="shared" ref="I87:O87" ca="1" si="60">IFERROR(INDEX(INDIRECT($B$68&amp;$B$69),MATCH($C87,INDIRECT($B$68&amp;$B$70),0),MATCH(I$4,INDIRECT($B$68&amp;$B$71),0)),0)-$F87</f>
        <v>0</v>
      </c>
      <c r="J87" s="397">
        <f t="shared" ca="1" si="60"/>
        <v>0</v>
      </c>
      <c r="K87" s="397">
        <f t="shared" ca="1" si="60"/>
        <v>0</v>
      </c>
      <c r="L87" s="397">
        <f t="shared" ca="1" si="60"/>
        <v>-2</v>
      </c>
      <c r="M87" s="397">
        <f t="shared" ca="1" si="60"/>
        <v>-2</v>
      </c>
      <c r="N87" s="397">
        <f t="shared" ca="1" si="60"/>
        <v>0</v>
      </c>
      <c r="O87" s="397">
        <f t="shared" ca="1" si="60"/>
        <v>0</v>
      </c>
      <c r="P87" s="398"/>
      <c r="Q87" s="397">
        <v>8</v>
      </c>
      <c r="R87" s="397"/>
      <c r="S87" s="397">
        <v>185</v>
      </c>
      <c r="T87" s="360" t="s">
        <v>245</v>
      </c>
      <c r="U87" s="431">
        <f t="shared" ca="1" si="52"/>
        <v>0</v>
      </c>
      <c r="V87" s="431">
        <f t="shared" ca="1" si="53"/>
        <v>0</v>
      </c>
      <c r="W87" s="431">
        <f t="shared" ca="1" si="54"/>
        <v>0</v>
      </c>
      <c r="X87" s="431">
        <f t="shared" ca="1" si="55"/>
        <v>-160823.27624339567</v>
      </c>
      <c r="Y87" s="431">
        <f t="shared" ca="1" si="56"/>
        <v>-165087.1758471207</v>
      </c>
      <c r="Z87" s="431">
        <f t="shared" ca="1" si="57"/>
        <v>0</v>
      </c>
      <c r="AA87" s="432">
        <f t="shared" ca="1" si="58"/>
        <v>0</v>
      </c>
      <c r="AB87" s="697"/>
      <c r="AC87" s="535">
        <v>1</v>
      </c>
    </row>
    <row r="88" spans="1:29" ht="15" hidden="1" customHeight="1" outlineLevel="1">
      <c r="A88" s="535"/>
      <c r="B88" s="535"/>
      <c r="C88" s="679"/>
      <c r="D88" s="535"/>
      <c r="E88" s="535"/>
      <c r="F88" s="535"/>
      <c r="G88" s="433"/>
      <c r="H88" s="434"/>
      <c r="I88" s="390"/>
      <c r="J88" s="390"/>
      <c r="K88" s="390"/>
      <c r="L88" s="390"/>
      <c r="M88" s="390"/>
      <c r="N88" s="390"/>
      <c r="O88" s="390"/>
      <c r="P88" s="391"/>
      <c r="Q88" s="390"/>
      <c r="R88" s="390"/>
      <c r="S88" s="390"/>
      <c r="T88" s="350"/>
      <c r="U88" s="427"/>
      <c r="V88" s="427"/>
      <c r="W88" s="427"/>
      <c r="X88" s="427"/>
      <c r="Y88" s="427"/>
      <c r="Z88" s="427"/>
      <c r="AA88" s="427"/>
      <c r="AB88" s="697"/>
      <c r="AC88" s="535">
        <v>0</v>
      </c>
    </row>
    <row r="89" spans="1:29" ht="15.95" hidden="1" customHeight="1" outlineLevel="1" thickBot="1">
      <c r="A89" s="535"/>
      <c r="B89" s="535"/>
      <c r="C89" s="679"/>
      <c r="D89" s="535"/>
      <c r="E89" s="535"/>
      <c r="F89" s="535"/>
      <c r="G89" s="433"/>
      <c r="H89" s="434"/>
      <c r="I89" s="390"/>
      <c r="J89" s="390"/>
      <c r="K89" s="390"/>
      <c r="L89" s="390"/>
      <c r="M89" s="390"/>
      <c r="N89" s="390"/>
      <c r="O89" s="390"/>
      <c r="P89" s="391"/>
      <c r="Q89" s="390"/>
      <c r="R89" s="390"/>
      <c r="S89" s="390"/>
      <c r="T89" s="350"/>
      <c r="U89" s="427"/>
      <c r="V89" s="427"/>
      <c r="W89" s="427"/>
      <c r="X89" s="427"/>
      <c r="Y89" s="427"/>
      <c r="Z89" s="427"/>
      <c r="AA89" s="427"/>
      <c r="AB89" s="697"/>
      <c r="AC89" s="535">
        <v>0</v>
      </c>
    </row>
    <row r="90" spans="1:29" collapsed="1">
      <c r="A90" s="679"/>
      <c r="B90" s="688" t="s">
        <v>1061</v>
      </c>
      <c r="C90" s="679" t="str">
        <f>LEFT($G$3,1) &amp; "S" &amp; D90</f>
        <v>HS_Prin</v>
      </c>
      <c r="D90" s="679" t="s">
        <v>525</v>
      </c>
      <c r="E90" s="679"/>
      <c r="F90" s="680"/>
      <c r="G90" s="336" t="s">
        <v>315</v>
      </c>
      <c r="H90" s="387" t="s">
        <v>249</v>
      </c>
      <c r="I90" s="369">
        <f ca="1">IFERROR(INDEX(INDIRECT($B$90 &amp; $B$91), MATCH($C90, INDIRECT($B$73 &amp; $B$92),0), MATCH(I$4, INDIRECT($B$73 &amp; $B$93), 0)),0)</f>
        <v>1</v>
      </c>
      <c r="J90" s="369">
        <f t="shared" ref="J90:O92" ca="1" si="61">IFERROR(INDEX(INDIRECT($B$73 &amp; $B$74), MATCH($C90, INDIRECT($B$73 &amp; $B$75),0), MATCH(J$4, INDIRECT($B$73 &amp; $B$76), 0)),0)</f>
        <v>1</v>
      </c>
      <c r="K90" s="369">
        <f t="shared" ca="1" si="61"/>
        <v>1</v>
      </c>
      <c r="L90" s="369">
        <f t="shared" ca="1" si="61"/>
        <v>1</v>
      </c>
      <c r="M90" s="369">
        <f t="shared" ca="1" si="61"/>
        <v>1</v>
      </c>
      <c r="N90" s="369">
        <f t="shared" ca="1" si="61"/>
        <v>1</v>
      </c>
      <c r="O90" s="369">
        <f t="shared" ca="1" si="61"/>
        <v>1</v>
      </c>
      <c r="P90" s="388"/>
      <c r="Q90" s="369">
        <v>1</v>
      </c>
      <c r="R90" s="369"/>
      <c r="S90" s="369">
        <v>1</v>
      </c>
      <c r="T90" s="342" t="s">
        <v>240</v>
      </c>
      <c r="U90" s="425">
        <f ca="1">(VLOOKUP($T90, $T$7:$AA$13, MATCH(U$4, $S$4:$AA$4,0),0)*$Q90*$S90*(1+$U$18-$U$22)+$U$17+$U$19)*I90</f>
        <v>218237.34659342864</v>
      </c>
      <c r="V90" s="425">
        <f t="shared" ref="V90:Z91" ca="1" si="62">(VLOOKUP($T90, $T$7:$AA$13, MATCH(V$4, $S$4:$AA$4,0),0)*$Q90*$S90*(1+V$18-V$22)+V$17+V$19)*J90</f>
        <v>231340.83893648072</v>
      </c>
      <c r="W90" s="425">
        <f t="shared" ca="1" si="62"/>
        <v>240728.69968087366</v>
      </c>
      <c r="X90" s="425">
        <f t="shared" ca="1" si="62"/>
        <v>246237.1246213658</v>
      </c>
      <c r="Y90" s="425">
        <f t="shared" ca="1" si="62"/>
        <v>255741.38344490327</v>
      </c>
      <c r="Z90" s="425">
        <f t="shared" ca="1" si="62"/>
        <v>265827.31740970816</v>
      </c>
      <c r="AA90" s="426">
        <f ca="1">(VLOOKUP($T90, $T$7:$AA$13, MATCH(AA$4, $T$4:$AA$4,0),0)*$Q90*$S90*(1+AA$18-AA$22)+AA$17+AA$19)*O90</f>
        <v>266636.3145001494</v>
      </c>
      <c r="AB90" s="697"/>
      <c r="AC90" s="535">
        <v>1</v>
      </c>
    </row>
    <row r="91" spans="1:29">
      <c r="A91" s="679"/>
      <c r="B91" s="679" t="s">
        <v>851</v>
      </c>
      <c r="C91" s="679" t="str">
        <f>LEFT($G$3,1) &amp; "S" &amp; D91</f>
        <v>HS_AsstPrin</v>
      </c>
      <c r="D91" s="679" t="s">
        <v>526</v>
      </c>
      <c r="E91" s="679"/>
      <c r="F91" s="680"/>
      <c r="G91" s="345"/>
      <c r="H91" s="389" t="s">
        <v>356</v>
      </c>
      <c r="I91" s="390">
        <f ca="1">IFERROR(INDEX(INDIRECT($B$73 &amp; $B$74), MATCH($C91, INDIRECT($B$73 &amp; $B$75),0), MATCH(I$4, INDIRECT($B$73 &amp; $B$76), 0)),0)</f>
        <v>2</v>
      </c>
      <c r="J91" s="390">
        <f t="shared" ca="1" si="61"/>
        <v>2</v>
      </c>
      <c r="K91" s="390">
        <f t="shared" ca="1" si="61"/>
        <v>2</v>
      </c>
      <c r="L91" s="390">
        <f t="shared" ca="1" si="61"/>
        <v>2</v>
      </c>
      <c r="M91" s="390">
        <f t="shared" ca="1" si="61"/>
        <v>2</v>
      </c>
      <c r="N91" s="390">
        <f t="shared" ca="1" si="61"/>
        <v>2</v>
      </c>
      <c r="O91" s="390">
        <f t="shared" ca="1" si="61"/>
        <v>2</v>
      </c>
      <c r="P91" s="391"/>
      <c r="Q91" s="390">
        <v>1</v>
      </c>
      <c r="R91" s="390"/>
      <c r="S91" s="390">
        <v>1</v>
      </c>
      <c r="T91" s="350" t="s">
        <v>242</v>
      </c>
      <c r="U91" s="427">
        <f ca="1">(VLOOKUP($T91, $T$7:$AA$13, MATCH(U$4, $S$4:$AA$4,0),0)*$Q91*$S91*(1+$U$18-$U$22)+$U$17+$U$19)*I91</f>
        <v>404827.80744787306</v>
      </c>
      <c r="V91" s="427">
        <f t="shared" ca="1" si="62"/>
        <v>429376.68643635331</v>
      </c>
      <c r="W91" s="427">
        <f t="shared" ca="1" si="62"/>
        <v>444940.01465844834</v>
      </c>
      <c r="X91" s="427">
        <f t="shared" ca="1" si="62"/>
        <v>454196.70094084099</v>
      </c>
      <c r="Y91" s="427">
        <f t="shared" ca="1" si="62"/>
        <v>470868.14815593895</v>
      </c>
      <c r="Z91" s="427">
        <f t="shared" ca="1" si="62"/>
        <v>488674.73175609915</v>
      </c>
      <c r="AA91" s="428">
        <f ca="1">(VLOOKUP($T91, $T$7:$AA$13, MATCH(AA$4, $T$4:$AA$4,0),0)*$Q91*$S91*(1+AA$18-AA$22)+AA$17+AA$19)*O91</f>
        <v>490292.72593698156</v>
      </c>
      <c r="AB91" s="697"/>
      <c r="AC91" s="535">
        <v>1</v>
      </c>
    </row>
    <row r="92" spans="1:29">
      <c r="A92" s="698"/>
      <c r="B92" s="679" t="s">
        <v>852</v>
      </c>
      <c r="C92" s="679" t="str">
        <f>LEFT($G$3,1) &amp; "S" &amp; D92</f>
        <v>HS_TchrLeadership</v>
      </c>
      <c r="D92" s="679" t="s">
        <v>527</v>
      </c>
      <c r="E92" s="679"/>
      <c r="F92" s="680"/>
      <c r="G92" s="345"/>
      <c r="H92" s="372" t="s">
        <v>357</v>
      </c>
      <c r="I92" s="351">
        <f ca="1">IFERROR(INDEX(INDIRECT($B$73 &amp; $B$74), MATCH($C92, INDIRECT($B$73 &amp; $B$75),0), MATCH(I$4, INDIRECT($B$73 &amp; $B$76), 0)),0)</f>
        <v>64</v>
      </c>
      <c r="J92" s="351">
        <f t="shared" ca="1" si="61"/>
        <v>64</v>
      </c>
      <c r="K92" s="351">
        <f t="shared" ca="1" si="61"/>
        <v>64</v>
      </c>
      <c r="L92" s="351">
        <f t="shared" ca="1" si="61"/>
        <v>64</v>
      </c>
      <c r="M92" s="351">
        <f t="shared" ca="1" si="61"/>
        <v>64</v>
      </c>
      <c r="N92" s="351">
        <f t="shared" ca="1" si="61"/>
        <v>64</v>
      </c>
      <c r="O92" s="351">
        <f t="shared" ca="1" si="61"/>
        <v>64</v>
      </c>
      <c r="P92" s="435"/>
      <c r="U92" s="427">
        <f ca="1">I92*$H$2</f>
        <v>64000</v>
      </c>
      <c r="V92" s="427">
        <f t="shared" ref="V92:AA92" ca="1" si="63">J92*$H$2</f>
        <v>64000</v>
      </c>
      <c r="W92" s="427">
        <f t="shared" ca="1" si="63"/>
        <v>64000</v>
      </c>
      <c r="X92" s="427">
        <f t="shared" ca="1" si="63"/>
        <v>64000</v>
      </c>
      <c r="Y92" s="427">
        <f t="shared" ca="1" si="63"/>
        <v>64000</v>
      </c>
      <c r="Z92" s="427">
        <f t="shared" ca="1" si="63"/>
        <v>64000</v>
      </c>
      <c r="AA92" s="428">
        <f t="shared" ca="1" si="63"/>
        <v>64000</v>
      </c>
      <c r="AB92" s="697"/>
      <c r="AC92" s="535">
        <v>1</v>
      </c>
    </row>
    <row r="93" spans="1:29" ht="15" hidden="1" customHeight="1" outlineLevel="1">
      <c r="A93" s="698"/>
      <c r="B93" s="679" t="s">
        <v>773</v>
      </c>
      <c r="C93" s="698"/>
      <c r="D93" s="698"/>
      <c r="E93" s="698"/>
      <c r="F93" s="699"/>
      <c r="G93" s="345"/>
      <c r="H93" s="436"/>
      <c r="I93" s="437"/>
      <c r="J93" s="437"/>
      <c r="K93" s="437"/>
      <c r="L93" s="437"/>
      <c r="M93" s="437"/>
      <c r="N93" s="437"/>
      <c r="O93" s="437"/>
      <c r="P93" s="436"/>
      <c r="Q93" s="350"/>
      <c r="R93" s="350"/>
      <c r="S93" s="350"/>
      <c r="T93" s="350"/>
      <c r="U93" s="350"/>
      <c r="V93" s="350"/>
      <c r="W93" s="350"/>
      <c r="X93" s="350"/>
      <c r="Y93" s="350"/>
      <c r="Z93" s="350"/>
      <c r="AA93" s="438"/>
      <c r="AB93" s="697"/>
      <c r="AC93" s="535">
        <v>0</v>
      </c>
    </row>
    <row r="94" spans="1:29" ht="15" hidden="1" customHeight="1" outlineLevel="1">
      <c r="A94" s="679"/>
      <c r="B94" s="694" t="s">
        <v>385</v>
      </c>
      <c r="C94" s="679"/>
      <c r="D94" s="679"/>
      <c r="E94" s="675"/>
      <c r="F94" s="686"/>
      <c r="G94" s="345"/>
      <c r="H94" s="372"/>
      <c r="I94" s="439"/>
      <c r="J94" s="439"/>
      <c r="K94" s="439"/>
      <c r="L94" s="439"/>
      <c r="M94" s="439"/>
      <c r="N94" s="439"/>
      <c r="O94" s="439"/>
      <c r="P94" s="440"/>
      <c r="Q94" s="441"/>
      <c r="R94" s="441"/>
      <c r="S94" s="441"/>
      <c r="T94" s="390"/>
      <c r="U94" s="427"/>
      <c r="V94" s="427"/>
      <c r="W94" s="427"/>
      <c r="X94" s="427"/>
      <c r="Y94" s="427"/>
      <c r="Z94" s="427"/>
      <c r="AA94" s="428"/>
      <c r="AB94" s="700"/>
      <c r="AC94" s="535">
        <v>0</v>
      </c>
    </row>
    <row r="95" spans="1:29" ht="15" hidden="1" customHeight="1" outlineLevel="1">
      <c r="A95" s="679"/>
      <c r="B95" s="675" t="s">
        <v>414</v>
      </c>
      <c r="C95" s="679"/>
      <c r="D95" s="679"/>
      <c r="E95" s="675"/>
      <c r="F95" s="686"/>
      <c r="G95" s="345"/>
      <c r="H95" s="372"/>
      <c r="I95" s="439"/>
      <c r="J95" s="439"/>
      <c r="K95" s="439"/>
      <c r="L95" s="439"/>
      <c r="M95" s="439"/>
      <c r="N95" s="439"/>
      <c r="O95" s="439"/>
      <c r="P95" s="440"/>
      <c r="Q95" s="441"/>
      <c r="R95" s="441"/>
      <c r="S95" s="441"/>
      <c r="T95" s="390"/>
      <c r="U95" s="427"/>
      <c r="V95" s="427"/>
      <c r="W95" s="427"/>
      <c r="X95" s="427"/>
      <c r="Y95" s="427"/>
      <c r="Z95" s="427"/>
      <c r="AA95" s="428"/>
      <c r="AB95" s="700"/>
      <c r="AC95" s="535">
        <v>0</v>
      </c>
    </row>
    <row r="96" spans="1:29" ht="15" hidden="1" customHeight="1" outlineLevel="1">
      <c r="A96" s="679"/>
      <c r="B96" s="675" t="s">
        <v>415</v>
      </c>
      <c r="C96" s="679"/>
      <c r="D96" s="679"/>
      <c r="E96" s="675"/>
      <c r="F96" s="686"/>
      <c r="G96" s="345"/>
      <c r="H96" s="372"/>
      <c r="I96" s="439"/>
      <c r="J96" s="439"/>
      <c r="K96" s="439"/>
      <c r="L96" s="439"/>
      <c r="M96" s="439"/>
      <c r="N96" s="439"/>
      <c r="O96" s="439"/>
      <c r="P96" s="440"/>
      <c r="Q96" s="441"/>
      <c r="R96" s="441"/>
      <c r="S96" s="441"/>
      <c r="T96" s="347" t="s">
        <v>419</v>
      </c>
      <c r="U96" s="347">
        <f t="shared" ref="U96:Z96" ca="1" si="64">VLOOKUP($T96, $T$41:$AA$49, MATCH(U$4, $S$4:$AA$4,0),0)</f>
        <v>2.8708133971291794E-2</v>
      </c>
      <c r="V96" s="347">
        <f t="shared" ca="1" si="64"/>
        <v>5.7416267942583588E-2</v>
      </c>
      <c r="W96" s="347">
        <f t="shared" ca="1" si="64"/>
        <v>8.373205741626788E-2</v>
      </c>
      <c r="X96" s="347">
        <f t="shared" ca="1" si="64"/>
        <v>0.10925039872408293</v>
      </c>
      <c r="Y96" s="347">
        <f t="shared" ca="1" si="64"/>
        <v>0.13397129186602874</v>
      </c>
      <c r="Z96" s="347">
        <f t="shared" ca="1" si="64"/>
        <v>0.15948963317384379</v>
      </c>
      <c r="AA96" s="375">
        <f ca="1">VLOOKUP($T96, $T$41:$AA$49, MATCH(AA$4, $T$4:$AA$4,0),0)</f>
        <v>0.15948963317384379</v>
      </c>
      <c r="AB96" s="700"/>
      <c r="AC96" s="535">
        <v>0</v>
      </c>
    </row>
    <row r="97" spans="1:29" collapsed="1">
      <c r="A97" s="679"/>
      <c r="B97" s="675" t="s">
        <v>779</v>
      </c>
      <c r="C97" s="679" t="str">
        <f>LEFT($G$3,1) &amp; "S" &amp; D97</f>
        <v>HS_ParComOutreach</v>
      </c>
      <c r="D97" s="679" t="s">
        <v>528</v>
      </c>
      <c r="E97" s="679"/>
      <c r="F97" s="680"/>
      <c r="G97" s="345"/>
      <c r="H97" s="389" t="s">
        <v>317</v>
      </c>
      <c r="I97" s="351">
        <f t="shared" ref="I97:O97" ca="1" si="65">IFERROR(INDEX(INDIRECT($B$94 &amp; $B$95), MATCH($C97, INDIRECT($B$94 &amp; $B$96),0), MATCH(I$4, INDIRECT($B$94 &amp; $B$97), 0)),0)</f>
        <v>27.83</v>
      </c>
      <c r="J97" s="351">
        <f t="shared" ca="1" si="65"/>
        <v>28.628947368421048</v>
      </c>
      <c r="K97" s="351">
        <f t="shared" ca="1" si="65"/>
        <v>28.628947368421048</v>
      </c>
      <c r="L97" s="351">
        <f t="shared" ca="1" si="65"/>
        <v>30</v>
      </c>
      <c r="M97" s="351">
        <f t="shared" ca="1" si="65"/>
        <v>30</v>
      </c>
      <c r="N97" s="351">
        <f t="shared" ca="1" si="65"/>
        <v>28.628947368421048</v>
      </c>
      <c r="O97" s="351">
        <f t="shared" ca="1" si="65"/>
        <v>28.628947368421048</v>
      </c>
      <c r="P97" s="440"/>
      <c r="Q97" s="441"/>
      <c r="R97" s="441"/>
      <c r="S97" s="441"/>
      <c r="T97" s="390"/>
      <c r="U97" s="371">
        <f ca="1">I97*$H$2</f>
        <v>27830</v>
      </c>
      <c r="V97" s="371">
        <f t="shared" ref="V97:AA97" ca="1" si="66">J97*$H$2*(1+V96)</f>
        <v>30272.714681440437</v>
      </c>
      <c r="W97" s="371">
        <f t="shared" ca="1" si="66"/>
        <v>31026.108033240991</v>
      </c>
      <c r="X97" s="371">
        <f t="shared" ca="1" si="66"/>
        <v>33277.511961722485</v>
      </c>
      <c r="Y97" s="371">
        <f t="shared" ca="1" si="66"/>
        <v>34019.138755980865</v>
      </c>
      <c r="Z97" s="371">
        <f t="shared" ca="1" si="66"/>
        <v>33194.9676823638</v>
      </c>
      <c r="AA97" s="442">
        <f t="shared" ca="1" si="66"/>
        <v>33194.9676823638</v>
      </c>
      <c r="AB97" s="700"/>
      <c r="AC97" s="535">
        <v>1</v>
      </c>
    </row>
    <row r="98" spans="1:29" ht="15" hidden="1" customHeight="1" outlineLevel="1">
      <c r="A98" s="535"/>
      <c r="B98" s="701" t="s">
        <v>944</v>
      </c>
      <c r="C98" s="535"/>
      <c r="D98" s="535"/>
      <c r="E98" s="701"/>
      <c r="F98" s="702"/>
      <c r="G98" s="345"/>
      <c r="H98" s="444"/>
      <c r="I98" s="439"/>
      <c r="J98" s="439"/>
      <c r="K98" s="439"/>
      <c r="L98" s="439"/>
      <c r="M98" s="439"/>
      <c r="N98" s="439"/>
      <c r="O98" s="439"/>
      <c r="P98" s="440"/>
      <c r="Q98" s="441"/>
      <c r="R98" s="441"/>
      <c r="S98" s="441"/>
      <c r="T98" s="441"/>
      <c r="U98" s="441"/>
      <c r="V98" s="441"/>
      <c r="W98" s="441"/>
      <c r="X98" s="441"/>
      <c r="Y98" s="441"/>
      <c r="Z98" s="441"/>
      <c r="AA98" s="445"/>
      <c r="AB98" s="703"/>
      <c r="AC98" s="535">
        <v>0</v>
      </c>
    </row>
    <row r="99" spans="1:29" ht="15" hidden="1" customHeight="1" outlineLevel="1">
      <c r="A99" s="535"/>
      <c r="B99" s="704" t="s">
        <v>390</v>
      </c>
      <c r="C99" s="535"/>
      <c r="D99" s="535"/>
      <c r="E99" s="704"/>
      <c r="F99" s="705"/>
      <c r="G99" s="345"/>
      <c r="H99" s="444"/>
      <c r="I99" s="439"/>
      <c r="J99" s="439"/>
      <c r="K99" s="439"/>
      <c r="L99" s="439"/>
      <c r="M99" s="439"/>
      <c r="N99" s="439"/>
      <c r="O99" s="439"/>
      <c r="P99" s="440"/>
      <c r="Q99" s="441"/>
      <c r="R99" s="441"/>
      <c r="S99" s="441"/>
      <c r="T99" s="441"/>
      <c r="U99" s="441"/>
      <c r="V99" s="441"/>
      <c r="W99" s="441"/>
      <c r="X99" s="441"/>
      <c r="Y99" s="441"/>
      <c r="Z99" s="441"/>
      <c r="AA99" s="445"/>
      <c r="AB99" s="703"/>
      <c r="AC99" s="535">
        <v>0</v>
      </c>
    </row>
    <row r="100" spans="1:29" ht="15" hidden="1" customHeight="1" outlineLevel="1">
      <c r="A100" s="535"/>
      <c r="B100" s="704" t="s">
        <v>391</v>
      </c>
      <c r="C100" s="535"/>
      <c r="D100" s="535"/>
      <c r="E100" s="704"/>
      <c r="F100" s="705"/>
      <c r="G100" s="345"/>
      <c r="H100" s="444"/>
      <c r="I100" s="439"/>
      <c r="J100" s="439"/>
      <c r="K100" s="439"/>
      <c r="L100" s="439"/>
      <c r="M100" s="439"/>
      <c r="N100" s="439"/>
      <c r="O100" s="439"/>
      <c r="P100" s="440"/>
      <c r="Q100" s="441"/>
      <c r="R100" s="441"/>
      <c r="S100" s="441"/>
      <c r="T100" s="441"/>
      <c r="U100" s="441"/>
      <c r="V100" s="441"/>
      <c r="W100" s="441"/>
      <c r="X100" s="441"/>
      <c r="Y100" s="441"/>
      <c r="Z100" s="441"/>
      <c r="AA100" s="445"/>
      <c r="AB100" s="703"/>
      <c r="AC100" s="535">
        <v>0</v>
      </c>
    </row>
    <row r="101" spans="1:29" ht="15" hidden="1" customHeight="1" outlineLevel="1">
      <c r="A101" s="535"/>
      <c r="B101" s="704" t="s">
        <v>392</v>
      </c>
      <c r="C101" s="535"/>
      <c r="D101" s="535"/>
      <c r="E101" s="704"/>
      <c r="F101" s="705"/>
      <c r="G101" s="345"/>
      <c r="H101" s="444"/>
      <c r="I101" s="439"/>
      <c r="J101" s="439"/>
      <c r="K101" s="439"/>
      <c r="L101" s="439"/>
      <c r="M101" s="439"/>
      <c r="N101" s="439"/>
      <c r="O101" s="439"/>
      <c r="P101" s="440"/>
      <c r="Q101" s="441"/>
      <c r="R101" s="441"/>
      <c r="S101" s="441"/>
      <c r="T101" s="441" t="s">
        <v>419</v>
      </c>
      <c r="U101" s="347">
        <f t="shared" ref="U101:Z101" ca="1" si="67">VLOOKUP($T101, $T$41:$AA$49, MATCH(U$4, $S$4:$AA$4,0),0)</f>
        <v>2.8708133971291794E-2</v>
      </c>
      <c r="V101" s="347">
        <f t="shared" ca="1" si="67"/>
        <v>5.7416267942583588E-2</v>
      </c>
      <c r="W101" s="347">
        <f t="shared" ca="1" si="67"/>
        <v>8.373205741626788E-2</v>
      </c>
      <c r="X101" s="347">
        <f t="shared" ca="1" si="67"/>
        <v>0.10925039872408293</v>
      </c>
      <c r="Y101" s="347">
        <f t="shared" ca="1" si="67"/>
        <v>0.13397129186602874</v>
      </c>
      <c r="Z101" s="347">
        <f t="shared" ca="1" si="67"/>
        <v>0.15948963317384379</v>
      </c>
      <c r="AA101" s="375">
        <f ca="1">VLOOKUP($T101, $T$41:$AA$49, MATCH(AA$4, $T$4:$AA$4,0),0)</f>
        <v>0.15948963317384379</v>
      </c>
      <c r="AB101" s="703"/>
      <c r="AC101" s="535">
        <v>0</v>
      </c>
    </row>
    <row r="102" spans="1:29" collapsed="1">
      <c r="A102" s="535"/>
      <c r="B102" s="706" t="s">
        <v>195</v>
      </c>
      <c r="C102" s="535"/>
      <c r="D102" s="704"/>
      <c r="E102" s="704"/>
      <c r="F102" s="705"/>
      <c r="G102" s="356"/>
      <c r="H102" s="396" t="s">
        <v>316</v>
      </c>
      <c r="I102" s="381">
        <f t="shared" ref="I102:O102" ca="1" si="68">INDEX(INDIRECT($B$98 &amp; $B$99), MATCH($B102, INDIRECT($B$98 &amp; $B$100),0), MATCH($G$3, INDIRECT($B$98 &amp; $B$101), 0))</f>
        <v>39.449053728252323</v>
      </c>
      <c r="J102" s="381">
        <f t="shared" ca="1" si="68"/>
        <v>39.449053728252323</v>
      </c>
      <c r="K102" s="381">
        <f t="shared" ca="1" si="68"/>
        <v>39.449053728252323</v>
      </c>
      <c r="L102" s="381">
        <f t="shared" ca="1" si="68"/>
        <v>39.449053728252323</v>
      </c>
      <c r="M102" s="381">
        <f t="shared" ca="1" si="68"/>
        <v>39.449053728252323</v>
      </c>
      <c r="N102" s="381">
        <f t="shared" ca="1" si="68"/>
        <v>39.449053728252323</v>
      </c>
      <c r="O102" s="381">
        <f t="shared" ca="1" si="68"/>
        <v>39.449053728252323</v>
      </c>
      <c r="P102" s="447"/>
      <c r="Q102" s="448"/>
      <c r="R102" s="448"/>
      <c r="S102" s="448"/>
      <c r="T102" s="448"/>
      <c r="U102" s="449">
        <f ca="1">I102*$H$2</f>
        <v>39449.053728252322</v>
      </c>
      <c r="V102" s="449">
        <f t="shared" ref="V102:AA102" ca="1" si="69">J102*$H$2*(1+V101)</f>
        <v>41714.071167195034</v>
      </c>
      <c r="W102" s="449">
        <f t="shared" ca="1" si="69"/>
        <v>42752.204160043781</v>
      </c>
      <c r="X102" s="449">
        <f t="shared" ca="1" si="69"/>
        <v>43758.878577351657</v>
      </c>
      <c r="Y102" s="449">
        <f t="shared" ca="1" si="69"/>
        <v>44734.094419118665</v>
      </c>
      <c r="Z102" s="449">
        <f t="shared" ca="1" si="69"/>
        <v>45740.768836426541</v>
      </c>
      <c r="AA102" s="450">
        <f t="shared" ca="1" si="69"/>
        <v>45740.768836426541</v>
      </c>
      <c r="AB102" s="703"/>
      <c r="AC102" s="535">
        <v>1</v>
      </c>
    </row>
    <row r="103" spans="1:29" ht="15" hidden="1" customHeight="1" outlineLevel="1">
      <c r="A103" s="535"/>
      <c r="B103" s="706"/>
      <c r="C103" s="535"/>
      <c r="D103" s="704"/>
      <c r="E103" s="704"/>
      <c r="F103" s="704"/>
      <c r="G103" s="451"/>
      <c r="H103" s="451"/>
      <c r="I103" s="446"/>
      <c r="J103" s="446"/>
      <c r="K103" s="446"/>
      <c r="L103" s="446"/>
      <c r="M103" s="446"/>
      <c r="N103" s="446"/>
      <c r="O103" s="446"/>
      <c r="P103" s="451"/>
      <c r="Q103" s="446"/>
      <c r="R103" s="446"/>
      <c r="S103" s="446"/>
      <c r="T103" s="446"/>
      <c r="U103" s="446"/>
      <c r="V103" s="446"/>
      <c r="W103" s="446"/>
      <c r="X103" s="446"/>
      <c r="Y103" s="446"/>
      <c r="Z103" s="446"/>
      <c r="AA103" s="446"/>
      <c r="AB103" s="707"/>
      <c r="AC103" s="535">
        <v>0</v>
      </c>
    </row>
    <row r="104" spans="1:29" ht="15" hidden="1" customHeight="1" outlineLevel="1">
      <c r="A104" s="675"/>
      <c r="B104" s="675" t="s">
        <v>385</v>
      </c>
      <c r="C104" s="675"/>
      <c r="D104" s="701" t="s">
        <v>1062</v>
      </c>
      <c r="E104" s="675"/>
      <c r="F104" s="675"/>
      <c r="G104" s="389"/>
      <c r="H104" s="389"/>
      <c r="I104" s="354"/>
      <c r="J104" s="354"/>
      <c r="K104" s="354"/>
      <c r="L104" s="354"/>
      <c r="M104" s="354"/>
      <c r="N104" s="354"/>
      <c r="O104" s="354"/>
      <c r="P104" s="440"/>
      <c r="Q104" s="443" t="s">
        <v>1062</v>
      </c>
      <c r="R104" s="443"/>
      <c r="S104" s="452" t="s">
        <v>951</v>
      </c>
      <c r="T104" s="441"/>
      <c r="U104" s="441"/>
      <c r="V104" s="441"/>
      <c r="W104" s="441"/>
      <c r="X104" s="441"/>
      <c r="Y104" s="441"/>
      <c r="Z104" s="441"/>
      <c r="AA104" s="441"/>
      <c r="AB104" s="703"/>
      <c r="AC104" s="535">
        <v>0</v>
      </c>
    </row>
    <row r="105" spans="1:29" ht="15" hidden="1" customHeight="1" outlineLevel="1">
      <c r="A105" s="675"/>
      <c r="B105" s="675" t="s">
        <v>414</v>
      </c>
      <c r="C105" s="675"/>
      <c r="D105" s="704" t="s">
        <v>549</v>
      </c>
      <c r="E105" s="675"/>
      <c r="F105" s="675"/>
      <c r="G105" s="389"/>
      <c r="H105" s="389"/>
      <c r="I105" s="354"/>
      <c r="J105" s="354"/>
      <c r="K105" s="354"/>
      <c r="L105" s="354"/>
      <c r="M105" s="354"/>
      <c r="N105" s="354"/>
      <c r="O105" s="354"/>
      <c r="P105" s="440"/>
      <c r="Q105" s="446" t="s">
        <v>549</v>
      </c>
      <c r="R105" s="446"/>
      <c r="S105" s="441" t="s">
        <v>827</v>
      </c>
      <c r="T105" s="441"/>
      <c r="U105" s="441"/>
      <c r="V105" s="441"/>
      <c r="W105" s="441"/>
      <c r="X105" s="441"/>
      <c r="Y105" s="441"/>
      <c r="Z105" s="441"/>
      <c r="AA105" s="441"/>
      <c r="AB105" s="703"/>
      <c r="AC105" s="535">
        <v>0</v>
      </c>
    </row>
    <row r="106" spans="1:29" ht="15" hidden="1" customHeight="1" outlineLevel="1">
      <c r="A106" s="675"/>
      <c r="B106" s="675" t="s">
        <v>415</v>
      </c>
      <c r="C106" s="675"/>
      <c r="D106" s="704" t="s">
        <v>267</v>
      </c>
      <c r="E106" s="675"/>
      <c r="F106" s="675"/>
      <c r="G106" s="389"/>
      <c r="H106" s="389"/>
      <c r="I106" s="354"/>
      <c r="J106" s="354"/>
      <c r="K106" s="354"/>
      <c r="L106" s="354"/>
      <c r="M106" s="354"/>
      <c r="N106" s="354"/>
      <c r="O106" s="354"/>
      <c r="P106" s="440"/>
      <c r="Q106" s="446" t="s">
        <v>267</v>
      </c>
      <c r="R106" s="446"/>
      <c r="S106" s="441" t="s">
        <v>828</v>
      </c>
      <c r="T106" s="441"/>
      <c r="U106" s="441"/>
      <c r="V106" s="441"/>
      <c r="W106" s="441"/>
      <c r="X106" s="441"/>
      <c r="Y106" s="441"/>
      <c r="Z106" s="441"/>
      <c r="AA106" s="441"/>
      <c r="AB106" s="703"/>
      <c r="AC106" s="535">
        <v>0</v>
      </c>
    </row>
    <row r="107" spans="1:29" ht="15.95" hidden="1" customHeight="1" outlineLevel="1" thickBot="1">
      <c r="A107" s="675"/>
      <c r="B107" s="675" t="s">
        <v>416</v>
      </c>
      <c r="C107" s="675"/>
      <c r="D107" s="704" t="s">
        <v>542</v>
      </c>
      <c r="E107" s="675"/>
      <c r="F107" s="675"/>
      <c r="G107" s="389"/>
      <c r="H107" s="389"/>
      <c r="I107" s="354"/>
      <c r="J107" s="354"/>
      <c r="K107" s="354"/>
      <c r="L107" s="354"/>
      <c r="M107" s="354"/>
      <c r="N107" s="354"/>
      <c r="O107" s="354"/>
      <c r="P107" s="440"/>
      <c r="Q107" s="446" t="s">
        <v>542</v>
      </c>
      <c r="R107" s="446"/>
      <c r="S107" s="441" t="s">
        <v>826</v>
      </c>
      <c r="T107" s="441" t="s">
        <v>548</v>
      </c>
      <c r="U107" s="347">
        <f t="shared" ref="U107:AA107" ca="1" si="70">INDEX(INDIRECT($S$104 &amp; $S$105), MATCH($T$107, INDIRECT($S$104 &amp; $S$106), 0), MATCH(U$4,INDIRECT($S$104 &amp; $S$107),0))</f>
        <v>-4.3418524080574561E-2</v>
      </c>
      <c r="V107" s="347">
        <f t="shared" ca="1" si="70"/>
        <v>-3.9971619451295792E-2</v>
      </c>
      <c r="W107" s="347">
        <f t="shared" ca="1" si="70"/>
        <v>-3.6512294393833522E-2</v>
      </c>
      <c r="X107" s="347">
        <f t="shared" ca="1" si="70"/>
        <v>-3.3040504152950012E-2</v>
      </c>
      <c r="Y107" s="347">
        <f t="shared" ca="1" si="70"/>
        <v>-2.9556203812138304E-2</v>
      </c>
      <c r="Z107" s="347">
        <f t="shared" ca="1" si="70"/>
        <v>-2.6059348293041351E-2</v>
      </c>
      <c r="AA107" s="347">
        <f t="shared" ca="1" si="70"/>
        <v>-2.2549892354868595E-2</v>
      </c>
      <c r="AB107" s="703"/>
      <c r="AC107" s="535">
        <v>0</v>
      </c>
    </row>
    <row r="108" spans="1:29" collapsed="1">
      <c r="A108" s="675"/>
      <c r="B108" s="675" t="str">
        <f>LEFT($G$3,1) &amp; "S" &amp; C108</f>
        <v>HS_CompHardware</v>
      </c>
      <c r="C108" s="675" t="s">
        <v>529</v>
      </c>
      <c r="D108" s="708" t="s">
        <v>536</v>
      </c>
      <c r="E108" s="675"/>
      <c r="F108" s="699">
        <f ca="1">INDEX(INDIRECT($D$104 &amp; $D$105), MATCH($F$3, INDIRECT($D$104 &amp; $D$106),0), MATCH($D108, INDIRECT($D$104 &amp; $D$107),0))</f>
        <v>1096</v>
      </c>
      <c r="G108" s="336" t="s">
        <v>318</v>
      </c>
      <c r="H108" s="387" t="s">
        <v>406</v>
      </c>
      <c r="I108" s="453">
        <f t="shared" ref="I108:O109" ca="1" si="71">INDEX(INDIRECT($B$104 &amp; $B$105), MATCH($B108, INDIRECT($B$104 &amp; $B$106),0), MATCH(I$4, INDIRECT($B$104 &amp; $B$107), 0))</f>
        <v>0.2</v>
      </c>
      <c r="J108" s="453">
        <f t="shared" ca="1" si="71"/>
        <v>0.2</v>
      </c>
      <c r="K108" s="453">
        <f t="shared" ca="1" si="71"/>
        <v>0.2</v>
      </c>
      <c r="L108" s="453">
        <f t="shared" ca="1" si="71"/>
        <v>0.25</v>
      </c>
      <c r="M108" s="453">
        <f t="shared" ca="1" si="71"/>
        <v>0.25</v>
      </c>
      <c r="N108" s="453">
        <f t="shared" ca="1" si="71"/>
        <v>0.2</v>
      </c>
      <c r="O108" s="453">
        <f t="shared" ca="1" si="71"/>
        <v>0.2</v>
      </c>
      <c r="P108" s="454">
        <f ca="1">INDEX(INDIRECT($Q$104 &amp; $Q$105), MATCH($Q108, INDIRECT($Q$104 &amp; $Q$106),0), MATCH($D108, INDIRECT($Q$104 &amp; $Q$107),0))</f>
        <v>531.87678895801355</v>
      </c>
      <c r="Q108" s="455" t="s">
        <v>537</v>
      </c>
      <c r="R108" s="455"/>
      <c r="S108" s="456"/>
      <c r="T108" s="456"/>
      <c r="U108" s="393">
        <f t="shared" ref="U108:AA109" ca="1" si="72">$F108*$P108*I108*(1+U$107)</f>
        <v>111525.33964649211</v>
      </c>
      <c r="V108" s="393">
        <f t="shared" ca="1" si="72"/>
        <v>111927.20526817362</v>
      </c>
      <c r="W108" s="393">
        <f t="shared" ca="1" si="72"/>
        <v>112330.51895518631</v>
      </c>
      <c r="X108" s="393">
        <f t="shared" ca="1" si="72"/>
        <v>140919.10740678327</v>
      </c>
      <c r="Y108" s="393">
        <f t="shared" ca="1" si="72"/>
        <v>141426.88926949119</v>
      </c>
      <c r="Z108" s="393">
        <f t="shared" ca="1" si="72"/>
        <v>113549.20068125344</v>
      </c>
      <c r="AA108" s="457">
        <f t="shared" ca="1" si="72"/>
        <v>113958.35899691381</v>
      </c>
      <c r="AB108" s="703"/>
      <c r="AC108" s="535">
        <v>1</v>
      </c>
    </row>
    <row r="109" spans="1:29">
      <c r="A109" s="675"/>
      <c r="B109" s="675" t="str">
        <f>LEFT($G$3,1) &amp; "S" &amp; C109</f>
        <v>HS_CompSoftware</v>
      </c>
      <c r="C109" s="675" t="s">
        <v>530</v>
      </c>
      <c r="D109" s="708" t="s">
        <v>536</v>
      </c>
      <c r="E109" s="675"/>
      <c r="F109" s="699">
        <f ca="1">INDEX(INDIRECT($D$104 &amp; $D$105), MATCH($F$3, INDIRECT($D$104 &amp; $D$106),0), MATCH($D109, INDIRECT($D$104 &amp; $D$107),0))</f>
        <v>1096</v>
      </c>
      <c r="G109" s="356"/>
      <c r="H109" s="396" t="s">
        <v>319</v>
      </c>
      <c r="I109" s="458">
        <f t="shared" ca="1" si="71"/>
        <v>0.25</v>
      </c>
      <c r="J109" s="458">
        <f t="shared" ca="1" si="71"/>
        <v>0.25</v>
      </c>
      <c r="K109" s="458">
        <f t="shared" ca="1" si="71"/>
        <v>0.25</v>
      </c>
      <c r="L109" s="458">
        <f t="shared" ca="1" si="71"/>
        <v>0.5</v>
      </c>
      <c r="M109" s="458">
        <f t="shared" ca="1" si="71"/>
        <v>0.5</v>
      </c>
      <c r="N109" s="458">
        <f t="shared" ca="1" si="71"/>
        <v>0.25</v>
      </c>
      <c r="O109" s="458">
        <f t="shared" ca="1" si="71"/>
        <v>0.25</v>
      </c>
      <c r="P109" s="459">
        <f ca="1">INDEX(INDIRECT($Q$104 &amp; $Q$105), MATCH($Q109, INDIRECT($Q$104 &amp; $Q$106),0), MATCH($D109, INDIRECT($Q$104 &amp; $Q$107),0))</f>
        <v>530</v>
      </c>
      <c r="Q109" s="460" t="s">
        <v>539</v>
      </c>
      <c r="R109" s="460"/>
      <c r="S109" s="448"/>
      <c r="T109" s="448"/>
      <c r="U109" s="449">
        <f t="shared" ca="1" si="72"/>
        <v>138914.76193301895</v>
      </c>
      <c r="V109" s="449">
        <f t="shared" ca="1" si="72"/>
        <v>139415.32142328282</v>
      </c>
      <c r="W109" s="449">
        <f t="shared" ca="1" si="72"/>
        <v>139917.68460812749</v>
      </c>
      <c r="X109" s="449">
        <f t="shared" ca="1" si="72"/>
        <v>280843.71597381722</v>
      </c>
      <c r="Y109" s="449">
        <f t="shared" ca="1" si="72"/>
        <v>281855.69616480253</v>
      </c>
      <c r="Z109" s="449">
        <f t="shared" ca="1" si="72"/>
        <v>141435.66144088455</v>
      </c>
      <c r="AA109" s="450">
        <f t="shared" ca="1" si="72"/>
        <v>141945.30463222598</v>
      </c>
      <c r="AB109" s="703"/>
      <c r="AC109" s="535">
        <v>1</v>
      </c>
    </row>
    <row r="110" spans="1:29" ht="15" hidden="1" customHeight="1" outlineLevel="1">
      <c r="A110" s="675"/>
      <c r="B110" s="675"/>
      <c r="C110" s="675"/>
      <c r="D110" s="675"/>
      <c r="E110" s="675"/>
      <c r="F110" s="675"/>
      <c r="G110" s="409"/>
      <c r="H110" s="409"/>
      <c r="I110" s="304"/>
      <c r="J110" s="304"/>
      <c r="K110" s="304"/>
      <c r="L110" s="304"/>
      <c r="M110" s="304"/>
      <c r="N110" s="304"/>
      <c r="O110" s="304"/>
      <c r="P110" s="409"/>
      <c r="Q110" s="304"/>
      <c r="R110" s="304"/>
      <c r="S110" s="304"/>
      <c r="T110" s="304"/>
      <c r="U110" s="304"/>
      <c r="V110" s="304"/>
      <c r="W110" s="304"/>
      <c r="X110" s="304"/>
      <c r="Y110" s="304"/>
      <c r="Z110" s="304"/>
      <c r="AA110" s="304"/>
      <c r="AB110" s="687"/>
      <c r="AC110" s="535">
        <v>0</v>
      </c>
    </row>
    <row r="111" spans="1:29" ht="15.95" hidden="1" customHeight="1" outlineLevel="1" thickBot="1">
      <c r="A111" s="709"/>
      <c r="B111" s="709"/>
      <c r="C111" s="709"/>
      <c r="D111" s="709"/>
      <c r="E111" s="675"/>
      <c r="F111" s="675"/>
      <c r="G111" s="389"/>
      <c r="H111" s="389"/>
      <c r="I111" s="462"/>
      <c r="J111" s="462"/>
      <c r="K111" s="462"/>
      <c r="L111" s="462"/>
      <c r="M111" s="462"/>
      <c r="N111" s="462"/>
      <c r="O111" s="462"/>
      <c r="P111" s="389"/>
      <c r="Q111" s="462"/>
      <c r="R111" s="462"/>
      <c r="S111" s="452" t="s">
        <v>951</v>
      </c>
      <c r="T111" s="441" t="s">
        <v>547</v>
      </c>
      <c r="U111" s="347">
        <f ca="1">INDEX(INDIRECT($S$111 &amp; $S$112), MATCH($T$111, INDIRECT($S$111 &amp; $S$113), 0), MATCH(U$4,INDIRECT($S$111 &amp; $S$114),0))</f>
        <v>7.1974335673871348E-2</v>
      </c>
      <c r="V111" s="347">
        <f t="shared" ref="V111:AA111" ca="1" si="73">INDEX(INDIRECT($S$111 &amp; $S$112), MATCH($T$111, INDIRECT($S$111 &amp; $S$113), 0), MATCH(V$4,INDIRECT($S$111 &amp; $S$114),0))</f>
        <v>9.9988752420327565E-2</v>
      </c>
      <c r="W111" s="347">
        <f t="shared" ca="1" si="73"/>
        <v>0.12873528328512296</v>
      </c>
      <c r="X111" s="347">
        <f t="shared" ca="1" si="73"/>
        <v>0.15823306095579937</v>
      </c>
      <c r="Y111" s="347">
        <f t="shared" ca="1" si="73"/>
        <v>0.18850171812354977</v>
      </c>
      <c r="Z111" s="347">
        <f t="shared" ca="1" si="73"/>
        <v>0.21956140055005324</v>
      </c>
      <c r="AA111" s="347">
        <f t="shared" ca="1" si="73"/>
        <v>0.25143278047578987</v>
      </c>
      <c r="AB111" s="710"/>
      <c r="AC111" s="535">
        <v>0</v>
      </c>
    </row>
    <row r="112" spans="1:29" collapsed="1">
      <c r="A112" s="709"/>
      <c r="B112" s="675" t="s">
        <v>385</v>
      </c>
      <c r="C112" s="679" t="str">
        <f>LEFT($G$3,1) &amp; "S" &amp; D112</f>
        <v>HS_TextsConsumables</v>
      </c>
      <c r="D112" s="675" t="s">
        <v>543</v>
      </c>
      <c r="E112" s="704"/>
      <c r="F112" s="705"/>
      <c r="G112" s="336" t="s">
        <v>320</v>
      </c>
      <c r="H112" s="387" t="s">
        <v>321</v>
      </c>
      <c r="I112" s="343">
        <f t="shared" ref="I112:O112" ca="1" si="74">INDEX(INDIRECT($B$112 &amp; $B$113), MATCH($C112, INDIRECT($B$112 &amp; $B$114),0), MATCH(I$4, INDIRECT($B$112 &amp; $B$115), 0))</f>
        <v>108.2</v>
      </c>
      <c r="J112" s="343">
        <f t="shared" ca="1" si="74"/>
        <v>111.30622009569377</v>
      </c>
      <c r="K112" s="343">
        <f t="shared" ca="1" si="74"/>
        <v>111.30622009569377</v>
      </c>
      <c r="L112" s="343">
        <f t="shared" ca="1" si="74"/>
        <v>111.30622009569377</v>
      </c>
      <c r="M112" s="343">
        <f t="shared" ca="1" si="74"/>
        <v>111.30622009569377</v>
      </c>
      <c r="N112" s="343">
        <f t="shared" ca="1" si="74"/>
        <v>111.30622009569377</v>
      </c>
      <c r="O112" s="343">
        <f t="shared" ca="1" si="74"/>
        <v>111.30622009569377</v>
      </c>
      <c r="P112" s="463"/>
      <c r="Q112" s="464"/>
      <c r="R112" s="464"/>
      <c r="S112" s="456" t="s">
        <v>827</v>
      </c>
      <c r="T112" s="456"/>
      <c r="U112" s="393">
        <f t="shared" ref="U112:AA112" ca="1" si="75">I112*$H$2*(1+U$111)</f>
        <v>115987.62311991288</v>
      </c>
      <c r="V112" s="393">
        <f t="shared" ca="1" si="75"/>
        <v>122435.59017968459</v>
      </c>
      <c r="W112" s="393">
        <f t="shared" ca="1" si="75"/>
        <v>125635.25787110916</v>
      </c>
      <c r="X112" s="393">
        <f t="shared" ca="1" si="75"/>
        <v>128918.54400485531</v>
      </c>
      <c r="Y112" s="393">
        <f t="shared" ca="1" si="75"/>
        <v>132287.63382157002</v>
      </c>
      <c r="Z112" s="393">
        <f t="shared" ca="1" si="75"/>
        <v>135744.76966983679</v>
      </c>
      <c r="AA112" s="457">
        <f t="shared" ca="1" si="75"/>
        <v>139292.2524986043</v>
      </c>
      <c r="AB112" s="711"/>
      <c r="AC112" s="535">
        <v>1</v>
      </c>
    </row>
    <row r="113" spans="1:29" ht="15" hidden="1" customHeight="1" outlineLevel="1">
      <c r="A113" s="709"/>
      <c r="B113" s="675" t="s">
        <v>414</v>
      </c>
      <c r="C113" s="679"/>
      <c r="D113" s="675"/>
      <c r="E113" s="704"/>
      <c r="F113" s="705"/>
      <c r="G113" s="345"/>
      <c r="H113" s="451"/>
      <c r="I113" s="465"/>
      <c r="J113" s="465"/>
      <c r="K113" s="465"/>
      <c r="L113" s="465"/>
      <c r="M113" s="465"/>
      <c r="N113" s="465"/>
      <c r="O113" s="465"/>
      <c r="P113" s="451"/>
      <c r="Q113" s="446"/>
      <c r="R113" s="446"/>
      <c r="S113" s="441" t="s">
        <v>828</v>
      </c>
      <c r="T113" s="462" t="s">
        <v>419</v>
      </c>
      <c r="U113" s="377">
        <f t="shared" ref="U113:Z113" ca="1" si="76">VLOOKUP($T113, $T$41:$AA$49, MATCH(U$4, $S$4:$AA$4,0),0)</f>
        <v>2.8708133971291794E-2</v>
      </c>
      <c r="V113" s="377">
        <f t="shared" ca="1" si="76"/>
        <v>5.7416267942583588E-2</v>
      </c>
      <c r="W113" s="377">
        <f t="shared" ca="1" si="76"/>
        <v>8.373205741626788E-2</v>
      </c>
      <c r="X113" s="377">
        <f t="shared" ca="1" si="76"/>
        <v>0.10925039872408293</v>
      </c>
      <c r="Y113" s="377">
        <f t="shared" ca="1" si="76"/>
        <v>0.13397129186602874</v>
      </c>
      <c r="Z113" s="377">
        <f t="shared" ca="1" si="76"/>
        <v>0.15948963317384379</v>
      </c>
      <c r="AA113" s="466">
        <f ca="1">VLOOKUP($T113, $T$41:$AA$49, MATCH(AA$4, $T$4:$AA$4,0),0)</f>
        <v>0.15948963317384379</v>
      </c>
      <c r="AB113" s="711"/>
      <c r="AC113" s="535">
        <v>0</v>
      </c>
    </row>
    <row r="114" spans="1:29" collapsed="1">
      <c r="A114" s="709"/>
      <c r="B114" s="675" t="s">
        <v>415</v>
      </c>
      <c r="C114" s="679" t="str">
        <f>LEFT($G$3,1) &amp; "S" &amp; D114</f>
        <v>HS_CME</v>
      </c>
      <c r="D114" s="675" t="s">
        <v>544</v>
      </c>
      <c r="E114" s="704"/>
      <c r="F114" s="705"/>
      <c r="G114" s="345"/>
      <c r="H114" s="389" t="s">
        <v>322</v>
      </c>
      <c r="I114" s="351">
        <f t="shared" ref="I114:O116" ca="1" si="77">INDEX(INDIRECT($B$112 &amp; $B$113), MATCH($C114, INDIRECT($B$112 &amp; $B$114),0), MATCH(I$4, INDIRECT($B$112 &amp; $B$115), 0))</f>
        <v>238.58</v>
      </c>
      <c r="J114" s="351">
        <f t="shared" ca="1" si="77"/>
        <v>245.4291866028708</v>
      </c>
      <c r="K114" s="351">
        <f t="shared" ca="1" si="77"/>
        <v>245.4291866028708</v>
      </c>
      <c r="L114" s="351">
        <f t="shared" ca="1" si="77"/>
        <v>245.4291866028708</v>
      </c>
      <c r="M114" s="351">
        <f t="shared" ca="1" si="77"/>
        <v>245.4291866028708</v>
      </c>
      <c r="N114" s="351">
        <f t="shared" ca="1" si="77"/>
        <v>245.4291866028708</v>
      </c>
      <c r="O114" s="351">
        <f t="shared" ca="1" si="77"/>
        <v>245.4291866028708</v>
      </c>
      <c r="P114" s="440"/>
      <c r="Q114" s="462"/>
      <c r="R114" s="462"/>
      <c r="S114" s="441" t="s">
        <v>826</v>
      </c>
      <c r="T114" s="462"/>
      <c r="U114" s="371">
        <f t="shared" ref="U114:AA116" ca="1" si="78">I114*$H$2*(1+U$113)</f>
        <v>245429.18660287079</v>
      </c>
      <c r="V114" s="371">
        <f t="shared" ca="1" si="78"/>
        <v>259520.81454179157</v>
      </c>
      <c r="W114" s="371">
        <f t="shared" ca="1" si="78"/>
        <v>265979.47734713031</v>
      </c>
      <c r="X114" s="371">
        <f t="shared" ca="1" si="78"/>
        <v>272242.42309776176</v>
      </c>
      <c r="Y114" s="371">
        <f t="shared" ca="1" si="78"/>
        <v>278309.65179368603</v>
      </c>
      <c r="Z114" s="371">
        <f t="shared" ca="1" si="78"/>
        <v>284572.59754431748</v>
      </c>
      <c r="AA114" s="442">
        <f t="shared" ca="1" si="78"/>
        <v>284572.59754431748</v>
      </c>
      <c r="AB114" s="711"/>
      <c r="AC114" s="535">
        <v>1</v>
      </c>
    </row>
    <row r="115" spans="1:29">
      <c r="A115" s="709"/>
      <c r="B115" s="675" t="s">
        <v>416</v>
      </c>
      <c r="C115" s="679" t="str">
        <f>LEFT($G$3,1) &amp; "S" &amp; D115</f>
        <v>HS_MediaMaterials</v>
      </c>
      <c r="D115" s="675" t="s">
        <v>545</v>
      </c>
      <c r="E115" s="679"/>
      <c r="F115" s="680"/>
      <c r="G115" s="345"/>
      <c r="H115" s="372" t="s">
        <v>323</v>
      </c>
      <c r="I115" s="351">
        <f t="shared" ca="1" si="77"/>
        <v>15.67</v>
      </c>
      <c r="J115" s="351">
        <f t="shared" ca="1" si="77"/>
        <v>16.119856459330144</v>
      </c>
      <c r="K115" s="351">
        <f t="shared" ca="1" si="77"/>
        <v>16.119856459330144</v>
      </c>
      <c r="L115" s="351">
        <f t="shared" ca="1" si="77"/>
        <v>40</v>
      </c>
      <c r="M115" s="351">
        <f t="shared" ca="1" si="77"/>
        <v>40</v>
      </c>
      <c r="N115" s="351">
        <f t="shared" ca="1" si="77"/>
        <v>16.119856459330144</v>
      </c>
      <c r="O115" s="351">
        <f t="shared" ca="1" si="77"/>
        <v>16.119856459330144</v>
      </c>
      <c r="P115" s="440"/>
      <c r="Q115" s="462"/>
      <c r="R115" s="462"/>
      <c r="S115" s="462"/>
      <c r="T115" s="462"/>
      <c r="U115" s="371">
        <f t="shared" ca="1" si="78"/>
        <v>16119.856459330142</v>
      </c>
      <c r="V115" s="371">
        <f t="shared" ca="1" si="78"/>
        <v>17045.39845699503</v>
      </c>
      <c r="W115" s="371">
        <f t="shared" ca="1" si="78"/>
        <v>17469.60520592477</v>
      </c>
      <c r="X115" s="371">
        <f t="shared" ca="1" si="78"/>
        <v>44370.015948963315</v>
      </c>
      <c r="Y115" s="371">
        <f t="shared" ca="1" si="78"/>
        <v>45358.851674641148</v>
      </c>
      <c r="Z115" s="371">
        <f t="shared" ca="1" si="78"/>
        <v>18690.806452843724</v>
      </c>
      <c r="AA115" s="442">
        <f t="shared" ca="1" si="78"/>
        <v>18690.806452843724</v>
      </c>
      <c r="AB115" s="711"/>
      <c r="AC115" s="535">
        <v>1</v>
      </c>
    </row>
    <row r="116" spans="1:29">
      <c r="A116" s="709"/>
      <c r="B116" s="709"/>
      <c r="C116" s="679" t="str">
        <f>LEFT($G$3,1) &amp; "S" &amp; D116</f>
        <v>HS_TeacherReimbExp</v>
      </c>
      <c r="D116" s="675" t="s">
        <v>546</v>
      </c>
      <c r="E116" s="679"/>
      <c r="F116" s="680"/>
      <c r="G116" s="356"/>
      <c r="H116" s="396" t="s">
        <v>324</v>
      </c>
      <c r="I116" s="381">
        <f t="shared" ca="1" si="77"/>
        <v>0</v>
      </c>
      <c r="J116" s="381">
        <f t="shared" ca="1" si="77"/>
        <v>0</v>
      </c>
      <c r="K116" s="381">
        <f t="shared" ca="1" si="77"/>
        <v>0</v>
      </c>
      <c r="L116" s="381">
        <f t="shared" ca="1" si="77"/>
        <v>20.153571428571425</v>
      </c>
      <c r="M116" s="381">
        <f t="shared" ca="1" si="77"/>
        <v>20.153571428571425</v>
      </c>
      <c r="N116" s="381">
        <f t="shared" ca="1" si="77"/>
        <v>0</v>
      </c>
      <c r="O116" s="381">
        <f t="shared" ca="1" si="77"/>
        <v>0</v>
      </c>
      <c r="P116" s="447"/>
      <c r="Q116" s="467"/>
      <c r="R116" s="467"/>
      <c r="S116" s="467"/>
      <c r="T116" s="467"/>
      <c r="U116" s="449">
        <f t="shared" ca="1" si="78"/>
        <v>0</v>
      </c>
      <c r="V116" s="449">
        <f t="shared" ca="1" si="78"/>
        <v>0</v>
      </c>
      <c r="W116" s="449">
        <f t="shared" ca="1" si="78"/>
        <v>0</v>
      </c>
      <c r="X116" s="449">
        <f t="shared" ca="1" si="78"/>
        <v>22355.357142857138</v>
      </c>
      <c r="Y116" s="449">
        <f t="shared" ca="1" si="78"/>
        <v>22853.571428571424</v>
      </c>
      <c r="Z116" s="449">
        <f t="shared" ca="1" si="78"/>
        <v>0</v>
      </c>
      <c r="AA116" s="450">
        <f t="shared" ca="1" si="78"/>
        <v>0</v>
      </c>
      <c r="AB116" s="711"/>
      <c r="AC116" s="535">
        <v>1</v>
      </c>
    </row>
    <row r="117" spans="1:29" ht="15" hidden="1" customHeight="1" outlineLevel="1">
      <c r="A117" s="709"/>
      <c r="B117" s="709"/>
      <c r="C117" s="709"/>
      <c r="D117" s="709"/>
      <c r="E117" s="709"/>
      <c r="F117" s="709"/>
      <c r="G117" s="468"/>
      <c r="H117" s="468"/>
      <c r="I117" s="461"/>
      <c r="J117" s="461"/>
      <c r="K117" s="461"/>
      <c r="L117" s="461"/>
      <c r="M117" s="461"/>
      <c r="N117" s="461"/>
      <c r="O117" s="461"/>
      <c r="P117" s="468"/>
      <c r="Q117" s="461"/>
      <c r="R117" s="461"/>
      <c r="S117" s="461"/>
      <c r="T117" s="461"/>
      <c r="U117" s="461"/>
      <c r="V117" s="461"/>
      <c r="W117" s="461"/>
      <c r="X117" s="461"/>
      <c r="Y117" s="461"/>
      <c r="Z117" s="461"/>
      <c r="AA117" s="461"/>
      <c r="AB117" s="711"/>
      <c r="AC117" s="535">
        <v>0</v>
      </c>
    </row>
    <row r="118" spans="1:29" ht="15" hidden="1" customHeight="1" outlineLevel="1">
      <c r="A118" s="461"/>
      <c r="B118" s="709"/>
      <c r="C118" s="709"/>
      <c r="D118" s="709"/>
      <c r="E118" s="709"/>
      <c r="F118" s="709"/>
      <c r="G118" s="468"/>
      <c r="H118" s="468"/>
      <c r="I118" s="461"/>
      <c r="J118" s="461"/>
      <c r="K118" s="461"/>
      <c r="L118" s="461"/>
      <c r="M118" s="461"/>
      <c r="N118" s="461"/>
      <c r="O118" s="461"/>
      <c r="P118" s="468"/>
      <c r="Q118" s="461"/>
      <c r="R118" s="461"/>
      <c r="S118" s="461"/>
      <c r="T118" s="75" t="s">
        <v>419</v>
      </c>
      <c r="U118" s="347">
        <f t="shared" ref="U118:AA119" si="79">VLOOKUP($T118, $T$41:$AA$49, MATCH(U$4, $T$4:$AA$4,0),0)</f>
        <v>0</v>
      </c>
      <c r="V118" s="347">
        <f t="shared" ca="1" si="79"/>
        <v>2.8708133971291794E-2</v>
      </c>
      <c r="W118" s="347">
        <f t="shared" ca="1" si="79"/>
        <v>5.7416267942583588E-2</v>
      </c>
      <c r="X118" s="347">
        <f t="shared" ca="1" si="79"/>
        <v>8.373205741626788E-2</v>
      </c>
      <c r="Y118" s="347">
        <f t="shared" ca="1" si="79"/>
        <v>0.10925039872408293</v>
      </c>
      <c r="Z118" s="347">
        <f t="shared" ca="1" si="79"/>
        <v>0.13397129186602874</v>
      </c>
      <c r="AA118" s="347">
        <f t="shared" ca="1" si="79"/>
        <v>0.15948963317384379</v>
      </c>
      <c r="AB118" s="711"/>
      <c r="AC118" s="535">
        <v>0</v>
      </c>
    </row>
    <row r="119" spans="1:29" ht="15.95" hidden="1" customHeight="1" outlineLevel="1" thickBot="1">
      <c r="A119" s="461"/>
      <c r="B119" s="709"/>
      <c r="C119" s="709"/>
      <c r="D119" s="709"/>
      <c r="E119" s="709"/>
      <c r="F119" s="709"/>
      <c r="G119" s="468"/>
      <c r="H119" s="468"/>
      <c r="I119" s="461"/>
      <c r="J119" s="461"/>
      <c r="K119" s="461"/>
      <c r="L119" s="461"/>
      <c r="M119" s="461"/>
      <c r="N119" s="461"/>
      <c r="O119" s="461"/>
      <c r="P119" s="468"/>
      <c r="Q119" s="461"/>
      <c r="R119" s="461"/>
      <c r="S119" s="461"/>
      <c r="T119" s="75" t="s">
        <v>425</v>
      </c>
      <c r="U119" s="347">
        <f t="shared" si="79"/>
        <v>0</v>
      </c>
      <c r="V119" s="347">
        <f t="shared" ca="1" si="79"/>
        <v>5.7261817291207384E-2</v>
      </c>
      <c r="W119" s="347">
        <f t="shared" ca="1" si="79"/>
        <v>0.13174354495091745</v>
      </c>
      <c r="X119" s="347">
        <f t="shared" ca="1" si="79"/>
        <v>0.17880098758961727</v>
      </c>
      <c r="Y119" s="347">
        <f t="shared" ca="1" si="79"/>
        <v>0.23178304764960789</v>
      </c>
      <c r="Z119" s="347">
        <f t="shared" ca="1" si="79"/>
        <v>0.26218253919621559</v>
      </c>
      <c r="AA119" s="347">
        <f t="shared" ca="1" si="79"/>
        <v>0.32831245087701122</v>
      </c>
      <c r="AB119" s="711"/>
      <c r="AC119" s="535">
        <v>0</v>
      </c>
    </row>
    <row r="120" spans="1:29" collapsed="1">
      <c r="B120" s="688" t="s">
        <v>1061</v>
      </c>
      <c r="C120" s="679" t="str">
        <f>LEFT($G$3,1) &amp; "S" &amp; D120</f>
        <v>HS_ExCurrExp</v>
      </c>
      <c r="D120" s="514" t="s">
        <v>554</v>
      </c>
      <c r="E120" s="679"/>
      <c r="F120" s="680">
        <f>IF(LEFT($F$3,1)="H",0,1)</f>
        <v>0</v>
      </c>
      <c r="G120" s="336" t="s">
        <v>191</v>
      </c>
      <c r="H120" s="387" t="s">
        <v>555</v>
      </c>
      <c r="I120" s="469">
        <f t="shared" ref="I120:O123" ca="1" si="80">IFERROR(INDEX(INDIRECT($B$120 &amp; $B$121), MATCH($C120, INDIRECT($B$120 &amp; $B$122),0), MATCH(I$4, INDIRECT($B$120 &amp; $B$123), 0)),0)</f>
        <v>0</v>
      </c>
      <c r="J120" s="469">
        <f t="shared" ca="1" si="80"/>
        <v>0</v>
      </c>
      <c r="K120" s="469">
        <f t="shared" ca="1" si="80"/>
        <v>0</v>
      </c>
      <c r="L120" s="469">
        <f t="shared" ca="1" si="80"/>
        <v>0</v>
      </c>
      <c r="M120" s="469">
        <f t="shared" ca="1" si="80"/>
        <v>0</v>
      </c>
      <c r="N120" s="469">
        <f t="shared" ca="1" si="80"/>
        <v>0</v>
      </c>
      <c r="O120" s="469">
        <f t="shared" ca="1" si="80"/>
        <v>0</v>
      </c>
      <c r="P120" s="463"/>
      <c r="Q120" s="456"/>
      <c r="R120" s="456"/>
      <c r="S120" s="456"/>
      <c r="T120" s="470"/>
      <c r="U120" s="456">
        <f t="shared" ref="U120:AA120" ca="1" si="81">I120*$H$2*(1+U118)*$F120</f>
        <v>0</v>
      </c>
      <c r="V120" s="456">
        <f t="shared" ca="1" si="81"/>
        <v>0</v>
      </c>
      <c r="W120" s="456">
        <f t="shared" ca="1" si="81"/>
        <v>0</v>
      </c>
      <c r="X120" s="456">
        <f t="shared" ca="1" si="81"/>
        <v>0</v>
      </c>
      <c r="Y120" s="456">
        <f t="shared" ca="1" si="81"/>
        <v>0</v>
      </c>
      <c r="Z120" s="456">
        <f t="shared" ca="1" si="81"/>
        <v>0</v>
      </c>
      <c r="AA120" s="471">
        <f t="shared" ca="1" si="81"/>
        <v>0</v>
      </c>
      <c r="AB120" s="678"/>
      <c r="AC120" s="535">
        <v>1</v>
      </c>
    </row>
    <row r="121" spans="1:29">
      <c r="B121" s="679" t="s">
        <v>853</v>
      </c>
      <c r="C121" s="679" t="str">
        <f>LEFT($G$3,1) &amp; "S" &amp; D121</f>
        <v>HS_Coach</v>
      </c>
      <c r="D121" s="514" t="s">
        <v>550</v>
      </c>
      <c r="E121" s="679"/>
      <c r="F121" s="680">
        <f>IF(LEFT($F$3,1)="H",1,0)</f>
        <v>1</v>
      </c>
      <c r="G121" s="345"/>
      <c r="H121" s="389" t="s">
        <v>429</v>
      </c>
      <c r="I121" s="472">
        <f ca="1">IFERROR(INDEX(INDIRECT($B$120 &amp; $B$121), MATCH($C121, INDIRECT($B$120 &amp; $B$122),0), MATCH(I$4, INDIRECT($B$120 &amp; $B$123), 0)),0)</f>
        <v>37</v>
      </c>
      <c r="J121" s="472">
        <f t="shared" ca="1" si="80"/>
        <v>37</v>
      </c>
      <c r="K121" s="472">
        <f t="shared" ca="1" si="80"/>
        <v>37</v>
      </c>
      <c r="L121" s="472">
        <f t="shared" ca="1" si="80"/>
        <v>37</v>
      </c>
      <c r="M121" s="472">
        <f t="shared" ca="1" si="80"/>
        <v>37</v>
      </c>
      <c r="N121" s="472">
        <f t="shared" ca="1" si="80"/>
        <v>37</v>
      </c>
      <c r="O121" s="472">
        <f t="shared" ca="1" si="80"/>
        <v>37</v>
      </c>
      <c r="P121" s="435">
        <f ca="1">IFERROR(INDEX(INDIRECT($B$120 &amp; $B$121), MATCH($C121, INDIRECT($B$120 &amp; $B$122),0), MATCH(P$4, INDIRECT($B$120 &amp; $B$123), 0)),0)</f>
        <v>9500</v>
      </c>
      <c r="Q121" s="177" t="s">
        <v>385</v>
      </c>
      <c r="R121" s="177"/>
      <c r="S121" s="390"/>
      <c r="T121" s="390"/>
      <c r="U121" s="441">
        <f ca="1">I121*$P121*$F121</f>
        <v>351500</v>
      </c>
      <c r="V121" s="441">
        <f t="shared" ref="V121:AA121" ca="1" si="82">J121*$P121*(1+V119)*$F121</f>
        <v>371627.52877785941</v>
      </c>
      <c r="W121" s="441">
        <f t="shared" ca="1" si="82"/>
        <v>397807.8560502475</v>
      </c>
      <c r="X121" s="441">
        <f t="shared" ca="1" si="82"/>
        <v>414348.54713775049</v>
      </c>
      <c r="Y121" s="441">
        <f t="shared" ca="1" si="82"/>
        <v>432971.74124883715</v>
      </c>
      <c r="Z121" s="441">
        <f t="shared" ca="1" si="82"/>
        <v>443657.1625274698</v>
      </c>
      <c r="AA121" s="445">
        <f t="shared" ca="1" si="82"/>
        <v>466901.82648326945</v>
      </c>
      <c r="AB121" s="678"/>
      <c r="AC121" s="535">
        <v>1</v>
      </c>
    </row>
    <row r="122" spans="1:29">
      <c r="B122" s="679" t="s">
        <v>852</v>
      </c>
      <c r="C122" s="679" t="str">
        <f>LEFT($G$3,1) &amp; "S" &amp; D122</f>
        <v>HS_AthlEventExp</v>
      </c>
      <c r="D122" s="514" t="s">
        <v>551</v>
      </c>
      <c r="E122" s="679"/>
      <c r="F122" s="680">
        <f>IF(LEFT($F$3,1)="H",1,0)</f>
        <v>1</v>
      </c>
      <c r="G122" s="345"/>
      <c r="H122" s="389" t="s">
        <v>431</v>
      </c>
      <c r="I122" s="354">
        <f t="shared" ca="1" si="80"/>
        <v>0</v>
      </c>
      <c r="J122" s="354">
        <f t="shared" ca="1" si="80"/>
        <v>0</v>
      </c>
      <c r="K122" s="354">
        <f t="shared" ca="1" si="80"/>
        <v>0</v>
      </c>
      <c r="L122" s="354">
        <f t="shared" ca="1" si="80"/>
        <v>0</v>
      </c>
      <c r="M122" s="354">
        <f t="shared" ca="1" si="80"/>
        <v>0</v>
      </c>
      <c r="N122" s="354">
        <f t="shared" ca="1" si="80"/>
        <v>0</v>
      </c>
      <c r="O122" s="354">
        <f t="shared" ca="1" si="80"/>
        <v>0</v>
      </c>
      <c r="P122" s="330"/>
      <c r="Q122" s="177" t="s">
        <v>414</v>
      </c>
      <c r="R122" s="177"/>
      <c r="S122" s="390"/>
      <c r="T122" s="390"/>
      <c r="U122" s="441">
        <f t="shared" ref="U122:AA122" ca="1" si="83">I122*$H$2*(1+U118)*$F122</f>
        <v>0</v>
      </c>
      <c r="V122" s="441">
        <f t="shared" ca="1" si="83"/>
        <v>0</v>
      </c>
      <c r="W122" s="441">
        <f t="shared" ca="1" si="83"/>
        <v>0</v>
      </c>
      <c r="X122" s="441">
        <f t="shared" ca="1" si="83"/>
        <v>0</v>
      </c>
      <c r="Y122" s="441">
        <f t="shared" ca="1" si="83"/>
        <v>0</v>
      </c>
      <c r="Z122" s="441">
        <f t="shared" ca="1" si="83"/>
        <v>0</v>
      </c>
      <c r="AA122" s="445">
        <f t="shared" ca="1" si="83"/>
        <v>0</v>
      </c>
      <c r="AB122" s="678"/>
      <c r="AC122" s="535">
        <v>1</v>
      </c>
    </row>
    <row r="123" spans="1:29">
      <c r="B123" s="679" t="s">
        <v>773</v>
      </c>
      <c r="C123" s="679" t="str">
        <f>LEFT($G$3,1) &amp; "S" &amp; D123</f>
        <v>HS_OtherExtCurExp</v>
      </c>
      <c r="D123" s="514" t="s">
        <v>552</v>
      </c>
      <c r="E123" s="679"/>
      <c r="F123" s="680">
        <f>IF(LEFT($F$3,1)="H",1,0)</f>
        <v>1</v>
      </c>
      <c r="G123" s="345"/>
      <c r="H123" s="389" t="s">
        <v>432</v>
      </c>
      <c r="I123" s="354">
        <f t="shared" ca="1" si="80"/>
        <v>475</v>
      </c>
      <c r="J123" s="354">
        <f t="shared" ca="1" si="80"/>
        <v>475</v>
      </c>
      <c r="K123" s="354">
        <f t="shared" ca="1" si="80"/>
        <v>475</v>
      </c>
      <c r="L123" s="354">
        <f t="shared" ca="1" si="80"/>
        <v>475</v>
      </c>
      <c r="M123" s="354">
        <f t="shared" ca="1" si="80"/>
        <v>475</v>
      </c>
      <c r="N123" s="354">
        <f t="shared" ca="1" si="80"/>
        <v>475</v>
      </c>
      <c r="O123" s="354">
        <f t="shared" ca="1" si="80"/>
        <v>475</v>
      </c>
      <c r="P123" s="395"/>
      <c r="Q123" s="177" t="s">
        <v>415</v>
      </c>
      <c r="R123" s="177"/>
      <c r="S123" s="441"/>
      <c r="T123" s="441"/>
      <c r="U123" s="441">
        <f t="shared" ref="U123:AA123" ca="1" si="84">I123*$H$2*(1+U118)*$F123</f>
        <v>475000</v>
      </c>
      <c r="V123" s="441">
        <f t="shared" ca="1" si="84"/>
        <v>488636.36363636359</v>
      </c>
      <c r="W123" s="441">
        <f t="shared" ca="1" si="84"/>
        <v>502272.72727272718</v>
      </c>
      <c r="X123" s="441">
        <f t="shared" ca="1" si="84"/>
        <v>514772.72727272724</v>
      </c>
      <c r="Y123" s="441">
        <f t="shared" ca="1" si="84"/>
        <v>526893.93939393945</v>
      </c>
      <c r="Z123" s="441">
        <f t="shared" ca="1" si="84"/>
        <v>538636.36363636365</v>
      </c>
      <c r="AA123" s="445">
        <f t="shared" ca="1" si="84"/>
        <v>550757.5757575758</v>
      </c>
      <c r="AB123" s="678"/>
      <c r="AC123" s="535">
        <v>1</v>
      </c>
    </row>
    <row r="124" spans="1:29">
      <c r="B124" s="535"/>
      <c r="C124" s="679" t="str">
        <f>LEFT($G$3,1) &amp; "S" &amp; D124</f>
        <v>HS_ExtraCurrSponsors</v>
      </c>
      <c r="D124" s="712" t="s">
        <v>553</v>
      </c>
      <c r="E124" s="679"/>
      <c r="F124" s="680">
        <f>IF(LEFT($F$3,1)="H",1,0)</f>
        <v>1</v>
      </c>
      <c r="G124" s="356"/>
      <c r="H124" s="396" t="s">
        <v>430</v>
      </c>
      <c r="I124" s="473">
        <f t="shared" ref="I124:O124" ca="1" si="85">IFERROR(INDEX(INDIRECT($Q$121 &amp; $Q$122), MATCH($C124, INDIRECT($Q$121 &amp; $Q$123),0), MATCH(I$4, INDIRECT($Q$121 &amp; $Q$124), 0)),0)</f>
        <v>9</v>
      </c>
      <c r="J124" s="473">
        <f t="shared" ca="1" si="85"/>
        <v>9</v>
      </c>
      <c r="K124" s="473">
        <f t="shared" ca="1" si="85"/>
        <v>9</v>
      </c>
      <c r="L124" s="473">
        <f t="shared" ca="1" si="85"/>
        <v>12</v>
      </c>
      <c r="M124" s="473">
        <f t="shared" ca="1" si="85"/>
        <v>12</v>
      </c>
      <c r="N124" s="473">
        <f t="shared" ca="1" si="85"/>
        <v>9</v>
      </c>
      <c r="O124" s="473">
        <f t="shared" ca="1" si="85"/>
        <v>9</v>
      </c>
      <c r="P124" s="474">
        <f ca="1">IFERROR(INDEX(INDIRECT($B$120 &amp; $B$121), MATCH($C124, INDIRECT($B$120 &amp; $B$122),0), MATCH(P$4, INDIRECT($B$120 &amp; $B$123), 0)),0)</f>
        <v>6000</v>
      </c>
      <c r="Q124" s="235" t="s">
        <v>416</v>
      </c>
      <c r="R124" s="235"/>
      <c r="S124" s="448"/>
      <c r="T124" s="448"/>
      <c r="U124" s="448">
        <f ca="1">I124*$P124+25*1000*$F124</f>
        <v>79000</v>
      </c>
      <c r="V124" s="448">
        <f t="shared" ref="V124:AA124" ca="1" si="86">(J124*$P124+25*1000)*(1+V119)*$F124</f>
        <v>83523.683566005377</v>
      </c>
      <c r="W124" s="448">
        <f t="shared" ca="1" si="86"/>
        <v>89407.740051122484</v>
      </c>
      <c r="X124" s="448">
        <f t="shared" ca="1" si="86"/>
        <v>114343.69579619287</v>
      </c>
      <c r="Y124" s="448">
        <f t="shared" ca="1" si="86"/>
        <v>119482.95562201197</v>
      </c>
      <c r="Z124" s="448">
        <f t="shared" ca="1" si="86"/>
        <v>99712.420596501033</v>
      </c>
      <c r="AA124" s="475">
        <f t="shared" ca="1" si="86"/>
        <v>104936.68361928388</v>
      </c>
      <c r="AB124" s="678"/>
      <c r="AC124" s="535">
        <v>1</v>
      </c>
    </row>
    <row r="125" spans="1:29" ht="15" hidden="1" customHeight="1" outlineLevel="1">
      <c r="B125" s="535"/>
      <c r="C125" s="514"/>
      <c r="D125" s="679"/>
      <c r="E125" s="679"/>
      <c r="F125" s="679"/>
      <c r="G125" s="433"/>
      <c r="H125" s="389"/>
      <c r="I125" s="390"/>
      <c r="J125" s="390"/>
      <c r="K125" s="390"/>
      <c r="L125" s="390"/>
      <c r="M125" s="390"/>
      <c r="N125" s="390"/>
      <c r="O125" s="390"/>
      <c r="P125" s="440"/>
      <c r="Q125" s="441"/>
      <c r="R125" s="441"/>
      <c r="S125" s="441"/>
      <c r="T125" s="441"/>
      <c r="U125" s="427"/>
      <c r="V125" s="441"/>
      <c r="W125" s="441"/>
      <c r="X125" s="441"/>
      <c r="Y125" s="441"/>
      <c r="Z125" s="441"/>
      <c r="AA125" s="441"/>
      <c r="AB125" s="678"/>
      <c r="AC125" s="535">
        <v>0</v>
      </c>
    </row>
    <row r="126" spans="1:29" ht="15" hidden="1" customHeight="1" outlineLevel="1">
      <c r="B126" s="535"/>
      <c r="C126" s="514"/>
      <c r="D126" s="679"/>
      <c r="E126" s="679"/>
      <c r="F126" s="679"/>
      <c r="G126" s="440"/>
      <c r="H126" s="440"/>
      <c r="I126" s="441"/>
      <c r="J126" s="441"/>
      <c r="K126" s="441"/>
      <c r="L126" s="441"/>
      <c r="M126" s="441"/>
      <c r="N126" s="441"/>
      <c r="O126" s="441"/>
      <c r="P126" s="440"/>
      <c r="Q126" s="441"/>
      <c r="R126" s="441"/>
      <c r="S126" s="441"/>
      <c r="T126" s="441" t="s">
        <v>419</v>
      </c>
      <c r="U126" s="347">
        <f t="shared" ref="U126:AA126" si="87">VLOOKUP($T126, $T$41:$AA$49, MATCH(U$4, $T$4:$AA$4,0),0)</f>
        <v>0</v>
      </c>
      <c r="V126" s="347">
        <f t="shared" ca="1" si="87"/>
        <v>2.8708133971291794E-2</v>
      </c>
      <c r="W126" s="347">
        <f t="shared" ca="1" si="87"/>
        <v>5.7416267942583588E-2</v>
      </c>
      <c r="X126" s="347">
        <f t="shared" ca="1" si="87"/>
        <v>8.373205741626788E-2</v>
      </c>
      <c r="Y126" s="347">
        <f t="shared" ca="1" si="87"/>
        <v>0.10925039872408293</v>
      </c>
      <c r="Z126" s="347">
        <f t="shared" ca="1" si="87"/>
        <v>0.13397129186602874</v>
      </c>
      <c r="AA126" s="347">
        <f t="shared" ca="1" si="87"/>
        <v>0.15948963317384379</v>
      </c>
      <c r="AB126" s="535"/>
      <c r="AC126" s="535">
        <v>0</v>
      </c>
    </row>
    <row r="127" spans="1:29" ht="15" hidden="1" customHeight="1" outlineLevel="1">
      <c r="B127" s="535"/>
      <c r="C127" s="535" t="str">
        <f>LEFT($G$3,1) &amp; "S" &amp; D127</f>
        <v>HS_TeachProfDev</v>
      </c>
      <c r="D127" s="679" t="s">
        <v>561</v>
      </c>
      <c r="E127" s="679"/>
      <c r="F127" s="679"/>
      <c r="G127" s="440"/>
      <c r="H127" s="440"/>
      <c r="I127" s="441"/>
      <c r="J127" s="441"/>
      <c r="K127" s="441"/>
      <c r="L127" s="441"/>
      <c r="M127" s="441"/>
      <c r="N127" s="441"/>
      <c r="O127" s="441"/>
      <c r="P127" s="440"/>
      <c r="Q127" s="441"/>
      <c r="R127" s="441"/>
      <c r="S127" s="441"/>
      <c r="T127" s="441" t="str">
        <f>C127</f>
        <v>HS_TeachProfDev</v>
      </c>
      <c r="U127" s="476">
        <f t="shared" ref="U127:AA128" ca="1" si="88">INDEX(INDIRECT($B$129 &amp; $B$130), MATCH($C127, INDIRECT($B$129 &amp; $B$131),0), MATCH(U$4,INDIRECT($B$129 &amp; $B$132),0))</f>
        <v>5</v>
      </c>
      <c r="V127" s="476">
        <f t="shared" ca="1" si="88"/>
        <v>5</v>
      </c>
      <c r="W127" s="476">
        <f t="shared" ca="1" si="88"/>
        <v>5</v>
      </c>
      <c r="X127" s="476">
        <f t="shared" ca="1" si="88"/>
        <v>7</v>
      </c>
      <c r="Y127" s="476">
        <f t="shared" ca="1" si="88"/>
        <v>7</v>
      </c>
      <c r="Z127" s="476">
        <f t="shared" ca="1" si="88"/>
        <v>5</v>
      </c>
      <c r="AA127" s="476">
        <f t="shared" ca="1" si="88"/>
        <v>5</v>
      </c>
      <c r="AB127" s="535"/>
      <c r="AC127" s="535">
        <v>0</v>
      </c>
    </row>
    <row r="128" spans="1:29" ht="15.95" hidden="1" customHeight="1" outlineLevel="1" thickBot="1">
      <c r="B128" s="535"/>
      <c r="C128" s="535" t="str">
        <f>LEFT($G$3,1) &amp; "S" &amp; D128</f>
        <v>HS_LeadershipDev</v>
      </c>
      <c r="D128" s="679" t="s">
        <v>559</v>
      </c>
      <c r="E128" s="679"/>
      <c r="F128" s="679"/>
      <c r="G128" s="440"/>
      <c r="H128" s="440"/>
      <c r="I128" s="441"/>
      <c r="J128" s="441"/>
      <c r="K128" s="441"/>
      <c r="L128" s="441"/>
      <c r="M128" s="441"/>
      <c r="N128" s="441"/>
      <c r="O128" s="441"/>
      <c r="P128" s="440"/>
      <c r="Q128" s="441"/>
      <c r="R128" s="441"/>
      <c r="S128" s="441"/>
      <c r="T128" s="441" t="str">
        <f>C128</f>
        <v>HS_LeadershipDev</v>
      </c>
      <c r="U128" s="476">
        <f t="shared" ca="1" si="88"/>
        <v>3</v>
      </c>
      <c r="V128" s="476">
        <f t="shared" ca="1" si="88"/>
        <v>3</v>
      </c>
      <c r="W128" s="476">
        <f t="shared" ca="1" si="88"/>
        <v>3</v>
      </c>
      <c r="X128" s="476">
        <f t="shared" ca="1" si="88"/>
        <v>4</v>
      </c>
      <c r="Y128" s="476">
        <f t="shared" ca="1" si="88"/>
        <v>4</v>
      </c>
      <c r="Z128" s="476">
        <f t="shared" ca="1" si="88"/>
        <v>3</v>
      </c>
      <c r="AA128" s="476">
        <f t="shared" ca="1" si="88"/>
        <v>3</v>
      </c>
      <c r="AB128" s="535"/>
      <c r="AC128" s="535">
        <v>0</v>
      </c>
    </row>
    <row r="129" spans="2:29" collapsed="1">
      <c r="B129" s="679" t="s">
        <v>385</v>
      </c>
      <c r="C129" s="866" t="s">
        <v>562</v>
      </c>
      <c r="D129" s="867"/>
      <c r="E129" s="867"/>
      <c r="F129" s="868"/>
      <c r="G129" s="336" t="s">
        <v>325</v>
      </c>
      <c r="H129" s="477" t="s">
        <v>407</v>
      </c>
      <c r="I129" s="478">
        <f ca="1">SUM(I23:I35)+I63</f>
        <v>55.25</v>
      </c>
      <c r="J129" s="478">
        <f t="shared" ref="J129:O129" ca="1" si="89">SUM(J23:J35)+J63</f>
        <v>55.25</v>
      </c>
      <c r="K129" s="478">
        <f t="shared" ca="1" si="89"/>
        <v>55.25</v>
      </c>
      <c r="L129" s="478">
        <f t="shared" ca="1" si="89"/>
        <v>61.25</v>
      </c>
      <c r="M129" s="478">
        <f t="shared" ca="1" si="89"/>
        <v>61.25</v>
      </c>
      <c r="N129" s="478">
        <f t="shared" ca="1" si="89"/>
        <v>55.25</v>
      </c>
      <c r="O129" s="478">
        <f t="shared" ca="1" si="89"/>
        <v>55.25</v>
      </c>
      <c r="P129" s="479">
        <f t="shared" ref="P129:P134" ca="1" si="90">IFERROR(INDEX(INDIRECT($B$120 &amp; $B$121), MATCH($Q129, INDIRECT($B$120 &amp; $B$122),0), MATCH(P$4, INDIRECT($B$120 &amp; $B$123), 0)),0)</f>
        <v>333</v>
      </c>
      <c r="Q129" s="470" t="str">
        <f>LEFT($G$3,1) &amp; "S_TchrProfDev"</f>
        <v>HS_TchrProfDev</v>
      </c>
      <c r="R129" s="470"/>
      <c r="S129" s="470"/>
      <c r="T129" s="369"/>
      <c r="U129" s="425">
        <f t="shared" ref="U129:AA129" ca="1" si="91">I129*$P129*U127*(1+U126)</f>
        <v>91991.25</v>
      </c>
      <c r="V129" s="425">
        <f t="shared" ca="1" si="91"/>
        <v>94632.147129186589</v>
      </c>
      <c r="W129" s="425">
        <f t="shared" ca="1" si="91"/>
        <v>97273.044258373193</v>
      </c>
      <c r="X129" s="425">
        <f t="shared" ca="1" si="91"/>
        <v>154728.48983253588</v>
      </c>
      <c r="Y129" s="425">
        <f t="shared" ca="1" si="91"/>
        <v>158371.83911483255</v>
      </c>
      <c r="Z129" s="425">
        <f t="shared" ca="1" si="91"/>
        <v>104315.43660287082</v>
      </c>
      <c r="AA129" s="426">
        <f t="shared" ca="1" si="91"/>
        <v>106662.90071770336</v>
      </c>
      <c r="AB129" s="678"/>
      <c r="AC129" s="535">
        <v>1</v>
      </c>
    </row>
    <row r="130" spans="2:29">
      <c r="B130" s="679" t="s">
        <v>414</v>
      </c>
      <c r="C130" s="535" t="str">
        <f t="shared" ref="C130:C135" si="92">LEFT($G$3,1) &amp; "S" &amp; D130</f>
        <v>HS_TeacherCollab</v>
      </c>
      <c r="D130" s="679" t="s">
        <v>557</v>
      </c>
      <c r="E130" s="679"/>
      <c r="F130" s="680"/>
      <c r="G130" s="480"/>
      <c r="H130" s="481" t="s">
        <v>326</v>
      </c>
      <c r="I130" s="423">
        <f t="shared" ref="I130:O130" ca="1" si="93">INDEX(INDIRECT($B$129 &amp; $B$130), MATCH($C130, INDIRECT($B$129 &amp; $B$131),0), MATCH(I$4, INDIRECT($B$129 &amp; $B$132), 0))</f>
        <v>1</v>
      </c>
      <c r="J130" s="423">
        <f t="shared" ca="1" si="93"/>
        <v>1</v>
      </c>
      <c r="K130" s="423">
        <f t="shared" ca="1" si="93"/>
        <v>1</v>
      </c>
      <c r="L130" s="423">
        <f t="shared" ca="1" si="93"/>
        <v>2</v>
      </c>
      <c r="M130" s="423">
        <f t="shared" ca="1" si="93"/>
        <v>2</v>
      </c>
      <c r="N130" s="423">
        <f t="shared" ca="1" si="93"/>
        <v>1</v>
      </c>
      <c r="O130" s="423">
        <f t="shared" ca="1" si="93"/>
        <v>1</v>
      </c>
      <c r="P130" s="435">
        <f t="shared" ca="1" si="90"/>
        <v>0</v>
      </c>
      <c r="Q130" s="11" t="str">
        <f>LEFT($G$3,1) &amp; "S_TeacherCollab"</f>
        <v>HS_TeacherCollab</v>
      </c>
      <c r="S130" s="177">
        <v>1800</v>
      </c>
      <c r="T130" s="427"/>
      <c r="U130" s="441">
        <f t="shared" ref="U130:AA130" ca="1" si="94">U7*(1+U18)/$S130*I129*I130*36</f>
        <v>121945.18157863579</v>
      </c>
      <c r="V130" s="441">
        <f t="shared" ca="1" si="94"/>
        <v>130211.27954409691</v>
      </c>
      <c r="W130" s="441">
        <f t="shared" ca="1" si="94"/>
        <v>139384.37262531102</v>
      </c>
      <c r="X130" s="441">
        <f t="shared" ca="1" si="94"/>
        <v>316963.08914070809</v>
      </c>
      <c r="Y130" s="441">
        <f t="shared" ca="1" si="94"/>
        <v>331209.22364725603</v>
      </c>
      <c r="Z130" s="441">
        <f t="shared" ca="1" si="94"/>
        <v>153068.75908758241</v>
      </c>
      <c r="AA130" s="445">
        <f t="shared" ca="1" si="94"/>
        <v>161088.53689721445</v>
      </c>
      <c r="AB130" s="678"/>
      <c r="AC130" s="535">
        <v>1</v>
      </c>
    </row>
    <row r="131" spans="2:29">
      <c r="B131" s="679" t="s">
        <v>415</v>
      </c>
      <c r="C131" s="535" t="str">
        <f t="shared" si="92"/>
        <v>HS_STEM_Stipend</v>
      </c>
      <c r="D131" s="679" t="s">
        <v>893</v>
      </c>
      <c r="E131" s="679"/>
      <c r="F131" s="680"/>
      <c r="G131" s="480"/>
      <c r="H131" s="481" t="s">
        <v>556</v>
      </c>
      <c r="I131" s="423">
        <f ca="1">IF(LEFT($F$3,1)="E",0,I129*INDEX(INDIRECT($B$129 &amp; $B$130), MATCH($C131, INDIRECT($B$129 &amp; $B$131),0), MATCH(I$4, INDIRECT($B$129 &amp; $B$132), 0)))</f>
        <v>0</v>
      </c>
      <c r="J131" s="423">
        <f t="shared" ref="J131:O131" ca="1" si="95">IF(LEFT($F$3,1)="E",0,J129*INDEX(INDIRECT($B$129 &amp; $B$130), MATCH($C131, INDIRECT($B$129 &amp; $B$131),0), MATCH(J$4, INDIRECT($B$129 &amp; $B$132), 0)))</f>
        <v>0</v>
      </c>
      <c r="K131" s="423">
        <f t="shared" ca="1" si="95"/>
        <v>0</v>
      </c>
      <c r="L131" s="423">
        <f t="shared" ca="1" si="95"/>
        <v>3.0625</v>
      </c>
      <c r="M131" s="423">
        <f t="shared" ca="1" si="95"/>
        <v>3.0625</v>
      </c>
      <c r="N131" s="423">
        <f t="shared" ca="1" si="95"/>
        <v>0</v>
      </c>
      <c r="O131" s="423">
        <f t="shared" ca="1" si="95"/>
        <v>0</v>
      </c>
      <c r="P131" s="435">
        <f t="shared" ca="1" si="90"/>
        <v>5250</v>
      </c>
      <c r="Q131" s="11" t="str">
        <f>LEFT($G$3,1) &amp; "S_STEM_Stipend"</f>
        <v>HS_STEM_Stipend</v>
      </c>
      <c r="S131" s="177"/>
      <c r="T131" s="390"/>
      <c r="U131" s="441">
        <f t="shared" ref="U131:AA131" ca="1" si="96">I131*$P131*(1+U126)</f>
        <v>0</v>
      </c>
      <c r="V131" s="441">
        <f t="shared" ca="1" si="96"/>
        <v>0</v>
      </c>
      <c r="W131" s="441">
        <f t="shared" ca="1" si="96"/>
        <v>0</v>
      </c>
      <c r="X131" s="441">
        <f t="shared" ca="1" si="96"/>
        <v>17424.379485645932</v>
      </c>
      <c r="Y131" s="441">
        <f t="shared" ca="1" si="96"/>
        <v>17834.666566985645</v>
      </c>
      <c r="Z131" s="441">
        <f t="shared" ca="1" si="96"/>
        <v>0</v>
      </c>
      <c r="AA131" s="445">
        <f t="shared" ca="1" si="96"/>
        <v>0</v>
      </c>
      <c r="AB131" s="678"/>
      <c r="AC131" s="535">
        <v>1</v>
      </c>
    </row>
    <row r="132" spans="2:29">
      <c r="B132" s="679" t="s">
        <v>416</v>
      </c>
      <c r="C132" s="535" t="str">
        <f t="shared" si="92"/>
        <v>HS_ConsStaffDev</v>
      </c>
      <c r="D132" s="679" t="s">
        <v>560</v>
      </c>
      <c r="E132" s="679"/>
      <c r="F132" s="680"/>
      <c r="G132" s="480"/>
      <c r="H132" s="389" t="s">
        <v>328</v>
      </c>
      <c r="I132" s="351">
        <f t="shared" ref="I132:O132" ca="1" si="97">INDEX(INDIRECT($B$129 &amp; $B$130), MATCH($C132, INDIRECT($B$129 &amp; $B$131),0), MATCH(I$4, INDIRECT($B$129 &amp; $B$132), 0))</f>
        <v>5500</v>
      </c>
      <c r="J132" s="351">
        <f t="shared" ca="1" si="97"/>
        <v>5500</v>
      </c>
      <c r="K132" s="351">
        <f t="shared" ca="1" si="97"/>
        <v>5500</v>
      </c>
      <c r="L132" s="351">
        <f t="shared" ca="1" si="97"/>
        <v>12000</v>
      </c>
      <c r="M132" s="351">
        <f t="shared" ca="1" si="97"/>
        <v>12000</v>
      </c>
      <c r="N132" s="351">
        <f t="shared" ca="1" si="97"/>
        <v>5500</v>
      </c>
      <c r="O132" s="351">
        <f t="shared" ca="1" si="97"/>
        <v>5500</v>
      </c>
      <c r="P132" s="435">
        <f t="shared" ca="1" si="90"/>
        <v>0</v>
      </c>
      <c r="Q132" s="11" t="str">
        <f>LEFT($G$3,1) &amp; "S_ConsStaffDev"</f>
        <v>HS_ConsStaffDev</v>
      </c>
      <c r="S132" s="177"/>
      <c r="T132" s="390"/>
      <c r="U132" s="441">
        <f t="shared" ref="U132:AA132" ca="1" si="98">I132*(1+U126)</f>
        <v>5500</v>
      </c>
      <c r="V132" s="441">
        <f t="shared" ca="1" si="98"/>
        <v>5657.894736842105</v>
      </c>
      <c r="W132" s="441">
        <f t="shared" ca="1" si="98"/>
        <v>5815.78947368421</v>
      </c>
      <c r="X132" s="441">
        <f ca="1">L132*(1+X126)</f>
        <v>13004.784688995214</v>
      </c>
      <c r="Y132" s="441">
        <f t="shared" ca="1" si="98"/>
        <v>13311.004784688996</v>
      </c>
      <c r="Z132" s="441">
        <f t="shared" ca="1" si="98"/>
        <v>6236.8421052631584</v>
      </c>
      <c r="AA132" s="445">
        <f t="shared" ca="1" si="98"/>
        <v>6377.1929824561412</v>
      </c>
      <c r="AB132" s="678"/>
      <c r="AC132" s="535">
        <v>1</v>
      </c>
    </row>
    <row r="133" spans="2:29">
      <c r="B133" s="679"/>
      <c r="C133" s="535" t="str">
        <f t="shared" si="92"/>
        <v>HS_TeachProfDev</v>
      </c>
      <c r="D133" s="679" t="s">
        <v>561</v>
      </c>
      <c r="E133" s="679"/>
      <c r="F133" s="680"/>
      <c r="G133" s="480"/>
      <c r="H133" s="389" t="s">
        <v>329</v>
      </c>
      <c r="I133" s="423">
        <f ca="1">I69+I71</f>
        <v>10.5</v>
      </c>
      <c r="J133" s="423">
        <f t="shared" ref="J133:O133" ca="1" si="99">J69+J71</f>
        <v>10.5</v>
      </c>
      <c r="K133" s="423">
        <f t="shared" ca="1" si="99"/>
        <v>10.5</v>
      </c>
      <c r="L133" s="423">
        <f t="shared" ca="1" si="99"/>
        <v>10.5</v>
      </c>
      <c r="M133" s="423">
        <f t="shared" ca="1" si="99"/>
        <v>10.5</v>
      </c>
      <c r="N133" s="423">
        <f t="shared" ca="1" si="99"/>
        <v>10.5</v>
      </c>
      <c r="O133" s="423">
        <f t="shared" ca="1" si="99"/>
        <v>10.5</v>
      </c>
      <c r="P133" s="435">
        <f t="shared" ca="1" si="90"/>
        <v>111</v>
      </c>
      <c r="Q133" s="11" t="str">
        <f>LEFT($G$3,1) &amp; "S_SpEdSupport"</f>
        <v>HS_SpEdSupport</v>
      </c>
      <c r="S133" s="177"/>
      <c r="T133" s="482"/>
      <c r="U133" s="441">
        <f t="shared" ref="U133:AA133" ca="1" si="100">I133*$P133*U127*(1+U126)</f>
        <v>5827.5</v>
      </c>
      <c r="V133" s="441">
        <f t="shared" ca="1" si="100"/>
        <v>5994.7966507177025</v>
      </c>
      <c r="W133" s="441">
        <f t="shared" ca="1" si="100"/>
        <v>6162.0933014354059</v>
      </c>
      <c r="X133" s="441">
        <f t="shared" ca="1" si="100"/>
        <v>8841.6279904306211</v>
      </c>
      <c r="Y133" s="441">
        <f t="shared" ca="1" si="100"/>
        <v>9049.8193779904304</v>
      </c>
      <c r="Z133" s="441">
        <f t="shared" ca="1" si="100"/>
        <v>6608.2177033492826</v>
      </c>
      <c r="AA133" s="445">
        <f t="shared" ca="1" si="100"/>
        <v>6756.9258373205748</v>
      </c>
      <c r="AB133" s="678"/>
      <c r="AC133" s="535">
        <v>1</v>
      </c>
    </row>
    <row r="134" spans="2:29">
      <c r="B134" s="679"/>
      <c r="C134" s="535" t="str">
        <f t="shared" si="92"/>
        <v>HS_LeadershipDev</v>
      </c>
      <c r="D134" s="679" t="s">
        <v>559</v>
      </c>
      <c r="E134" s="679"/>
      <c r="F134" s="680"/>
      <c r="G134" s="480"/>
      <c r="H134" s="389" t="s">
        <v>330</v>
      </c>
      <c r="I134" s="423">
        <f ca="1">SUM(I90:I91)</f>
        <v>3</v>
      </c>
      <c r="J134" s="423">
        <f t="shared" ref="J134:O134" ca="1" si="101">SUM(J90:J91)</f>
        <v>3</v>
      </c>
      <c r="K134" s="423">
        <f t="shared" ca="1" si="101"/>
        <v>3</v>
      </c>
      <c r="L134" s="423">
        <f t="shared" ca="1" si="101"/>
        <v>3</v>
      </c>
      <c r="M134" s="423">
        <f t="shared" ca="1" si="101"/>
        <v>3</v>
      </c>
      <c r="N134" s="423">
        <f t="shared" ca="1" si="101"/>
        <v>3</v>
      </c>
      <c r="O134" s="423">
        <f t="shared" ca="1" si="101"/>
        <v>3</v>
      </c>
      <c r="P134" s="435">
        <f t="shared" ca="1" si="90"/>
        <v>350</v>
      </c>
      <c r="Q134" s="11" t="str">
        <f>LEFT($G$3,1) &amp; "S_PrinLeadership"</f>
        <v>HS_PrinLeadership</v>
      </c>
      <c r="S134" s="177"/>
      <c r="T134" s="390"/>
      <c r="U134" s="441">
        <f t="shared" ref="U134:AA134" ca="1" si="102">I134*$P134*U128*(1+U126)</f>
        <v>3150</v>
      </c>
      <c r="V134" s="441">
        <f t="shared" ca="1" si="102"/>
        <v>3240.4306220095691</v>
      </c>
      <c r="W134" s="441">
        <f t="shared" ca="1" si="102"/>
        <v>3330.8612440191382</v>
      </c>
      <c r="X134" s="441">
        <f t="shared" ca="1" si="102"/>
        <v>4551.6746411483255</v>
      </c>
      <c r="Y134" s="441">
        <f t="shared" ca="1" si="102"/>
        <v>4658.8516746411487</v>
      </c>
      <c r="Z134" s="441">
        <f t="shared" ca="1" si="102"/>
        <v>3572.0095693779904</v>
      </c>
      <c r="AA134" s="445">
        <f t="shared" ca="1" si="102"/>
        <v>3652.3923444976081</v>
      </c>
      <c r="AB134" s="678"/>
      <c r="AC134" s="535">
        <v>1</v>
      </c>
    </row>
    <row r="135" spans="2:29">
      <c r="B135" s="679"/>
      <c r="C135" s="535" t="str">
        <f t="shared" si="92"/>
        <v>HS_MaterTrav</v>
      </c>
      <c r="D135" s="679" t="s">
        <v>563</v>
      </c>
      <c r="E135" s="679"/>
      <c r="F135" s="680"/>
      <c r="G135" s="483"/>
      <c r="H135" s="396" t="s">
        <v>327</v>
      </c>
      <c r="I135" s="484"/>
      <c r="J135" s="484"/>
      <c r="K135" s="484"/>
      <c r="L135" s="484"/>
      <c r="M135" s="484"/>
      <c r="N135" s="484"/>
      <c r="O135" s="484"/>
      <c r="P135" s="474">
        <f ca="1">IFERROR(INDEX(INDIRECT($B$120 &amp; $B$121), MATCH($Q135, INDIRECT($B$120 &amp; $B$122),0), MATCH(P$4, INDIRECT($B$120 &amp; $B$123), 0)),0)</f>
        <v>288</v>
      </c>
      <c r="Q135" s="235" t="str">
        <f>LEFT($G$3,1) &amp; "S_MaterTrav"</f>
        <v>HS_MaterTrav</v>
      </c>
      <c r="R135" s="235"/>
      <c r="S135" s="485"/>
      <c r="T135" s="397"/>
      <c r="U135" s="448">
        <f t="shared" ref="U135:AA135" ca="1" si="103">I129*$P135*(1+U126)</f>
        <v>15912</v>
      </c>
      <c r="V135" s="448">
        <f t="shared" ca="1" si="103"/>
        <v>16368.803827751195</v>
      </c>
      <c r="W135" s="448">
        <f t="shared" ca="1" si="103"/>
        <v>16825.60765550239</v>
      </c>
      <c r="X135" s="448">
        <f t="shared" ca="1" si="103"/>
        <v>19117.033492822964</v>
      </c>
      <c r="Y135" s="448">
        <f t="shared" ca="1" si="103"/>
        <v>19567.177033492822</v>
      </c>
      <c r="Z135" s="448">
        <f t="shared" ca="1" si="103"/>
        <v>18043.751196172248</v>
      </c>
      <c r="AA135" s="475">
        <f t="shared" ca="1" si="103"/>
        <v>18449.799043062201</v>
      </c>
      <c r="AB135" s="678"/>
      <c r="AC135" s="535">
        <v>1</v>
      </c>
    </row>
    <row r="136" spans="2:29" ht="15" hidden="1" customHeight="1" outlineLevel="1">
      <c r="B136" s="679"/>
      <c r="C136" s="535"/>
      <c r="D136" s="679"/>
      <c r="E136" s="679"/>
      <c r="F136" s="679"/>
      <c r="G136" s="480"/>
      <c r="H136" s="389"/>
      <c r="I136" s="423"/>
      <c r="J136" s="423"/>
      <c r="K136" s="423"/>
      <c r="L136" s="423"/>
      <c r="M136" s="423"/>
      <c r="N136" s="423"/>
      <c r="O136" s="423"/>
      <c r="P136" s="435"/>
      <c r="S136" s="177"/>
      <c r="T136" s="390"/>
      <c r="U136" s="441"/>
      <c r="V136" s="427"/>
      <c r="W136" s="427"/>
      <c r="X136" s="427"/>
      <c r="Y136" s="427"/>
      <c r="Z136" s="427"/>
      <c r="AA136" s="427"/>
      <c r="AB136" s="535"/>
      <c r="AC136" s="535">
        <v>0</v>
      </c>
    </row>
    <row r="137" spans="2:29" ht="15" hidden="1" customHeight="1" outlineLevel="1">
      <c r="B137" s="679"/>
      <c r="C137" s="535"/>
      <c r="D137" s="679"/>
      <c r="E137" s="679"/>
      <c r="F137" s="679"/>
      <c r="G137" s="480"/>
      <c r="H137" s="389"/>
      <c r="I137" s="423"/>
      <c r="J137" s="423"/>
      <c r="K137" s="423"/>
      <c r="L137" s="423"/>
      <c r="M137" s="423"/>
      <c r="N137" s="423"/>
      <c r="O137" s="423"/>
      <c r="P137" s="435"/>
      <c r="Q137" s="98" t="s">
        <v>1063</v>
      </c>
      <c r="S137" s="177"/>
      <c r="T137" s="212" t="s">
        <v>567</v>
      </c>
      <c r="U137" s="347">
        <f t="shared" ref="U137:AA137" ca="1" si="104">INDEX(INDIRECT($S$138 &amp; $S$139), MATCH($T$137, INDIRECT($S$138 &amp; $S$140), 0), MATCH(U$4,INDIRECT($S$138 &amp; $S$141),0))</f>
        <v>4.2666176287422079E-2</v>
      </c>
      <c r="V137" s="347">
        <f t="shared" ca="1" si="104"/>
        <v>8.7152755173833585E-2</v>
      </c>
      <c r="W137" s="347">
        <f t="shared" ca="1" si="104"/>
        <v>0.13353740627743704</v>
      </c>
      <c r="X137" s="347">
        <f t="shared" ca="1" si="104"/>
        <v>0.18190111308205736</v>
      </c>
      <c r="Y137" s="347">
        <f t="shared" ca="1" si="104"/>
        <v>0.23232831432711687</v>
      </c>
      <c r="Z137" s="347">
        <f t="shared" ca="1" si="104"/>
        <v>0.28490705143017925</v>
      </c>
      <c r="AA137" s="347">
        <f t="shared" ca="1" si="104"/>
        <v>0.33972912219945095</v>
      </c>
      <c r="AB137" s="535"/>
      <c r="AC137" s="535">
        <v>0</v>
      </c>
    </row>
    <row r="138" spans="2:29" ht="15" hidden="1" customHeight="1" outlineLevel="1">
      <c r="B138" s="679"/>
      <c r="C138" s="535"/>
      <c r="D138" s="679"/>
      <c r="E138" s="679"/>
      <c r="F138" s="679"/>
      <c r="G138" s="480"/>
      <c r="H138" s="389"/>
      <c r="I138" s="423"/>
      <c r="J138" s="423"/>
      <c r="K138" s="423"/>
      <c r="L138" s="423"/>
      <c r="M138" s="423"/>
      <c r="N138" s="423"/>
      <c r="O138" s="423"/>
      <c r="P138" s="435"/>
      <c r="Q138" s="11" t="s">
        <v>596</v>
      </c>
      <c r="S138" s="385" t="s">
        <v>951</v>
      </c>
      <c r="T138" s="441" t="s">
        <v>568</v>
      </c>
      <c r="U138" s="347">
        <f t="shared" ref="U138:AA138" ca="1" si="105">INDEX(INDIRECT($S$138 &amp; $S$139), MATCH($T$138, INDIRECT($S$138 &amp; $S$140), 0), MATCH(U$4,INDIRECT($S$138 &amp; $S$141),0))</f>
        <v>5.4022496880633902E-2</v>
      </c>
      <c r="V138" s="347">
        <f t="shared" ca="1" si="105"/>
        <v>0.11096342393048597</v>
      </c>
      <c r="W138" s="347">
        <f t="shared" ca="1" si="105"/>
        <v>0.1709804420342691</v>
      </c>
      <c r="X138" s="347">
        <f t="shared" ca="1" si="105"/>
        <v>0.23423972931134873</v>
      </c>
      <c r="Y138" s="347">
        <f t="shared" ca="1" si="105"/>
        <v>0.30091644123802563</v>
      </c>
      <c r="Z138" s="347">
        <f t="shared" ca="1" si="105"/>
        <v>0.37119519562677228</v>
      </c>
      <c r="AA138" s="347">
        <f t="shared" ca="1" si="105"/>
        <v>0.44527058380525997</v>
      </c>
      <c r="AB138" s="535"/>
      <c r="AC138" s="535">
        <v>0</v>
      </c>
    </row>
    <row r="139" spans="2:29" ht="15.95" hidden="1" customHeight="1" outlineLevel="1" thickBot="1">
      <c r="B139" s="713" t="s">
        <v>944</v>
      </c>
      <c r="C139" s="535"/>
      <c r="D139" s="679"/>
      <c r="E139" s="679"/>
      <c r="F139" s="679"/>
      <c r="G139" s="345"/>
      <c r="H139" s="389"/>
      <c r="I139" s="487"/>
      <c r="J139" s="487"/>
      <c r="K139" s="487"/>
      <c r="L139" s="487"/>
      <c r="M139" s="487"/>
      <c r="N139" s="487"/>
      <c r="O139" s="487"/>
      <c r="P139" s="391"/>
      <c r="Q139" s="11" t="s">
        <v>613</v>
      </c>
      <c r="R139" s="11" t="s">
        <v>531</v>
      </c>
      <c r="S139" s="65" t="s">
        <v>827</v>
      </c>
      <c r="T139" s="441" t="s">
        <v>419</v>
      </c>
      <c r="U139" s="347">
        <f t="shared" ref="U139:AA139" si="106">VLOOKUP($T139, $T$41:$AA$49, MATCH(U$4, $T$4:$AA$4,0),0)</f>
        <v>0</v>
      </c>
      <c r="V139" s="347">
        <f t="shared" ca="1" si="106"/>
        <v>2.8708133971291794E-2</v>
      </c>
      <c r="W139" s="347">
        <f t="shared" ca="1" si="106"/>
        <v>5.7416267942583588E-2</v>
      </c>
      <c r="X139" s="347">
        <f t="shared" ca="1" si="106"/>
        <v>8.373205741626788E-2</v>
      </c>
      <c r="Y139" s="347">
        <f t="shared" ca="1" si="106"/>
        <v>0.10925039872408293</v>
      </c>
      <c r="Z139" s="347">
        <f t="shared" ca="1" si="106"/>
        <v>0.13397129186602874</v>
      </c>
      <c r="AA139" s="347">
        <f t="shared" ca="1" si="106"/>
        <v>0.15948963317384379</v>
      </c>
      <c r="AB139" s="535"/>
      <c r="AC139" s="535">
        <v>0</v>
      </c>
    </row>
    <row r="140" spans="2:29" ht="31.5" collapsed="1">
      <c r="B140" s="679" t="s">
        <v>390</v>
      </c>
      <c r="C140" s="712" t="s">
        <v>192</v>
      </c>
      <c r="D140" s="704"/>
      <c r="E140" s="704"/>
      <c r="F140" s="705"/>
      <c r="G140" s="336" t="s">
        <v>331</v>
      </c>
      <c r="H140" s="488" t="s">
        <v>332</v>
      </c>
      <c r="I140" s="343">
        <f t="shared" ref="I140:O140" ca="1" si="107">IFERROR(INDEX(INDIRECT($B$139 &amp; $B$140), MATCH($C140, INDIRECT($B$139 &amp; $B$142),0), MATCH($G$3, INDIRECT($B$139 &amp; $B$143), 0)),0)</f>
        <v>585.39240192201476</v>
      </c>
      <c r="J140" s="343">
        <f t="shared" ca="1" si="107"/>
        <v>585.39240192201476</v>
      </c>
      <c r="K140" s="343">
        <f t="shared" ca="1" si="107"/>
        <v>585.39240192201476</v>
      </c>
      <c r="L140" s="343">
        <f t="shared" ca="1" si="107"/>
        <v>585.39240192201476</v>
      </c>
      <c r="M140" s="343">
        <f t="shared" ca="1" si="107"/>
        <v>585.39240192201476</v>
      </c>
      <c r="N140" s="343">
        <f t="shared" ca="1" si="107"/>
        <v>585.39240192201476</v>
      </c>
      <c r="O140" s="343">
        <f t="shared" ca="1" si="107"/>
        <v>585.39240192201476</v>
      </c>
      <c r="P140" s="489"/>
      <c r="Q140" s="470" t="s">
        <v>597</v>
      </c>
      <c r="R140" s="490">
        <v>1</v>
      </c>
      <c r="S140" s="491" t="s">
        <v>828</v>
      </c>
      <c r="T140" s="492" t="s">
        <v>567</v>
      </c>
      <c r="U140" s="456">
        <f t="shared" ref="U140:AA140" ca="1" si="108">I140*$H$2*(1+VLOOKUP($T140, $T$137:$AA$139, MATCH(U$4, $T$4:$AA$4,0),0)*$R140)</f>
        <v>610368.85733973689</v>
      </c>
      <c r="V140" s="456">
        <f t="shared" ca="1" si="108"/>
        <v>636410.96260734648</v>
      </c>
      <c r="W140" s="456">
        <f t="shared" ca="1" si="108"/>
        <v>663564.18492919963</v>
      </c>
      <c r="X140" s="456">
        <f t="shared" ca="1" si="108"/>
        <v>691875.93142140831</v>
      </c>
      <c r="Y140" s="456">
        <f t="shared" ca="1" si="108"/>
        <v>721395.63188045856</v>
      </c>
      <c r="Z140" s="456">
        <f t="shared" ca="1" si="108"/>
        <v>752174.82508324645</v>
      </c>
      <c r="AA140" s="471">
        <f t="shared" ca="1" si="108"/>
        <v>784267.24876920902</v>
      </c>
      <c r="AB140" s="703"/>
      <c r="AC140" s="535">
        <v>1</v>
      </c>
    </row>
    <row r="141" spans="2:29" ht="15" hidden="1" customHeight="1" outlineLevel="1">
      <c r="B141" s="679"/>
      <c r="C141" s="712"/>
      <c r="D141" s="704"/>
      <c r="E141" s="704"/>
      <c r="F141" s="705"/>
      <c r="G141" s="480"/>
      <c r="H141" s="372"/>
      <c r="I141" s="351"/>
      <c r="J141" s="351"/>
      <c r="K141" s="351"/>
      <c r="L141" s="351"/>
      <c r="M141" s="351"/>
      <c r="N141" s="351"/>
      <c r="O141" s="351"/>
      <c r="P141" s="493"/>
      <c r="R141" s="494"/>
      <c r="S141" s="495" t="s">
        <v>826</v>
      </c>
      <c r="T141" s="212" t="s">
        <v>598</v>
      </c>
      <c r="U141" s="347">
        <f ca="1">INDEX(INDIRECT($S$146 &amp; $S$147), MATCH($T141, INDIRECT($S$146 &amp; $S$148),0), MATCH(U$4, INDIRECT($S$146 &amp; $S$149),0))</f>
        <v>0</v>
      </c>
      <c r="V141" s="347">
        <f t="shared" ref="V141:AA141" ca="1" si="109">INDEX(INDIRECT($S$146 &amp; $S$147), MATCH($T141, INDIRECT($S$146 &amp; $S$148),0), MATCH(V$4, INDIRECT($S$146 &amp; $S$149),0))</f>
        <v>4.7724750277469585E-2</v>
      </c>
      <c r="W141" s="347">
        <f t="shared" ca="1" si="109"/>
        <v>0</v>
      </c>
      <c r="X141" s="347">
        <f t="shared" ca="1" si="109"/>
        <v>-7.3799435028248705E-2</v>
      </c>
      <c r="Y141" s="347">
        <f t="shared" ca="1" si="109"/>
        <v>0</v>
      </c>
      <c r="Z141" s="347">
        <f t="shared" ca="1" si="109"/>
        <v>0</v>
      </c>
      <c r="AA141" s="375">
        <f t="shared" ca="1" si="109"/>
        <v>0</v>
      </c>
      <c r="AB141" s="703"/>
      <c r="AC141" s="535">
        <v>0</v>
      </c>
    </row>
    <row r="142" spans="2:29" collapsed="1">
      <c r="B142" s="679" t="s">
        <v>391</v>
      </c>
      <c r="C142" s="712" t="s">
        <v>206</v>
      </c>
      <c r="D142" s="704"/>
      <c r="E142" s="704"/>
      <c r="F142" s="705"/>
      <c r="G142" s="480"/>
      <c r="H142" s="372" t="s">
        <v>333</v>
      </c>
      <c r="I142" s="351">
        <f t="shared" ref="I142:O142" ca="1" si="110">IFERROR(INDEX(INDIRECT($B$139 &amp; $B$140), MATCH($C142, INDIRECT($B$139 &amp; $B$142),0), MATCH($G$3, INDIRECT($B$139 &amp; $B$143), 0)),0)</f>
        <v>1002.2552290976129</v>
      </c>
      <c r="J142" s="351">
        <f t="shared" ca="1" si="110"/>
        <v>1002.2552290976129</v>
      </c>
      <c r="K142" s="351">
        <f t="shared" ca="1" si="110"/>
        <v>1002.2552290976129</v>
      </c>
      <c r="L142" s="351">
        <f t="shared" ca="1" si="110"/>
        <v>1002.2552290976129</v>
      </c>
      <c r="M142" s="351">
        <f t="shared" ca="1" si="110"/>
        <v>1002.2552290976129</v>
      </c>
      <c r="N142" s="351">
        <f t="shared" ca="1" si="110"/>
        <v>1002.2552290976129</v>
      </c>
      <c r="O142" s="351">
        <f t="shared" ca="1" si="110"/>
        <v>1002.2552290976129</v>
      </c>
      <c r="P142" s="493"/>
      <c r="Q142" s="140" t="s">
        <v>576</v>
      </c>
      <c r="R142" s="494">
        <f ca="1">INDEX(INDIRECT($Q$137 &amp; $Q$138), MATCH($Q142, INDIRECT($Q$137 &amp; $Q$139),0), MATCH($R$139, INDIRECT($Q$137 &amp; $Q$140),0))</f>
        <v>0.2597430016272822</v>
      </c>
      <c r="T142" s="441" t="s">
        <v>419</v>
      </c>
      <c r="U142" s="441">
        <f ca="1">I142*$H$2*(1+VLOOKUP($T142,$T$137:$AA$139,MATCH(U$4,$T$4:$AA$4,0),0))*(1+U$141*$R142)</f>
        <v>1002255.2290976129</v>
      </c>
      <c r="V142" s="441">
        <f ca="1">J142*$H$2*(1+VLOOKUP($T142,$T$137:$AA$139,MATCH(V$4,$T$4:$AA$4,0),0))*(1+V$141*$R142)</f>
        <v>1043808.9060563158</v>
      </c>
      <c r="W142" s="441">
        <f t="shared" ref="W142:AA149" ca="1" si="111">K142*$H$2*(1+VLOOKUP($T142,$T$137:$AA$139,MATCH(W$4,$T$4:$AA$4,0),0))*(1+W$141*$R142)</f>
        <v>1059800.9838783368</v>
      </c>
      <c r="X142" s="441">
        <f t="shared" ca="1" si="111"/>
        <v>1065355.3343982608</v>
      </c>
      <c r="Y142" s="441">
        <f t="shared" ca="1" si="111"/>
        <v>1111752.0124998242</v>
      </c>
      <c r="Z142" s="441">
        <f t="shared" ca="1" si="111"/>
        <v>1136528.6569193027</v>
      </c>
      <c r="AA142" s="445">
        <f t="shared" ca="1" si="111"/>
        <v>1162104.547932958</v>
      </c>
      <c r="AB142" s="703"/>
      <c r="AC142" s="535">
        <v>1</v>
      </c>
    </row>
    <row r="143" spans="2:29">
      <c r="B143" s="679" t="s">
        <v>392</v>
      </c>
      <c r="C143" s="535" t="str">
        <f t="shared" ref="C143:C148" si="112">LEFT($G$3,1) &amp; "S" &amp; D143</f>
        <v>HS_TechServices</v>
      </c>
      <c r="D143" s="712" t="s">
        <v>602</v>
      </c>
      <c r="E143" s="679"/>
      <c r="F143" s="680"/>
      <c r="G143" s="480"/>
      <c r="H143" s="389" t="s">
        <v>334</v>
      </c>
      <c r="I143" s="351">
        <f ca="1">IFERROR(INDEX(INDIRECT($B$144 &amp; $B$145), MATCH($C143, INDIRECT($B$144 &amp; $B$146),0), MATCH(I$4, INDIRECT($B$144 &amp; $B$147), 0)),0)</f>
        <v>385.25</v>
      </c>
      <c r="J143" s="351">
        <f t="shared" ref="J143:O144" ca="1" si="113">IFERROR(INDEX(INDIRECT($B$144 &amp; $B$145), MATCH($C143, INDIRECT($B$144 &amp; $B$146),0), MATCH(J$4, INDIRECT($B$144 &amp; $B$147), 0)),0)</f>
        <v>396.30980861244018</v>
      </c>
      <c r="K143" s="351">
        <f t="shared" ca="1" si="113"/>
        <v>396.30980861244018</v>
      </c>
      <c r="L143" s="351">
        <f t="shared" ca="1" si="113"/>
        <v>396.30980861244018</v>
      </c>
      <c r="M143" s="351">
        <f t="shared" ca="1" si="113"/>
        <v>396.30980861244018</v>
      </c>
      <c r="N143" s="351">
        <f t="shared" ca="1" si="113"/>
        <v>396.30980861244018</v>
      </c>
      <c r="O143" s="351">
        <f t="shared" ca="1" si="113"/>
        <v>396.30980861244018</v>
      </c>
      <c r="P143" s="493"/>
      <c r="Q143" s="140" t="s">
        <v>578</v>
      </c>
      <c r="R143" s="494">
        <f ca="1">INDEX(INDIRECT($Q$137 &amp; $Q$138), MATCH($Q143, INDIRECT($Q$137 &amp; $Q$139),0), MATCH($R$139, INDIRECT($Q$137 &amp; $Q$140),0))</f>
        <v>0.34826962206502049</v>
      </c>
      <c r="S143" s="482"/>
      <c r="T143" s="441" t="s">
        <v>419</v>
      </c>
      <c r="U143" s="441">
        <f t="shared" ref="U143:V149" ca="1" si="114">I143*$H$2*(1+VLOOKUP($T143,$T$137:$AA$139,MATCH(U$4,$T$4:$AA$4,0),0))*(1+U$141*$R143)</f>
        <v>385250</v>
      </c>
      <c r="V143" s="441">
        <f t="shared" ca="1" si="114"/>
        <v>414463.32429270016</v>
      </c>
      <c r="W143" s="441">
        <f t="shared" ca="1" si="111"/>
        <v>419064.43877200608</v>
      </c>
      <c r="X143" s="441">
        <f t="shared" ca="1" si="111"/>
        <v>418454.75508957019</v>
      </c>
      <c r="Y143" s="441">
        <f t="shared" ca="1" si="111"/>
        <v>439606.81322161428</v>
      </c>
      <c r="Z143" s="441">
        <f t="shared" ca="1" si="111"/>
        <v>449403.94565142738</v>
      </c>
      <c r="AA143" s="445">
        <f t="shared" ca="1" si="111"/>
        <v>459517.11461123452</v>
      </c>
      <c r="AB143" s="703"/>
      <c r="AC143" s="535">
        <v>1</v>
      </c>
    </row>
    <row r="144" spans="2:29">
      <c r="B144" s="679" t="s">
        <v>385</v>
      </c>
      <c r="C144" s="535" t="str">
        <f t="shared" si="112"/>
        <v>HS_O&amp;M</v>
      </c>
      <c r="D144" s="712" t="s">
        <v>601</v>
      </c>
      <c r="E144" s="679"/>
      <c r="F144" s="680"/>
      <c r="G144" s="480"/>
      <c r="H144" s="389" t="s">
        <v>335</v>
      </c>
      <c r="I144" s="351">
        <f ca="1">IFERROR(INDEX(INDIRECT($B$144 &amp; $B$145), MATCH($C144, INDIRECT($B$144 &amp; $B$146),0), MATCH(I$4, INDIRECT($B$144 &amp; $B$147), 0)),0)</f>
        <v>1422.33</v>
      </c>
      <c r="J144" s="351">
        <f t="shared" ca="1" si="113"/>
        <v>1463.1624401913873</v>
      </c>
      <c r="K144" s="351">
        <f t="shared" ca="1" si="113"/>
        <v>1463.1624401913873</v>
      </c>
      <c r="L144" s="351">
        <f t="shared" ca="1" si="113"/>
        <v>1463.1624401913873</v>
      </c>
      <c r="M144" s="351">
        <f t="shared" ca="1" si="113"/>
        <v>1463.1624401913873</v>
      </c>
      <c r="N144" s="351">
        <f t="shared" ca="1" si="113"/>
        <v>1463.1624401913873</v>
      </c>
      <c r="O144" s="351">
        <f t="shared" ca="1" si="113"/>
        <v>1463.1624401913873</v>
      </c>
      <c r="P144" s="493"/>
      <c r="Q144" s="140" t="s">
        <v>564</v>
      </c>
      <c r="R144" s="494">
        <f ca="1">INDEX(INDIRECT($Q$137 &amp; $Q$138), MATCH($Q144, INDIRECT($Q$137 &amp; $Q$139),0), MATCH($R$139, INDIRECT($Q$137 &amp; $Q$140),0))</f>
        <v>0.31639177491113951</v>
      </c>
      <c r="T144" s="441" t="s">
        <v>419</v>
      </c>
      <c r="U144" s="441">
        <f t="shared" ca="1" si="114"/>
        <v>1422330</v>
      </c>
      <c r="V144" s="441">
        <f t="shared" ca="1" si="114"/>
        <v>1527894.7030261189</v>
      </c>
      <c r="W144" s="441">
        <f t="shared" ca="1" si="111"/>
        <v>1547171.7669009403</v>
      </c>
      <c r="X144" s="441">
        <f t="shared" ca="1" si="111"/>
        <v>1548651.2446212324</v>
      </c>
      <c r="Y144" s="441">
        <f t="shared" ca="1" si="111"/>
        <v>1623013.5201803984</v>
      </c>
      <c r="Z144" s="441">
        <f t="shared" ca="1" si="111"/>
        <v>1659184.2025136785</v>
      </c>
      <c r="AA144" s="445">
        <f t="shared" ca="1" si="111"/>
        <v>1696521.6810512578</v>
      </c>
      <c r="AB144" s="703"/>
      <c r="AC144" s="535">
        <v>1</v>
      </c>
    </row>
    <row r="145" spans="1:29">
      <c r="A145" s="535"/>
      <c r="B145" s="679" t="s">
        <v>414</v>
      </c>
      <c r="C145" s="535" t="str">
        <f t="shared" si="112"/>
        <v>HS_OtherSuppServ</v>
      </c>
      <c r="D145" s="712" t="s">
        <v>711</v>
      </c>
      <c r="E145" s="679"/>
      <c r="F145" s="680"/>
      <c r="G145" s="480"/>
      <c r="H145" s="389" t="s">
        <v>336</v>
      </c>
      <c r="I145" s="351">
        <f ca="1">IFERROR(INDEX(INDIRECT($B$120 &amp; $B$121), MATCH($C145, INDIRECT($B$120 &amp; $B$122),0), MATCH(I$4, INDIRECT($B$120 &amp; $B$123), 0)),0)</f>
        <v>316.70999999999998</v>
      </c>
      <c r="J145" s="351">
        <f t="shared" ref="J145:O146" ca="1" si="115">IFERROR(INDEX(INDIRECT($B$120 &amp; $B$121), MATCH($C145, INDIRECT($B$120 &amp; $B$122),0), MATCH(J$4, INDIRECT($B$120 &amp; $B$123), 0)),0)</f>
        <v>316.70999999999998</v>
      </c>
      <c r="K145" s="351">
        <f t="shared" ca="1" si="115"/>
        <v>316.70999999999998</v>
      </c>
      <c r="L145" s="351">
        <f t="shared" ca="1" si="115"/>
        <v>316.70999999999998</v>
      </c>
      <c r="M145" s="351">
        <f t="shared" ca="1" si="115"/>
        <v>316.70999999999998</v>
      </c>
      <c r="N145" s="351">
        <f t="shared" ca="1" si="115"/>
        <v>316.70999999999998</v>
      </c>
      <c r="O145" s="351">
        <f t="shared" ca="1" si="115"/>
        <v>316.70999999999998</v>
      </c>
      <c r="P145" s="493"/>
      <c r="Q145" s="140" t="s">
        <v>579</v>
      </c>
      <c r="R145" s="494">
        <f ca="1">INDEX(INDIRECT($Q$137 &amp; $Q$138), MATCH($Q145, INDIRECT($Q$137 &amp; $Q$139),0), MATCH($R$139, INDIRECT($Q$137 &amp; $Q$140),0))</f>
        <v>0.49774998720871899</v>
      </c>
      <c r="S145" s="482"/>
      <c r="T145" s="441" t="s">
        <v>419</v>
      </c>
      <c r="U145" s="441">
        <f t="shared" ca="1" si="114"/>
        <v>316710</v>
      </c>
      <c r="V145" s="441">
        <f t="shared" ca="1" si="114"/>
        <v>333541.58125028451</v>
      </c>
      <c r="W145" s="441">
        <f t="shared" ca="1" si="111"/>
        <v>334894.30622009566</v>
      </c>
      <c r="X145" s="441">
        <f t="shared" ca="1" si="111"/>
        <v>330620.7279097194</v>
      </c>
      <c r="Y145" s="441">
        <f t="shared" ca="1" si="111"/>
        <v>351310.69377990428</v>
      </c>
      <c r="Z145" s="441">
        <f t="shared" ca="1" si="111"/>
        <v>359140.04784688994</v>
      </c>
      <c r="AA145" s="445">
        <f t="shared" ca="1" si="111"/>
        <v>367221.96172248805</v>
      </c>
      <c r="AB145" s="703"/>
      <c r="AC145" s="535">
        <v>1</v>
      </c>
    </row>
    <row r="146" spans="1:29">
      <c r="A146" s="535"/>
      <c r="B146" s="679" t="s">
        <v>415</v>
      </c>
      <c r="C146" s="535" t="str">
        <f t="shared" si="112"/>
        <v>HS_CentSpEd</v>
      </c>
      <c r="D146" s="712" t="s">
        <v>712</v>
      </c>
      <c r="E146" s="679"/>
      <c r="F146" s="680"/>
      <c r="G146" s="480"/>
      <c r="H146" s="389" t="s">
        <v>337</v>
      </c>
      <c r="I146" s="351">
        <f ca="1">IFERROR(INDEX(INDIRECT($B$120 &amp; $B$121), MATCH($C146, INDIRECT($B$120 &amp; $B$122),0), MATCH(I$4, INDIRECT($B$120 &amp; $B$123), 0)),0)</f>
        <v>241.05</v>
      </c>
      <c r="J146" s="351">
        <f t="shared" ca="1" si="115"/>
        <v>241.05</v>
      </c>
      <c r="K146" s="351">
        <f t="shared" ca="1" si="115"/>
        <v>241.05</v>
      </c>
      <c r="L146" s="351">
        <f t="shared" ca="1" si="115"/>
        <v>241.05</v>
      </c>
      <c r="M146" s="351">
        <f t="shared" ca="1" si="115"/>
        <v>241.05</v>
      </c>
      <c r="N146" s="351">
        <f t="shared" ca="1" si="115"/>
        <v>241.05</v>
      </c>
      <c r="O146" s="351">
        <f t="shared" ca="1" si="115"/>
        <v>241.05</v>
      </c>
      <c r="P146" s="493"/>
      <c r="Q146" s="140" t="s">
        <v>187</v>
      </c>
      <c r="R146" s="494">
        <f ca="1">INDEX(INDIRECT($Q$137 &amp; $Q$138), MATCH($Q146, INDIRECT($Q$137 &amp; $Q$139),0), MATCH($R$139, INDIRECT($Q$137 &amp; $Q$140),0))</f>
        <v>0.55403546902834855</v>
      </c>
      <c r="S146" s="98" t="s">
        <v>952</v>
      </c>
      <c r="T146" s="441" t="s">
        <v>568</v>
      </c>
      <c r="U146" s="441">
        <f t="shared" ca="1" si="114"/>
        <v>254072.12287307682</v>
      </c>
      <c r="V146" s="441">
        <f t="shared" ca="1" si="114"/>
        <v>274878.62794463721</v>
      </c>
      <c r="W146" s="441">
        <f t="shared" ca="1" si="111"/>
        <v>282264.83555236057</v>
      </c>
      <c r="X146" s="441">
        <f t="shared" ca="1" si="111"/>
        <v>285348.90269245638</v>
      </c>
      <c r="Y146" s="441">
        <f t="shared" ca="1" si="111"/>
        <v>313585.90816042607</v>
      </c>
      <c r="Z146" s="441">
        <f t="shared" ca="1" si="111"/>
        <v>330526.60190583346</v>
      </c>
      <c r="AA146" s="445">
        <f t="shared" ca="1" si="111"/>
        <v>348382.47422625794</v>
      </c>
      <c r="AB146" s="703"/>
      <c r="AC146" s="535">
        <v>1</v>
      </c>
    </row>
    <row r="147" spans="1:29" ht="15.95" hidden="1" customHeight="1" outlineLevel="1" thickBot="1">
      <c r="B147" s="679" t="s">
        <v>416</v>
      </c>
      <c r="C147" s="535" t="str">
        <f t="shared" si="112"/>
        <v>HS_AssessCurDev</v>
      </c>
      <c r="D147" s="679" t="s">
        <v>566</v>
      </c>
      <c r="E147" s="679"/>
      <c r="F147" s="680"/>
      <c r="G147" s="480"/>
      <c r="H147" s="330"/>
      <c r="I147" s="351">
        <f t="shared" ref="I147:O148" ca="1" si="116">IFERROR(INDEX(INDIRECT($B$144 &amp; $B$145), MATCH($C147, INDIRECT($B$144 &amp; $B$146),0), MATCH(I$4, INDIRECT($B$144 &amp; $B$147), 0)),0)</f>
        <v>302.45</v>
      </c>
      <c r="J147" s="351">
        <f t="shared" ca="1" si="116"/>
        <v>311.13277511961718</v>
      </c>
      <c r="K147" s="351">
        <f t="shared" ca="1" si="116"/>
        <v>311.13277511961718</v>
      </c>
      <c r="L147" s="351">
        <f t="shared" ca="1" si="116"/>
        <v>311.13277511961718</v>
      </c>
      <c r="M147" s="351">
        <f t="shared" ca="1" si="116"/>
        <v>311.13277511961718</v>
      </c>
      <c r="N147" s="351">
        <f t="shared" ca="1" si="116"/>
        <v>311.13277511961718</v>
      </c>
      <c r="O147" s="351">
        <f t="shared" ca="1" si="116"/>
        <v>311.13277511961718</v>
      </c>
      <c r="P147" s="496"/>
      <c r="R147" s="347"/>
      <c r="S147" s="11" t="s">
        <v>600</v>
      </c>
      <c r="T147" s="441"/>
      <c r="U147" s="441"/>
      <c r="V147" s="441"/>
      <c r="W147" s="441"/>
      <c r="X147" s="441"/>
      <c r="Y147" s="441"/>
      <c r="Z147" s="441"/>
      <c r="AA147" s="445"/>
      <c r="AB147" s="703"/>
      <c r="AC147" s="535">
        <v>0</v>
      </c>
    </row>
    <row r="148" spans="1:29" ht="15" hidden="1" customHeight="1" outlineLevel="1">
      <c r="B148" s="535"/>
      <c r="C148" s="535" t="str">
        <f t="shared" si="112"/>
        <v>HS_FormAssess</v>
      </c>
      <c r="D148" s="679" t="s">
        <v>570</v>
      </c>
      <c r="E148" s="679"/>
      <c r="F148" s="680"/>
      <c r="G148" s="480"/>
      <c r="H148" s="330"/>
      <c r="I148" s="351">
        <f t="shared" ca="1" si="116"/>
        <v>39</v>
      </c>
      <c r="J148" s="351">
        <f t="shared" ca="1" si="116"/>
        <v>39</v>
      </c>
      <c r="K148" s="351">
        <f t="shared" ca="1" si="116"/>
        <v>39</v>
      </c>
      <c r="L148" s="351">
        <f t="shared" ca="1" si="116"/>
        <v>39</v>
      </c>
      <c r="M148" s="351">
        <f t="shared" ca="1" si="116"/>
        <v>39</v>
      </c>
      <c r="N148" s="351">
        <f t="shared" ca="1" si="116"/>
        <v>39</v>
      </c>
      <c r="O148" s="351">
        <f t="shared" ca="1" si="116"/>
        <v>39</v>
      </c>
      <c r="P148" s="496"/>
      <c r="Q148" s="482"/>
      <c r="R148" s="347"/>
      <c r="S148" s="11" t="s">
        <v>569</v>
      </c>
      <c r="T148" s="441"/>
      <c r="U148" s="441"/>
      <c r="V148" s="441"/>
      <c r="W148" s="441"/>
      <c r="X148" s="441"/>
      <c r="Y148" s="441"/>
      <c r="Z148" s="441"/>
      <c r="AA148" s="445"/>
      <c r="AB148" s="678"/>
      <c r="AC148" s="535">
        <v>0</v>
      </c>
    </row>
    <row r="149" spans="1:29" collapsed="1">
      <c r="B149" s="679"/>
      <c r="C149" s="675"/>
      <c r="D149" s="679"/>
      <c r="E149" s="679"/>
      <c r="F149" s="714"/>
      <c r="G149" s="483"/>
      <c r="H149" s="396" t="s">
        <v>338</v>
      </c>
      <c r="I149" s="381">
        <f ca="1">I147+I148</f>
        <v>341.45</v>
      </c>
      <c r="J149" s="381">
        <f t="shared" ref="J149:P149" ca="1" si="117">J147+J148</f>
        <v>350.13277511961718</v>
      </c>
      <c r="K149" s="381">
        <f t="shared" ca="1" si="117"/>
        <v>350.13277511961718</v>
      </c>
      <c r="L149" s="381">
        <f t="shared" ca="1" si="117"/>
        <v>350.13277511961718</v>
      </c>
      <c r="M149" s="381">
        <f t="shared" ca="1" si="117"/>
        <v>350.13277511961718</v>
      </c>
      <c r="N149" s="381">
        <f t="shared" ca="1" si="117"/>
        <v>350.13277511961718</v>
      </c>
      <c r="O149" s="381">
        <f t="shared" ca="1" si="117"/>
        <v>350.13277511961718</v>
      </c>
      <c r="P149" s="447">
        <f t="shared" si="117"/>
        <v>0</v>
      </c>
      <c r="Q149" s="497" t="s">
        <v>581</v>
      </c>
      <c r="R149" s="498">
        <f ca="1">INDEX(INDIRECT($Q$137 &amp; $Q$138), MATCH($Q149, INDIRECT($Q$137 &amp; $Q$139),0), MATCH($R$139, INDIRECT($Q$137 &amp; $Q$140),0))</f>
        <v>0.5482622865666773</v>
      </c>
      <c r="S149" s="498" t="s">
        <v>502</v>
      </c>
      <c r="T149" s="448" t="s">
        <v>419</v>
      </c>
      <c r="U149" s="448">
        <f t="shared" ca="1" si="114"/>
        <v>341450</v>
      </c>
      <c r="V149" s="448">
        <f t="shared" ca="1" si="114"/>
        <v>369608.90462638857</v>
      </c>
      <c r="W149" s="448">
        <f t="shared" ca="1" si="111"/>
        <v>370236.09235136549</v>
      </c>
      <c r="X149" s="448">
        <f t="shared" ca="1" si="111"/>
        <v>364097.01212465181</v>
      </c>
      <c r="Y149" s="448">
        <f t="shared" ca="1" si="111"/>
        <v>388384.92040780501</v>
      </c>
      <c r="Z149" s="448">
        <f t="shared" ca="1" si="111"/>
        <v>397040.51532703004</v>
      </c>
      <c r="AA149" s="475">
        <f t="shared" ca="1" si="111"/>
        <v>405975.32298558485</v>
      </c>
      <c r="AB149" s="471"/>
      <c r="AC149" s="654">
        <v>1</v>
      </c>
    </row>
    <row r="150" spans="1:29" ht="15" hidden="1" customHeight="1" outlineLevel="1">
      <c r="B150" s="679"/>
      <c r="C150" s="675"/>
      <c r="D150" s="679"/>
      <c r="E150" s="679"/>
      <c r="F150" s="679"/>
      <c r="G150" s="480"/>
      <c r="H150" s="389"/>
      <c r="I150" s="351"/>
      <c r="J150" s="351"/>
      <c r="K150" s="351"/>
      <c r="L150" s="351"/>
      <c r="M150" s="351"/>
      <c r="N150" s="351"/>
      <c r="O150" s="351"/>
      <c r="P150" s="440"/>
      <c r="Q150" s="140"/>
      <c r="R150" s="494"/>
      <c r="S150" s="494"/>
      <c r="T150" s="441"/>
      <c r="U150" s="441"/>
      <c r="V150" s="441"/>
      <c r="W150" s="441"/>
      <c r="X150" s="441"/>
      <c r="Y150" s="441"/>
      <c r="Z150" s="441"/>
      <c r="AA150" s="441"/>
      <c r="AB150" s="715"/>
      <c r="AC150" s="535">
        <v>1</v>
      </c>
    </row>
    <row r="151" spans="1:29" ht="15.95" hidden="1" customHeight="1" outlineLevel="1" thickBot="1">
      <c r="A151" s="716"/>
      <c r="B151" s="679"/>
      <c r="C151" s="675"/>
      <c r="D151" s="679"/>
      <c r="E151" s="679"/>
      <c r="F151" s="679"/>
      <c r="G151" s="480"/>
      <c r="H151" s="389"/>
      <c r="I151" s="351"/>
      <c r="J151" s="351"/>
      <c r="K151" s="351"/>
      <c r="L151" s="351"/>
      <c r="M151" s="351"/>
      <c r="N151" s="351"/>
      <c r="O151" s="351"/>
      <c r="P151" s="440"/>
      <c r="Q151" s="140"/>
      <c r="R151" s="494"/>
      <c r="S151" s="494"/>
      <c r="T151" s="441"/>
      <c r="U151" s="441"/>
      <c r="V151" s="441"/>
      <c r="W151" s="441"/>
      <c r="X151" s="441"/>
      <c r="Y151" s="441"/>
      <c r="Z151" s="441"/>
      <c r="AA151" s="441"/>
      <c r="AB151" s="715"/>
      <c r="AC151" s="535">
        <v>1</v>
      </c>
    </row>
    <row r="152" spans="1:29" collapsed="1">
      <c r="A152" s="716"/>
      <c r="B152" s="713" t="s">
        <v>944</v>
      </c>
      <c r="C152" s="716" t="s">
        <v>185</v>
      </c>
      <c r="D152" s="679"/>
      <c r="E152" s="679"/>
      <c r="F152" s="680"/>
      <c r="G152" s="336" t="s">
        <v>339</v>
      </c>
      <c r="H152" s="387" t="s">
        <v>340</v>
      </c>
      <c r="I152" s="343">
        <f ca="1">IFERROR(INDEX(INDIRECT($B$152 &amp; $B$153), MATCH($C152, INDIRECT($B$139 &amp; $B$154),0), MATCH($G$3, INDIRECT($B$139 &amp; $B$155), 0)),0)</f>
        <v>241.13393122136912</v>
      </c>
      <c r="J152" s="343">
        <f t="shared" ref="J152:O152" ca="1" si="118">IFERROR(INDEX(INDIRECT($B$152 &amp; $B$153), MATCH($C152, INDIRECT($B$139 &amp; $B$154),0), MATCH($G$3, INDIRECT($B$139 &amp; $B$155), 0)),0)</f>
        <v>241.13393122136912</v>
      </c>
      <c r="K152" s="343">
        <f t="shared" ca="1" si="118"/>
        <v>241.13393122136912</v>
      </c>
      <c r="L152" s="343">
        <f t="shared" ca="1" si="118"/>
        <v>241.13393122136912</v>
      </c>
      <c r="M152" s="343">
        <f t="shared" ca="1" si="118"/>
        <v>241.13393122136912</v>
      </c>
      <c r="N152" s="343">
        <f t="shared" ca="1" si="118"/>
        <v>241.13393122136912</v>
      </c>
      <c r="O152" s="343">
        <f t="shared" ca="1" si="118"/>
        <v>241.13393122136912</v>
      </c>
      <c r="P152" s="479"/>
      <c r="Q152" s="470" t="s">
        <v>583</v>
      </c>
      <c r="R152" s="500">
        <f ca="1">INDEX(INDIRECT($S$152 &amp; $S$153), MATCH($Q152, INDIRECT($S$152 &amp; $S$154),0), MATCH($R$139, INDIRECT($S$152 &amp; $S$155),0))</f>
        <v>0.44934091103571139</v>
      </c>
      <c r="S152" s="501" t="s">
        <v>1063</v>
      </c>
      <c r="T152" s="456" t="s">
        <v>419</v>
      </c>
      <c r="U152" s="456">
        <f t="shared" ref="U152:AA155" ca="1" si="119">I152*$H$2*(1+VLOOKUP($T152,$T$137:$AA$139,MATCH(U$4,$T$4:$AA$4,0),0))*(1+U$141*$R152)</f>
        <v>241133.93122136913</v>
      </c>
      <c r="V152" s="456">
        <f t="shared" ca="1" si="119"/>
        <v>253375.92801172379</v>
      </c>
      <c r="W152" s="456">
        <f t="shared" ca="1" si="119"/>
        <v>254978.9416264238</v>
      </c>
      <c r="X152" s="456">
        <f t="shared" ca="1" si="119"/>
        <v>252658.75974772099</v>
      </c>
      <c r="Y152" s="456">
        <f t="shared" ca="1" si="119"/>
        <v>267477.90935320931</v>
      </c>
      <c r="Z152" s="456">
        <f t="shared" ca="1" si="119"/>
        <v>273438.95549983007</v>
      </c>
      <c r="AA152" s="471">
        <f t="shared" ca="1" si="119"/>
        <v>279592.29345763219</v>
      </c>
      <c r="AB152" s="678"/>
      <c r="AC152" s="535">
        <v>1</v>
      </c>
    </row>
    <row r="153" spans="1:29">
      <c r="A153" s="716"/>
      <c r="B153" s="716" t="s">
        <v>390</v>
      </c>
      <c r="C153" s="716" t="s">
        <v>183</v>
      </c>
      <c r="D153" s="679"/>
      <c r="E153" s="679"/>
      <c r="F153" s="680"/>
      <c r="G153" s="407"/>
      <c r="H153" s="389" t="s">
        <v>341</v>
      </c>
      <c r="I153" s="351">
        <f t="shared" ref="I153:O155" ca="1" si="120">IFERROR(INDEX(INDIRECT($B$152 &amp; $B$153), MATCH($C153, INDIRECT($B$139 &amp; $B$154),0), MATCH($G$3, INDIRECT($B$139 &amp; $B$155), 0)),0)</f>
        <v>336.67915165033691</v>
      </c>
      <c r="J153" s="351">
        <f t="shared" ca="1" si="120"/>
        <v>336.67915165033691</v>
      </c>
      <c r="K153" s="351">
        <f t="shared" ca="1" si="120"/>
        <v>336.67915165033691</v>
      </c>
      <c r="L153" s="351">
        <f t="shared" ca="1" si="120"/>
        <v>336.67915165033691</v>
      </c>
      <c r="M153" s="351">
        <f t="shared" ca="1" si="120"/>
        <v>336.67915165033691</v>
      </c>
      <c r="N153" s="351">
        <f t="shared" ca="1" si="120"/>
        <v>336.67915165033691</v>
      </c>
      <c r="O153" s="351">
        <f t="shared" ca="1" si="120"/>
        <v>336.67915165033691</v>
      </c>
      <c r="P153" s="435"/>
      <c r="Q153" s="11" t="s">
        <v>585</v>
      </c>
      <c r="R153" s="90">
        <f ca="1">INDEX(INDIRECT($S$152 &amp; $S$153), MATCH($Q153, INDIRECT($S$152 &amp; $S$154),0), MATCH($R$139, INDIRECT($S$152 &amp; $S$155),0))</f>
        <v>0.34884197616934026</v>
      </c>
      <c r="S153" s="494" t="s">
        <v>596</v>
      </c>
      <c r="T153" s="441" t="s">
        <v>419</v>
      </c>
      <c r="U153" s="441">
        <f t="shared" ca="1" si="119"/>
        <v>336679.15165033692</v>
      </c>
      <c r="V153" s="441">
        <f t="shared" ca="1" si="119"/>
        <v>352110.66366111918</v>
      </c>
      <c r="W153" s="441">
        <f t="shared" ca="1" si="119"/>
        <v>356010.01203217439</v>
      </c>
      <c r="X153" s="441">
        <f t="shared" ca="1" si="119"/>
        <v>355476.65236072947</v>
      </c>
      <c r="Y153" s="441">
        <f t="shared" ca="1" si="119"/>
        <v>373461.48321022221</v>
      </c>
      <c r="Z153" s="441">
        <f t="shared" ca="1" si="119"/>
        <v>381784.49254129117</v>
      </c>
      <c r="AA153" s="445">
        <f t="shared" ca="1" si="119"/>
        <v>390375.98604433006</v>
      </c>
      <c r="AB153" s="678"/>
      <c r="AC153" s="535">
        <v>1</v>
      </c>
    </row>
    <row r="154" spans="1:29">
      <c r="A154" s="716"/>
      <c r="B154" s="716" t="s">
        <v>391</v>
      </c>
      <c r="C154" s="716" t="s">
        <v>200</v>
      </c>
      <c r="D154" s="679"/>
      <c r="E154" s="679"/>
      <c r="F154" s="680"/>
      <c r="G154" s="407"/>
      <c r="H154" s="389" t="s">
        <v>201</v>
      </c>
      <c r="I154" s="351">
        <f t="shared" ca="1" si="120"/>
        <v>161.18302563299014</v>
      </c>
      <c r="J154" s="351">
        <f t="shared" ca="1" si="120"/>
        <v>161.18302563299014</v>
      </c>
      <c r="K154" s="351">
        <f t="shared" ca="1" si="120"/>
        <v>161.18302563299014</v>
      </c>
      <c r="L154" s="351">
        <f t="shared" ca="1" si="120"/>
        <v>161.18302563299014</v>
      </c>
      <c r="M154" s="351">
        <f t="shared" ca="1" si="120"/>
        <v>161.18302563299014</v>
      </c>
      <c r="N154" s="351">
        <f t="shared" ca="1" si="120"/>
        <v>161.18302563299014</v>
      </c>
      <c r="O154" s="351">
        <f t="shared" ca="1" si="120"/>
        <v>161.18302563299014</v>
      </c>
      <c r="P154" s="435"/>
      <c r="Q154" s="11" t="s">
        <v>587</v>
      </c>
      <c r="R154" s="90">
        <f ca="1">INDEX(INDIRECT($S$152 &amp; $S$153), MATCH($Q154, INDIRECT($S$152 &amp; $S$154),0), MATCH($R$139, INDIRECT($S$152 &amp; $S$155),0))</f>
        <v>0.49499865651105907</v>
      </c>
      <c r="S154" s="494" t="s">
        <v>613</v>
      </c>
      <c r="T154" s="441" t="s">
        <v>419</v>
      </c>
      <c r="U154" s="441">
        <f t="shared" ca="1" si="119"/>
        <v>161183.02563299015</v>
      </c>
      <c r="V154" s="441">
        <f t="shared" ca="1" si="119"/>
        <v>169727.33995263439</v>
      </c>
      <c r="W154" s="441">
        <f t="shared" ca="1" si="119"/>
        <v>170437.55342053022</v>
      </c>
      <c r="X154" s="441">
        <f t="shared" ca="1" si="119"/>
        <v>168298.07186680654</v>
      </c>
      <c r="Y154" s="441">
        <f t="shared" ca="1" si="119"/>
        <v>178792.33545094839</v>
      </c>
      <c r="Z154" s="441">
        <f t="shared" ca="1" si="119"/>
        <v>182776.92380391707</v>
      </c>
      <c r="AA154" s="445">
        <f t="shared" ca="1" si="119"/>
        <v>186890.04726504601</v>
      </c>
      <c r="AB154" s="678"/>
      <c r="AC154" s="535">
        <v>1</v>
      </c>
    </row>
    <row r="155" spans="1:29">
      <c r="A155" s="716"/>
      <c r="B155" s="716" t="s">
        <v>392</v>
      </c>
      <c r="C155" s="716" t="s">
        <v>202</v>
      </c>
      <c r="D155" s="679"/>
      <c r="E155" s="679"/>
      <c r="F155" s="714"/>
      <c r="G155" s="411"/>
      <c r="H155" s="396" t="s">
        <v>203</v>
      </c>
      <c r="I155" s="381">
        <f t="shared" ca="1" si="120"/>
        <v>49.729289447245442</v>
      </c>
      <c r="J155" s="381">
        <f t="shared" ca="1" si="120"/>
        <v>49.729289447245442</v>
      </c>
      <c r="K155" s="381">
        <f t="shared" ca="1" si="120"/>
        <v>49.729289447245442</v>
      </c>
      <c r="L155" s="381">
        <f t="shared" ca="1" si="120"/>
        <v>49.729289447245442</v>
      </c>
      <c r="M155" s="381">
        <f t="shared" ca="1" si="120"/>
        <v>49.729289447245442</v>
      </c>
      <c r="N155" s="381">
        <f t="shared" ca="1" si="120"/>
        <v>49.729289447245442</v>
      </c>
      <c r="O155" s="381">
        <f t="shared" ca="1" si="120"/>
        <v>49.729289447245442</v>
      </c>
      <c r="P155" s="474"/>
      <c r="Q155" s="235" t="s">
        <v>202</v>
      </c>
      <c r="R155" s="502">
        <f ca="1">INDEX(INDIRECT($S$152 &amp; $S$153), MATCH($Q155, INDIRECT($S$152 &amp; $S$154),0), MATCH($R$139, INDIRECT($S$152 &amp; $S$155),0))</f>
        <v>0.56046005250737874</v>
      </c>
      <c r="S155" s="498" t="s">
        <v>597</v>
      </c>
      <c r="T155" s="448" t="s">
        <v>419</v>
      </c>
      <c r="U155" s="448">
        <f t="shared" ca="1" si="119"/>
        <v>49729.289447245443</v>
      </c>
      <c r="V155" s="448">
        <f t="shared" ca="1" si="119"/>
        <v>52525.260558384281</v>
      </c>
      <c r="W155" s="448">
        <f t="shared" ca="1" si="119"/>
        <v>52584.559654742785</v>
      </c>
      <c r="X155" s="448">
        <f t="shared" ca="1" si="119"/>
        <v>51664.11324575582</v>
      </c>
      <c r="Y155" s="448">
        <f t="shared" ca="1" si="119"/>
        <v>55162.234147622337</v>
      </c>
      <c r="Z155" s="448">
        <f t="shared" ca="1" si="119"/>
        <v>56391.586598072587</v>
      </c>
      <c r="AA155" s="475">
        <f t="shared" ca="1" si="119"/>
        <v>57660.595579182518</v>
      </c>
      <c r="AB155" s="678"/>
      <c r="AC155" s="535">
        <v>1</v>
      </c>
    </row>
    <row r="156" spans="1:29" ht="15" hidden="1" customHeight="1" outlineLevel="1" thickBot="1">
      <c r="A156" s="716"/>
      <c r="B156" s="716"/>
      <c r="C156" s="716"/>
      <c r="D156" s="679"/>
      <c r="E156" s="679"/>
      <c r="F156" s="679"/>
      <c r="G156" s="407"/>
      <c r="H156" s="389"/>
      <c r="I156" s="351"/>
      <c r="J156" s="351"/>
      <c r="K156" s="351"/>
      <c r="L156" s="351"/>
      <c r="M156" s="351"/>
      <c r="N156" s="351"/>
      <c r="O156" s="351"/>
      <c r="P156" s="435"/>
      <c r="Q156" s="482"/>
      <c r="R156" s="482"/>
      <c r="S156" s="482"/>
      <c r="T156" s="482"/>
      <c r="U156" s="503"/>
      <c r="V156" s="504"/>
      <c r="W156" s="504"/>
      <c r="X156" s="504"/>
      <c r="Y156" s="504"/>
      <c r="Z156" s="504"/>
      <c r="AA156" s="504"/>
      <c r="AB156" s="678"/>
      <c r="AC156" s="535">
        <v>0</v>
      </c>
    </row>
    <row r="157" spans="1:29" collapsed="1">
      <c r="A157" s="535"/>
      <c r="B157" s="675" t="str">
        <f>'K-12_assumptions'!K5</f>
        <v>Full QEM</v>
      </c>
      <c r="C157" s="675" t="s">
        <v>936</v>
      </c>
      <c r="D157" s="675">
        <v>190</v>
      </c>
      <c r="E157" s="675"/>
      <c r="F157" s="686"/>
      <c r="G157" s="505" t="s">
        <v>604</v>
      </c>
      <c r="H157" s="506" t="s">
        <v>605</v>
      </c>
      <c r="I157" s="455" t="s">
        <v>607</v>
      </c>
      <c r="J157" s="470"/>
      <c r="K157" s="470"/>
      <c r="L157" s="470"/>
      <c r="M157" s="470"/>
      <c r="N157" s="470"/>
      <c r="O157" s="470"/>
      <c r="P157" s="507">
        <f ca="1">(SUM($U$23:$U$35)+$U$63-((SUM(I$23:I$35)+I$63)*U$17))/$H$2/$H$158</f>
        <v>32.298718718212371</v>
      </c>
      <c r="Q157" s="470"/>
      <c r="R157" s="470"/>
      <c r="S157" s="470"/>
      <c r="T157" s="470"/>
      <c r="U157" s="456"/>
      <c r="V157" s="456"/>
      <c r="W157" s="456"/>
      <c r="X157" s="456"/>
      <c r="Y157" s="456"/>
      <c r="Z157" s="456"/>
      <c r="AA157" s="471"/>
      <c r="AB157" s="535"/>
      <c r="AC157" s="535"/>
    </row>
    <row r="158" spans="1:29">
      <c r="A158" s="535"/>
      <c r="B158" s="675"/>
      <c r="C158" s="675" t="s">
        <v>5</v>
      </c>
      <c r="D158" s="675">
        <v>193</v>
      </c>
      <c r="E158" s="675"/>
      <c r="F158" s="686"/>
      <c r="G158" s="508"/>
      <c r="H158" s="330">
        <f>VLOOKUP($B$157, $C$157:$D$160,2,0)</f>
        <v>193</v>
      </c>
      <c r="I158" s="499" t="s">
        <v>608</v>
      </c>
      <c r="P158" s="509">
        <f ca="1">(SUM($U$68:$U$86)+$U$63-((SUM(I$68:I$86)+I$63)*U$17))/$H$2/$H$158</f>
        <v>9.406242779690956</v>
      </c>
      <c r="U158" s="441"/>
      <c r="V158" s="441"/>
      <c r="W158" s="441"/>
      <c r="X158" s="441"/>
      <c r="Y158" s="441"/>
      <c r="Z158" s="441"/>
      <c r="AA158" s="445"/>
      <c r="AB158" s="535"/>
      <c r="AC158" s="535"/>
    </row>
    <row r="159" spans="1:29">
      <c r="A159" s="535"/>
      <c r="B159" s="675"/>
      <c r="C159" s="675" t="s">
        <v>4</v>
      </c>
      <c r="D159" s="675">
        <v>190</v>
      </c>
      <c r="E159" s="675"/>
      <c r="F159" s="686"/>
      <c r="G159" s="508"/>
      <c r="H159" s="447"/>
      <c r="I159" s="460" t="s">
        <v>609</v>
      </c>
      <c r="J159" s="235"/>
      <c r="K159" s="235"/>
      <c r="L159" s="235"/>
      <c r="M159" s="235"/>
      <c r="N159" s="235"/>
      <c r="O159" s="235"/>
      <c r="P159" s="510">
        <f ca="1">($U$90-(I$90*U$17))/$H$2/$H$158</f>
        <v>1.0264577543700966</v>
      </c>
      <c r="Q159" s="235"/>
      <c r="R159" s="235"/>
      <c r="S159" s="235"/>
      <c r="T159" s="235"/>
      <c r="U159" s="448"/>
      <c r="V159" s="448"/>
      <c r="W159" s="448"/>
      <c r="X159" s="448"/>
      <c r="Y159" s="448"/>
      <c r="Z159" s="448"/>
      <c r="AA159" s="475"/>
      <c r="AB159" s="535"/>
      <c r="AC159" s="535"/>
    </row>
    <row r="160" spans="1:29">
      <c r="A160" s="535"/>
      <c r="B160" s="675"/>
      <c r="C160" s="675" t="s">
        <v>129</v>
      </c>
      <c r="D160" s="675">
        <v>190</v>
      </c>
      <c r="E160" s="675"/>
      <c r="F160" s="686"/>
      <c r="G160" s="508"/>
      <c r="H160" s="506" t="s">
        <v>606</v>
      </c>
      <c r="I160" s="455" t="s">
        <v>610</v>
      </c>
      <c r="J160" s="470"/>
      <c r="K160" s="470"/>
      <c r="L160" s="470"/>
      <c r="M160" s="470"/>
      <c r="N160" s="470"/>
      <c r="O160" s="470"/>
      <c r="P160" s="511">
        <f ca="1">SUMIFS(U$140:U$149, $AC$140:$AC$149,1)/$H$2/$H$161</f>
        <v>16.663216189655486</v>
      </c>
      <c r="Q160" s="470"/>
      <c r="R160" s="470"/>
      <c r="S160" s="470"/>
      <c r="T160" s="470"/>
      <c r="U160" s="456"/>
      <c r="V160" s="456"/>
      <c r="W160" s="456"/>
      <c r="X160" s="456"/>
      <c r="Y160" s="456"/>
      <c r="Z160" s="456"/>
      <c r="AA160" s="471"/>
      <c r="AB160" s="535"/>
      <c r="AC160" s="535"/>
    </row>
    <row r="161" spans="1:29">
      <c r="A161" s="535"/>
      <c r="B161" s="675"/>
      <c r="C161" s="675"/>
      <c r="D161" s="675"/>
      <c r="E161" s="675"/>
      <c r="F161" s="686"/>
      <c r="G161" s="508"/>
      <c r="H161" s="330">
        <v>260</v>
      </c>
      <c r="I161" s="499" t="s">
        <v>611</v>
      </c>
      <c r="P161" s="512">
        <f ca="1">SUMIFS(U$152:U$155, $AC$152:$AC$155,1)/$H$2/$H$161</f>
        <v>3.0335592228920829</v>
      </c>
      <c r="U161" s="441"/>
      <c r="V161" s="441"/>
      <c r="W161" s="441"/>
      <c r="X161" s="441"/>
      <c r="Y161" s="441"/>
      <c r="Z161" s="441"/>
      <c r="AA161" s="445"/>
      <c r="AB161" s="535"/>
      <c r="AC161" s="535"/>
    </row>
    <row r="162" spans="1:29">
      <c r="A162" s="535"/>
      <c r="B162" s="675"/>
      <c r="C162" s="675"/>
      <c r="D162" s="675"/>
      <c r="E162" s="675"/>
      <c r="F162" s="686"/>
      <c r="G162" s="508"/>
      <c r="H162" s="440"/>
      <c r="I162" s="499" t="s">
        <v>612</v>
      </c>
      <c r="P162" s="509">
        <f ca="1">SUM(P157:P161)</f>
        <v>62.428194664820992</v>
      </c>
      <c r="U162" s="441"/>
      <c r="V162" s="441"/>
      <c r="W162" s="441"/>
      <c r="X162" s="441"/>
      <c r="Y162" s="441"/>
      <c r="Z162" s="441"/>
      <c r="AA162" s="445"/>
      <c r="AB162" s="535"/>
      <c r="AC162" s="535"/>
    </row>
    <row r="163" spans="1:29" ht="15" hidden="1" customHeight="1" outlineLevel="1">
      <c r="A163" s="716"/>
      <c r="B163" s="716"/>
      <c r="C163" s="716"/>
      <c r="D163" s="679"/>
      <c r="E163" s="679"/>
      <c r="F163" s="679"/>
      <c r="G163" s="407"/>
      <c r="H163" s="389"/>
      <c r="I163" s="351"/>
      <c r="J163" s="351"/>
      <c r="K163" s="351"/>
      <c r="L163" s="351"/>
      <c r="M163" s="351"/>
      <c r="N163" s="351"/>
      <c r="O163" s="351"/>
      <c r="P163" s="435"/>
      <c r="Q163" s="482"/>
      <c r="R163" s="482"/>
      <c r="S163" s="482"/>
      <c r="T163" s="482"/>
      <c r="U163" s="503"/>
      <c r="V163" s="504"/>
      <c r="W163" s="504"/>
      <c r="X163" s="504"/>
      <c r="Y163" s="504"/>
      <c r="Z163" s="504"/>
      <c r="AA163" s="513"/>
      <c r="AB163" s="678"/>
      <c r="AC163" s="535">
        <v>0</v>
      </c>
    </row>
    <row r="164" spans="1:29" ht="15" hidden="1" customHeight="1" outlineLevel="1">
      <c r="A164" s="716"/>
      <c r="B164" s="535"/>
      <c r="C164" s="535" t="str">
        <f>LEFT($G$3,1) &amp; "S" &amp; D164</f>
        <v>HS_InstructionDays</v>
      </c>
      <c r="D164" s="679" t="s">
        <v>603</v>
      </c>
      <c r="E164" s="679"/>
      <c r="F164" s="679"/>
      <c r="G164" s="407"/>
      <c r="H164" s="389"/>
      <c r="I164" s="472">
        <f t="shared" ref="I164:O164" ca="1" si="121">INDEX(INDIRECT($B$166 &amp; $B$167), MATCH($C164, INDIRECT($B$166 &amp; $B$168),0), MATCH(I$4, INDIRECT($B$166 &amp; $B$169), 0))</f>
        <v>172</v>
      </c>
      <c r="J164" s="472">
        <f t="shared" ca="1" si="121"/>
        <v>172</v>
      </c>
      <c r="K164" s="472">
        <f t="shared" ca="1" si="121"/>
        <v>172</v>
      </c>
      <c r="L164" s="472">
        <f t="shared" ca="1" si="121"/>
        <v>172</v>
      </c>
      <c r="M164" s="472">
        <f t="shared" ca="1" si="121"/>
        <v>172</v>
      </c>
      <c r="N164" s="472">
        <f t="shared" ca="1" si="121"/>
        <v>172</v>
      </c>
      <c r="O164" s="472">
        <f t="shared" ca="1" si="121"/>
        <v>172</v>
      </c>
      <c r="P164" s="496"/>
      <c r="Q164" s="482"/>
      <c r="R164" s="482"/>
      <c r="S164" s="482"/>
      <c r="T164" s="482"/>
      <c r="U164" s="503"/>
      <c r="V164" s="504"/>
      <c r="W164" s="504"/>
      <c r="X164" s="504"/>
      <c r="Y164" s="504"/>
      <c r="Z164" s="504"/>
      <c r="AA164" s="513"/>
      <c r="AB164" s="678"/>
      <c r="AC164" s="535">
        <v>0</v>
      </c>
    </row>
    <row r="165" spans="1:29" ht="15.95" hidden="1" customHeight="1" outlineLevel="1" thickBot="1">
      <c r="A165" s="716"/>
      <c r="B165" s="679"/>
      <c r="C165" s="535" t="str">
        <f>LEFT($G$3,1) &amp; "S" &amp; D165</f>
        <v>HS_InstructionDays</v>
      </c>
      <c r="D165" s="679" t="s">
        <v>603</v>
      </c>
      <c r="E165" s="679" t="s">
        <v>8</v>
      </c>
      <c r="F165" s="679"/>
      <c r="G165" s="407"/>
      <c r="H165" s="389"/>
      <c r="I165" s="472">
        <f ca="1">INDEX(INDIRECT($B$166 &amp; $B$167), MATCH($C165, INDIRECT($B$166 &amp; $B$168),0), MATCH($E$165, INDIRECT($B$166 &amp; $B$169), 0))</f>
        <v>172</v>
      </c>
      <c r="J165" s="472">
        <f t="shared" ref="J165:O165" ca="1" si="122">INDEX(INDIRECT($B$166 &amp; $B$167), MATCH($C165, INDIRECT($B$166 &amp; $B$168),0), MATCH($E$165, INDIRECT($B$166 &amp; $B$169), 0))</f>
        <v>172</v>
      </c>
      <c r="K165" s="472">
        <f t="shared" ca="1" si="122"/>
        <v>172</v>
      </c>
      <c r="L165" s="472">
        <f t="shared" ca="1" si="122"/>
        <v>172</v>
      </c>
      <c r="M165" s="472">
        <f t="shared" ca="1" si="122"/>
        <v>172</v>
      </c>
      <c r="N165" s="472">
        <f t="shared" ca="1" si="122"/>
        <v>172</v>
      </c>
      <c r="O165" s="472">
        <f t="shared" ca="1" si="122"/>
        <v>172</v>
      </c>
      <c r="P165" s="496"/>
      <c r="Q165" s="482"/>
      <c r="R165" s="482"/>
      <c r="S165" s="482"/>
      <c r="T165" s="482"/>
      <c r="U165" s="503"/>
      <c r="V165" s="504"/>
      <c r="W165" s="504"/>
      <c r="X165" s="504"/>
      <c r="Y165" s="504"/>
      <c r="Z165" s="504"/>
      <c r="AA165" s="513"/>
      <c r="AB165" s="678"/>
      <c r="AC165" s="535">
        <v>0</v>
      </c>
    </row>
    <row r="166" spans="1:29" collapsed="1">
      <c r="A166" s="716"/>
      <c r="B166" s="679" t="s">
        <v>385</v>
      </c>
      <c r="C166" s="535"/>
      <c r="D166" s="679"/>
      <c r="E166" s="679"/>
      <c r="F166" s="680"/>
      <c r="G166" s="416" t="s">
        <v>342</v>
      </c>
      <c r="H166" s="514"/>
      <c r="I166" s="515">
        <f ca="1">I164-I165</f>
        <v>0</v>
      </c>
      <c r="J166" s="515">
        <f t="shared" ref="J166:O166" ca="1" si="123">J164-J165</f>
        <v>0</v>
      </c>
      <c r="K166" s="515">
        <f t="shared" ca="1" si="123"/>
        <v>0</v>
      </c>
      <c r="L166" s="515">
        <f t="shared" ca="1" si="123"/>
        <v>0</v>
      </c>
      <c r="M166" s="515">
        <f t="shared" ca="1" si="123"/>
        <v>0</v>
      </c>
      <c r="N166" s="515">
        <f t="shared" ca="1" si="123"/>
        <v>0</v>
      </c>
      <c r="O166" s="515">
        <f t="shared" ca="1" si="123"/>
        <v>0</v>
      </c>
      <c r="P166" s="516"/>
      <c r="Q166" s="517"/>
      <c r="R166" s="517"/>
      <c r="S166" s="517"/>
      <c r="T166" s="517"/>
      <c r="U166" s="518">
        <f ca="1">I$166*$P$162 * $H$2</f>
        <v>0</v>
      </c>
      <c r="V166" s="518">
        <f t="shared" ref="V166:AA166" ca="1" si="124">J$166*$P$162 * $H$2</f>
        <v>0</v>
      </c>
      <c r="W166" s="518">
        <f t="shared" ca="1" si="124"/>
        <v>0</v>
      </c>
      <c r="X166" s="518">
        <f t="shared" ca="1" si="124"/>
        <v>0</v>
      </c>
      <c r="Y166" s="518">
        <f t="shared" ca="1" si="124"/>
        <v>0</v>
      </c>
      <c r="Z166" s="518">
        <f t="shared" ca="1" si="124"/>
        <v>0</v>
      </c>
      <c r="AA166" s="519">
        <f t="shared" ca="1" si="124"/>
        <v>0</v>
      </c>
      <c r="AB166" s="678"/>
      <c r="AC166" s="535">
        <v>1</v>
      </c>
    </row>
    <row r="167" spans="1:29" ht="15.95" hidden="1" customHeight="1" outlineLevel="1" thickBot="1">
      <c r="A167" s="716"/>
      <c r="B167" s="679" t="s">
        <v>414</v>
      </c>
      <c r="C167" s="535"/>
      <c r="D167" s="679"/>
      <c r="E167" s="679"/>
      <c r="F167" s="679"/>
      <c r="G167" s="345"/>
      <c r="H167" s="389"/>
      <c r="I167" s="520"/>
      <c r="J167" s="520"/>
      <c r="K167" s="520"/>
      <c r="L167" s="520"/>
      <c r="M167" s="520"/>
      <c r="N167" s="520"/>
      <c r="O167" s="520"/>
      <c r="P167" s="521"/>
      <c r="Q167" s="520"/>
      <c r="R167" s="520"/>
      <c r="S167" s="520"/>
      <c r="T167" s="520"/>
      <c r="U167" s="504"/>
      <c r="V167" s="504"/>
      <c r="W167" s="504"/>
      <c r="X167" s="504"/>
      <c r="Y167" s="504"/>
      <c r="Z167" s="504"/>
      <c r="AA167" s="504"/>
      <c r="AB167" s="678"/>
      <c r="AC167" s="535">
        <v>0</v>
      </c>
    </row>
    <row r="168" spans="1:29" collapsed="1">
      <c r="A168" s="716" t="s">
        <v>343</v>
      </c>
      <c r="B168" s="535" t="s">
        <v>415</v>
      </c>
      <c r="C168" s="535"/>
      <c r="D168" s="535"/>
      <c r="E168" s="535"/>
      <c r="F168" s="677"/>
      <c r="G168" s="522" t="s">
        <v>343</v>
      </c>
      <c r="H168" s="516"/>
      <c r="I168" s="421"/>
      <c r="J168" s="421"/>
      <c r="K168" s="421"/>
      <c r="L168" s="421"/>
      <c r="M168" s="421"/>
      <c r="N168" s="421"/>
      <c r="O168" s="421"/>
      <c r="P168" s="516"/>
      <c r="Q168" s="517"/>
      <c r="R168" s="517"/>
      <c r="S168" s="517"/>
      <c r="T168" s="517"/>
      <c r="U168" s="523">
        <f t="shared" ref="U168:AA168" ca="1" si="125">SUMIFS(U$23:U$167, $AC$23:$AC$167, 1)</f>
        <v>18295246.23522301</v>
      </c>
      <c r="V168" s="523">
        <f t="shared" ca="1" si="125"/>
        <v>19338447.387603637</v>
      </c>
      <c r="W168" s="523">
        <f t="shared" ca="1" si="125"/>
        <v>20158633.663498793</v>
      </c>
      <c r="X168" s="523">
        <f t="shared" ca="1" si="125"/>
        <v>22170042.211364198</v>
      </c>
      <c r="Y168" s="523">
        <f t="shared" ca="1" si="125"/>
        <v>23086992.392568618</v>
      </c>
      <c r="Z168" s="523">
        <f t="shared" ca="1" si="125"/>
        <v>21962084.69598357</v>
      </c>
      <c r="AA168" s="524">
        <f t="shared" ca="1" si="125"/>
        <v>22710569.917921413</v>
      </c>
      <c r="AB168" s="678"/>
      <c r="AC168" s="535"/>
    </row>
    <row r="169" spans="1:29">
      <c r="A169" s="716" t="s">
        <v>344</v>
      </c>
      <c r="B169" s="535" t="s">
        <v>416</v>
      </c>
      <c r="C169" s="535"/>
      <c r="D169" s="535"/>
      <c r="E169" s="535"/>
      <c r="F169" s="677"/>
      <c r="G169" s="522" t="s">
        <v>344</v>
      </c>
      <c r="H169" s="516"/>
      <c r="I169" s="421"/>
      <c r="J169" s="421"/>
      <c r="K169" s="421"/>
      <c r="L169" s="421"/>
      <c r="M169" s="421"/>
      <c r="N169" s="421"/>
      <c r="O169" s="421"/>
      <c r="P169" s="516"/>
      <c r="Q169" s="517"/>
      <c r="R169" s="517"/>
      <c r="S169" s="517"/>
      <c r="T169" s="517"/>
      <c r="U169" s="525">
        <f ca="1">U168/$H$2</f>
        <v>18295.24623522301</v>
      </c>
      <c r="V169" s="525">
        <f t="shared" ref="V169:AA169" ca="1" si="126">V168/$H$2</f>
        <v>19338.447387603635</v>
      </c>
      <c r="W169" s="525">
        <f t="shared" ca="1" si="126"/>
        <v>20158.633663498793</v>
      </c>
      <c r="X169" s="525">
        <f t="shared" ca="1" si="126"/>
        <v>22170.042211364198</v>
      </c>
      <c r="Y169" s="525">
        <f t="shared" ca="1" si="126"/>
        <v>23086.99239256862</v>
      </c>
      <c r="Z169" s="525">
        <f t="shared" ca="1" si="126"/>
        <v>21962.084695983569</v>
      </c>
      <c r="AA169" s="526">
        <f t="shared" ca="1" si="126"/>
        <v>22710.569917921413</v>
      </c>
      <c r="AB169" s="678"/>
      <c r="AC169" s="535"/>
    </row>
    <row r="170" spans="1:29" ht="15.95" hidden="1" customHeight="1" outlineLevel="1" thickBot="1">
      <c r="A170" s="416"/>
      <c r="B170" s="416"/>
      <c r="C170" s="416"/>
      <c r="D170" s="416"/>
      <c r="E170" s="416"/>
      <c r="F170" s="416"/>
      <c r="G170" s="345"/>
      <c r="H170" s="345"/>
      <c r="I170" s="527"/>
      <c r="J170" s="527"/>
      <c r="K170" s="527"/>
      <c r="L170" s="527"/>
      <c r="M170" s="527"/>
      <c r="N170" s="527"/>
      <c r="O170" s="527"/>
      <c r="P170" s="345"/>
      <c r="Q170" s="527"/>
      <c r="R170" s="527"/>
      <c r="S170" s="527"/>
      <c r="T170" s="365" t="s">
        <v>598</v>
      </c>
      <c r="U170" s="347">
        <f ca="1">INDEX(INDIRECT($S$146 &amp; $S$147), MATCH($T170, INDIRECT($S$146 &amp; $S$148),0), MATCH(U$4, INDIRECT($S$146 &amp; $S$149),0))</f>
        <v>0</v>
      </c>
      <c r="V170" s="347">
        <f t="shared" ref="V170:AA170" ca="1" si="127">INDEX(INDIRECT($S$146 &amp; $S$147), MATCH($T170, INDIRECT($S$146 &amp; $S$148),0), MATCH(V$4, INDIRECT($S$146 &amp; $S$149),0))</f>
        <v>4.7724750277469585E-2</v>
      </c>
      <c r="W170" s="347">
        <f t="shared" ca="1" si="127"/>
        <v>0</v>
      </c>
      <c r="X170" s="347">
        <f t="shared" ca="1" si="127"/>
        <v>-7.3799435028248705E-2</v>
      </c>
      <c r="Y170" s="347">
        <f t="shared" ca="1" si="127"/>
        <v>0</v>
      </c>
      <c r="Z170" s="347">
        <f t="shared" ca="1" si="127"/>
        <v>0</v>
      </c>
      <c r="AA170" s="347">
        <f t="shared" ca="1" si="127"/>
        <v>0</v>
      </c>
      <c r="AB170" s="717"/>
      <c r="AC170" s="535"/>
    </row>
    <row r="171" spans="1:29" collapsed="1">
      <c r="A171" s="416"/>
      <c r="B171" s="680"/>
      <c r="C171" s="691" t="s">
        <v>123</v>
      </c>
      <c r="D171" s="679"/>
      <c r="E171" s="679"/>
      <c r="F171" s="680"/>
      <c r="G171" s="336" t="s">
        <v>345</v>
      </c>
      <c r="H171" s="387" t="s">
        <v>213</v>
      </c>
      <c r="I171" s="343">
        <f t="shared" ref="I171:O175" ca="1" si="128">INDEX(INDIRECT($B$166 &amp; $B$167), MATCH($C171, INDIRECT($B$166 &amp; $B$168),0), MATCH(I$4, INDIRECT($B$166 &amp; $B$169),0))</f>
        <v>561.69148625945911</v>
      </c>
      <c r="J171" s="343">
        <f t="shared" ca="1" si="128"/>
        <v>577.81660069752968</v>
      </c>
      <c r="K171" s="343">
        <f t="shared" ca="1" si="128"/>
        <v>577.81660069752968</v>
      </c>
      <c r="L171" s="343">
        <f t="shared" ca="1" si="128"/>
        <v>577.81660069752968</v>
      </c>
      <c r="M171" s="343">
        <f t="shared" ca="1" si="128"/>
        <v>577.81660069752968</v>
      </c>
      <c r="N171" s="343">
        <f t="shared" ca="1" si="128"/>
        <v>577.81660069752968</v>
      </c>
      <c r="O171" s="343">
        <f t="shared" ca="1" si="128"/>
        <v>577.81660069752968</v>
      </c>
      <c r="P171" s="479"/>
      <c r="Q171" s="528" t="s">
        <v>123</v>
      </c>
      <c r="R171" s="453">
        <f ca="1">INDEX(INDIRECT($S$171 &amp; $S$172), MATCH($Q171, INDIRECT($S$171 &amp; $S$173),0), MATCH($R$139, INDIRECT($S$171 &amp; $S$174),0))</f>
        <v>0.5056927606954541</v>
      </c>
      <c r="S171" s="529" t="s">
        <v>1063</v>
      </c>
      <c r="T171" s="530" t="s">
        <v>568</v>
      </c>
      <c r="U171" s="456">
        <f ca="1">I171*$H$2*(1+VLOOKUP($T171,$T$137:$AA$139,MATCH(U$4,$T$4:$AA$4,0),0))*(1+U$141*$R171)</f>
        <v>592035.46282378945</v>
      </c>
      <c r="V171" s="456">
        <f t="shared" ref="V171:AA171" ca="1" si="129">J171*$H$2*(1+VLOOKUP($T171,$T$137:$AA$139,MATCH(V$4,$T$4:$AA$4,0),0))*(1+V$141*$R171)</f>
        <v>657425.56174920104</v>
      </c>
      <c r="W171" s="456">
        <f t="shared" ca="1" si="129"/>
        <v>676611.93849953217</v>
      </c>
      <c r="X171" s="456">
        <f t="shared" ca="1" si="129"/>
        <v>686549.03079176694</v>
      </c>
      <c r="Y171" s="456">
        <f t="shared" ca="1" si="129"/>
        <v>751691.11586768366</v>
      </c>
      <c r="Z171" s="456">
        <f t="shared" ca="1" si="129"/>
        <v>792299.3468298458</v>
      </c>
      <c r="AA171" s="471">
        <f t="shared" ca="1" si="129"/>
        <v>835101.33582248958</v>
      </c>
      <c r="AB171" s="678"/>
      <c r="AC171" s="535"/>
    </row>
    <row r="172" spans="1:29">
      <c r="A172" s="416"/>
      <c r="B172" s="680"/>
      <c r="C172" s="691" t="s">
        <v>124</v>
      </c>
      <c r="D172" s="679"/>
      <c r="E172" s="679"/>
      <c r="F172" s="680"/>
      <c r="G172" s="345"/>
      <c r="H172" s="389" t="s">
        <v>214</v>
      </c>
      <c r="I172" s="351">
        <f t="shared" ca="1" si="128"/>
        <v>269.59081319019515</v>
      </c>
      <c r="J172" s="351">
        <f t="shared" ca="1" si="128"/>
        <v>279.29608246504216</v>
      </c>
      <c r="K172" s="351">
        <f t="shared" ca="1" si="128"/>
        <v>279.29608246504216</v>
      </c>
      <c r="L172" s="351">
        <f t="shared" ca="1" si="128"/>
        <v>279.29608246504216</v>
      </c>
      <c r="M172" s="351">
        <f t="shared" ca="1" si="128"/>
        <v>279.29608246504216</v>
      </c>
      <c r="N172" s="351">
        <f t="shared" ca="1" si="128"/>
        <v>279.29608246504216</v>
      </c>
      <c r="O172" s="351">
        <f t="shared" ca="1" si="128"/>
        <v>279.29608246504216</v>
      </c>
      <c r="P172" s="435"/>
      <c r="Q172" s="10" t="s">
        <v>590</v>
      </c>
      <c r="R172" s="402">
        <f ca="1">INDEX(INDIRECT($S$171 &amp; $S$172), MATCH($Q172, INDIRECT($S$171 &amp; $S$173),0), MATCH($R$139, INDIRECT($S$171 &amp; $S$174),0))</f>
        <v>0.39705621942378394</v>
      </c>
      <c r="S172" s="423" t="s">
        <v>596</v>
      </c>
      <c r="T172" s="423" t="s">
        <v>419</v>
      </c>
      <c r="U172" s="441">
        <f ca="1">I172*$H$2*(1+VLOOKUP($T172,$T$137:$AA$139,MATCH(U$4,$T$4:$AA$4,0),0))*(1+U$141*$R172)</f>
        <v>269590.81319019513</v>
      </c>
      <c r="V172" s="441">
        <f t="shared" ref="V172:AA172" ca="1" si="130">J172*$H$2*(1+VLOOKUP($T172,$T$137:$AA$139,MATCH(V$4,$T$4:$AA$4,0),0))*(1+V$141*$R172)</f>
        <v>292758.58516886865</v>
      </c>
      <c r="W172" s="441">
        <f t="shared" ca="1" si="130"/>
        <v>295332.22117116896</v>
      </c>
      <c r="X172" s="441">
        <f t="shared" ca="1" si="130"/>
        <v>293812.76784661843</v>
      </c>
      <c r="Y172" s="441">
        <f t="shared" ca="1" si="130"/>
        <v>309809.29083642241</v>
      </c>
      <c r="Z172" s="441">
        <f t="shared" ca="1" si="130"/>
        <v>316713.73944600479</v>
      </c>
      <c r="AA172" s="445">
        <f t="shared" ca="1" si="130"/>
        <v>323840.91220428341</v>
      </c>
      <c r="AB172" s="678"/>
      <c r="AC172" s="535"/>
    </row>
    <row r="173" spans="1:29">
      <c r="A173" s="416"/>
      <c r="B173" s="680"/>
      <c r="C173" s="691" t="s">
        <v>125</v>
      </c>
      <c r="D173" s="679"/>
      <c r="E173" s="679"/>
      <c r="F173" s="680"/>
      <c r="G173" s="345"/>
      <c r="H173" s="389" t="s">
        <v>215</v>
      </c>
      <c r="I173" s="351">
        <f t="shared" ca="1" si="128"/>
        <v>92.31574193489989</v>
      </c>
      <c r="J173" s="351">
        <f t="shared" ca="1" si="128"/>
        <v>94.965954622026203</v>
      </c>
      <c r="K173" s="351">
        <f t="shared" ca="1" si="128"/>
        <v>94.965954622026203</v>
      </c>
      <c r="L173" s="351">
        <f t="shared" ca="1" si="128"/>
        <v>94.965954622026203</v>
      </c>
      <c r="M173" s="351">
        <f t="shared" ca="1" si="128"/>
        <v>94.965954622026203</v>
      </c>
      <c r="N173" s="351">
        <f t="shared" ca="1" si="128"/>
        <v>94.965954622026203</v>
      </c>
      <c r="O173" s="351">
        <f t="shared" ca="1" si="128"/>
        <v>94.965954622026203</v>
      </c>
      <c r="P173" s="435"/>
      <c r="Q173" s="10" t="s">
        <v>592</v>
      </c>
      <c r="R173" s="402">
        <f ca="1">INDEX(INDIRECT($S$171 &amp; $S$172), MATCH($Q173, INDIRECT($S$171 &amp; $S$173),0), MATCH($R$139, INDIRECT($S$171 &amp; $S$174),0))</f>
        <v>0.36106412342112754</v>
      </c>
      <c r="S173" s="423" t="s">
        <v>613</v>
      </c>
      <c r="T173" s="423" t="s">
        <v>419</v>
      </c>
      <c r="U173" s="441">
        <f t="shared" ref="U173:AA174" ca="1" si="131">I173*$H$2*(1+VLOOKUP($T173,$T$137:$AA$139,MATCH(U$4,$T$4:$AA$4,0),0))*(1+U$141*$R173)</f>
        <v>92315.741934899896</v>
      </c>
      <c r="V173" s="441">
        <f t="shared" ca="1" si="131"/>
        <v>99375.65303752973</v>
      </c>
      <c r="W173" s="441">
        <f t="shared" ca="1" si="131"/>
        <v>100418.54531802768</v>
      </c>
      <c r="X173" s="441">
        <f t="shared" ca="1" si="131"/>
        <v>100175.27191180152</v>
      </c>
      <c r="Y173" s="441">
        <f t="shared" ca="1" si="131"/>
        <v>105341.02302969573</v>
      </c>
      <c r="Z173" s="441">
        <f t="shared" ca="1" si="131"/>
        <v>107688.66624602971</v>
      </c>
      <c r="AA173" s="445">
        <f t="shared" ca="1" si="131"/>
        <v>110112.03988869705</v>
      </c>
      <c r="AB173" s="678"/>
      <c r="AC173" s="535"/>
    </row>
    <row r="174" spans="1:29">
      <c r="A174" s="416"/>
      <c r="B174" s="680"/>
      <c r="C174" s="691" t="s">
        <v>126</v>
      </c>
      <c r="D174" s="679"/>
      <c r="E174" s="679"/>
      <c r="F174" s="680"/>
      <c r="G174" s="345"/>
      <c r="H174" s="389" t="s">
        <v>216</v>
      </c>
      <c r="I174" s="351">
        <f t="shared" ca="1" si="128"/>
        <v>71.20107681306348</v>
      </c>
      <c r="J174" s="351">
        <f t="shared" ca="1" si="128"/>
        <v>71.20107681306348</v>
      </c>
      <c r="K174" s="351">
        <f t="shared" ca="1" si="128"/>
        <v>71.20107681306348</v>
      </c>
      <c r="L174" s="351">
        <f t="shared" ca="1" si="128"/>
        <v>71.20107681306348</v>
      </c>
      <c r="M174" s="351">
        <f t="shared" ca="1" si="128"/>
        <v>71.20107681306348</v>
      </c>
      <c r="N174" s="351">
        <f t="shared" ca="1" si="128"/>
        <v>71.20107681306348</v>
      </c>
      <c r="O174" s="351">
        <f t="shared" ca="1" si="128"/>
        <v>71.20107681306348</v>
      </c>
      <c r="P174" s="435"/>
      <c r="Q174" s="10" t="s">
        <v>594</v>
      </c>
      <c r="R174" s="402">
        <f ca="1">INDEX(INDIRECT($S$171 &amp; $S$172), MATCH($Q174, INDIRECT($S$171 &amp; $S$173),0), MATCH($R$139, INDIRECT($S$171 &amp; $S$174),0))</f>
        <v>0.3610308294638373</v>
      </c>
      <c r="S174" s="423" t="s">
        <v>597</v>
      </c>
      <c r="T174" s="423" t="s">
        <v>419</v>
      </c>
      <c r="U174" s="441">
        <f t="shared" ca="1" si="131"/>
        <v>71201.076813063482</v>
      </c>
      <c r="V174" s="441">
        <f t="shared" ca="1" si="131"/>
        <v>74507.148178066214</v>
      </c>
      <c r="W174" s="441">
        <f t="shared" ca="1" si="131"/>
        <v>75289.176917162811</v>
      </c>
      <c r="X174" s="441">
        <f t="shared" ca="1" si="131"/>
        <v>75106.971373295906</v>
      </c>
      <c r="Y174" s="441">
        <f t="shared" ca="1" si="131"/>
        <v>78979.822844474722</v>
      </c>
      <c r="Z174" s="441">
        <f t="shared" ca="1" si="131"/>
        <v>80739.977055961936</v>
      </c>
      <c r="AA174" s="445">
        <f t="shared" ca="1" si="131"/>
        <v>82556.910435561658</v>
      </c>
      <c r="AB174" s="678"/>
      <c r="AC174" s="535"/>
    </row>
    <row r="175" spans="1:29">
      <c r="A175" s="416"/>
      <c r="B175" s="680"/>
      <c r="C175" s="691" t="s">
        <v>127</v>
      </c>
      <c r="D175" s="679"/>
      <c r="E175" s="679"/>
      <c r="F175" s="680"/>
      <c r="G175" s="356"/>
      <c r="H175" s="396" t="s">
        <v>217</v>
      </c>
      <c r="I175" s="381">
        <f t="shared" ca="1" si="128"/>
        <v>144.06795322060901</v>
      </c>
      <c r="J175" s="381">
        <f t="shared" ca="1" si="128"/>
        <v>144.58708149915898</v>
      </c>
      <c r="K175" s="381">
        <f t="shared" ca="1" si="128"/>
        <v>144.58708149915898</v>
      </c>
      <c r="L175" s="381">
        <f t="shared" ca="1" si="128"/>
        <v>144.58708149915898</v>
      </c>
      <c r="M175" s="381">
        <f t="shared" ca="1" si="128"/>
        <v>144.58708149915898</v>
      </c>
      <c r="N175" s="381">
        <f t="shared" ca="1" si="128"/>
        <v>144.58708149915898</v>
      </c>
      <c r="O175" s="381">
        <f t="shared" ca="1" si="128"/>
        <v>144.58708149915898</v>
      </c>
      <c r="P175" s="474"/>
      <c r="Q175" s="84" t="s">
        <v>127</v>
      </c>
      <c r="R175" s="458">
        <f ca="1">INDEX(INDIRECT($S$171 &amp; $S$172), MATCH($Q175, INDIRECT($S$171 &amp; $S$173),0), MATCH($R$139, INDIRECT($S$171 &amp; $S$174),0))</f>
        <v>0.43986958249734731</v>
      </c>
      <c r="S175" s="484"/>
      <c r="T175" s="484" t="s">
        <v>419</v>
      </c>
      <c r="U175" s="448">
        <f t="shared" ref="U175:AA175" ca="1" si="132">I175*$H$2*(1+VLOOKUP($T175,$T$137:$AA$139,MATCH(U$4,$T$4:$AA$4,0),0))*(1+U$141*$R175)</f>
        <v>144067.95322060902</v>
      </c>
      <c r="V175" s="448">
        <f t="shared" ca="1" si="132"/>
        <v>151860.31200138605</v>
      </c>
      <c r="W175" s="448">
        <f t="shared" ca="1" si="132"/>
        <v>152888.73211155087</v>
      </c>
      <c r="X175" s="448">
        <f t="shared" ca="1" si="132"/>
        <v>151607.0460211825</v>
      </c>
      <c r="Y175" s="448">
        <f t="shared" ca="1" si="132"/>
        <v>160383.27780329357</v>
      </c>
      <c r="Z175" s="448">
        <f t="shared" ca="1" si="132"/>
        <v>163957.59959474011</v>
      </c>
      <c r="AA175" s="475">
        <f t="shared" ca="1" si="132"/>
        <v>167647.22208913651</v>
      </c>
      <c r="AB175" s="678"/>
      <c r="AC175" s="535"/>
    </row>
    <row r="176" spans="1:29" ht="15.95" hidden="1" customHeight="1" outlineLevel="1" thickBot="1">
      <c r="A176" s="416"/>
      <c r="B176" s="680"/>
      <c r="C176" s="691"/>
      <c r="D176" s="679"/>
      <c r="E176" s="679"/>
      <c r="F176" s="679"/>
      <c r="G176" s="345"/>
      <c r="H176" s="345"/>
      <c r="I176" s="527"/>
      <c r="J176" s="527"/>
      <c r="K176" s="527"/>
      <c r="L176" s="527"/>
      <c r="M176" s="527"/>
      <c r="N176" s="527"/>
      <c r="O176" s="527"/>
      <c r="P176" s="345"/>
      <c r="Q176" s="527"/>
      <c r="R176" s="527"/>
      <c r="S176" s="527"/>
      <c r="T176" s="527"/>
      <c r="U176" s="527"/>
      <c r="V176" s="527"/>
      <c r="W176" s="527"/>
      <c r="X176" s="527"/>
      <c r="Y176" s="527"/>
      <c r="Z176" s="527"/>
      <c r="AA176" s="527"/>
      <c r="AB176" s="416"/>
      <c r="AC176" s="535"/>
    </row>
    <row r="177" spans="1:29" collapsed="1">
      <c r="A177" s="718" t="s">
        <v>346</v>
      </c>
      <c r="B177" s="680"/>
      <c r="C177" s="691"/>
      <c r="D177" s="679"/>
      <c r="E177" s="679"/>
      <c r="F177" s="680"/>
      <c r="G177" s="532" t="s">
        <v>346</v>
      </c>
      <c r="H177" s="516"/>
      <c r="I177" s="421"/>
      <c r="J177" s="421"/>
      <c r="K177" s="421"/>
      <c r="L177" s="421"/>
      <c r="M177" s="421"/>
      <c r="N177" s="421"/>
      <c r="O177" s="421"/>
      <c r="P177" s="516"/>
      <c r="Q177" s="533"/>
      <c r="R177" s="533"/>
      <c r="S177" s="533"/>
      <c r="T177" s="533"/>
      <c r="U177" s="523">
        <f ca="1">U168+SUM(U171:U175)</f>
        <v>19464457.283205569</v>
      </c>
      <c r="V177" s="523">
        <f t="shared" ref="V177:AA177" ca="1" si="133">V168+SUM(V171:V175)</f>
        <v>20614374.647738688</v>
      </c>
      <c r="W177" s="523">
        <f t="shared" ca="1" si="133"/>
        <v>21459174.277516235</v>
      </c>
      <c r="X177" s="523">
        <f t="shared" ca="1" si="133"/>
        <v>23477293.299308863</v>
      </c>
      <c r="Y177" s="523">
        <f t="shared" ca="1" si="133"/>
        <v>24493196.92295019</v>
      </c>
      <c r="Z177" s="523">
        <f t="shared" ca="1" si="133"/>
        <v>23423484.025156152</v>
      </c>
      <c r="AA177" s="524">
        <f t="shared" ca="1" si="133"/>
        <v>24229828.33836158</v>
      </c>
      <c r="AB177" s="416"/>
      <c r="AC177" s="535"/>
    </row>
    <row r="178" spans="1:29">
      <c r="A178" s="718" t="s">
        <v>347</v>
      </c>
      <c r="B178" s="680"/>
      <c r="C178" s="691"/>
      <c r="D178" s="679"/>
      <c r="E178" s="679"/>
      <c r="F178" s="680"/>
      <c r="G178" s="532" t="s">
        <v>347</v>
      </c>
      <c r="H178" s="516"/>
      <c r="I178" s="421"/>
      <c r="J178" s="421"/>
      <c r="K178" s="421"/>
      <c r="L178" s="421"/>
      <c r="M178" s="421"/>
      <c r="N178" s="421"/>
      <c r="O178" s="421"/>
      <c r="P178" s="516"/>
      <c r="Q178" s="533"/>
      <c r="R178" s="533"/>
      <c r="S178" s="533"/>
      <c r="T178" s="533"/>
      <c r="U178" s="525">
        <f ca="1">U177/$H$2</f>
        <v>19464.457283205567</v>
      </c>
      <c r="V178" s="525">
        <f t="shared" ref="V178:AA178" ca="1" si="134">V177/$H$2</f>
        <v>20614.374647738689</v>
      </c>
      <c r="W178" s="525">
        <f t="shared" ca="1" si="134"/>
        <v>21459.174277516235</v>
      </c>
      <c r="X178" s="525">
        <f t="shared" ca="1" si="134"/>
        <v>23477.293299308862</v>
      </c>
      <c r="Y178" s="525">
        <f t="shared" ca="1" si="134"/>
        <v>24493.196922950188</v>
      </c>
      <c r="Z178" s="525">
        <f t="shared" ca="1" si="134"/>
        <v>23423.484025156151</v>
      </c>
      <c r="AA178" s="526">
        <f t="shared" ca="1" si="134"/>
        <v>24229.828338361582</v>
      </c>
      <c r="AB178" s="416"/>
      <c r="AC178" s="535"/>
    </row>
    <row r="179" spans="1:29">
      <c r="A179" s="11" t="s">
        <v>663</v>
      </c>
      <c r="G179" s="534" t="s">
        <v>1115</v>
      </c>
      <c r="H179" s="535"/>
      <c r="I179" s="536">
        <f ca="1">U179</f>
        <v>1169.2110479825569</v>
      </c>
      <c r="J179" s="536">
        <f ca="1">V179</f>
        <v>1275.9272601350531</v>
      </c>
      <c r="K179" s="536">
        <f ca="1">W179</f>
        <v>1300.5406140174418</v>
      </c>
      <c r="L179" s="536">
        <f ca="1">X179</f>
        <v>1307.2510879446636</v>
      </c>
      <c r="M179" s="536">
        <f ca="1">Y179</f>
        <v>1406.2045303815685</v>
      </c>
      <c r="N179" s="536">
        <f t="shared" ref="N179:O179" ca="1" si="135">Z179</f>
        <v>1461.3993291725819</v>
      </c>
      <c r="O179" s="536">
        <f t="shared" ca="1" si="135"/>
        <v>1519.2584204401683</v>
      </c>
      <c r="P179" s="535"/>
      <c r="Q179" s="515"/>
      <c r="R179" s="515"/>
      <c r="S179" s="515"/>
      <c r="T179" s="515"/>
      <c r="U179" s="536">
        <f ca="1">U178-U169</f>
        <v>1169.2110479825569</v>
      </c>
      <c r="V179" s="536">
        <f t="shared" ref="V179:AA179" ca="1" si="136">V178-V169</f>
        <v>1275.9272601350531</v>
      </c>
      <c r="W179" s="536">
        <f t="shared" ca="1" si="136"/>
        <v>1300.5406140174418</v>
      </c>
      <c r="X179" s="536">
        <f t="shared" ca="1" si="136"/>
        <v>1307.2510879446636</v>
      </c>
      <c r="Y179" s="536">
        <f t="shared" ca="1" si="136"/>
        <v>1406.2045303815685</v>
      </c>
      <c r="Z179" s="536">
        <f t="shared" ca="1" si="136"/>
        <v>1461.3993291725819</v>
      </c>
      <c r="AA179" s="537">
        <f t="shared" ca="1" si="136"/>
        <v>1519.2584204401683</v>
      </c>
    </row>
    <row r="180" spans="1:29">
      <c r="H180" s="538"/>
    </row>
    <row r="181" spans="1:29">
      <c r="H181" s="499"/>
      <c r="AA181" s="719"/>
    </row>
    <row r="182" spans="1:29">
      <c r="H182" s="499"/>
      <c r="U182" s="45"/>
      <c r="V182" s="45"/>
      <c r="W182" s="45"/>
      <c r="X182" s="45"/>
      <c r="Y182" s="45"/>
    </row>
    <row r="183" spans="1:29">
      <c r="H183" s="499"/>
    </row>
    <row r="184" spans="1:29">
      <c r="H184" s="499"/>
      <c r="U184" s="45"/>
      <c r="V184" s="45"/>
      <c r="W184" s="45"/>
      <c r="X184" s="45"/>
      <c r="Y184" s="45"/>
    </row>
    <row r="185" spans="1:29">
      <c r="H185" s="499"/>
    </row>
    <row r="186" spans="1:29">
      <c r="H186" s="499"/>
    </row>
    <row r="187" spans="1:29">
      <c r="H187" s="499"/>
    </row>
    <row r="188" spans="1:29">
      <c r="H188" s="499"/>
    </row>
    <row r="189" spans="1:29">
      <c r="H189" s="499"/>
    </row>
  </sheetData>
  <sheetProtection sheet="1" objects="1" scenarios="1"/>
  <mergeCells count="1">
    <mergeCell ref="C129:F129"/>
  </mergeCells>
  <dataValidations disablePrompts="1" count="1">
    <dataValidation type="list" allowBlank="1" showInputMessage="1" showErrorMessage="1" sqref="F3" xr:uid="{00000000-0002-0000-1000-000000000000}">
      <formula1>$B$3:$B$5</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41"/>
  <sheetViews>
    <sheetView zoomScaleNormal="100" workbookViewId="0"/>
  </sheetViews>
  <sheetFormatPr defaultRowHeight="15.75"/>
  <cols>
    <col min="1" max="7" width="12.7109375" style="226" customWidth="1"/>
    <col min="8" max="8" width="8.7109375" style="226" customWidth="1"/>
    <col min="9" max="9" width="12.7109375" style="226" customWidth="1"/>
    <col min="10" max="13" width="12.7109375" style="825" customWidth="1"/>
    <col min="14" max="15" width="10.7109375" style="825" customWidth="1"/>
    <col min="16" max="16" width="9.5703125" style="825" bestFit="1" customWidth="1"/>
    <col min="17" max="17" width="9.140625" style="825"/>
    <col min="18" max="253" width="9.140625" style="226"/>
    <col min="254" max="260" width="12.7109375" style="226" customWidth="1"/>
    <col min="261" max="261" width="8.7109375" style="226" customWidth="1"/>
    <col min="262" max="266" width="12.7109375" style="226" customWidth="1"/>
    <col min="267" max="268" width="10.7109375" style="226" customWidth="1"/>
    <col min="269" max="269" width="9.5703125" style="226" bestFit="1" customWidth="1"/>
    <col min="270" max="509" width="9.140625" style="226"/>
    <col min="510" max="516" width="12.7109375" style="226" customWidth="1"/>
    <col min="517" max="517" width="8.7109375" style="226" customWidth="1"/>
    <col min="518" max="522" width="12.7109375" style="226" customWidth="1"/>
    <col min="523" max="524" width="10.7109375" style="226" customWidth="1"/>
    <col min="525" max="525" width="9.5703125" style="226" bestFit="1" customWidth="1"/>
    <col min="526" max="765" width="9.140625" style="226"/>
    <col min="766" max="772" width="12.7109375" style="226" customWidth="1"/>
    <col min="773" max="773" width="8.7109375" style="226" customWidth="1"/>
    <col min="774" max="778" width="12.7109375" style="226" customWidth="1"/>
    <col min="779" max="780" width="10.7109375" style="226" customWidth="1"/>
    <col min="781" max="781" width="9.5703125" style="226" bestFit="1" customWidth="1"/>
    <col min="782" max="1021" width="9.140625" style="226"/>
    <col min="1022" max="1028" width="12.7109375" style="226" customWidth="1"/>
    <col min="1029" max="1029" width="8.7109375" style="226" customWidth="1"/>
    <col min="1030" max="1034" width="12.7109375" style="226" customWidth="1"/>
    <col min="1035" max="1036" width="10.7109375" style="226" customWidth="1"/>
    <col min="1037" max="1037" width="9.5703125" style="226" bestFit="1" customWidth="1"/>
    <col min="1038" max="1277" width="9.140625" style="226"/>
    <col min="1278" max="1284" width="12.7109375" style="226" customWidth="1"/>
    <col min="1285" max="1285" width="8.7109375" style="226" customWidth="1"/>
    <col min="1286" max="1290" width="12.7109375" style="226" customWidth="1"/>
    <col min="1291" max="1292" width="10.7109375" style="226" customWidth="1"/>
    <col min="1293" max="1293" width="9.5703125" style="226" bestFit="1" customWidth="1"/>
    <col min="1294" max="1533" width="9.140625" style="226"/>
    <col min="1534" max="1540" width="12.7109375" style="226" customWidth="1"/>
    <col min="1541" max="1541" width="8.7109375" style="226" customWidth="1"/>
    <col min="1542" max="1546" width="12.7109375" style="226" customWidth="1"/>
    <col min="1547" max="1548" width="10.7109375" style="226" customWidth="1"/>
    <col min="1549" max="1549" width="9.5703125" style="226" bestFit="1" customWidth="1"/>
    <col min="1550" max="1789" width="9.140625" style="226"/>
    <col min="1790" max="1796" width="12.7109375" style="226" customWidth="1"/>
    <col min="1797" max="1797" width="8.7109375" style="226" customWidth="1"/>
    <col min="1798" max="1802" width="12.7109375" style="226" customWidth="1"/>
    <col min="1803" max="1804" width="10.7109375" style="226" customWidth="1"/>
    <col min="1805" max="1805" width="9.5703125" style="226" bestFit="1" customWidth="1"/>
    <col min="1806" max="2045" width="9.140625" style="226"/>
    <col min="2046" max="2052" width="12.7109375" style="226" customWidth="1"/>
    <col min="2053" max="2053" width="8.7109375" style="226" customWidth="1"/>
    <col min="2054" max="2058" width="12.7109375" style="226" customWidth="1"/>
    <col min="2059" max="2060" width="10.7109375" style="226" customWidth="1"/>
    <col min="2061" max="2061" width="9.5703125" style="226" bestFit="1" customWidth="1"/>
    <col min="2062" max="2301" width="9.140625" style="226"/>
    <col min="2302" max="2308" width="12.7109375" style="226" customWidth="1"/>
    <col min="2309" max="2309" width="8.7109375" style="226" customWidth="1"/>
    <col min="2310" max="2314" width="12.7109375" style="226" customWidth="1"/>
    <col min="2315" max="2316" width="10.7109375" style="226" customWidth="1"/>
    <col min="2317" max="2317" width="9.5703125" style="226" bestFit="1" customWidth="1"/>
    <col min="2318" max="2557" width="9.140625" style="226"/>
    <col min="2558" max="2564" width="12.7109375" style="226" customWidth="1"/>
    <col min="2565" max="2565" width="8.7109375" style="226" customWidth="1"/>
    <col min="2566" max="2570" width="12.7109375" style="226" customWidth="1"/>
    <col min="2571" max="2572" width="10.7109375" style="226" customWidth="1"/>
    <col min="2573" max="2573" width="9.5703125" style="226" bestFit="1" customWidth="1"/>
    <col min="2574" max="2813" width="9.140625" style="226"/>
    <col min="2814" max="2820" width="12.7109375" style="226" customWidth="1"/>
    <col min="2821" max="2821" width="8.7109375" style="226" customWidth="1"/>
    <col min="2822" max="2826" width="12.7109375" style="226" customWidth="1"/>
    <col min="2827" max="2828" width="10.7109375" style="226" customWidth="1"/>
    <col min="2829" max="2829" width="9.5703125" style="226" bestFit="1" customWidth="1"/>
    <col min="2830" max="3069" width="9.140625" style="226"/>
    <col min="3070" max="3076" width="12.7109375" style="226" customWidth="1"/>
    <col min="3077" max="3077" width="8.7109375" style="226" customWidth="1"/>
    <col min="3078" max="3082" width="12.7109375" style="226" customWidth="1"/>
    <col min="3083" max="3084" width="10.7109375" style="226" customWidth="1"/>
    <col min="3085" max="3085" width="9.5703125" style="226" bestFit="1" customWidth="1"/>
    <col min="3086" max="3325" width="9.140625" style="226"/>
    <col min="3326" max="3332" width="12.7109375" style="226" customWidth="1"/>
    <col min="3333" max="3333" width="8.7109375" style="226" customWidth="1"/>
    <col min="3334" max="3338" width="12.7109375" style="226" customWidth="1"/>
    <col min="3339" max="3340" width="10.7109375" style="226" customWidth="1"/>
    <col min="3341" max="3341" width="9.5703125" style="226" bestFit="1" customWidth="1"/>
    <col min="3342" max="3581" width="9.140625" style="226"/>
    <col min="3582" max="3588" width="12.7109375" style="226" customWidth="1"/>
    <col min="3589" max="3589" width="8.7109375" style="226" customWidth="1"/>
    <col min="3590" max="3594" width="12.7109375" style="226" customWidth="1"/>
    <col min="3595" max="3596" width="10.7109375" style="226" customWidth="1"/>
    <col min="3597" max="3597" width="9.5703125" style="226" bestFit="1" customWidth="1"/>
    <col min="3598" max="3837" width="9.140625" style="226"/>
    <col min="3838" max="3844" width="12.7109375" style="226" customWidth="1"/>
    <col min="3845" max="3845" width="8.7109375" style="226" customWidth="1"/>
    <col min="3846" max="3850" width="12.7109375" style="226" customWidth="1"/>
    <col min="3851" max="3852" width="10.7109375" style="226" customWidth="1"/>
    <col min="3853" max="3853" width="9.5703125" style="226" bestFit="1" customWidth="1"/>
    <col min="3854" max="4093" width="9.140625" style="226"/>
    <col min="4094" max="4100" width="12.7109375" style="226" customWidth="1"/>
    <col min="4101" max="4101" width="8.7109375" style="226" customWidth="1"/>
    <col min="4102" max="4106" width="12.7109375" style="226" customWidth="1"/>
    <col min="4107" max="4108" width="10.7109375" style="226" customWidth="1"/>
    <col min="4109" max="4109" width="9.5703125" style="226" bestFit="1" customWidth="1"/>
    <col min="4110" max="4349" width="9.140625" style="226"/>
    <col min="4350" max="4356" width="12.7109375" style="226" customWidth="1"/>
    <col min="4357" max="4357" width="8.7109375" style="226" customWidth="1"/>
    <col min="4358" max="4362" width="12.7109375" style="226" customWidth="1"/>
    <col min="4363" max="4364" width="10.7109375" style="226" customWidth="1"/>
    <col min="4365" max="4365" width="9.5703125" style="226" bestFit="1" customWidth="1"/>
    <col min="4366" max="4605" width="9.140625" style="226"/>
    <col min="4606" max="4612" width="12.7109375" style="226" customWidth="1"/>
    <col min="4613" max="4613" width="8.7109375" style="226" customWidth="1"/>
    <col min="4614" max="4618" width="12.7109375" style="226" customWidth="1"/>
    <col min="4619" max="4620" width="10.7109375" style="226" customWidth="1"/>
    <col min="4621" max="4621" width="9.5703125" style="226" bestFit="1" customWidth="1"/>
    <col min="4622" max="4861" width="9.140625" style="226"/>
    <col min="4862" max="4868" width="12.7109375" style="226" customWidth="1"/>
    <col min="4869" max="4869" width="8.7109375" style="226" customWidth="1"/>
    <col min="4870" max="4874" width="12.7109375" style="226" customWidth="1"/>
    <col min="4875" max="4876" width="10.7109375" style="226" customWidth="1"/>
    <col min="4877" max="4877" width="9.5703125" style="226" bestFit="1" customWidth="1"/>
    <col min="4878" max="5117" width="9.140625" style="226"/>
    <col min="5118" max="5124" width="12.7109375" style="226" customWidth="1"/>
    <col min="5125" max="5125" width="8.7109375" style="226" customWidth="1"/>
    <col min="5126" max="5130" width="12.7109375" style="226" customWidth="1"/>
    <col min="5131" max="5132" width="10.7109375" style="226" customWidth="1"/>
    <col min="5133" max="5133" width="9.5703125" style="226" bestFit="1" customWidth="1"/>
    <col min="5134" max="5373" width="9.140625" style="226"/>
    <col min="5374" max="5380" width="12.7109375" style="226" customWidth="1"/>
    <col min="5381" max="5381" width="8.7109375" style="226" customWidth="1"/>
    <col min="5382" max="5386" width="12.7109375" style="226" customWidth="1"/>
    <col min="5387" max="5388" width="10.7109375" style="226" customWidth="1"/>
    <col min="5389" max="5389" width="9.5703125" style="226" bestFit="1" customWidth="1"/>
    <col min="5390" max="5629" width="9.140625" style="226"/>
    <col min="5630" max="5636" width="12.7109375" style="226" customWidth="1"/>
    <col min="5637" max="5637" width="8.7109375" style="226" customWidth="1"/>
    <col min="5638" max="5642" width="12.7109375" style="226" customWidth="1"/>
    <col min="5643" max="5644" width="10.7109375" style="226" customWidth="1"/>
    <col min="5645" max="5645" width="9.5703125" style="226" bestFit="1" customWidth="1"/>
    <col min="5646" max="5885" width="9.140625" style="226"/>
    <col min="5886" max="5892" width="12.7109375" style="226" customWidth="1"/>
    <col min="5893" max="5893" width="8.7109375" style="226" customWidth="1"/>
    <col min="5894" max="5898" width="12.7109375" style="226" customWidth="1"/>
    <col min="5899" max="5900" width="10.7109375" style="226" customWidth="1"/>
    <col min="5901" max="5901" width="9.5703125" style="226" bestFit="1" customWidth="1"/>
    <col min="5902" max="6141" width="9.140625" style="226"/>
    <col min="6142" max="6148" width="12.7109375" style="226" customWidth="1"/>
    <col min="6149" max="6149" width="8.7109375" style="226" customWidth="1"/>
    <col min="6150" max="6154" width="12.7109375" style="226" customWidth="1"/>
    <col min="6155" max="6156" width="10.7109375" style="226" customWidth="1"/>
    <col min="6157" max="6157" width="9.5703125" style="226" bestFit="1" customWidth="1"/>
    <col min="6158" max="6397" width="9.140625" style="226"/>
    <col min="6398" max="6404" width="12.7109375" style="226" customWidth="1"/>
    <col min="6405" max="6405" width="8.7109375" style="226" customWidth="1"/>
    <col min="6406" max="6410" width="12.7109375" style="226" customWidth="1"/>
    <col min="6411" max="6412" width="10.7109375" style="226" customWidth="1"/>
    <col min="6413" max="6413" width="9.5703125" style="226" bestFit="1" customWidth="1"/>
    <col min="6414" max="6653" width="9.140625" style="226"/>
    <col min="6654" max="6660" width="12.7109375" style="226" customWidth="1"/>
    <col min="6661" max="6661" width="8.7109375" style="226" customWidth="1"/>
    <col min="6662" max="6666" width="12.7109375" style="226" customWidth="1"/>
    <col min="6667" max="6668" width="10.7109375" style="226" customWidth="1"/>
    <col min="6669" max="6669" width="9.5703125" style="226" bestFit="1" customWidth="1"/>
    <col min="6670" max="6909" width="9.140625" style="226"/>
    <col min="6910" max="6916" width="12.7109375" style="226" customWidth="1"/>
    <col min="6917" max="6917" width="8.7109375" style="226" customWidth="1"/>
    <col min="6918" max="6922" width="12.7109375" style="226" customWidth="1"/>
    <col min="6923" max="6924" width="10.7109375" style="226" customWidth="1"/>
    <col min="6925" max="6925" width="9.5703125" style="226" bestFit="1" customWidth="1"/>
    <col min="6926" max="7165" width="9.140625" style="226"/>
    <col min="7166" max="7172" width="12.7109375" style="226" customWidth="1"/>
    <col min="7173" max="7173" width="8.7109375" style="226" customWidth="1"/>
    <col min="7174" max="7178" width="12.7109375" style="226" customWidth="1"/>
    <col min="7179" max="7180" width="10.7109375" style="226" customWidth="1"/>
    <col min="7181" max="7181" width="9.5703125" style="226" bestFit="1" customWidth="1"/>
    <col min="7182" max="7421" width="9.140625" style="226"/>
    <col min="7422" max="7428" width="12.7109375" style="226" customWidth="1"/>
    <col min="7429" max="7429" width="8.7109375" style="226" customWidth="1"/>
    <col min="7430" max="7434" width="12.7109375" style="226" customWidth="1"/>
    <col min="7435" max="7436" width="10.7109375" style="226" customWidth="1"/>
    <col min="7437" max="7437" width="9.5703125" style="226" bestFit="1" customWidth="1"/>
    <col min="7438" max="7677" width="9.140625" style="226"/>
    <col min="7678" max="7684" width="12.7109375" style="226" customWidth="1"/>
    <col min="7685" max="7685" width="8.7109375" style="226" customWidth="1"/>
    <col min="7686" max="7690" width="12.7109375" style="226" customWidth="1"/>
    <col min="7691" max="7692" width="10.7109375" style="226" customWidth="1"/>
    <col min="7693" max="7693" width="9.5703125" style="226" bestFit="1" customWidth="1"/>
    <col min="7694" max="7933" width="9.140625" style="226"/>
    <col min="7934" max="7940" width="12.7109375" style="226" customWidth="1"/>
    <col min="7941" max="7941" width="8.7109375" style="226" customWidth="1"/>
    <col min="7942" max="7946" width="12.7109375" style="226" customWidth="1"/>
    <col min="7947" max="7948" width="10.7109375" style="226" customWidth="1"/>
    <col min="7949" max="7949" width="9.5703125" style="226" bestFit="1" customWidth="1"/>
    <col min="7950" max="8189" width="9.140625" style="226"/>
    <col min="8190" max="8196" width="12.7109375" style="226" customWidth="1"/>
    <col min="8197" max="8197" width="8.7109375" style="226" customWidth="1"/>
    <col min="8198" max="8202" width="12.7109375" style="226" customWidth="1"/>
    <col min="8203" max="8204" width="10.7109375" style="226" customWidth="1"/>
    <col min="8205" max="8205" width="9.5703125" style="226" bestFit="1" customWidth="1"/>
    <col min="8206" max="8445" width="9.140625" style="226"/>
    <col min="8446" max="8452" width="12.7109375" style="226" customWidth="1"/>
    <col min="8453" max="8453" width="8.7109375" style="226" customWidth="1"/>
    <col min="8454" max="8458" width="12.7109375" style="226" customWidth="1"/>
    <col min="8459" max="8460" width="10.7109375" style="226" customWidth="1"/>
    <col min="8461" max="8461" width="9.5703125" style="226" bestFit="1" customWidth="1"/>
    <col min="8462" max="8701" width="9.140625" style="226"/>
    <col min="8702" max="8708" width="12.7109375" style="226" customWidth="1"/>
    <col min="8709" max="8709" width="8.7109375" style="226" customWidth="1"/>
    <col min="8710" max="8714" width="12.7109375" style="226" customWidth="1"/>
    <col min="8715" max="8716" width="10.7109375" style="226" customWidth="1"/>
    <col min="8717" max="8717" width="9.5703125" style="226" bestFit="1" customWidth="1"/>
    <col min="8718" max="8957" width="9.140625" style="226"/>
    <col min="8958" max="8964" width="12.7109375" style="226" customWidth="1"/>
    <col min="8965" max="8965" width="8.7109375" style="226" customWidth="1"/>
    <col min="8966" max="8970" width="12.7109375" style="226" customWidth="1"/>
    <col min="8971" max="8972" width="10.7109375" style="226" customWidth="1"/>
    <col min="8973" max="8973" width="9.5703125" style="226" bestFit="1" customWidth="1"/>
    <col min="8974" max="9213" width="9.140625" style="226"/>
    <col min="9214" max="9220" width="12.7109375" style="226" customWidth="1"/>
    <col min="9221" max="9221" width="8.7109375" style="226" customWidth="1"/>
    <col min="9222" max="9226" width="12.7109375" style="226" customWidth="1"/>
    <col min="9227" max="9228" width="10.7109375" style="226" customWidth="1"/>
    <col min="9229" max="9229" width="9.5703125" style="226" bestFit="1" customWidth="1"/>
    <col min="9230" max="9469" width="9.140625" style="226"/>
    <col min="9470" max="9476" width="12.7109375" style="226" customWidth="1"/>
    <col min="9477" max="9477" width="8.7109375" style="226" customWidth="1"/>
    <col min="9478" max="9482" width="12.7109375" style="226" customWidth="1"/>
    <col min="9483" max="9484" width="10.7109375" style="226" customWidth="1"/>
    <col min="9485" max="9485" width="9.5703125" style="226" bestFit="1" customWidth="1"/>
    <col min="9486" max="9725" width="9.140625" style="226"/>
    <col min="9726" max="9732" width="12.7109375" style="226" customWidth="1"/>
    <col min="9733" max="9733" width="8.7109375" style="226" customWidth="1"/>
    <col min="9734" max="9738" width="12.7109375" style="226" customWidth="1"/>
    <col min="9739" max="9740" width="10.7109375" style="226" customWidth="1"/>
    <col min="9741" max="9741" width="9.5703125" style="226" bestFit="1" customWidth="1"/>
    <col min="9742" max="9981" width="9.140625" style="226"/>
    <col min="9982" max="9988" width="12.7109375" style="226" customWidth="1"/>
    <col min="9989" max="9989" width="8.7109375" style="226" customWidth="1"/>
    <col min="9990" max="9994" width="12.7109375" style="226" customWidth="1"/>
    <col min="9995" max="9996" width="10.7109375" style="226" customWidth="1"/>
    <col min="9997" max="9997" width="9.5703125" style="226" bestFit="1" customWidth="1"/>
    <col min="9998" max="10237" width="9.140625" style="226"/>
    <col min="10238" max="10244" width="12.7109375" style="226" customWidth="1"/>
    <col min="10245" max="10245" width="8.7109375" style="226" customWidth="1"/>
    <col min="10246" max="10250" width="12.7109375" style="226" customWidth="1"/>
    <col min="10251" max="10252" width="10.7109375" style="226" customWidth="1"/>
    <col min="10253" max="10253" width="9.5703125" style="226" bestFit="1" customWidth="1"/>
    <col min="10254" max="10493" width="9.140625" style="226"/>
    <col min="10494" max="10500" width="12.7109375" style="226" customWidth="1"/>
    <col min="10501" max="10501" width="8.7109375" style="226" customWidth="1"/>
    <col min="10502" max="10506" width="12.7109375" style="226" customWidth="1"/>
    <col min="10507" max="10508" width="10.7109375" style="226" customWidth="1"/>
    <col min="10509" max="10509" width="9.5703125" style="226" bestFit="1" customWidth="1"/>
    <col min="10510" max="10749" width="9.140625" style="226"/>
    <col min="10750" max="10756" width="12.7109375" style="226" customWidth="1"/>
    <col min="10757" max="10757" width="8.7109375" style="226" customWidth="1"/>
    <col min="10758" max="10762" width="12.7109375" style="226" customWidth="1"/>
    <col min="10763" max="10764" width="10.7109375" style="226" customWidth="1"/>
    <col min="10765" max="10765" width="9.5703125" style="226" bestFit="1" customWidth="1"/>
    <col min="10766" max="11005" width="9.140625" style="226"/>
    <col min="11006" max="11012" width="12.7109375" style="226" customWidth="1"/>
    <col min="11013" max="11013" width="8.7109375" style="226" customWidth="1"/>
    <col min="11014" max="11018" width="12.7109375" style="226" customWidth="1"/>
    <col min="11019" max="11020" width="10.7109375" style="226" customWidth="1"/>
    <col min="11021" max="11021" width="9.5703125" style="226" bestFit="1" customWidth="1"/>
    <col min="11022" max="11261" width="9.140625" style="226"/>
    <col min="11262" max="11268" width="12.7109375" style="226" customWidth="1"/>
    <col min="11269" max="11269" width="8.7109375" style="226" customWidth="1"/>
    <col min="11270" max="11274" width="12.7109375" style="226" customWidth="1"/>
    <col min="11275" max="11276" width="10.7109375" style="226" customWidth="1"/>
    <col min="11277" max="11277" width="9.5703125" style="226" bestFit="1" customWidth="1"/>
    <col min="11278" max="11517" width="9.140625" style="226"/>
    <col min="11518" max="11524" width="12.7109375" style="226" customWidth="1"/>
    <col min="11525" max="11525" width="8.7109375" style="226" customWidth="1"/>
    <col min="11526" max="11530" width="12.7109375" style="226" customWidth="1"/>
    <col min="11531" max="11532" width="10.7109375" style="226" customWidth="1"/>
    <col min="11533" max="11533" width="9.5703125" style="226" bestFit="1" customWidth="1"/>
    <col min="11534" max="11773" width="9.140625" style="226"/>
    <col min="11774" max="11780" width="12.7109375" style="226" customWidth="1"/>
    <col min="11781" max="11781" width="8.7109375" style="226" customWidth="1"/>
    <col min="11782" max="11786" width="12.7109375" style="226" customWidth="1"/>
    <col min="11787" max="11788" width="10.7109375" style="226" customWidth="1"/>
    <col min="11789" max="11789" width="9.5703125" style="226" bestFit="1" customWidth="1"/>
    <col min="11790" max="12029" width="9.140625" style="226"/>
    <col min="12030" max="12036" width="12.7109375" style="226" customWidth="1"/>
    <col min="12037" max="12037" width="8.7109375" style="226" customWidth="1"/>
    <col min="12038" max="12042" width="12.7109375" style="226" customWidth="1"/>
    <col min="12043" max="12044" width="10.7109375" style="226" customWidth="1"/>
    <col min="12045" max="12045" width="9.5703125" style="226" bestFit="1" customWidth="1"/>
    <col min="12046" max="12285" width="9.140625" style="226"/>
    <col min="12286" max="12292" width="12.7109375" style="226" customWidth="1"/>
    <col min="12293" max="12293" width="8.7109375" style="226" customWidth="1"/>
    <col min="12294" max="12298" width="12.7109375" style="226" customWidth="1"/>
    <col min="12299" max="12300" width="10.7109375" style="226" customWidth="1"/>
    <col min="12301" max="12301" width="9.5703125" style="226" bestFit="1" customWidth="1"/>
    <col min="12302" max="12541" width="9.140625" style="226"/>
    <col min="12542" max="12548" width="12.7109375" style="226" customWidth="1"/>
    <col min="12549" max="12549" width="8.7109375" style="226" customWidth="1"/>
    <col min="12550" max="12554" width="12.7109375" style="226" customWidth="1"/>
    <col min="12555" max="12556" width="10.7109375" style="226" customWidth="1"/>
    <col min="12557" max="12557" width="9.5703125" style="226" bestFit="1" customWidth="1"/>
    <col min="12558" max="12797" width="9.140625" style="226"/>
    <col min="12798" max="12804" width="12.7109375" style="226" customWidth="1"/>
    <col min="12805" max="12805" width="8.7109375" style="226" customWidth="1"/>
    <col min="12806" max="12810" width="12.7109375" style="226" customWidth="1"/>
    <col min="12811" max="12812" width="10.7109375" style="226" customWidth="1"/>
    <col min="12813" max="12813" width="9.5703125" style="226" bestFit="1" customWidth="1"/>
    <col min="12814" max="13053" width="9.140625" style="226"/>
    <col min="13054" max="13060" width="12.7109375" style="226" customWidth="1"/>
    <col min="13061" max="13061" width="8.7109375" style="226" customWidth="1"/>
    <col min="13062" max="13066" width="12.7109375" style="226" customWidth="1"/>
    <col min="13067" max="13068" width="10.7109375" style="226" customWidth="1"/>
    <col min="13069" max="13069" width="9.5703125" style="226" bestFit="1" customWidth="1"/>
    <col min="13070" max="13309" width="9.140625" style="226"/>
    <col min="13310" max="13316" width="12.7109375" style="226" customWidth="1"/>
    <col min="13317" max="13317" width="8.7109375" style="226" customWidth="1"/>
    <col min="13318" max="13322" width="12.7109375" style="226" customWidth="1"/>
    <col min="13323" max="13324" width="10.7109375" style="226" customWidth="1"/>
    <col min="13325" max="13325" width="9.5703125" style="226" bestFit="1" customWidth="1"/>
    <col min="13326" max="13565" width="9.140625" style="226"/>
    <col min="13566" max="13572" width="12.7109375" style="226" customWidth="1"/>
    <col min="13573" max="13573" width="8.7109375" style="226" customWidth="1"/>
    <col min="13574" max="13578" width="12.7109375" style="226" customWidth="1"/>
    <col min="13579" max="13580" width="10.7109375" style="226" customWidth="1"/>
    <col min="13581" max="13581" width="9.5703125" style="226" bestFit="1" customWidth="1"/>
    <col min="13582" max="13821" width="9.140625" style="226"/>
    <col min="13822" max="13828" width="12.7109375" style="226" customWidth="1"/>
    <col min="13829" max="13829" width="8.7109375" style="226" customWidth="1"/>
    <col min="13830" max="13834" width="12.7109375" style="226" customWidth="1"/>
    <col min="13835" max="13836" width="10.7109375" style="226" customWidth="1"/>
    <col min="13837" max="13837" width="9.5703125" style="226" bestFit="1" customWidth="1"/>
    <col min="13838" max="14077" width="9.140625" style="226"/>
    <col min="14078" max="14084" width="12.7109375" style="226" customWidth="1"/>
    <col min="14085" max="14085" width="8.7109375" style="226" customWidth="1"/>
    <col min="14086" max="14090" width="12.7109375" style="226" customWidth="1"/>
    <col min="14091" max="14092" width="10.7109375" style="226" customWidth="1"/>
    <col min="14093" max="14093" width="9.5703125" style="226" bestFit="1" customWidth="1"/>
    <col min="14094" max="14333" width="9.140625" style="226"/>
    <col min="14334" max="14340" width="12.7109375" style="226" customWidth="1"/>
    <col min="14341" max="14341" width="8.7109375" style="226" customWidth="1"/>
    <col min="14342" max="14346" width="12.7109375" style="226" customWidth="1"/>
    <col min="14347" max="14348" width="10.7109375" style="226" customWidth="1"/>
    <col min="14349" max="14349" width="9.5703125" style="226" bestFit="1" customWidth="1"/>
    <col min="14350" max="14589" width="9.140625" style="226"/>
    <col min="14590" max="14596" width="12.7109375" style="226" customWidth="1"/>
    <col min="14597" max="14597" width="8.7109375" style="226" customWidth="1"/>
    <col min="14598" max="14602" width="12.7109375" style="226" customWidth="1"/>
    <col min="14603" max="14604" width="10.7109375" style="226" customWidth="1"/>
    <col min="14605" max="14605" width="9.5703125" style="226" bestFit="1" customWidth="1"/>
    <col min="14606" max="14845" width="9.140625" style="226"/>
    <col min="14846" max="14852" width="12.7109375" style="226" customWidth="1"/>
    <col min="14853" max="14853" width="8.7109375" style="226" customWidth="1"/>
    <col min="14854" max="14858" width="12.7109375" style="226" customWidth="1"/>
    <col min="14859" max="14860" width="10.7109375" style="226" customWidth="1"/>
    <col min="14861" max="14861" width="9.5703125" style="226" bestFit="1" customWidth="1"/>
    <col min="14862" max="15101" width="9.140625" style="226"/>
    <col min="15102" max="15108" width="12.7109375" style="226" customWidth="1"/>
    <col min="15109" max="15109" width="8.7109375" style="226" customWidth="1"/>
    <col min="15110" max="15114" width="12.7109375" style="226" customWidth="1"/>
    <col min="15115" max="15116" width="10.7109375" style="226" customWidth="1"/>
    <col min="15117" max="15117" width="9.5703125" style="226" bestFit="1" customWidth="1"/>
    <col min="15118" max="15357" width="9.140625" style="226"/>
    <col min="15358" max="15364" width="12.7109375" style="226" customWidth="1"/>
    <col min="15365" max="15365" width="8.7109375" style="226" customWidth="1"/>
    <col min="15366" max="15370" width="12.7109375" style="226" customWidth="1"/>
    <col min="15371" max="15372" width="10.7109375" style="226" customWidth="1"/>
    <col min="15373" max="15373" width="9.5703125" style="226" bestFit="1" customWidth="1"/>
    <col min="15374" max="15613" width="9.140625" style="226"/>
    <col min="15614" max="15620" width="12.7109375" style="226" customWidth="1"/>
    <col min="15621" max="15621" width="8.7109375" style="226" customWidth="1"/>
    <col min="15622" max="15626" width="12.7109375" style="226" customWidth="1"/>
    <col min="15627" max="15628" width="10.7109375" style="226" customWidth="1"/>
    <col min="15629" max="15629" width="9.5703125" style="226" bestFit="1" customWidth="1"/>
    <col min="15630" max="15869" width="9.140625" style="226"/>
    <col min="15870" max="15876" width="12.7109375" style="226" customWidth="1"/>
    <col min="15877" max="15877" width="8.7109375" style="226" customWidth="1"/>
    <col min="15878" max="15882" width="12.7109375" style="226" customWidth="1"/>
    <col min="15883" max="15884" width="10.7109375" style="226" customWidth="1"/>
    <col min="15885" max="15885" width="9.5703125" style="226" bestFit="1" customWidth="1"/>
    <col min="15886" max="16125" width="9.140625" style="226"/>
    <col min="16126" max="16132" width="12.7109375" style="226" customWidth="1"/>
    <col min="16133" max="16133" width="8.7109375" style="226" customWidth="1"/>
    <col min="16134" max="16138" width="12.7109375" style="226" customWidth="1"/>
    <col min="16139" max="16140" width="10.7109375" style="226" customWidth="1"/>
    <col min="16141" max="16141" width="9.5703125" style="226" bestFit="1" customWidth="1"/>
    <col min="16142" max="16384" width="9.140625" style="226"/>
  </cols>
  <sheetData>
    <row r="1" spans="1:17">
      <c r="A1" s="828" t="s">
        <v>689</v>
      </c>
      <c r="D1" s="824"/>
      <c r="E1" s="824"/>
      <c r="F1" s="824"/>
      <c r="G1" s="828" t="s">
        <v>677</v>
      </c>
      <c r="J1" s="824"/>
      <c r="K1" s="824"/>
      <c r="L1" s="824"/>
      <c r="N1" s="829" t="s">
        <v>686</v>
      </c>
    </row>
    <row r="2" spans="1:17">
      <c r="A2" s="830"/>
      <c r="B2" s="830" t="s">
        <v>374</v>
      </c>
      <c r="C2" s="830" t="s">
        <v>375</v>
      </c>
      <c r="D2" s="830" t="s">
        <v>376</v>
      </c>
      <c r="E2" s="830" t="s">
        <v>211</v>
      </c>
      <c r="F2" s="824"/>
      <c r="G2" s="830"/>
      <c r="H2" s="830" t="s">
        <v>374</v>
      </c>
      <c r="I2" s="830" t="s">
        <v>375</v>
      </c>
      <c r="J2" s="830" t="s">
        <v>376</v>
      </c>
      <c r="K2" s="830" t="s">
        <v>211</v>
      </c>
      <c r="L2" s="824"/>
      <c r="N2" s="830"/>
      <c r="O2" s="830" t="s">
        <v>374</v>
      </c>
      <c r="P2" s="830" t="s">
        <v>375</v>
      </c>
      <c r="Q2" s="830" t="s">
        <v>376</v>
      </c>
    </row>
    <row r="3" spans="1:17">
      <c r="A3" s="824" t="str">
        <f>+Years!A7</f>
        <v>2024-25</v>
      </c>
      <c r="B3" s="831">
        <f>+'Scale-Up'!G9/360</f>
        <v>663.76949579884365</v>
      </c>
      <c r="C3" s="831">
        <f>+'Scale-Up'!G10/500</f>
        <v>267.56595263470354</v>
      </c>
      <c r="D3" s="831">
        <f>+'Scale-Up'!G11/1000</f>
        <v>178.0490051950645</v>
      </c>
      <c r="E3" s="831">
        <f t="shared" ref="E3:E7" si="0">SUM(B3:D3)</f>
        <v>1109.3844536286117</v>
      </c>
      <c r="F3" s="831"/>
      <c r="G3" s="824" t="str">
        <f>A11</f>
        <v>2024-25</v>
      </c>
      <c r="H3" s="831">
        <f ca="1">(SUM(ES_Detail!$I$23:$I$38)-ES_Detail!$I$37)*$B$3</f>
        <v>17423.949264719646</v>
      </c>
      <c r="I3" s="831">
        <f ca="1">(SUM(MS_Detail!$I$28:$I$32)-MS_Detail!$I$30)*$C$3</f>
        <v>8227.6530435171335</v>
      </c>
      <c r="J3" s="831">
        <f ca="1">(SUM(HS_Detail!$I$28:$I$35)-HS_Detail!$I$30)*$D$3</f>
        <v>9303.0605214421194</v>
      </c>
      <c r="K3" s="831">
        <f t="shared" ref="K3:K7" ca="1" si="1">SUM(H3:J3)</f>
        <v>34954.662829678899</v>
      </c>
      <c r="L3" s="831"/>
      <c r="N3" s="824" t="str">
        <f>G19</f>
        <v>2024-25</v>
      </c>
      <c r="O3" s="832">
        <f ca="1">(H19*O$11)/(H11*O$15)</f>
        <v>20</v>
      </c>
      <c r="P3" s="832">
        <f t="shared" ref="O3:Q7" ca="1" si="2">(I19*P$11)/(I11*P$15)</f>
        <v>18.97018970189702</v>
      </c>
      <c r="Q3" s="832">
        <f t="shared" ca="1" si="2"/>
        <v>22.32854864433812</v>
      </c>
    </row>
    <row r="4" spans="1:17">
      <c r="A4" s="824" t="str">
        <f>+Years!B7</f>
        <v>2025-26</v>
      </c>
      <c r="B4" s="831">
        <f>+'Scale-Up'!G25/360</f>
        <v>644.24722222222226</v>
      </c>
      <c r="C4" s="831">
        <f>+'Scale-Up'!G26/500</f>
        <v>255.708</v>
      </c>
      <c r="D4" s="831">
        <f>+'Scale-Up'!G27/1000</f>
        <v>167.39984999999999</v>
      </c>
      <c r="E4" s="831">
        <f t="shared" si="0"/>
        <v>1067.3550722222221</v>
      </c>
      <c r="F4" s="831"/>
      <c r="G4" s="824" t="str">
        <f>A12</f>
        <v>2025-26</v>
      </c>
      <c r="H4" s="831">
        <f ca="1">(SUM(ES_Detail!$J$23:$J$38)-ES_Detail!$J$37)*$B$4</f>
        <v>16911.489583333336</v>
      </c>
      <c r="I4" s="831">
        <f ca="1">(SUM(MS_Detail!$J$28:$J$32)-MS_Detail!$J$30)*$C$4</f>
        <v>7863.0209999999997</v>
      </c>
      <c r="J4" s="831">
        <f ca="1">(SUM(HS_Detail!$J$28:$J$35)-HS_Detail!$J$30)*$D$4</f>
        <v>8746.6421624999984</v>
      </c>
      <c r="K4" s="831">
        <f t="shared" ca="1" si="1"/>
        <v>33521.152745833337</v>
      </c>
      <c r="L4" s="831"/>
      <c r="N4" s="824" t="str">
        <f>G20</f>
        <v>2025-26</v>
      </c>
      <c r="O4" s="832">
        <f t="shared" ca="1" si="2"/>
        <v>20</v>
      </c>
      <c r="P4" s="832">
        <f t="shared" ca="1" si="2"/>
        <v>18.97018970189702</v>
      </c>
      <c r="Q4" s="832">
        <f t="shared" ca="1" si="2"/>
        <v>22.328548644338117</v>
      </c>
    </row>
    <row r="5" spans="1:17">
      <c r="A5" s="824" t="str">
        <f>+Years!C7</f>
        <v>2026-27</v>
      </c>
      <c r="B5" s="831">
        <f>+'Scale-Up'!L25/360</f>
        <v>647.96490136729176</v>
      </c>
      <c r="C5" s="831">
        <f>+'Scale-Up'!L26/500</f>
        <v>257.1835830774844</v>
      </c>
      <c r="D5" s="831">
        <f>+'Scale-Up'!L27/1000</f>
        <v>168.36584396903274</v>
      </c>
      <c r="E5" s="831">
        <f t="shared" si="0"/>
        <v>1073.5143284138089</v>
      </c>
      <c r="F5" s="824"/>
      <c r="G5" s="824" t="str">
        <f>A13</f>
        <v>2026-27</v>
      </c>
      <c r="H5" s="831">
        <f ca="1">(SUM(ES_Detail!$K$23:$K$38)-ES_Detail!$K$37)*$B$5</f>
        <v>17009.07866089141</v>
      </c>
      <c r="I5" s="831">
        <f ca="1">(SUM(MS_Detail!$K$28:$K$32)-MS_Detail!$K$30)*$C$5</f>
        <v>7908.3951796326455</v>
      </c>
      <c r="J5" s="831">
        <f ca="1">(SUM(HS_Detail!$K$28:$K$35)-HS_Detail!$K$30)*$D$5</f>
        <v>8797.1153473819613</v>
      </c>
      <c r="K5" s="831">
        <f t="shared" ca="1" si="1"/>
        <v>33714.589187906022</v>
      </c>
      <c r="L5" s="824"/>
      <c r="N5" s="824" t="str">
        <f>G21</f>
        <v>2026-27</v>
      </c>
      <c r="O5" s="832">
        <f t="shared" ca="1" si="2"/>
        <v>20</v>
      </c>
      <c r="P5" s="832">
        <f t="shared" ca="1" si="2"/>
        <v>18.970189701897016</v>
      </c>
      <c r="Q5" s="832">
        <f t="shared" ca="1" si="2"/>
        <v>22.32854864433812</v>
      </c>
    </row>
    <row r="6" spans="1:17">
      <c r="A6" s="824" t="str">
        <f>+Years!D7</f>
        <v>2027-28</v>
      </c>
      <c r="B6" s="831">
        <f>+'Scale-Up'!G52/360</f>
        <v>645.13095237154334</v>
      </c>
      <c r="C6" s="831">
        <f>+'Scale-Up'!G53/500</f>
        <v>256.05876110727047</v>
      </c>
      <c r="D6" s="831">
        <f>+'Scale-Up'!G54/1000</f>
        <v>167.62947659260917</v>
      </c>
      <c r="E6" s="831">
        <f t="shared" si="0"/>
        <v>1068.819190071423</v>
      </c>
      <c r="F6" s="824"/>
      <c r="G6" s="824" t="str">
        <f>A14</f>
        <v>2027-28</v>
      </c>
      <c r="H6" s="831">
        <f ca="1">(SUM(ES_Detail!$L$23:$L$38)-ES_Detail!$L$37)*$B$6</f>
        <v>18670.089761632466</v>
      </c>
      <c r="I6" s="831">
        <f ca="1">(SUM(MS_Detail!$L$28:$L$32)-MS_Detail!$L$30)*$C$6</f>
        <v>8449.9391165399247</v>
      </c>
      <c r="J6" s="831">
        <f ca="1">(SUM(HS_Detail!$L$28:$L$35)-HS_Detail!$L$30)*$D$6</f>
        <v>9429.1580583342657</v>
      </c>
      <c r="K6" s="831">
        <f t="shared" ca="1" si="1"/>
        <v>36549.186936506652</v>
      </c>
      <c r="L6" s="824"/>
      <c r="N6" s="824" t="str">
        <f>G22</f>
        <v>2027-28</v>
      </c>
      <c r="O6" s="832">
        <f t="shared" ca="1" si="2"/>
        <v>19.999999999999996</v>
      </c>
      <c r="P6" s="832">
        <f t="shared" ca="1" si="2"/>
        <v>17.676767676767678</v>
      </c>
      <c r="Q6" s="832">
        <f t="shared" ca="1" si="2"/>
        <v>20.74074074074074</v>
      </c>
    </row>
    <row r="7" spans="1:17">
      <c r="A7" s="824" t="str">
        <f>+Years!E7</f>
        <v>2028-29</v>
      </c>
      <c r="B7" s="831">
        <f>+'Scale-Up'!L52/360</f>
        <v>642.31044599716313</v>
      </c>
      <c r="C7" s="831">
        <f>+'Scale-Up'!L53/500</f>
        <v>254.93927464446162</v>
      </c>
      <c r="D7" s="831">
        <f>+'Scale-Up'!L54/1000</f>
        <v>166.89660211879044</v>
      </c>
      <c r="E7" s="831">
        <f t="shared" si="0"/>
        <v>1064.1463227604152</v>
      </c>
      <c r="F7" s="824"/>
      <c r="G7" s="824" t="str">
        <f>A15</f>
        <v>2028-29</v>
      </c>
      <c r="H7" s="831">
        <f ca="1">(SUM(ES_Detail!$M$23:$M$38)-ES_Detail!$M$37)*$B$7</f>
        <v>18588.464307157901</v>
      </c>
      <c r="I7" s="831">
        <f ca="1">(SUM(MS_Detail!$M$28:$M$32)-MS_Detail!$M$30)*$C$7</f>
        <v>8412.9960632672337</v>
      </c>
      <c r="J7" s="831">
        <f ca="1">(SUM(HS_Detail!$M$28:$M$35)-HS_Detail!$M$30)*$D$7</f>
        <v>9387.933869181963</v>
      </c>
      <c r="K7" s="831">
        <f t="shared" ca="1" si="1"/>
        <v>36389.3942396071</v>
      </c>
      <c r="L7" s="824"/>
      <c r="N7" s="824" t="str">
        <f>G23</f>
        <v>2028-29</v>
      </c>
      <c r="O7" s="832">
        <f t="shared" ca="1" si="2"/>
        <v>20</v>
      </c>
      <c r="P7" s="832">
        <f t="shared" ca="1" si="2"/>
        <v>17.676767676767675</v>
      </c>
      <c r="Q7" s="832">
        <f t="shared" ca="1" si="2"/>
        <v>20.74074074074074</v>
      </c>
    </row>
    <row r="8" spans="1:17">
      <c r="A8" s="824"/>
      <c r="B8" s="831"/>
      <c r="C8" s="831"/>
      <c r="D8" s="831"/>
      <c r="E8" s="831"/>
      <c r="F8" s="824"/>
      <c r="H8" s="825"/>
      <c r="I8" s="825"/>
      <c r="N8" s="226"/>
      <c r="O8" s="226"/>
      <c r="P8" s="226"/>
      <c r="Q8" s="226"/>
    </row>
    <row r="9" spans="1:17">
      <c r="A9" s="829" t="s">
        <v>678</v>
      </c>
      <c r="B9" s="825"/>
      <c r="D9" s="824"/>
      <c r="E9" s="824"/>
      <c r="F9" s="824"/>
      <c r="G9" s="828" t="s">
        <v>679</v>
      </c>
      <c r="J9" s="824"/>
      <c r="K9" s="824"/>
      <c r="L9" s="824"/>
      <c r="M9" s="824"/>
      <c r="N9" s="829" t="s">
        <v>683</v>
      </c>
    </row>
    <row r="10" spans="1:17">
      <c r="A10" s="830"/>
      <c r="B10" s="830" t="s">
        <v>374</v>
      </c>
      <c r="C10" s="830" t="s">
        <v>375</v>
      </c>
      <c r="D10" s="830" t="s">
        <v>376</v>
      </c>
      <c r="E10" s="830" t="s">
        <v>211</v>
      </c>
      <c r="F10" s="824"/>
      <c r="G10" s="830"/>
      <c r="H10" s="830" t="s">
        <v>374</v>
      </c>
      <c r="I10" s="830" t="s">
        <v>375</v>
      </c>
      <c r="J10" s="830" t="s">
        <v>376</v>
      </c>
      <c r="K10" s="830" t="s">
        <v>211</v>
      </c>
      <c r="L10" s="824"/>
      <c r="N10" s="830"/>
      <c r="O10" s="830" t="s">
        <v>374</v>
      </c>
      <c r="P10" s="830" t="s">
        <v>375</v>
      </c>
      <c r="Q10" s="830" t="s">
        <v>376</v>
      </c>
    </row>
    <row r="11" spans="1:17">
      <c r="A11" s="824" t="str">
        <f>A3</f>
        <v>2024-25</v>
      </c>
      <c r="B11" s="831">
        <f ca="1">(SUM(ES_Detail!$I$23:$I$38)-ES_Detail!$I$37)*$B$3</f>
        <v>17423.949264719646</v>
      </c>
      <c r="C11" s="831">
        <f ca="1">(SUM(MS_Detail!$I$23:$I$38)-MS_Detail!$I$37)*$C$3</f>
        <v>8896.5679251038928</v>
      </c>
      <c r="D11" s="831">
        <f ca="1">(SUM(HS_Detail!$I$23:$I$38)-HS_Detail!$I$37)*$D$3</f>
        <v>10282.330050014974</v>
      </c>
      <c r="E11" s="831">
        <f t="shared" ref="E11:E15" ca="1" si="3">SUM(B11:D11)</f>
        <v>36602.847239838513</v>
      </c>
      <c r="F11" s="831"/>
      <c r="G11" s="824" t="str">
        <f>A3</f>
        <v>2024-25</v>
      </c>
      <c r="H11" s="831">
        <f ca="1">(SUM(ES_Detail!$I$23:$I$26))*$B$3</f>
        <v>11947.850924379185</v>
      </c>
      <c r="I11" s="831">
        <f ca="1">(SUM(MS_Detail!$I$28:$I$32)-MS_Detail!$I$30)*$C$3</f>
        <v>8227.6530435171335</v>
      </c>
      <c r="J11" s="831">
        <f ca="1">(SUM(HS_Detail!$I$28:$I$35)-HS_Detail!$I$30)*$D$3</f>
        <v>9303.0605214421194</v>
      </c>
      <c r="K11" s="831">
        <f t="shared" ref="K11:K15" ca="1" si="4">SUM(H11:J11)</f>
        <v>29478.564489338438</v>
      </c>
      <c r="L11" s="831"/>
      <c r="N11" s="824"/>
      <c r="O11" s="832">
        <v>1</v>
      </c>
      <c r="P11" s="832">
        <v>7</v>
      </c>
      <c r="Q11" s="832">
        <v>7</v>
      </c>
    </row>
    <row r="12" spans="1:17">
      <c r="A12" s="824" t="str">
        <f>A4</f>
        <v>2025-26</v>
      </c>
      <c r="B12" s="831">
        <f ca="1">(SUM(ES_Detail!$J$23:$J$38)-ES_Detail!$J$37)*$B$4</f>
        <v>16911.489583333336</v>
      </c>
      <c r="C12" s="831">
        <f ca="1">(SUM(MS_Detail!$J$23:$J$38)-MS_Detail!$J$37)*$C$4</f>
        <v>8502.2909999999993</v>
      </c>
      <c r="D12" s="831">
        <f ca="1">(SUM(HS_Detail!$J$23:$J$38)-HS_Detail!$J$37)*$D$4</f>
        <v>9667.3413375</v>
      </c>
      <c r="E12" s="831">
        <f t="shared" ca="1" si="3"/>
        <v>35081.121920833335</v>
      </c>
      <c r="F12" s="831"/>
      <c r="G12" s="824" t="str">
        <f>A4</f>
        <v>2025-26</v>
      </c>
      <c r="H12" s="831">
        <f ca="1">(SUM(ES_Detail!$J$23:$J$26))*$B$4</f>
        <v>11596.45</v>
      </c>
      <c r="I12" s="831">
        <f ca="1">(SUM(MS_Detail!$J$28:$J$32)-MS_Detail!$J$30)*$C$4</f>
        <v>7863.0209999999997</v>
      </c>
      <c r="J12" s="831">
        <f ca="1">(SUM(HS_Detail!$J$28:$J$35)-HS_Detail!$J$30)*$D$4</f>
        <v>8746.6421624999984</v>
      </c>
      <c r="K12" s="831">
        <f t="shared" ca="1" si="4"/>
        <v>28206.113162499998</v>
      </c>
      <c r="L12" s="831"/>
      <c r="N12" s="824"/>
      <c r="O12" s="832"/>
      <c r="P12" s="832"/>
      <c r="Q12" s="832"/>
    </row>
    <row r="13" spans="1:17">
      <c r="A13" s="824" t="str">
        <f>A5</f>
        <v>2026-27</v>
      </c>
      <c r="B13" s="831">
        <f ca="1">(SUM(ES_Detail!$K$23:$K$38)-ES_Detail!$K$37)*$B$5</f>
        <v>17009.07866089141</v>
      </c>
      <c r="C13" s="831">
        <f ca="1">(SUM(MS_Detail!$K$23:$K$38)-MS_Detail!$K$37)*$C$5</f>
        <v>8551.3541373263561</v>
      </c>
      <c r="D13" s="831">
        <f ca="1">(SUM(HS_Detail!$K$23:$K$38)-HS_Detail!$K$37)*$D$5</f>
        <v>9723.1274892116398</v>
      </c>
      <c r="E13" s="831">
        <f t="shared" ca="1" si="3"/>
        <v>35283.560287429405</v>
      </c>
      <c r="F13" s="831"/>
      <c r="G13" s="824" t="str">
        <f>A5</f>
        <v>2026-27</v>
      </c>
      <c r="H13" s="831">
        <f ca="1">(SUM(ES_Detail!$K$23:$K$26))*$B$5</f>
        <v>11663.368224611251</v>
      </c>
      <c r="I13" s="831">
        <f ca="1">(SUM(MS_Detail!$K$28:$K$32)-MS_Detail!$K$30)*$C$5</f>
        <v>7908.3951796326455</v>
      </c>
      <c r="J13" s="831">
        <f ca="1">(SUM(HS_Detail!$K$28:$K$35)-HS_Detail!$K$30)*$D$5</f>
        <v>8797.1153473819613</v>
      </c>
      <c r="K13" s="831">
        <f t="shared" ca="1" si="4"/>
        <v>28368.878751625856</v>
      </c>
      <c r="L13" s="824"/>
      <c r="N13" s="829" t="s">
        <v>684</v>
      </c>
    </row>
    <row r="14" spans="1:17">
      <c r="A14" s="824" t="str">
        <f>A6</f>
        <v>2027-28</v>
      </c>
      <c r="B14" s="831">
        <f ca="1">(SUM(ES_Detail!$L$23:$L$38)-ES_Detail!$L$37)*$B$6</f>
        <v>18670.089761632466</v>
      </c>
      <c r="C14" s="831">
        <f ca="1">(SUM(MS_Detail!$L$23:$L$38)-MS_Detail!$L$37)*$C$6</f>
        <v>9218.1153998617374</v>
      </c>
      <c r="D14" s="831">
        <f ca="1">(SUM(HS_Detail!$L$23:$L$38)-HS_Detail!$L$37)*$D$6</f>
        <v>10434.934917889921</v>
      </c>
      <c r="E14" s="831">
        <f t="shared" ca="1" si="3"/>
        <v>38323.140079384124</v>
      </c>
      <c r="F14" s="831"/>
      <c r="G14" s="824" t="str">
        <f>A6</f>
        <v>2027-28</v>
      </c>
      <c r="H14" s="831">
        <f ca="1">(SUM(ES_Detail!$L$23:$L$26))*$B$6</f>
        <v>11612.357142687781</v>
      </c>
      <c r="I14" s="831">
        <f ca="1">(SUM(MS_Detail!$L$28:$L$32)-MS_Detail!$L$30)*$C$6</f>
        <v>8449.9391165399247</v>
      </c>
      <c r="J14" s="831">
        <f ca="1">(SUM(HS_Detail!$L$28:$L$35)-HS_Detail!$L$30)*$D$6</f>
        <v>9429.1580583342657</v>
      </c>
      <c r="K14" s="831">
        <f t="shared" ca="1" si="4"/>
        <v>29491.454317561969</v>
      </c>
      <c r="L14" s="824"/>
      <c r="N14" s="830"/>
      <c r="O14" s="830" t="s">
        <v>374</v>
      </c>
      <c r="P14" s="830" t="s">
        <v>375</v>
      </c>
      <c r="Q14" s="830" t="s">
        <v>376</v>
      </c>
    </row>
    <row r="15" spans="1:17">
      <c r="A15" s="824" t="str">
        <f>A7</f>
        <v>2028-29</v>
      </c>
      <c r="B15" s="831">
        <f ca="1">(SUM(ES_Detail!$M$23:$M$38)-ES_Detail!$M$37)*$B$7</f>
        <v>18588.464307157901</v>
      </c>
      <c r="C15" s="831">
        <f ca="1">(SUM(MS_Detail!$M$23:$M$38)-MS_Detail!$M$37)*$C$7</f>
        <v>9177.8138872006184</v>
      </c>
      <c r="D15" s="831">
        <f ca="1">(SUM(HS_Detail!$M$23:$M$38)-HS_Detail!$M$37)*$D$7</f>
        <v>10389.313481894706</v>
      </c>
      <c r="E15" s="831">
        <f t="shared" ca="1" si="3"/>
        <v>38155.591676253229</v>
      </c>
      <c r="F15" s="831"/>
      <c r="G15" s="824" t="str">
        <f>A7</f>
        <v>2028-29</v>
      </c>
      <c r="H15" s="831">
        <f ca="1">(SUM(ES_Detail!$M$23:$M$26))*$B$7</f>
        <v>11561.588027948936</v>
      </c>
      <c r="I15" s="831">
        <f ca="1">(SUM(MS_Detail!$M$28:$M$32)-MS_Detail!$M$30)*$C$7</f>
        <v>8412.9960632672337</v>
      </c>
      <c r="J15" s="831">
        <f ca="1">(SUM(HS_Detail!$M$28:$M$35)-HS_Detail!$M$30)*$D$7</f>
        <v>9387.933869181963</v>
      </c>
      <c r="K15" s="831">
        <f t="shared" ca="1" si="4"/>
        <v>29362.517960398131</v>
      </c>
      <c r="L15" s="824"/>
      <c r="N15" s="824"/>
      <c r="O15" s="832">
        <v>1</v>
      </c>
      <c r="P15" s="832">
        <v>6</v>
      </c>
      <c r="Q15" s="832">
        <v>6</v>
      </c>
    </row>
    <row r="16" spans="1:17">
      <c r="H16" s="825"/>
      <c r="I16" s="825"/>
      <c r="J16" s="833"/>
      <c r="M16" s="824"/>
      <c r="P16" s="226"/>
      <c r="Q16" s="226"/>
    </row>
    <row r="17" spans="1:18">
      <c r="A17" s="829" t="s">
        <v>680</v>
      </c>
      <c r="B17" s="825"/>
      <c r="D17" s="824"/>
      <c r="E17" s="824"/>
      <c r="G17" s="828" t="s">
        <v>681</v>
      </c>
      <c r="J17" s="824"/>
      <c r="K17" s="824"/>
      <c r="L17" s="824"/>
      <c r="M17" s="824"/>
      <c r="P17" s="226"/>
      <c r="Q17" s="226"/>
    </row>
    <row r="18" spans="1:18">
      <c r="A18" s="830"/>
      <c r="B18" s="830" t="s">
        <v>374</v>
      </c>
      <c r="C18" s="830" t="s">
        <v>375</v>
      </c>
      <c r="D18" s="830" t="s">
        <v>376</v>
      </c>
      <c r="E18" s="830" t="s">
        <v>211</v>
      </c>
      <c r="G18" s="830"/>
      <c r="H18" s="830" t="s">
        <v>374</v>
      </c>
      <c r="I18" s="830" t="s">
        <v>375</v>
      </c>
      <c r="J18" s="830" t="s">
        <v>376</v>
      </c>
      <c r="K18" s="830" t="s">
        <v>211</v>
      </c>
      <c r="L18" s="824"/>
      <c r="O18" s="226"/>
      <c r="P18" s="226"/>
      <c r="Q18" s="226"/>
    </row>
    <row r="19" spans="1:18">
      <c r="A19" s="824" t="str">
        <f>A11</f>
        <v>2024-25</v>
      </c>
      <c r="B19" s="831">
        <f ca="1">(SUM(ES_Detail!$I$90:$I$91))*$B$3</f>
        <v>663.76949579884365</v>
      </c>
      <c r="C19" s="831">
        <f ca="1">(SUM(MS_Detail!$I$90:$I$91))*C3</f>
        <v>535.13190526940707</v>
      </c>
      <c r="D19" s="831">
        <f ca="1">(SUM(HS_Detail!$I$90:$I$91))*D3</f>
        <v>534.14701558519346</v>
      </c>
      <c r="E19" s="831">
        <f t="shared" ref="E19:E23" ca="1" si="5">SUM(B19:D19)</f>
        <v>1733.0484166534443</v>
      </c>
      <c r="G19" s="824" t="str">
        <f>G11</f>
        <v>2024-25</v>
      </c>
      <c r="H19" s="831">
        <f>IF(VLOOKUP("kg_allday", 'K-12_assumptions'!$A$1:$L$188, MATCH($G19, 'K-12_assumptions'!$A$6:$L$6,0),0) = "Y",B3*360,B3*330)</f>
        <v>238957.0184875837</v>
      </c>
      <c r="I19" s="831">
        <f>+C3*500</f>
        <v>133782.97631735177</v>
      </c>
      <c r="J19" s="831">
        <f>+D3*1000</f>
        <v>178049.0051950645</v>
      </c>
      <c r="K19" s="831">
        <f t="shared" ref="K19:K23" si="6">SUM(H19:J19)</f>
        <v>550789</v>
      </c>
      <c r="L19" s="831"/>
      <c r="O19" s="781"/>
      <c r="P19" s="226"/>
      <c r="Q19" s="226"/>
    </row>
    <row r="20" spans="1:18">
      <c r="A20" s="824" t="str">
        <f>A12</f>
        <v>2025-26</v>
      </c>
      <c r="B20" s="831">
        <f ca="1">(SUM(ES_Detail!$J$90:$J$91))*$B$3</f>
        <v>663.76949579884365</v>
      </c>
      <c r="C20" s="831">
        <f ca="1">(SUM(MS_Detail!$J$90:$J$91))*C4</f>
        <v>511.416</v>
      </c>
      <c r="D20" s="831">
        <f ca="1">(SUM(HS_Detail!$J$90:$J$91))*D4</f>
        <v>502.19954999999993</v>
      </c>
      <c r="E20" s="831">
        <f t="shared" ca="1" si="5"/>
        <v>1677.3850457988437</v>
      </c>
      <c r="G20" s="824" t="str">
        <f>G12</f>
        <v>2025-26</v>
      </c>
      <c r="H20" s="831">
        <f ca="1">IF(VLOOKUP("kg_allday", 'K-12_assumptions'!$A$1:$L$188, MATCH($G20, 'K-12_assumptions'!$A$6:$L$6,0),0) = "Y",B4*360,B4*330)</f>
        <v>231929</v>
      </c>
      <c r="I20" s="831">
        <f>+C4*500</f>
        <v>127854</v>
      </c>
      <c r="J20" s="831">
        <f>+D4*1000</f>
        <v>167399.84999999998</v>
      </c>
      <c r="K20" s="831">
        <f t="shared" ca="1" si="6"/>
        <v>527182.85</v>
      </c>
      <c r="L20" s="831"/>
      <c r="O20" s="781"/>
      <c r="P20" s="226"/>
      <c r="Q20" s="226"/>
    </row>
    <row r="21" spans="1:18">
      <c r="A21" s="824" t="str">
        <f>A13</f>
        <v>2026-27</v>
      </c>
      <c r="B21" s="831">
        <f ca="1">(SUM(ES_Detail!$K$90:$K$91))*$B$3</f>
        <v>663.76949579884365</v>
      </c>
      <c r="C21" s="831">
        <f ca="1">(SUM(MS_Detail!$K$90:$K$91))*C5</f>
        <v>514.3671661549688</v>
      </c>
      <c r="D21" s="831">
        <f ca="1">(SUM(HS_Detail!$K$90:$K$91))*D5</f>
        <v>505.09753190709819</v>
      </c>
      <c r="E21" s="831">
        <f t="shared" ca="1" si="5"/>
        <v>1683.2341938609106</v>
      </c>
      <c r="G21" s="824" t="str">
        <f>G13</f>
        <v>2026-27</v>
      </c>
      <c r="H21" s="831">
        <f ca="1">IF(VLOOKUP("kg_allday", 'K-12_assumptions'!$A$1:$L$188, MATCH($G21, 'K-12_assumptions'!$A$6:$L$6,0),0) = "Y",B5*360,B5*330)</f>
        <v>233267.36449222502</v>
      </c>
      <c r="I21" s="831">
        <f>+C5*500</f>
        <v>128591.7915387422</v>
      </c>
      <c r="J21" s="831">
        <f>+D5*1000</f>
        <v>168365.84396903275</v>
      </c>
      <c r="K21" s="831">
        <f t="shared" ca="1" si="6"/>
        <v>530225</v>
      </c>
      <c r="L21" s="824"/>
      <c r="O21" s="781"/>
      <c r="P21" s="226"/>
      <c r="Q21" s="226"/>
    </row>
    <row r="22" spans="1:18">
      <c r="A22" s="824" t="str">
        <f>A14</f>
        <v>2027-28</v>
      </c>
      <c r="B22" s="831">
        <f ca="1">(SUM(ES_Detail!$L$90:$L$91))*$B$3</f>
        <v>663.76949579884365</v>
      </c>
      <c r="C22" s="831">
        <f ca="1">(SUM(MS_Detail!$L$90:$L$91))*C6</f>
        <v>512.11752221454094</v>
      </c>
      <c r="D22" s="831">
        <f ca="1">(SUM(HS_Detail!$L$90:$L$91))*D6</f>
        <v>502.88842977782747</v>
      </c>
      <c r="E22" s="831">
        <f t="shared" ca="1" si="5"/>
        <v>1678.7754477912119</v>
      </c>
      <c r="G22" s="824" t="str">
        <f>G14</f>
        <v>2027-28</v>
      </c>
      <c r="H22" s="831">
        <f ca="1">IF(VLOOKUP("kg_allday", 'K-12_assumptions'!$A$1:$L$188, MATCH($G22, 'K-12_assumptions'!$A$6:$L$6,0),0) = "Y",B6*360,B6*330)</f>
        <v>232247.14285375559</v>
      </c>
      <c r="I22" s="831">
        <f>+C6*500</f>
        <v>128029.38055363523</v>
      </c>
      <c r="J22" s="831">
        <f>+D6*1000</f>
        <v>167629.47659260916</v>
      </c>
      <c r="K22" s="831">
        <f t="shared" ca="1" si="6"/>
        <v>527906</v>
      </c>
      <c r="L22" s="824"/>
      <c r="O22" s="226"/>
      <c r="P22" s="226"/>
      <c r="Q22" s="226"/>
    </row>
    <row r="23" spans="1:18">
      <c r="A23" s="824" t="str">
        <f>A15</f>
        <v>2028-29</v>
      </c>
      <c r="B23" s="831">
        <f ca="1">(SUM(ES_Detail!$M$90:$M$91))*$B$3</f>
        <v>663.76949579884365</v>
      </c>
      <c r="C23" s="831">
        <f ca="1">(SUM(MS_Detail!$M$90:$M$91))*C7</f>
        <v>509.87854928892324</v>
      </c>
      <c r="D23" s="831">
        <f ca="1">(SUM(HS_Detail!$M$90:$M$91))*D7</f>
        <v>500.68980635637132</v>
      </c>
      <c r="E23" s="831">
        <f t="shared" ca="1" si="5"/>
        <v>1674.3378514441381</v>
      </c>
      <c r="G23" s="824" t="str">
        <f>G15</f>
        <v>2028-29</v>
      </c>
      <c r="H23" s="831">
        <f ca="1">IF(VLOOKUP("kg_allday", 'K-12_assumptions'!$A$1:$L$188, MATCH($G23, 'K-12_assumptions'!$A$6:$L$6,0),0) = "Y",B7*360,B7*330)</f>
        <v>231231.76055897871</v>
      </c>
      <c r="I23" s="831">
        <f>+C7*500</f>
        <v>127469.6373222308</v>
      </c>
      <c r="J23" s="831">
        <f>+D7*1000</f>
        <v>166896.60211879044</v>
      </c>
      <c r="K23" s="831">
        <f t="shared" ca="1" si="6"/>
        <v>525598</v>
      </c>
      <c r="L23" s="824"/>
      <c r="O23" s="781"/>
      <c r="P23" s="226"/>
      <c r="Q23" s="226"/>
    </row>
    <row r="24" spans="1:18">
      <c r="H24" s="825"/>
      <c r="I24" s="833"/>
      <c r="J24" s="833"/>
      <c r="K24" s="833"/>
      <c r="L24" s="833"/>
      <c r="M24" s="824"/>
      <c r="P24" s="226"/>
      <c r="Q24" s="226"/>
    </row>
    <row r="25" spans="1:18">
      <c r="A25" s="829" t="s">
        <v>682</v>
      </c>
      <c r="B25" s="825"/>
      <c r="D25" s="824"/>
      <c r="E25" s="824"/>
      <c r="F25" s="825"/>
      <c r="G25" s="829" t="s">
        <v>685</v>
      </c>
      <c r="H25" s="825"/>
      <c r="J25" s="824"/>
      <c r="K25" s="824"/>
      <c r="O25" s="829" t="s">
        <v>789</v>
      </c>
      <c r="P25" s="226"/>
      <c r="Q25" s="226"/>
    </row>
    <row r="26" spans="1:18">
      <c r="A26" s="830"/>
      <c r="B26" s="830" t="s">
        <v>374</v>
      </c>
      <c r="C26" s="830" t="s">
        <v>375</v>
      </c>
      <c r="D26" s="830" t="s">
        <v>376</v>
      </c>
      <c r="E26" s="830" t="s">
        <v>211</v>
      </c>
      <c r="F26" s="825"/>
      <c r="G26" s="830"/>
      <c r="H26" s="830" t="s">
        <v>374</v>
      </c>
      <c r="I26" s="830" t="s">
        <v>375</v>
      </c>
      <c r="J26" s="830" t="s">
        <v>376</v>
      </c>
      <c r="K26" s="830" t="s">
        <v>687</v>
      </c>
      <c r="L26" s="830" t="s">
        <v>688</v>
      </c>
      <c r="M26" s="830" t="s">
        <v>211</v>
      </c>
      <c r="O26" s="834"/>
      <c r="P26" s="830" t="s">
        <v>374</v>
      </c>
      <c r="Q26" s="830" t="s">
        <v>375</v>
      </c>
      <c r="R26" s="830" t="s">
        <v>376</v>
      </c>
    </row>
    <row r="27" spans="1:18">
      <c r="A27" s="824" t="str">
        <f>A19</f>
        <v>2024-25</v>
      </c>
      <c r="B27" s="831">
        <f ca="1">SUM(ES_Detail!$I$68:$I$86)*$B$3</f>
        <v>7620.0738117707251</v>
      </c>
      <c r="C27" s="831">
        <f ca="1">(SUM(MS_Detail!$I$63:$I$87)-MS_Detail!$I$68)*C3</f>
        <v>4459.4325439117256</v>
      </c>
      <c r="D27" s="831">
        <f ca="1">(SUM(HS_Detail!$I$63:$I$87)-HS_Detail!$I$68+HS_Detail!$I$38)*D3</f>
        <v>5845.9423372379515</v>
      </c>
      <c r="E27" s="831">
        <f t="shared" ref="E27:E31" ca="1" si="7">SUM(B27:D27)</f>
        <v>17925.448692920399</v>
      </c>
      <c r="F27" s="825"/>
      <c r="G27" s="824" t="str">
        <f t="shared" ref="G27:G31" si="8">A27</f>
        <v>2024-25</v>
      </c>
      <c r="H27" s="831">
        <f t="shared" ref="H27:J31" ca="1" si="9">B11+B19+B27</f>
        <v>25707.792572289214</v>
      </c>
      <c r="I27" s="831">
        <f t="shared" ca="1" si="9"/>
        <v>13891.132374285025</v>
      </c>
      <c r="J27" s="831">
        <f t="shared" ca="1" si="9"/>
        <v>16662.419402838117</v>
      </c>
      <c r="K27" s="831">
        <f t="shared" ref="K27:K31" ca="1" si="10">SUM(H27:J27)</f>
        <v>56261.344349412357</v>
      </c>
      <c r="L27" s="831">
        <f ca="1">K27*0.235</f>
        <v>13221.415922111903</v>
      </c>
      <c r="M27" s="781">
        <f ca="1">K27+L27</f>
        <v>69482.760271524254</v>
      </c>
      <c r="O27" s="824" t="str">
        <f>G27</f>
        <v>2024-25</v>
      </c>
      <c r="P27" s="226">
        <f t="shared" ref="P27:R31" ca="1" si="11">H27/B3</f>
        <v>38.729999999999997</v>
      </c>
      <c r="Q27" s="226">
        <f t="shared" ca="1" si="11"/>
        <v>51.916666666666664</v>
      </c>
      <c r="R27" s="226">
        <f t="shared" ca="1" si="11"/>
        <v>93.583333333333329</v>
      </c>
    </row>
    <row r="28" spans="1:18">
      <c r="A28" s="824" t="str">
        <f>A20</f>
        <v>2025-26</v>
      </c>
      <c r="B28" s="831">
        <f ca="1">SUM(ES_Detail!$J$68:$J$86)*$B$4</f>
        <v>7395.958111111112</v>
      </c>
      <c r="C28" s="831">
        <f ca="1">(SUM(MS_Detail!$J$63:$J$87)-MS_Detail!$J$68)*C4</f>
        <v>4261.8</v>
      </c>
      <c r="D28" s="831">
        <f ca="1">(SUM(HS_Detail!$J$63:$J$87)-HS_Detail!$J$68+HS_Detail!$J$38)*D4</f>
        <v>5496.295075</v>
      </c>
      <c r="E28" s="831">
        <f t="shared" ca="1" si="7"/>
        <v>17154.053186111112</v>
      </c>
      <c r="G28" s="824" t="str">
        <f t="shared" si="8"/>
        <v>2025-26</v>
      </c>
      <c r="H28" s="831">
        <f t="shared" ca="1" si="9"/>
        <v>24971.217190243289</v>
      </c>
      <c r="I28" s="831">
        <f t="shared" ca="1" si="9"/>
        <v>13275.506999999998</v>
      </c>
      <c r="J28" s="831">
        <f t="shared" ca="1" si="9"/>
        <v>15665.835962499999</v>
      </c>
      <c r="K28" s="831">
        <f t="shared" ca="1" si="10"/>
        <v>53912.560152743288</v>
      </c>
      <c r="L28" s="831">
        <f t="shared" ref="L28:L31" ca="1" si="12">K28*0.235</f>
        <v>12669.451635894671</v>
      </c>
      <c r="M28" s="781">
        <f t="shared" ref="M28:M31" ca="1" si="13">K28+L28</f>
        <v>66582.011788637959</v>
      </c>
      <c r="O28" s="824" t="str">
        <f t="shared" ref="O28:O31" si="14">G28</f>
        <v>2025-26</v>
      </c>
      <c r="P28" s="226">
        <f t="shared" ca="1" si="11"/>
        <v>38.760302456732809</v>
      </c>
      <c r="Q28" s="226">
        <f t="shared" ca="1" si="11"/>
        <v>51.916666666666657</v>
      </c>
      <c r="R28" s="226">
        <f t="shared" ca="1" si="11"/>
        <v>93.583333333333343</v>
      </c>
    </row>
    <row r="29" spans="1:18">
      <c r="A29" s="824" t="str">
        <f>A21</f>
        <v>2026-27</v>
      </c>
      <c r="B29" s="831">
        <f ca="1">SUM(ES_Detail!$K$68:$K$86)*$B$5</f>
        <v>7438.6370676965098</v>
      </c>
      <c r="C29" s="831">
        <f ca="1">(SUM(MS_Detail!$K$63:$K$87)-MS_Detail!$K$68)*C5</f>
        <v>4286.3930512914067</v>
      </c>
      <c r="D29" s="831">
        <f ca="1">(SUM(HS_Detail!$K$63:$K$87)-HS_Detail!$K$68+HS_Detail!$K$38)*D5</f>
        <v>5528.0118769832416</v>
      </c>
      <c r="E29" s="831">
        <f t="shared" ca="1" si="7"/>
        <v>17253.041995971158</v>
      </c>
      <c r="G29" s="824" t="str">
        <f t="shared" si="8"/>
        <v>2026-27</v>
      </c>
      <c r="H29" s="831">
        <f t="shared" ca="1" si="9"/>
        <v>25111.485224386761</v>
      </c>
      <c r="I29" s="831">
        <f t="shared" ca="1" si="9"/>
        <v>13352.114354772732</v>
      </c>
      <c r="J29" s="831">
        <f t="shared" ca="1" si="9"/>
        <v>15756.236898101979</v>
      </c>
      <c r="K29" s="831">
        <f t="shared" ca="1" si="10"/>
        <v>54219.836477261473</v>
      </c>
      <c r="L29" s="831">
        <f t="shared" ca="1" si="12"/>
        <v>12741.661572156445</v>
      </c>
      <c r="M29" s="781">
        <f t="shared" ca="1" si="13"/>
        <v>66961.498049417918</v>
      </c>
      <c r="O29" s="824" t="str">
        <f t="shared" si="14"/>
        <v>2026-27</v>
      </c>
      <c r="P29" s="226">
        <f t="shared" ca="1" si="11"/>
        <v>38.754391127356129</v>
      </c>
      <c r="Q29" s="226">
        <f t="shared" ca="1" si="11"/>
        <v>51.916666666666664</v>
      </c>
      <c r="R29" s="226">
        <f t="shared" ca="1" si="11"/>
        <v>93.583333333333329</v>
      </c>
    </row>
    <row r="30" spans="1:18">
      <c r="A30" s="824" t="str">
        <f>A22</f>
        <v>2027-28</v>
      </c>
      <c r="B30" s="831">
        <f ca="1">SUM(ES_Detail!$L$68:$L$86)*$B$6</f>
        <v>8051.2342855968609</v>
      </c>
      <c r="C30" s="831">
        <f ca="1">(SUM(MS_Detail!$L$63:$L$87)-MS_Detail!$L$68)*C6</f>
        <v>4523.7047795617782</v>
      </c>
      <c r="D30" s="831">
        <f ca="1">(SUM(HS_Detail!$L$63:$L$87)-HS_Detail!$L$68+HS_Detail!$L$38)*D6</f>
        <v>5503.8344814573347</v>
      </c>
      <c r="E30" s="831">
        <f t="shared" ca="1" si="7"/>
        <v>18078.773546615976</v>
      </c>
      <c r="G30" s="824" t="str">
        <f t="shared" si="8"/>
        <v>2027-28</v>
      </c>
      <c r="H30" s="831">
        <f t="shared" ca="1" si="9"/>
        <v>27385.093543028168</v>
      </c>
      <c r="I30" s="831">
        <f t="shared" ca="1" si="9"/>
        <v>14253.937701638057</v>
      </c>
      <c r="J30" s="831">
        <f t="shared" ca="1" si="9"/>
        <v>16441.657829125084</v>
      </c>
      <c r="K30" s="831">
        <f t="shared" ca="1" si="10"/>
        <v>58080.689073791313</v>
      </c>
      <c r="L30" s="831">
        <f t="shared" ca="1" si="12"/>
        <v>13648.961932340957</v>
      </c>
      <c r="M30" s="781">
        <f t="shared" ca="1" si="13"/>
        <v>71729.651006132277</v>
      </c>
      <c r="O30" s="824" t="str">
        <f t="shared" si="14"/>
        <v>2027-28</v>
      </c>
      <c r="P30" s="226">
        <f t="shared" ca="1" si="11"/>
        <v>42.448891100882364</v>
      </c>
      <c r="Q30" s="226">
        <f t="shared" ca="1" si="11"/>
        <v>55.666666666666671</v>
      </c>
      <c r="R30" s="226">
        <f t="shared" ca="1" si="11"/>
        <v>98.083333333333343</v>
      </c>
    </row>
    <row r="31" spans="1:18">
      <c r="A31" s="824" t="str">
        <f>A23</f>
        <v>2028-29</v>
      </c>
      <c r="B31" s="831">
        <f ca="1">SUM(ES_Detail!$M$68:$M$86)*$B$7</f>
        <v>8016.034366044596</v>
      </c>
      <c r="C31" s="831">
        <f ca="1">(SUM(MS_Detail!$M$63:$M$87)-MS_Detail!$M$68)*C7</f>
        <v>4503.9271853854889</v>
      </c>
      <c r="D31" s="831">
        <f ca="1">(SUM(HS_Detail!$M$63:$M$87)-HS_Detail!$M$68+HS_Detail!$M$38)*D7</f>
        <v>5479.7717695669535</v>
      </c>
      <c r="E31" s="831">
        <f t="shared" ca="1" si="7"/>
        <v>17999.733320997038</v>
      </c>
      <c r="F31" s="825"/>
      <c r="G31" s="824" t="str">
        <f t="shared" si="8"/>
        <v>2028-29</v>
      </c>
      <c r="H31" s="831">
        <f t="shared" ca="1" si="9"/>
        <v>27268.268169001341</v>
      </c>
      <c r="I31" s="831">
        <f t="shared" ca="1" si="9"/>
        <v>14191.61962187503</v>
      </c>
      <c r="J31" s="831">
        <f t="shared" ca="1" si="9"/>
        <v>16369.775057818031</v>
      </c>
      <c r="K31" s="831">
        <f t="shared" ca="1" si="10"/>
        <v>57829.662848694396</v>
      </c>
      <c r="L31" s="831">
        <f t="shared" ca="1" si="12"/>
        <v>13589.970769443182</v>
      </c>
      <c r="M31" s="781">
        <f t="shared" ca="1" si="13"/>
        <v>71419.633618137581</v>
      </c>
      <c r="O31" s="824" t="str">
        <f t="shared" si="14"/>
        <v>2028-29</v>
      </c>
      <c r="P31" s="226">
        <f t="shared" ca="1" si="11"/>
        <v>42.45340915586133</v>
      </c>
      <c r="Q31" s="226">
        <f t="shared" ca="1" si="11"/>
        <v>55.666666666666664</v>
      </c>
      <c r="R31" s="226">
        <f t="shared" ca="1" si="11"/>
        <v>98.083333333333343</v>
      </c>
    </row>
    <row r="32" spans="1:18">
      <c r="F32" s="825"/>
      <c r="G32" s="825"/>
      <c r="H32" s="825"/>
      <c r="Q32" s="781"/>
    </row>
    <row r="33" spans="8:18">
      <c r="H33" s="825"/>
      <c r="J33" s="226"/>
      <c r="K33" s="226"/>
      <c r="L33" s="226"/>
      <c r="O33" s="835" t="s">
        <v>791</v>
      </c>
      <c r="P33" s="836"/>
      <c r="Q33" s="836"/>
      <c r="R33" s="836"/>
    </row>
    <row r="34" spans="8:18">
      <c r="H34" s="825"/>
      <c r="J34" s="226"/>
      <c r="K34" s="226"/>
      <c r="L34" s="226"/>
      <c r="M34" s="824"/>
      <c r="O34" s="226"/>
      <c r="P34" s="226">
        <f ca="1">CEILING(AVERAGE(P27:P31),1)</f>
        <v>41</v>
      </c>
      <c r="Q34" s="226">
        <f t="shared" ref="Q34:R34" ca="1" si="15">CEILING(AVERAGE(Q27:Q31),1)</f>
        <v>54</v>
      </c>
      <c r="R34" s="226">
        <f t="shared" ca="1" si="15"/>
        <v>96</v>
      </c>
    </row>
    <row r="35" spans="8:18">
      <c r="H35" s="781"/>
      <c r="M35" s="824"/>
      <c r="O35" s="226"/>
      <c r="P35" s="226">
        <f ca="1">B7*P34</f>
        <v>26334.728285883688</v>
      </c>
      <c r="Q35" s="226">
        <f ca="1">C7*Q34</f>
        <v>13766.720830800927</v>
      </c>
      <c r="R35" s="226">
        <f ca="1">D7*R34</f>
        <v>16022.073803403882</v>
      </c>
    </row>
    <row r="36" spans="8:18">
      <c r="H36" s="781"/>
      <c r="M36" s="824"/>
      <c r="O36" s="226"/>
      <c r="P36" s="226"/>
      <c r="Q36" s="226"/>
    </row>
    <row r="37" spans="8:18">
      <c r="H37" s="781"/>
      <c r="M37" s="824"/>
      <c r="O37" s="226"/>
      <c r="P37" s="226"/>
      <c r="Q37" s="226"/>
    </row>
    <row r="38" spans="8:18">
      <c r="H38" s="781"/>
      <c r="M38" s="824"/>
      <c r="O38" s="226"/>
      <c r="P38" s="226"/>
      <c r="Q38" s="226"/>
    </row>
    <row r="39" spans="8:18">
      <c r="H39" s="781"/>
      <c r="M39" s="824"/>
      <c r="O39" s="226"/>
      <c r="P39" s="226"/>
      <c r="Q39" s="226"/>
    </row>
    <row r="40" spans="8:18">
      <c r="H40" s="781"/>
      <c r="M40" s="824"/>
      <c r="O40" s="226"/>
      <c r="P40" s="226"/>
      <c r="Q40" s="226"/>
    </row>
    <row r="41" spans="8:18">
      <c r="H41" s="781"/>
      <c r="M41" s="824"/>
      <c r="O41" s="226"/>
      <c r="P41" s="226"/>
      <c r="Q41" s="226"/>
    </row>
  </sheetData>
  <sheetProtection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8"/>
  <sheetViews>
    <sheetView workbookViewId="0"/>
  </sheetViews>
  <sheetFormatPr defaultRowHeight="15.75"/>
  <cols>
    <col min="1" max="1" width="20.28515625" style="11" bestFit="1" customWidth="1"/>
    <col min="2" max="8" width="12.7109375" style="11" customWidth="1"/>
    <col min="9" max="9" width="26" style="11" bestFit="1" customWidth="1"/>
    <col min="10" max="16384" width="9.140625" style="11"/>
  </cols>
  <sheetData>
    <row r="1" spans="1:8">
      <c r="A1" s="17" t="s">
        <v>141</v>
      </c>
      <c r="B1" s="18" t="s">
        <v>132</v>
      </c>
      <c r="C1" s="19" t="str">
        <f>Years!A7</f>
        <v>2024-25</v>
      </c>
      <c r="D1" s="17"/>
      <c r="E1" s="17"/>
      <c r="F1" s="17"/>
      <c r="G1" s="17"/>
      <c r="H1" s="17"/>
    </row>
    <row r="2" spans="1:8">
      <c r="A2" s="17"/>
      <c r="B2" s="18"/>
      <c r="C2" s="12"/>
      <c r="D2" s="17"/>
      <c r="E2" s="17"/>
      <c r="F2" s="17"/>
      <c r="G2" s="17"/>
      <c r="H2" s="20"/>
    </row>
    <row r="3" spans="1:8">
      <c r="A3" s="21" t="s">
        <v>142</v>
      </c>
      <c r="B3" s="23" t="s">
        <v>143</v>
      </c>
      <c r="C3" s="21" t="s">
        <v>144</v>
      </c>
      <c r="D3" s="21" t="s">
        <v>145</v>
      </c>
      <c r="E3" s="21" t="s">
        <v>146</v>
      </c>
      <c r="F3" s="22" t="s">
        <v>147</v>
      </c>
      <c r="G3" s="22" t="s">
        <v>148</v>
      </c>
      <c r="H3" s="23" t="s">
        <v>143</v>
      </c>
    </row>
    <row r="4" spans="1:8">
      <c r="A4" s="22" t="s">
        <v>149</v>
      </c>
      <c r="B4" s="25" t="s">
        <v>174</v>
      </c>
      <c r="C4" s="24" t="s">
        <v>174</v>
      </c>
      <c r="D4" s="24" t="s">
        <v>174</v>
      </c>
      <c r="E4" s="24" t="s">
        <v>174</v>
      </c>
      <c r="F4" s="24" t="s">
        <v>174</v>
      </c>
      <c r="G4" s="24" t="s">
        <v>174</v>
      </c>
      <c r="H4" s="25" t="s">
        <v>175</v>
      </c>
    </row>
    <row r="5" spans="1:8">
      <c r="A5" s="26" t="s">
        <v>150</v>
      </c>
      <c r="B5" s="42">
        <v>34738</v>
      </c>
      <c r="C5" s="28">
        <v>37206.74</v>
      </c>
      <c r="D5" s="28">
        <v>6178.63</v>
      </c>
      <c r="E5" s="27">
        <v>6840</v>
      </c>
      <c r="F5" s="27">
        <v>5764</v>
      </c>
      <c r="G5" s="27">
        <v>13626</v>
      </c>
      <c r="H5" s="29">
        <v>34586</v>
      </c>
    </row>
    <row r="6" spans="1:8">
      <c r="A6" s="26">
        <v>1</v>
      </c>
      <c r="B6" s="42">
        <v>37292</v>
      </c>
      <c r="C6" s="28">
        <v>39103.67</v>
      </c>
      <c r="D6" s="28">
        <v>6401.03</v>
      </c>
      <c r="E6" s="27">
        <v>7421</v>
      </c>
      <c r="F6" s="27">
        <v>6320</v>
      </c>
      <c r="G6" s="27">
        <v>14450</v>
      </c>
      <c r="H6" s="29">
        <v>36067</v>
      </c>
    </row>
    <row r="7" spans="1:8">
      <c r="A7" s="26">
        <f>+A6+1</f>
        <v>2</v>
      </c>
      <c r="B7" s="42">
        <v>39209</v>
      </c>
      <c r="C7" s="28">
        <v>41339.14</v>
      </c>
      <c r="D7" s="28">
        <v>5804.57</v>
      </c>
      <c r="E7" s="27">
        <v>6581</v>
      </c>
      <c r="F7" s="27">
        <v>7042</v>
      </c>
      <c r="G7" s="27">
        <v>14888</v>
      </c>
      <c r="H7" s="29">
        <v>38013</v>
      </c>
    </row>
    <row r="8" spans="1:8">
      <c r="A8" s="26">
        <f t="shared" ref="A8:A17" si="0">+A7+1</f>
        <v>3</v>
      </c>
      <c r="B8" s="42">
        <v>41425</v>
      </c>
      <c r="C8" s="28">
        <v>40781.19</v>
      </c>
      <c r="D8" s="28">
        <v>5310.7</v>
      </c>
      <c r="E8" s="27">
        <v>5993</v>
      </c>
      <c r="F8" s="27">
        <v>7126</v>
      </c>
      <c r="G8" s="27">
        <v>15279</v>
      </c>
      <c r="H8" s="29">
        <v>39822</v>
      </c>
    </row>
    <row r="9" spans="1:8">
      <c r="A9" s="26">
        <f t="shared" si="0"/>
        <v>4</v>
      </c>
      <c r="B9" s="42">
        <v>40853</v>
      </c>
      <c r="C9" s="28">
        <v>42225.8</v>
      </c>
      <c r="D9" s="28">
        <v>5125.42</v>
      </c>
      <c r="E9" s="27">
        <v>5770</v>
      </c>
      <c r="F9" s="27">
        <v>7206</v>
      </c>
      <c r="G9" s="27">
        <v>14526</v>
      </c>
      <c r="H9" s="29">
        <v>42014</v>
      </c>
    </row>
    <row r="10" spans="1:8">
      <c r="A10" s="26">
        <f t="shared" si="0"/>
        <v>5</v>
      </c>
      <c r="B10" s="42">
        <v>42307</v>
      </c>
      <c r="C10" s="28">
        <v>41726.949999999997</v>
      </c>
      <c r="D10" s="28">
        <v>4562.49</v>
      </c>
      <c r="E10" s="27">
        <v>5220</v>
      </c>
      <c r="F10" s="27">
        <v>6797</v>
      </c>
      <c r="G10" s="27">
        <v>14750</v>
      </c>
      <c r="H10" s="29">
        <v>41427</v>
      </c>
    </row>
    <row r="11" spans="1:8">
      <c r="A11" s="26">
        <f t="shared" si="0"/>
        <v>6</v>
      </c>
      <c r="B11" s="42">
        <v>41936</v>
      </c>
      <c r="C11" s="28">
        <v>42100.04</v>
      </c>
      <c r="D11" s="28">
        <v>4216.21</v>
      </c>
      <c r="E11" s="27">
        <v>4798</v>
      </c>
      <c r="F11" s="27">
        <v>6530</v>
      </c>
      <c r="G11" s="27">
        <v>14228</v>
      </c>
      <c r="H11" s="29">
        <v>42659</v>
      </c>
    </row>
    <row r="12" spans="1:8">
      <c r="A12" s="26">
        <f t="shared" si="0"/>
        <v>7</v>
      </c>
      <c r="B12" s="42">
        <v>42378</v>
      </c>
      <c r="C12" s="28">
        <v>42408.29</v>
      </c>
      <c r="D12" s="28">
        <v>4011.42</v>
      </c>
      <c r="E12" s="27">
        <v>4711</v>
      </c>
      <c r="F12" s="27">
        <v>6278</v>
      </c>
      <c r="G12" s="27">
        <v>13872</v>
      </c>
      <c r="H12" s="29">
        <v>42381</v>
      </c>
    </row>
    <row r="13" spans="1:8">
      <c r="A13" s="26">
        <f t="shared" si="0"/>
        <v>8</v>
      </c>
      <c r="B13" s="42">
        <v>42658</v>
      </c>
      <c r="C13" s="28">
        <v>43753.21</v>
      </c>
      <c r="D13" s="28">
        <v>3841.4</v>
      </c>
      <c r="E13" s="27">
        <v>4578</v>
      </c>
      <c r="F13" s="27">
        <v>6309</v>
      </c>
      <c r="G13" s="27">
        <v>13521</v>
      </c>
      <c r="H13" s="29">
        <v>42814</v>
      </c>
    </row>
    <row r="14" spans="1:8">
      <c r="A14" s="26">
        <f t="shared" si="0"/>
        <v>9</v>
      </c>
      <c r="B14" s="42">
        <v>44151</v>
      </c>
      <c r="C14" s="28">
        <v>44431.76</v>
      </c>
      <c r="D14" s="28">
        <v>3681.98</v>
      </c>
      <c r="E14" s="27">
        <v>4629</v>
      </c>
      <c r="F14" s="27">
        <v>6228</v>
      </c>
      <c r="G14" s="27">
        <v>13358</v>
      </c>
      <c r="H14" s="29">
        <v>43801</v>
      </c>
    </row>
    <row r="15" spans="1:8">
      <c r="A15" s="26">
        <f t="shared" si="0"/>
        <v>10</v>
      </c>
      <c r="B15" s="42">
        <v>45168</v>
      </c>
      <c r="C15" s="28">
        <v>44804.24</v>
      </c>
      <c r="D15" s="28">
        <v>3102.05</v>
      </c>
      <c r="E15" s="27">
        <v>4087</v>
      </c>
      <c r="F15" s="27">
        <v>6087</v>
      </c>
      <c r="G15" s="27">
        <v>12926</v>
      </c>
      <c r="H15" s="29">
        <v>44245</v>
      </c>
    </row>
    <row r="16" spans="1:8">
      <c r="A16" s="26">
        <f t="shared" si="0"/>
        <v>11</v>
      </c>
      <c r="B16" s="42">
        <v>45945</v>
      </c>
      <c r="C16" s="28">
        <v>43409.05</v>
      </c>
      <c r="D16" s="28">
        <v>2599.0300000000002</v>
      </c>
      <c r="E16" s="27">
        <v>4052</v>
      </c>
      <c r="F16" s="27">
        <v>7284</v>
      </c>
      <c r="G16" s="27">
        <v>12342</v>
      </c>
      <c r="H16" s="29">
        <v>44334</v>
      </c>
    </row>
    <row r="17" spans="1:9" ht="16.5" thickBot="1">
      <c r="A17" s="30">
        <f t="shared" si="0"/>
        <v>12</v>
      </c>
      <c r="B17" s="43">
        <v>47028</v>
      </c>
      <c r="C17" s="32">
        <v>34754.800000000003</v>
      </c>
      <c r="D17" s="32">
        <v>5572.06</v>
      </c>
      <c r="E17" s="31">
        <v>6154</v>
      </c>
      <c r="F17" s="31">
        <v>4998</v>
      </c>
      <c r="G17" s="33">
        <v>11325</v>
      </c>
      <c r="H17" s="34">
        <v>47481</v>
      </c>
    </row>
    <row r="18" spans="1:9" ht="16.5" thickTop="1">
      <c r="A18" s="35" t="s">
        <v>151</v>
      </c>
      <c r="B18" s="29">
        <v>545088</v>
      </c>
      <c r="C18" s="37">
        <v>538044.88</v>
      </c>
      <c r="D18" s="37">
        <v>60406.99</v>
      </c>
      <c r="E18" s="36">
        <v>70834</v>
      </c>
      <c r="F18" s="36">
        <v>83969</v>
      </c>
      <c r="G18" s="36">
        <v>179091</v>
      </c>
      <c r="H18" s="29">
        <v>539644</v>
      </c>
      <c r="I18" s="38"/>
    </row>
    <row r="19" spans="1:9">
      <c r="A19" s="35" t="s">
        <v>152</v>
      </c>
      <c r="B19" s="29">
        <v>542465</v>
      </c>
      <c r="C19" s="36"/>
      <c r="D19" s="36"/>
      <c r="E19" s="36"/>
      <c r="F19" s="36"/>
      <c r="G19" s="36"/>
      <c r="H19" s="29">
        <v>537232</v>
      </c>
    </row>
    <row r="22" spans="1:9" ht="16.5" thickBot="1">
      <c r="A22" s="40" t="s">
        <v>713</v>
      </c>
      <c r="B22" s="41"/>
      <c r="C22" s="41"/>
      <c r="D22" s="41"/>
      <c r="E22" s="41"/>
      <c r="F22" s="41"/>
      <c r="G22" s="41"/>
      <c r="H22" s="41"/>
    </row>
    <row r="23" spans="1:9">
      <c r="A23" s="11" t="s">
        <v>714</v>
      </c>
      <c r="B23" s="11" t="s">
        <v>717</v>
      </c>
    </row>
    <row r="24" spans="1:9">
      <c r="A24" s="11" t="s">
        <v>144</v>
      </c>
      <c r="B24" s="11" t="s">
        <v>718</v>
      </c>
    </row>
    <row r="25" spans="1:9">
      <c r="A25" s="11" t="s">
        <v>145</v>
      </c>
      <c r="B25" s="11" t="s">
        <v>718</v>
      </c>
    </row>
    <row r="26" spans="1:9">
      <c r="A26" s="11" t="s">
        <v>146</v>
      </c>
      <c r="B26" s="11" t="s">
        <v>716</v>
      </c>
    </row>
    <row r="27" spans="1:9">
      <c r="A27" s="11" t="s">
        <v>715</v>
      </c>
      <c r="B27" s="11" t="s">
        <v>720</v>
      </c>
    </row>
    <row r="28" spans="1:9">
      <c r="A28" s="11" t="s">
        <v>148</v>
      </c>
      <c r="B28" s="11" t="s">
        <v>719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5"/>
  <sheetViews>
    <sheetView topLeftCell="B1" workbookViewId="0">
      <selection activeCell="B1" sqref="B1"/>
    </sheetView>
  </sheetViews>
  <sheetFormatPr defaultColWidth="9.140625" defaultRowHeight="15.75" outlineLevelCol="1"/>
  <cols>
    <col min="1" max="1" width="19.140625" style="10" hidden="1" customWidth="1" outlineLevel="1"/>
    <col min="2" max="2" width="38" style="10" bestFit="1" customWidth="1" collapsed="1"/>
    <col min="3" max="9" width="12.5703125" style="10" customWidth="1"/>
    <col min="10" max="16384" width="9.140625" style="10"/>
  </cols>
  <sheetData>
    <row r="1" spans="1:9">
      <c r="A1" s="10" t="s">
        <v>59</v>
      </c>
      <c r="B1" s="212"/>
      <c r="C1" s="213" t="str">
        <f>+Years!A4</f>
        <v>Base Year</v>
      </c>
      <c r="D1" s="213" t="str">
        <f>+Years!B4</f>
        <v>Base+1</v>
      </c>
      <c r="E1" s="213" t="str">
        <f>+Years!C4</f>
        <v>Base+2</v>
      </c>
      <c r="F1" s="213" t="str">
        <f>+Years!D4</f>
        <v>Base+3</v>
      </c>
      <c r="G1" s="213" t="str">
        <f>+Years!E4</f>
        <v>Base+4</v>
      </c>
      <c r="H1" s="213" t="str">
        <f>+Years!F4</f>
        <v>Base+5</v>
      </c>
      <c r="I1" s="213" t="str">
        <f>+Years!G4</f>
        <v>Base+6</v>
      </c>
    </row>
    <row r="2" spans="1:9">
      <c r="B2" s="214" t="s">
        <v>648</v>
      </c>
      <c r="C2" s="215" t="str">
        <f>+Years!A7</f>
        <v>2024-25</v>
      </c>
      <c r="D2" s="215" t="str">
        <f>+Years!B7</f>
        <v>2025-26</v>
      </c>
      <c r="E2" s="215" t="str">
        <f>+Years!C7</f>
        <v>2026-27</v>
      </c>
      <c r="F2" s="215" t="str">
        <f>+Years!D7</f>
        <v>2027-28</v>
      </c>
      <c r="G2" s="215" t="str">
        <f>+Years!E7</f>
        <v>2028-29</v>
      </c>
      <c r="H2" s="215" t="str">
        <f>+Years!F7</f>
        <v>2029-30</v>
      </c>
      <c r="I2" s="215" t="str">
        <f>+Years!G7</f>
        <v>2030-31</v>
      </c>
    </row>
    <row r="3" spans="1:9">
      <c r="B3" s="216" t="s">
        <v>649</v>
      </c>
      <c r="C3" s="216"/>
      <c r="D3" s="159">
        <f>D4/C4-1</f>
        <v>-3.2848182311846941E-2</v>
      </c>
      <c r="E3" s="159">
        <f>E4/D4-1</f>
        <v>5.7705784624821899E-3</v>
      </c>
      <c r="F3" s="159">
        <f>F4/E4-1</f>
        <v>-4.3736149747748421E-3</v>
      </c>
      <c r="G3" s="159">
        <f>G4/F4-1</f>
        <v>-4.3719904679999644E-3</v>
      </c>
      <c r="H3" s="159">
        <f>AVERAGE(E3:G3)</f>
        <v>-9.9167566009753893E-4</v>
      </c>
      <c r="I3" s="159">
        <f>AVERAGE(F3:H3)</f>
        <v>-3.2457603676241151E-3</v>
      </c>
    </row>
    <row r="4" spans="1:9">
      <c r="B4" s="140" t="s">
        <v>660</v>
      </c>
      <c r="C4" s="217">
        <f>SUM(C5:C7)</f>
        <v>545088</v>
      </c>
      <c r="D4" s="217">
        <f>SUM(D5:D7)</f>
        <v>527182.85</v>
      </c>
      <c r="E4" s="218">
        <v>530225</v>
      </c>
      <c r="F4" s="218">
        <v>527906</v>
      </c>
      <c r="G4" s="218">
        <v>525598</v>
      </c>
      <c r="H4" s="217">
        <f>G4*(1+H3)</f>
        <v>525076.77725640405</v>
      </c>
      <c r="I4" s="217">
        <f>H4*(1+I3)</f>
        <v>523372.5038628254</v>
      </c>
    </row>
    <row r="5" spans="1:9">
      <c r="A5" s="210" t="s">
        <v>627</v>
      </c>
      <c r="B5" s="140" t="s">
        <v>650</v>
      </c>
      <c r="C5" s="217">
        <f>SUM(StudentAssumptions!B5:B10)</f>
        <v>235824</v>
      </c>
      <c r="D5" s="217">
        <f>SUM(StudentAssumptions!H5:H10)</f>
        <v>231929</v>
      </c>
      <c r="E5" s="217">
        <f>(D$5/D$4)*E$4</f>
        <v>233267.36449222505</v>
      </c>
      <c r="F5" s="217">
        <f>(E$5/E$4)*F$4</f>
        <v>232247.14285375559</v>
      </c>
      <c r="G5" s="217">
        <f>(F$5/F$4)*G$4</f>
        <v>231231.76055897874</v>
      </c>
      <c r="H5" s="217">
        <f>(G$5/G$4)*H$4</f>
        <v>231002.4536501909</v>
      </c>
      <c r="I5" s="217">
        <f>(H$5/H$4)*I$4</f>
        <v>230252.67504130918</v>
      </c>
    </row>
    <row r="6" spans="1:9">
      <c r="A6" s="211" t="s">
        <v>628</v>
      </c>
      <c r="B6" s="140" t="s">
        <v>651</v>
      </c>
      <c r="C6" s="217">
        <f>SUM(StudentAssumptions!B11:B13)</f>
        <v>126972</v>
      </c>
      <c r="D6" s="217">
        <f>SUM(StudentAssumptions!H11:H13)</f>
        <v>127854</v>
      </c>
      <c r="E6" s="217">
        <f>(D$6/D$4)*E$4</f>
        <v>128591.79153874221</v>
      </c>
      <c r="F6" s="217">
        <f>(E$6/E$4)*F$4</f>
        <v>128029.38055363524</v>
      </c>
      <c r="G6" s="217">
        <f>(F$6/F$4)*G$4</f>
        <v>127469.6373222308</v>
      </c>
      <c r="H6" s="217">
        <f>(G$6/G$4)*H$4</f>
        <v>127343.22878549689</v>
      </c>
      <c r="I6" s="217">
        <f>(H$6/H$4)*I$4</f>
        <v>126929.90318041963</v>
      </c>
    </row>
    <row r="7" spans="1:9">
      <c r="A7" s="211" t="s">
        <v>629</v>
      </c>
      <c r="B7" s="140" t="s">
        <v>652</v>
      </c>
      <c r="C7" s="217">
        <f>SUM(StudentAssumptions!B14:B17)</f>
        <v>182292</v>
      </c>
      <c r="D7" s="217">
        <f>SUM(StudentAssumptions!C14:C17)</f>
        <v>167399.84999999998</v>
      </c>
      <c r="E7" s="217">
        <f>(D$7/D$4)*E$4</f>
        <v>168365.84396903275</v>
      </c>
      <c r="F7" s="217">
        <f>(E$7/E$4)*F$4</f>
        <v>167629.47659260916</v>
      </c>
      <c r="G7" s="217">
        <f>(F$7/F$4)*G$4</f>
        <v>166896.60211879044</v>
      </c>
      <c r="H7" s="217">
        <f>(G$7/G$4)*H$4</f>
        <v>166731.09482071627</v>
      </c>
      <c r="I7" s="217">
        <f>(H$7/H$4)*I$4</f>
        <v>166189.9256410966</v>
      </c>
    </row>
    <row r="8" spans="1:9">
      <c r="B8" s="140" t="s">
        <v>653</v>
      </c>
      <c r="C8" s="147"/>
      <c r="D8" s="147">
        <f t="shared" ref="D8:I8" si="0">D4/C4-1</f>
        <v>-3.2848182311846941E-2</v>
      </c>
      <c r="E8" s="147">
        <f t="shared" si="0"/>
        <v>5.7705784624821899E-3</v>
      </c>
      <c r="F8" s="147">
        <f t="shared" si="0"/>
        <v>-4.3736149747748421E-3</v>
      </c>
      <c r="G8" s="147">
        <f t="shared" si="0"/>
        <v>-4.3719904679999644E-3</v>
      </c>
      <c r="H8" s="147">
        <f t="shared" si="0"/>
        <v>-9.9167566009750185E-4</v>
      </c>
      <c r="I8" s="147">
        <f t="shared" si="0"/>
        <v>-3.2457603676241398E-3</v>
      </c>
    </row>
    <row r="9" spans="1:9">
      <c r="B9" s="140" t="s">
        <v>654</v>
      </c>
      <c r="C9" s="219">
        <f ca="1">C15-(C11/2*1.21)</f>
        <v>648793.51</v>
      </c>
      <c r="D9" s="219">
        <f t="shared" ref="D9:I9" ca="1" si="1">D15-(D11/2*1.21)</f>
        <v>646539.47</v>
      </c>
      <c r="E9" s="219">
        <f t="shared" ca="1" si="1"/>
        <v>639682.7233578444</v>
      </c>
      <c r="F9" s="219">
        <f t="shared" ca="1" si="1"/>
        <v>633106.76729491481</v>
      </c>
      <c r="G9" s="219">
        <f t="shared" ca="1" si="1"/>
        <v>626598.37462857529</v>
      </c>
      <c r="H9" s="219">
        <f t="shared" ca="1" si="1"/>
        <v>620085.18848614185</v>
      </c>
      <c r="I9" s="219">
        <f t="shared" ca="1" si="1"/>
        <v>613684.97745184589</v>
      </c>
    </row>
    <row r="10" spans="1:9">
      <c r="B10" s="140" t="s">
        <v>655</v>
      </c>
      <c r="C10" s="147"/>
      <c r="D10" s="147">
        <f>D14</f>
        <v>-3.5024857795493691E-3</v>
      </c>
      <c r="E10" s="147">
        <f ca="1">(E9/D9)-1</f>
        <v>-1.0605302476205503E-2</v>
      </c>
      <c r="F10" s="147">
        <f ca="1">(F9/E9)-1</f>
        <v>-1.0280027618083665E-2</v>
      </c>
      <c r="G10" s="147">
        <f ca="1">(G9/F9)-1</f>
        <v>-1.0280087028840423E-2</v>
      </c>
      <c r="H10" s="147">
        <f ca="1">(H9/G9)-1</f>
        <v>-1.0394514901661212E-2</v>
      </c>
      <c r="I10" s="147">
        <f ca="1">(I9/H9)-1</f>
        <v>-1.0321502840474617E-2</v>
      </c>
    </row>
    <row r="11" spans="1:9">
      <c r="B11" s="140" t="s">
        <v>656</v>
      </c>
      <c r="C11" s="217">
        <f>+StudentAssumptions!B5</f>
        <v>34738</v>
      </c>
      <c r="D11" s="217">
        <f>+StudentAssumptions!H5</f>
        <v>34586</v>
      </c>
      <c r="E11" s="217">
        <f>D11*(1+E12)</f>
        <v>34785.581226703413</v>
      </c>
      <c r="F11" s="217">
        <f>E11*(1+F12)</f>
        <v>34633.442487744054</v>
      </c>
      <c r="G11" s="217">
        <f>F11*(1+G12)</f>
        <v>34482.025407313609</v>
      </c>
      <c r="H11" s="217">
        <f>G11*(1+H12)</f>
        <v>34447.830422006315</v>
      </c>
      <c r="I11" s="217">
        <f>H11*(1+I12)</f>
        <v>34336.021019271931</v>
      </c>
    </row>
    <row r="12" spans="1:9">
      <c r="B12" s="140" t="s">
        <v>657</v>
      </c>
      <c r="C12" s="147"/>
      <c r="D12" s="147"/>
      <c r="E12" s="147">
        <f>E8</f>
        <v>5.7705784624821899E-3</v>
      </c>
      <c r="F12" s="147">
        <f>F8</f>
        <v>-4.3736149747748421E-3</v>
      </c>
      <c r="G12" s="147">
        <f>G8</f>
        <v>-4.3719904679999644E-3</v>
      </c>
      <c r="H12" s="147">
        <f>H8</f>
        <v>-9.9167566009750185E-4</v>
      </c>
      <c r="I12" s="147">
        <f>I8</f>
        <v>-3.2457603676241398E-3</v>
      </c>
    </row>
    <row r="13" spans="1:9">
      <c r="B13" s="140" t="s">
        <v>658</v>
      </c>
      <c r="C13" s="218">
        <v>669810</v>
      </c>
      <c r="D13" s="218">
        <v>667464</v>
      </c>
      <c r="E13" s="218">
        <v>660728</v>
      </c>
      <c r="F13" s="218">
        <v>654060</v>
      </c>
      <c r="G13" s="218">
        <v>647460</v>
      </c>
      <c r="H13" s="217">
        <f>+G13*(1+H14)</f>
        <v>640926.12589145568</v>
      </c>
      <c r="I13" s="217">
        <f>+H13*(1+I14)</f>
        <v>634458.27016850538</v>
      </c>
    </row>
    <row r="14" spans="1:9">
      <c r="B14" s="140" t="s">
        <v>659</v>
      </c>
      <c r="C14" s="147"/>
      <c r="D14" s="147">
        <f>+D13/C13-1</f>
        <v>-3.5024857795493691E-3</v>
      </c>
      <c r="E14" s="147">
        <f>+E13/D13-1</f>
        <v>-1.0091930051658204E-2</v>
      </c>
      <c r="F14" s="147">
        <f>+F13/E13-1</f>
        <v>-1.0091898633022955E-2</v>
      </c>
      <c r="G14" s="147">
        <f>+G13/F13-1</f>
        <v>-1.0090817356205872E-2</v>
      </c>
      <c r="H14" s="147">
        <f>AVERAGE(E14:G14)</f>
        <v>-1.0091548680295678E-2</v>
      </c>
      <c r="I14" s="147">
        <f>AVERAGE(F14:H14)</f>
        <v>-1.0091421556508169E-2</v>
      </c>
    </row>
    <row r="15" spans="1:9">
      <c r="A15" s="10" t="s">
        <v>385</v>
      </c>
      <c r="B15" s="140" t="s">
        <v>616</v>
      </c>
      <c r="C15" s="217">
        <f t="shared" ref="C15:I15" ca="1" si="2">IF(INDEX(INDIRECT($A$15 &amp; $A$16), MATCH($A$1, INDIRECT($A$15 &amp; $A$17),0), MATCH(C$2, INDIRECT($A$15 &amp; $A$18),0))="Y", C13,C9)</f>
        <v>669810</v>
      </c>
      <c r="D15" s="217">
        <f t="shared" ca="1" si="2"/>
        <v>667464</v>
      </c>
      <c r="E15" s="217">
        <f t="shared" ca="1" si="2"/>
        <v>660728</v>
      </c>
      <c r="F15" s="217">
        <f t="shared" ca="1" si="2"/>
        <v>654060</v>
      </c>
      <c r="G15" s="217">
        <f t="shared" ca="1" si="2"/>
        <v>647460</v>
      </c>
      <c r="H15" s="217">
        <f t="shared" ca="1" si="2"/>
        <v>640926.12589145568</v>
      </c>
      <c r="I15" s="217">
        <f t="shared" ca="1" si="2"/>
        <v>634458.27016850538</v>
      </c>
    </row>
    <row r="16" spans="1:9">
      <c r="A16" s="10" t="s">
        <v>780</v>
      </c>
      <c r="B16" s="140"/>
      <c r="C16" s="220"/>
      <c r="D16" s="220"/>
      <c r="E16" s="220"/>
      <c r="F16" s="159"/>
      <c r="G16" s="159"/>
      <c r="H16" s="220"/>
      <c r="I16" s="220"/>
    </row>
    <row r="17" spans="1:9" ht="16.5" thickBot="1">
      <c r="A17" s="10" t="s">
        <v>415</v>
      </c>
      <c r="B17" s="221" t="s">
        <v>139</v>
      </c>
      <c r="C17" s="222"/>
      <c r="D17" s="222"/>
      <c r="E17" s="222"/>
      <c r="F17" s="222"/>
      <c r="G17" s="222"/>
      <c r="H17" s="222"/>
      <c r="I17" s="222"/>
    </row>
    <row r="18" spans="1:9">
      <c r="A18" s="10" t="s">
        <v>781</v>
      </c>
      <c r="B18" s="10" t="s">
        <v>1065</v>
      </c>
      <c r="E18" s="223"/>
      <c r="F18" s="223"/>
      <c r="G18" s="223"/>
      <c r="H18" s="223"/>
      <c r="I18" s="223"/>
    </row>
    <row r="19" spans="1:9">
      <c r="B19" s="10" t="s">
        <v>1066</v>
      </c>
      <c r="E19" s="224"/>
      <c r="F19" s="224"/>
      <c r="G19" s="224"/>
      <c r="H19" s="224"/>
      <c r="I19" s="224"/>
    </row>
    <row r="20" spans="1:9">
      <c r="B20" s="10" t="s">
        <v>1067</v>
      </c>
      <c r="E20" s="161"/>
      <c r="F20" s="161"/>
      <c r="G20" s="161"/>
      <c r="H20" s="161"/>
      <c r="I20" s="161"/>
    </row>
    <row r="22" spans="1:9">
      <c r="B22" s="10" t="s">
        <v>1064</v>
      </c>
      <c r="C22" s="10" t="s">
        <v>933</v>
      </c>
      <c r="D22" s="10" t="s">
        <v>934</v>
      </c>
    </row>
    <row r="23" spans="1:9">
      <c r="B23" s="26" t="s">
        <v>374</v>
      </c>
      <c r="C23" s="10">
        <v>900</v>
      </c>
      <c r="D23" s="10">
        <f>C23/6</f>
        <v>150</v>
      </c>
    </row>
    <row r="24" spans="1:9">
      <c r="B24" s="26" t="s">
        <v>932</v>
      </c>
      <c r="C24" s="224">
        <v>990</v>
      </c>
      <c r="D24" s="10">
        <f t="shared" ref="D24:D25" si="3">C24/6</f>
        <v>165</v>
      </c>
    </row>
    <row r="25" spans="1:9">
      <c r="B25" s="26" t="s">
        <v>376</v>
      </c>
      <c r="C25" s="10">
        <v>966</v>
      </c>
      <c r="D25" s="10">
        <f t="shared" si="3"/>
        <v>161</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CF9C4BCACE3B469E79562631E94AAE" ma:contentTypeVersion="11" ma:contentTypeDescription="Create a new document." ma:contentTypeScope="" ma:versionID="37b378d863ca58de957c13c30d5ced62">
  <xsd:schema xmlns:xsd="http://www.w3.org/2001/XMLSchema" xmlns:xs="http://www.w3.org/2001/XMLSchema" xmlns:p="http://schemas.microsoft.com/office/2006/metadata/properties" xmlns:ns1="http://schemas.microsoft.com/sharepoint/v3" xmlns:ns2="ef831af2-fec2-4cb3-8c78-855c7bbc6bb0" xmlns:ns3="54031767-dd6d-417c-ab73-583408f47564" targetNamespace="http://schemas.microsoft.com/office/2006/metadata/properties" ma:root="true" ma:fieldsID="2ed8ef555e0acc454e24ea5254109672" ns1:_="" ns2:_="" ns3:_="">
    <xsd:import namespace="http://schemas.microsoft.com/sharepoint/v3"/>
    <xsd:import namespace="ef831af2-fec2-4cb3-8c78-855c7bbc6bb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831af2-fec2-4cb3-8c78-855c7bbc6bb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mediation_x0020_Date xmlns="ef831af2-fec2-4cb3-8c78-855c7bbc6bb0">2026-07-28T07:00:00+00:00</Remediation_x0020_Date>
    <PublishingExpirationDate xmlns="http://schemas.microsoft.com/sharepoint/v3" xsi:nil="true"/>
    <Estimated_x0020_Creation_x0020_Date xmlns="ef831af2-fec2-4cb3-8c78-855c7bbc6bb0" xsi:nil="true"/>
    <Priority xmlns="ef831af2-fec2-4cb3-8c78-855c7bbc6bb0">New</Priority>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33F7E9-B86E-4E24-81C4-033889725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f831af2-fec2-4cb3-8c78-855c7bbc6bb0"/>
    <ds:schemaRef ds:uri="54031767-dd6d-417c-ab73-583408f47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7B1859-AA69-44E3-8DFA-FBCA3FDD0BBE}">
  <ds:schemaRefs>
    <ds:schemaRef ds:uri="http://schemas.microsoft.com/office/2006/metadata/properties"/>
    <ds:schemaRef ds:uri="http://schemas.microsoft.com/office/infopath/2007/PartnerControls"/>
    <ds:schemaRef ds:uri="ef831af2-fec2-4cb3-8c78-855c7bbc6bb0"/>
    <ds:schemaRef ds:uri="http://schemas.microsoft.com/sharepoint/v3"/>
  </ds:schemaRefs>
</ds:datastoreItem>
</file>

<file path=customXml/itemProps3.xml><?xml version="1.0" encoding="utf-8"?>
<ds:datastoreItem xmlns:ds="http://schemas.openxmlformats.org/officeDocument/2006/customXml" ds:itemID="{D11A9C5F-ED6D-41EE-BD87-3D63BC4CA9F0}">
  <ds:schemaRefs>
    <ds:schemaRef ds:uri="http://schemas.microsoft.com/sharepoint/v3/contenttype/forms"/>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vt:i4>
      </vt:variant>
    </vt:vector>
  </HeadingPairs>
  <TitlesOfParts>
    <vt:vector size="30" baseType="lpstr">
      <vt:lpstr>K-12 Output Tables</vt:lpstr>
      <vt:lpstr>K-12_assumptions</vt:lpstr>
      <vt:lpstr>Scale-Up</vt:lpstr>
      <vt:lpstr>ES_Detail</vt:lpstr>
      <vt:lpstr>MS_Detail</vt:lpstr>
      <vt:lpstr>HS_Detail</vt:lpstr>
      <vt:lpstr>Staffing_ClassSize_Report</vt:lpstr>
      <vt:lpstr>StudentAssumptions</vt:lpstr>
      <vt:lpstr>Enrollment</vt:lpstr>
      <vt:lpstr>PerStudentExpenditures</vt:lpstr>
      <vt:lpstr>SalaryHistory</vt:lpstr>
      <vt:lpstr>SalaryAssumptions</vt:lpstr>
      <vt:lpstr>PayrollBenefits</vt:lpstr>
      <vt:lpstr>CostShares</vt:lpstr>
      <vt:lpstr>OtherStaffingAssumptions</vt:lpstr>
      <vt:lpstr>LocalAndFedRevenues</vt:lpstr>
      <vt:lpstr>RevenueForecasts</vt:lpstr>
      <vt:lpstr>GrowthFactors</vt:lpstr>
      <vt:lpstr>ComputerAssumptions</vt:lpstr>
      <vt:lpstr>computer cost growth</vt:lpstr>
      <vt:lpstr>textbook cost growth</vt:lpstr>
      <vt:lpstr>centralized sped expenditures</vt:lpstr>
      <vt:lpstr>Food service</vt:lpstr>
      <vt:lpstr>District total salaries</vt:lpstr>
      <vt:lpstr>RIPROS</vt:lpstr>
      <vt:lpstr>Raw Data</vt:lpstr>
      <vt:lpstr>Years</vt:lpstr>
      <vt:lpstr>Biennium_1</vt:lpstr>
      <vt:lpstr>'K-12 Output Tables'!Print_Area</vt:lpstr>
      <vt:lpstr>SalaryHistory!Print_Area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Administrator</dc:creator>
  <cp:lastModifiedBy>ALVARADO Katie * ODE</cp:lastModifiedBy>
  <cp:lastPrinted>2018-04-11T00:43:00Z</cp:lastPrinted>
  <dcterms:created xsi:type="dcterms:W3CDTF">2017-07-24T16:28:28Z</dcterms:created>
  <dcterms:modified xsi:type="dcterms:W3CDTF">2026-08-12T22:18:09Z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2024-02-06T17:18:39Z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fe8a348a-46fc-4a7c-8b06-efb24b8cd21b</vt:lpwstr>
  </property>
  <property fmtid="{D5CDD505-2E9C-101B-9397-08002B2CF9AE}" pid="8" name="MSIP_Label_7730ea53-6f5e-4160-81a5-992a9105450a_ContentBits">
    <vt:lpwstr>0</vt:lpwstr>
  </property>
  <property fmtid="{D5CDD505-2E9C-101B-9397-08002B2CF9AE}" pid="9" name="ContentTypeId">
    <vt:lpwstr>0x01010084CF9C4BCACE3B469E79562631E94AAE</vt:lpwstr>
  </property>
</Properties>
</file>