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hidePivotFieldList="1" defaultThemeVersion="124226"/>
  <xr:revisionPtr revIDLastSave="0" documentId="13_ncr:1_{C018CA6C-F1AD-490C-8BA2-33EEDC37454A}" xr6:coauthVersionLast="47" xr6:coauthVersionMax="47" xr10:uidLastSave="{00000000-0000-0000-0000-000000000000}"/>
  <bookViews>
    <workbookView xWindow="28680" yWindow="-120" windowWidth="29040" windowHeight="15840" tabRatio="798" xr2:uid="{00000000-000D-0000-FFFF-FFFF00000000}"/>
  </bookViews>
  <sheets>
    <sheet name="General Guidance" sheetId="21" r:id="rId1"/>
    <sheet name="Base Information" sheetId="4" r:id="rId2"/>
    <sheet name="Structure Types" sheetId="18" state="hidden" r:id="rId3"/>
    <sheet name="Renovations, Additions &amp; Prtbls" sheetId="15" r:id="rId4"/>
    <sheet name="Physical Condition Assessment" sheetId="1" r:id="rId5"/>
    <sheet name="Security" sheetId="10" r:id="rId6"/>
    <sheet name="ADA" sheetId="11" r:id="rId7"/>
    <sheet name="IT" sheetId="12" r:id="rId8"/>
    <sheet name="Harmful Substances" sheetId="13" r:id="rId9"/>
    <sheet name="IAQ" sheetId="14" r:id="rId10"/>
    <sheet name="PCA Cost Tables - READ ONLY" sheetId="6" r:id="rId11"/>
    <sheet name="Building Type Budget-READ ONLY" sheetId="5" r:id="rId12"/>
    <sheet name="County Cost Factor - READ ONLY" sheetId="3" r:id="rId13"/>
    <sheet name="Escalation Calcs - READ ONLY" sheetId="19" r:id="rId14"/>
    <sheet name="County Names" sheetId="7" state="hidden" r:id="rId15"/>
    <sheet name="District Names" sheetId="8" state="hidden" r:id="rId16"/>
  </sheets>
  <definedNames>
    <definedName name="Buildings">'Building Type Budget-READ ONLY'!$A$6:$A$22</definedName>
    <definedName name="Counties">'County Names'!$A$1:$A$36</definedName>
    <definedName name="_xlnm.Print_Area" localSheetId="6">ADA!$A$1:$F$31</definedName>
    <definedName name="_xlnm.Print_Area" localSheetId="1">'Base Information'!$A$1:$D$34</definedName>
    <definedName name="_xlnm.Print_Area" localSheetId="11">'Building Type Budget-READ ONLY'!$A$1:$E$30</definedName>
    <definedName name="_xlnm.Print_Area" localSheetId="12">'County Cost Factor - READ ONLY'!$A$1:$I$44</definedName>
    <definedName name="_xlnm.Print_Area" localSheetId="13">'Escalation Calcs - READ ONLY'!$A$1:$J$75</definedName>
    <definedName name="_xlnm.Print_Area" localSheetId="8">'Harmful Substances'!$A$1:$F$33</definedName>
    <definedName name="_xlnm.Print_Area" localSheetId="9">IAQ!$A$1:$F$27</definedName>
    <definedName name="_xlnm.Print_Area" localSheetId="7">IT!$A$1:$F$37</definedName>
    <definedName name="_xlnm.Print_Area" localSheetId="10">'PCA Cost Tables - READ ONLY'!$A$1:$P$157</definedName>
    <definedName name="_xlnm.Print_Area" localSheetId="4">'Physical Condition Assessment'!$A$1:$Y$190</definedName>
    <definedName name="_xlnm.Print_Area" localSheetId="5">Security!$A$1:$F$59</definedName>
    <definedName name="_xlnm.Print_Titles" localSheetId="10">'PCA Cost Tables - READ ONLY'!$1:$7</definedName>
    <definedName name="_xlnm.Print_Titles" localSheetId="4">'Physical Condition Assessment'!$1:$18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4" l="1"/>
  <c r="C5" i="13"/>
  <c r="C5" i="12"/>
  <c r="C5" i="11"/>
  <c r="C5" i="10"/>
  <c r="C5" i="1"/>
  <c r="B9" i="19"/>
  <c r="B8" i="19"/>
  <c r="F5" i="14" l="1"/>
  <c r="E5" i="14"/>
  <c r="D5" i="14"/>
  <c r="F4" i="14"/>
  <c r="E4" i="14"/>
  <c r="D4" i="14"/>
  <c r="C4" i="14"/>
  <c r="F3" i="14"/>
  <c r="E3" i="14"/>
  <c r="D3" i="14"/>
  <c r="C3" i="14"/>
  <c r="F2" i="14"/>
  <c r="E2" i="14"/>
  <c r="D2" i="14"/>
  <c r="C2" i="14"/>
  <c r="F1" i="14"/>
  <c r="E1" i="14"/>
  <c r="D1" i="14"/>
  <c r="C1" i="14"/>
  <c r="F5" i="13"/>
  <c r="E5" i="13"/>
  <c r="D5" i="13"/>
  <c r="F4" i="13"/>
  <c r="E4" i="13"/>
  <c r="D4" i="13"/>
  <c r="C4" i="13"/>
  <c r="F3" i="13"/>
  <c r="E3" i="13"/>
  <c r="D3" i="13"/>
  <c r="C3" i="13"/>
  <c r="F2" i="13"/>
  <c r="E2" i="13"/>
  <c r="D2" i="13"/>
  <c r="C2" i="13"/>
  <c r="F1" i="13"/>
  <c r="E1" i="13"/>
  <c r="D1" i="13"/>
  <c r="C1" i="13"/>
  <c r="F5" i="12"/>
  <c r="E5" i="12"/>
  <c r="D5" i="12"/>
  <c r="F4" i="12"/>
  <c r="E4" i="12"/>
  <c r="D4" i="12"/>
  <c r="C4" i="12"/>
  <c r="F3" i="12"/>
  <c r="E3" i="12"/>
  <c r="D3" i="12"/>
  <c r="C3" i="12"/>
  <c r="F2" i="12"/>
  <c r="E2" i="12"/>
  <c r="D2" i="12"/>
  <c r="C2" i="12"/>
  <c r="F1" i="12"/>
  <c r="E1" i="12"/>
  <c r="D1" i="12"/>
  <c r="C1" i="12"/>
  <c r="F5" i="11"/>
  <c r="E5" i="11"/>
  <c r="D5" i="11"/>
  <c r="F4" i="11"/>
  <c r="E4" i="11"/>
  <c r="D4" i="11"/>
  <c r="C4" i="11"/>
  <c r="F3" i="11"/>
  <c r="E3" i="11"/>
  <c r="D3" i="11"/>
  <c r="C3" i="11"/>
  <c r="F2" i="11"/>
  <c r="E2" i="11"/>
  <c r="D2" i="11"/>
  <c r="C2" i="11"/>
  <c r="F1" i="11"/>
  <c r="E1" i="11"/>
  <c r="D1" i="11"/>
  <c r="C1" i="11"/>
  <c r="F5" i="10"/>
  <c r="E5" i="10"/>
  <c r="D5" i="10"/>
  <c r="F4" i="10"/>
  <c r="E4" i="10"/>
  <c r="D4" i="10"/>
  <c r="C4" i="10"/>
  <c r="F3" i="10"/>
  <c r="E3" i="10"/>
  <c r="D3" i="10"/>
  <c r="C3" i="10"/>
  <c r="F2" i="10"/>
  <c r="E2" i="10"/>
  <c r="D2" i="10"/>
  <c r="C2" i="10"/>
  <c r="F1" i="10"/>
  <c r="E1" i="10"/>
  <c r="D1" i="10"/>
  <c r="C1" i="10"/>
  <c r="C1" i="6"/>
  <c r="C2" i="6"/>
  <c r="C3" i="6"/>
  <c r="C4" i="6"/>
  <c r="C4" i="1"/>
  <c r="C3" i="1"/>
  <c r="C2" i="1"/>
  <c r="C1" i="1"/>
  <c r="G75" i="19" l="1"/>
  <c r="G74" i="19"/>
  <c r="G73" i="19"/>
  <c r="G72" i="19"/>
  <c r="G71" i="19"/>
  <c r="D71" i="19"/>
  <c r="G70" i="19"/>
  <c r="D70" i="19"/>
  <c r="G69" i="19"/>
  <c r="D69" i="19"/>
  <c r="G68" i="19"/>
  <c r="D68" i="19"/>
  <c r="G67" i="19"/>
  <c r="D67" i="19"/>
  <c r="G66" i="19"/>
  <c r="D66" i="19"/>
  <c r="G65" i="19"/>
  <c r="D65" i="19"/>
  <c r="G64" i="19"/>
  <c r="D64" i="19"/>
  <c r="G63" i="19"/>
  <c r="D63" i="19"/>
  <c r="G62" i="19"/>
  <c r="D62" i="19"/>
  <c r="G61" i="19"/>
  <c r="D61" i="19"/>
  <c r="G60" i="19"/>
  <c r="D60" i="19"/>
  <c r="G59" i="19"/>
  <c r="D59" i="19"/>
  <c r="G58" i="19"/>
  <c r="D58" i="19"/>
  <c r="G57" i="19"/>
  <c r="D57" i="19"/>
  <c r="G56" i="19"/>
  <c r="D56" i="19"/>
  <c r="G55" i="19"/>
  <c r="D55" i="19"/>
  <c r="G54" i="19"/>
  <c r="D54" i="19"/>
  <c r="G53" i="19"/>
  <c r="D53" i="19"/>
  <c r="G52" i="19"/>
  <c r="D52" i="19"/>
  <c r="G51" i="19"/>
  <c r="D51" i="19"/>
  <c r="G50" i="19"/>
  <c r="D50" i="19"/>
  <c r="G49" i="19"/>
  <c r="D49" i="19"/>
  <c r="G48" i="19"/>
  <c r="D48" i="19"/>
  <c r="G47" i="19"/>
  <c r="D47" i="19"/>
  <c r="G46" i="19"/>
  <c r="D46" i="19"/>
  <c r="G45" i="19"/>
  <c r="D45" i="19"/>
  <c r="G44" i="19"/>
  <c r="D44" i="19"/>
  <c r="G43" i="19"/>
  <c r="D43" i="19"/>
  <c r="G42" i="19"/>
  <c r="D42" i="19"/>
  <c r="G41" i="19"/>
  <c r="D41" i="19"/>
  <c r="B41" i="19" s="1"/>
  <c r="G40" i="19"/>
  <c r="D40" i="19"/>
  <c r="B40" i="19" s="1"/>
  <c r="G39" i="19"/>
  <c r="D39" i="19"/>
  <c r="B39" i="19" s="1"/>
  <c r="G38" i="19"/>
  <c r="D38" i="19"/>
  <c r="B38" i="19" s="1"/>
  <c r="G37" i="19"/>
  <c r="D37" i="19"/>
  <c r="B37" i="19" s="1"/>
  <c r="G36" i="19"/>
  <c r="D36" i="19"/>
  <c r="B36" i="19" s="1"/>
  <c r="J35" i="19"/>
  <c r="G35" i="19"/>
  <c r="D35" i="19"/>
  <c r="B35" i="19" s="1"/>
  <c r="G34" i="19"/>
  <c r="D34" i="19"/>
  <c r="B34" i="19" s="1"/>
  <c r="G33" i="19"/>
  <c r="D33" i="19"/>
  <c r="B33" i="19" s="1"/>
  <c r="G32" i="19"/>
  <c r="D32" i="19"/>
  <c r="B32" i="19" s="1"/>
  <c r="J31" i="19"/>
  <c r="G31" i="19"/>
  <c r="D31" i="19"/>
  <c r="B31" i="19" s="1"/>
  <c r="G30" i="19"/>
  <c r="D30" i="19"/>
  <c r="B30" i="19" s="1"/>
  <c r="G29" i="19"/>
  <c r="D29" i="19"/>
  <c r="B29" i="19" s="1"/>
  <c r="G28" i="19"/>
  <c r="D28" i="19"/>
  <c r="B28" i="19" s="1"/>
  <c r="J27" i="19"/>
  <c r="G27" i="19"/>
  <c r="D27" i="19"/>
  <c r="B27" i="19" s="1"/>
  <c r="G26" i="19"/>
  <c r="D26" i="19"/>
  <c r="B26" i="19" s="1"/>
  <c r="G25" i="19"/>
  <c r="D25" i="19"/>
  <c r="B25" i="19" s="1"/>
  <c r="G24" i="19"/>
  <c r="D24" i="19"/>
  <c r="B24" i="19" s="1"/>
  <c r="J23" i="19"/>
  <c r="G23" i="19"/>
  <c r="D23" i="19"/>
  <c r="B23" i="19" s="1"/>
  <c r="G22" i="19"/>
  <c r="D22" i="19"/>
  <c r="B22" i="19" s="1"/>
  <c r="G21" i="19"/>
  <c r="D21" i="19"/>
  <c r="B21" i="19" s="1"/>
  <c r="G20" i="19"/>
  <c r="D20" i="19"/>
  <c r="B20" i="19" s="1"/>
  <c r="P19" i="19"/>
  <c r="J19" i="19"/>
  <c r="G19" i="19"/>
  <c r="G18" i="19"/>
  <c r="C18" i="19"/>
  <c r="G17" i="19"/>
  <c r="G16" i="19"/>
  <c r="P15" i="19"/>
  <c r="G15" i="19"/>
  <c r="P11" i="19"/>
  <c r="C9" i="19"/>
  <c r="P7" i="19"/>
  <c r="C7" i="19"/>
  <c r="C6" i="19"/>
  <c r="B3" i="19"/>
  <c r="D7" i="19" l="1"/>
  <c r="B42" i="19"/>
  <c r="B43" i="19" s="1"/>
  <c r="D6" i="19"/>
  <c r="D8" i="1"/>
  <c r="B10" i="19" s="1"/>
  <c r="C10" i="19" s="1"/>
  <c r="B44" i="19" l="1"/>
  <c r="B45" i="19" s="1"/>
  <c r="B46" i="19" s="1"/>
  <c r="B47" i="19" s="1"/>
  <c r="D10" i="19" s="1"/>
  <c r="D9" i="19"/>
  <c r="G3" i="6"/>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B48" i="19" l="1"/>
  <c r="B49" i="19" s="1"/>
  <c r="B50" i="19" s="1"/>
  <c r="B51" i="19" s="1"/>
  <c r="B52" i="19" s="1"/>
  <c r="B53" i="19" s="1"/>
  <c r="B54" i="19" s="1"/>
  <c r="B55" i="19" s="1"/>
  <c r="D13" i="1"/>
  <c r="D14" i="1" s="1"/>
  <c r="D15" i="1" s="1"/>
  <c r="B14" i="19" l="1"/>
  <c r="C14" i="19" s="1"/>
  <c r="D14" i="19" s="1"/>
  <c r="C10" i="5" s="1"/>
  <c r="B56" i="19"/>
  <c r="B57" i="19" s="1"/>
  <c r="B58" i="19" s="1"/>
  <c r="B59" i="19" s="1"/>
  <c r="B60" i="19" s="1"/>
  <c r="B61" i="19" s="1"/>
  <c r="B62" i="19" s="1"/>
  <c r="B63" i="19" s="1"/>
  <c r="B64" i="19" s="1"/>
  <c r="B65" i="19" s="1"/>
  <c r="B66" i="19" s="1"/>
  <c r="B67" i="19" s="1"/>
  <c r="B68" i="19" s="1"/>
  <c r="B69" i="19" s="1"/>
  <c r="B70" i="19" s="1"/>
  <c r="B71" i="19" s="1"/>
  <c r="O28" i="6"/>
  <c r="C4" i="5" l="1"/>
  <c r="C8" i="5"/>
  <c r="C15" i="5"/>
  <c r="C7" i="5"/>
  <c r="C9" i="5"/>
  <c r="C22" i="5"/>
  <c r="C14" i="5"/>
  <c r="C6" i="5"/>
  <c r="C21" i="5"/>
  <c r="C13" i="5"/>
  <c r="C16" i="5"/>
  <c r="C20" i="5"/>
  <c r="C12" i="5"/>
  <c r="C19" i="5"/>
  <c r="C11" i="5"/>
  <c r="C17" i="5"/>
  <c r="C18" i="5"/>
  <c r="D9" i="1"/>
  <c r="B11" i="19" s="1"/>
  <c r="C11" i="19" s="1"/>
  <c r="D11" i="19" s="1"/>
  <c r="O154" i="6"/>
  <c r="D10" i="1" l="1"/>
  <c r="B12" i="19" s="1"/>
  <c r="O121" i="6"/>
  <c r="B13" i="19" l="1"/>
  <c r="C13" i="19" s="1"/>
  <c r="D13" i="19" s="1"/>
  <c r="C12" i="19"/>
  <c r="D12" i="19" s="1"/>
  <c r="S184" i="1"/>
  <c r="U18" i="1" s="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 i="3"/>
  <c r="V18" i="1" l="1"/>
  <c r="S185" i="1"/>
  <c r="W18" i="1" s="1"/>
  <c r="D7" i="5"/>
  <c r="D8" i="5"/>
  <c r="D9" i="5"/>
  <c r="D10" i="5"/>
  <c r="D11" i="5"/>
  <c r="D12" i="5"/>
  <c r="D13" i="5"/>
  <c r="D14" i="5"/>
  <c r="D15" i="5"/>
  <c r="D16" i="5"/>
  <c r="D17" i="5"/>
  <c r="D18" i="5"/>
  <c r="D19" i="5"/>
  <c r="D20" i="5"/>
  <c r="D21" i="5"/>
  <c r="D22" i="5"/>
  <c r="D6" i="5"/>
  <c r="S186" i="1" l="1"/>
  <c r="X18" i="1" s="1"/>
  <c r="O11" i="6"/>
  <c r="E7" i="5"/>
  <c r="E8" i="5"/>
  <c r="E9" i="5"/>
  <c r="E10" i="5"/>
  <c r="E11" i="5"/>
  <c r="E12" i="5"/>
  <c r="E13" i="5"/>
  <c r="E14" i="5"/>
  <c r="E15" i="5"/>
  <c r="E16" i="5"/>
  <c r="E17" i="5"/>
  <c r="E18" i="5"/>
  <c r="E19" i="5"/>
  <c r="E20" i="5"/>
  <c r="E21" i="5"/>
  <c r="E22" i="5"/>
  <c r="O156" i="6"/>
  <c r="O155" i="6"/>
  <c r="O153" i="6"/>
  <c r="O152" i="6"/>
  <c r="O150" i="6"/>
  <c r="O149" i="6"/>
  <c r="O148" i="6"/>
  <c r="O147" i="6"/>
  <c r="O146" i="6"/>
  <c r="O145" i="6"/>
  <c r="O144" i="6"/>
  <c r="O143" i="6"/>
  <c r="O141" i="6"/>
  <c r="O140" i="6"/>
  <c r="O139" i="6"/>
  <c r="O138" i="6"/>
  <c r="O137" i="6"/>
  <c r="O131" i="6"/>
  <c r="O130" i="6"/>
  <c r="O128" i="6"/>
  <c r="O127" i="6"/>
  <c r="O126" i="6"/>
  <c r="O125" i="6"/>
  <c r="O124" i="6"/>
  <c r="O123" i="6"/>
  <c r="O122" i="6"/>
  <c r="O117" i="6"/>
  <c r="O116" i="6"/>
  <c r="O115" i="6"/>
  <c r="O114" i="6"/>
  <c r="O113" i="6"/>
  <c r="O112" i="6"/>
  <c r="O111" i="6"/>
  <c r="O110" i="6"/>
  <c r="O109" i="6"/>
  <c r="O108" i="6"/>
  <c r="O106" i="6"/>
  <c r="O105" i="6"/>
  <c r="O104" i="6"/>
  <c r="O103" i="6"/>
  <c r="O101" i="6"/>
  <c r="O100" i="6"/>
  <c r="O99" i="6"/>
  <c r="O98" i="6"/>
  <c r="O97" i="6"/>
  <c r="O96" i="6"/>
  <c r="O95" i="6"/>
  <c r="O94" i="6"/>
  <c r="O93" i="6"/>
  <c r="O92" i="6"/>
  <c r="O91" i="6"/>
  <c r="O90" i="6"/>
  <c r="O89" i="6"/>
  <c r="O88" i="6"/>
  <c r="O87" i="6"/>
  <c r="O85" i="6"/>
  <c r="O84" i="6"/>
  <c r="O83" i="6"/>
  <c r="O82" i="6"/>
  <c r="O81" i="6"/>
  <c r="O79" i="6"/>
  <c r="O78" i="6"/>
  <c r="O77" i="6"/>
  <c r="O74" i="6"/>
  <c r="O73" i="6"/>
  <c r="O72" i="6"/>
  <c r="O71" i="6"/>
  <c r="O70" i="6"/>
  <c r="O69" i="6"/>
  <c r="O68" i="6"/>
  <c r="O67" i="6"/>
  <c r="O66" i="6"/>
  <c r="O65" i="6"/>
  <c r="O64" i="6"/>
  <c r="O63" i="6"/>
  <c r="O62" i="6"/>
  <c r="O61" i="6"/>
  <c r="O60" i="6"/>
  <c r="O58" i="6"/>
  <c r="O57" i="6"/>
  <c r="O56" i="6"/>
  <c r="O55" i="6"/>
  <c r="O54" i="6"/>
  <c r="O52" i="6"/>
  <c r="O51" i="6"/>
  <c r="O50" i="6"/>
  <c r="O49" i="6"/>
  <c r="O48" i="6"/>
  <c r="O45" i="6"/>
  <c r="O44" i="6"/>
  <c r="O43" i="6"/>
  <c r="O42" i="6"/>
  <c r="O41" i="6"/>
  <c r="O40" i="6"/>
  <c r="O39" i="6"/>
  <c r="O37" i="6"/>
  <c r="O36" i="6"/>
  <c r="O35" i="6"/>
  <c r="O34" i="6"/>
  <c r="O33" i="6"/>
  <c r="O32" i="6"/>
  <c r="O31" i="6"/>
  <c r="O30" i="6"/>
  <c r="O29" i="6"/>
  <c r="O27" i="6"/>
  <c r="O26" i="6"/>
  <c r="O25" i="6"/>
  <c r="O23" i="6"/>
  <c r="O22" i="6"/>
  <c r="O21" i="6"/>
  <c r="O20" i="6"/>
  <c r="O19" i="6"/>
  <c r="O18" i="6"/>
  <c r="O15" i="6"/>
  <c r="O14" i="6"/>
  <c r="O12" i="6"/>
  <c r="O10" i="6"/>
  <c r="E6" i="5"/>
  <c r="T177" i="1"/>
  <c r="T176" i="1"/>
  <c r="T175" i="1"/>
  <c r="T174" i="1"/>
  <c r="T173" i="1"/>
  <c r="T172" i="1"/>
  <c r="T171" i="1"/>
  <c r="E23" i="5" l="1"/>
  <c r="T189" i="1" s="1"/>
  <c r="D40" i="3"/>
  <c r="C8" i="19" l="1"/>
  <c r="D8" i="19" s="1"/>
  <c r="I153" i="6" l="1"/>
  <c r="K138" i="6"/>
  <c r="K113" i="6"/>
  <c r="K67" i="6"/>
  <c r="K42" i="6"/>
  <c r="K27" i="6"/>
  <c r="K147" i="6"/>
  <c r="I146" i="6"/>
  <c r="K131" i="6"/>
  <c r="I126" i="6"/>
  <c r="G123" i="6"/>
  <c r="I115" i="6"/>
  <c r="I111" i="6"/>
  <c r="K105" i="6"/>
  <c r="K98" i="6"/>
  <c r="K94" i="6"/>
  <c r="G91" i="6"/>
  <c r="E88" i="6"/>
  <c r="G82" i="6"/>
  <c r="I77" i="6"/>
  <c r="K64" i="6"/>
  <c r="K50" i="6"/>
  <c r="I50" i="6"/>
  <c r="E73" i="6"/>
  <c r="E61" i="6"/>
  <c r="K39" i="6"/>
  <c r="G40" i="6"/>
  <c r="K36" i="6"/>
  <c r="I33" i="6"/>
  <c r="I29" i="6"/>
  <c r="G26" i="6"/>
  <c r="I21" i="6"/>
  <c r="I12" i="6"/>
  <c r="K137" i="6"/>
  <c r="K114" i="6"/>
  <c r="K72" i="6"/>
  <c r="K43" i="6"/>
  <c r="K28" i="6"/>
  <c r="K145" i="6"/>
  <c r="G154" i="6"/>
  <c r="K130" i="6"/>
  <c r="I124" i="6"/>
  <c r="G121" i="6"/>
  <c r="G115" i="6"/>
  <c r="G111" i="6"/>
  <c r="G105" i="6"/>
  <c r="E98" i="6"/>
  <c r="I94" i="6"/>
  <c r="K90" i="6"/>
  <c r="K87" i="6"/>
  <c r="E82" i="6"/>
  <c r="G77" i="6"/>
  <c r="K60" i="6"/>
  <c r="K49" i="6"/>
  <c r="I49" i="6"/>
  <c r="E72" i="6"/>
  <c r="E60" i="6"/>
  <c r="I41" i="6"/>
  <c r="G39" i="6"/>
  <c r="I36" i="6"/>
  <c r="G33" i="6"/>
  <c r="G29" i="6"/>
  <c r="I25" i="6"/>
  <c r="K20" i="6"/>
  <c r="I11" i="6"/>
  <c r="I138" i="6"/>
  <c r="K71" i="6"/>
  <c r="K31" i="6"/>
  <c r="E153" i="6"/>
  <c r="I121" i="6"/>
  <c r="K109" i="6"/>
  <c r="K92" i="6"/>
  <c r="G79" i="6"/>
  <c r="I56" i="6"/>
  <c r="K45" i="6"/>
  <c r="E39" i="6"/>
  <c r="I27" i="6"/>
  <c r="G15" i="6"/>
  <c r="K116" i="6"/>
  <c r="K32" i="6"/>
  <c r="K140" i="6"/>
  <c r="K122" i="6"/>
  <c r="K100" i="6"/>
  <c r="I89" i="6"/>
  <c r="K55" i="6"/>
  <c r="G61" i="6"/>
  <c r="G43" i="6"/>
  <c r="G31" i="6"/>
  <c r="K22" i="6"/>
  <c r="K146" i="6"/>
  <c r="K81" i="6"/>
  <c r="K149" i="6"/>
  <c r="K139" i="6"/>
  <c r="K121" i="6"/>
  <c r="G112" i="6"/>
  <c r="I108" i="6"/>
  <c r="G95" i="6"/>
  <c r="E83" i="6"/>
  <c r="E63" i="6"/>
  <c r="I37" i="6"/>
  <c r="I30" i="6"/>
  <c r="I22" i="6"/>
  <c r="E11" i="6"/>
  <c r="K115" i="6"/>
  <c r="K30" i="6"/>
  <c r="E137" i="6"/>
  <c r="E116" i="6"/>
  <c r="I112" i="6"/>
  <c r="E95" i="6"/>
  <c r="K65" i="6"/>
  <c r="E62" i="6"/>
  <c r="G41" i="6"/>
  <c r="I26" i="6"/>
  <c r="E10" i="6"/>
  <c r="I140" i="6"/>
  <c r="G125" i="6"/>
  <c r="K112" i="6"/>
  <c r="K73" i="6"/>
  <c r="K33" i="6"/>
  <c r="K144" i="6"/>
  <c r="G153" i="6"/>
  <c r="K126" i="6"/>
  <c r="I123" i="6"/>
  <c r="E130" i="6"/>
  <c r="I114" i="6"/>
  <c r="I110" i="6"/>
  <c r="K104" i="6"/>
  <c r="K97" i="6"/>
  <c r="G94" i="6"/>
  <c r="I90" i="6"/>
  <c r="E87" i="6"/>
  <c r="G81" i="6"/>
  <c r="E77" i="6"/>
  <c r="K58" i="6"/>
  <c r="K48" i="6"/>
  <c r="G72" i="6"/>
  <c r="E71" i="6"/>
  <c r="E57" i="6"/>
  <c r="I40" i="6"/>
  <c r="E41" i="6"/>
  <c r="G36" i="6"/>
  <c r="I32" i="6"/>
  <c r="I28" i="6"/>
  <c r="G25" i="6"/>
  <c r="G20" i="6"/>
  <c r="I10" i="6"/>
  <c r="I125" i="6"/>
  <c r="K154" i="6"/>
  <c r="K123" i="6"/>
  <c r="I113" i="6"/>
  <c r="K96" i="6"/>
  <c r="G84" i="6"/>
  <c r="K56" i="6"/>
  <c r="E67" i="6"/>
  <c r="I35" i="6"/>
  <c r="I23" i="6"/>
  <c r="K108" i="6"/>
  <c r="K152" i="6"/>
  <c r="E146" i="6"/>
  <c r="G130" i="6"/>
  <c r="G113" i="6"/>
  <c r="K95" i="6"/>
  <c r="K83" i="6"/>
  <c r="K68" i="6"/>
  <c r="E65" i="6"/>
  <c r="K37" i="6"/>
  <c r="G27" i="6"/>
  <c r="G12" i="6"/>
  <c r="K61" i="6"/>
  <c r="G126" i="6"/>
  <c r="I88" i="6"/>
  <c r="K66" i="6"/>
  <c r="I54" i="6"/>
  <c r="K41" i="6"/>
  <c r="I34" i="6"/>
  <c r="G18" i="6"/>
  <c r="K88" i="6"/>
  <c r="K148" i="6"/>
  <c r="G124" i="6"/>
  <c r="G108" i="6"/>
  <c r="I91" i="6"/>
  <c r="K82" i="6"/>
  <c r="I51" i="6"/>
  <c r="K40" i="6"/>
  <c r="G37" i="6"/>
  <c r="G30" i="6"/>
  <c r="K21" i="6"/>
  <c r="K153" i="6"/>
  <c r="K125" i="6"/>
  <c r="K111" i="6"/>
  <c r="K70" i="6"/>
  <c r="K34" i="6"/>
  <c r="K155" i="6"/>
  <c r="K143" i="6"/>
  <c r="G146" i="6"/>
  <c r="K124" i="6"/>
  <c r="I122" i="6"/>
  <c r="E126" i="6"/>
  <c r="G114" i="6"/>
  <c r="G110" i="6"/>
  <c r="G104" i="6"/>
  <c r="G97" i="6"/>
  <c r="K93" i="6"/>
  <c r="G90" i="6"/>
  <c r="K84" i="6"/>
  <c r="K79" i="6"/>
  <c r="K74" i="6"/>
  <c r="K57" i="6"/>
  <c r="I65" i="6"/>
  <c r="G71" i="6"/>
  <c r="E68" i="6"/>
  <c r="E55" i="6"/>
  <c r="I39" i="6"/>
  <c r="E40" i="6"/>
  <c r="K35" i="6"/>
  <c r="G32" i="6"/>
  <c r="G28" i="6"/>
  <c r="K23" i="6"/>
  <c r="K19" i="6"/>
  <c r="I15" i="6"/>
  <c r="K103" i="6"/>
  <c r="K141" i="6"/>
  <c r="E122" i="6"/>
  <c r="G103" i="6"/>
  <c r="K89" i="6"/>
  <c r="K69" i="6"/>
  <c r="G70" i="6"/>
  <c r="G44" i="6"/>
  <c r="I31" i="6"/>
  <c r="G19" i="6"/>
  <c r="I139" i="6"/>
  <c r="K63" i="6"/>
  <c r="E121" i="6"/>
  <c r="I109" i="6"/>
  <c r="I92" i="6"/>
  <c r="K78" i="6"/>
  <c r="I55" i="6"/>
  <c r="K44" i="6"/>
  <c r="G35" i="6"/>
  <c r="K18" i="6"/>
  <c r="K110" i="6"/>
  <c r="K29" i="6"/>
  <c r="E138" i="6"/>
  <c r="I116" i="6"/>
  <c r="K99" i="6"/>
  <c r="K91" i="6"/>
  <c r="G78" i="6"/>
  <c r="K54" i="6"/>
  <c r="G51" i="6"/>
  <c r="G42" i="6"/>
  <c r="K26" i="6"/>
  <c r="I137" i="6"/>
  <c r="K62" i="6"/>
  <c r="I152" i="6"/>
  <c r="I130" i="6"/>
  <c r="I99" i="6"/>
  <c r="G88" i="6"/>
  <c r="K77" i="6"/>
  <c r="K51" i="6"/>
  <c r="G50" i="6"/>
  <c r="G34" i="6"/>
  <c r="E15" i="6"/>
  <c r="G1" i="6"/>
  <c r="T163" i="1" l="1"/>
  <c r="T165" i="1"/>
  <c r="T166" i="1"/>
  <c r="V166" i="1" s="1"/>
  <c r="V175" i="1"/>
  <c r="V177" i="1"/>
  <c r="V171" i="1"/>
  <c r="V174" i="1"/>
  <c r="V176" i="1"/>
  <c r="V173" i="1"/>
  <c r="V172" i="1"/>
  <c r="T159" i="1"/>
  <c r="V159" i="1" s="1"/>
  <c r="T155" i="1"/>
  <c r="V155" i="1" s="1"/>
  <c r="V165" i="1"/>
  <c r="T68" i="1"/>
  <c r="V68" i="1" s="1"/>
  <c r="T148" i="1"/>
  <c r="V148" i="1" s="1"/>
  <c r="T114" i="1"/>
  <c r="V114" i="1" s="1"/>
  <c r="T142" i="1"/>
  <c r="V142" i="1" s="1"/>
  <c r="T80" i="1"/>
  <c r="V80" i="1" s="1"/>
  <c r="T45" i="1"/>
  <c r="V45" i="1" s="1"/>
  <c r="T71" i="1"/>
  <c r="V71" i="1" s="1"/>
  <c r="T34" i="1"/>
  <c r="V34" i="1" s="1"/>
  <c r="T82" i="1"/>
  <c r="V82" i="1" s="1"/>
  <c r="T152" i="1"/>
  <c r="V152" i="1" s="1"/>
  <c r="T88" i="1"/>
  <c r="V88" i="1" s="1"/>
  <c r="T164" i="1"/>
  <c r="V164" i="1" s="1"/>
  <c r="T54" i="1"/>
  <c r="V54" i="1" s="1"/>
  <c r="T132" i="1"/>
  <c r="V132" i="1" s="1"/>
  <c r="T60" i="1"/>
  <c r="V60" i="1" s="1"/>
  <c r="T29" i="1"/>
  <c r="V29" i="1" s="1"/>
  <c r="T21" i="1"/>
  <c r="T92" i="1"/>
  <c r="V92" i="1" s="1"/>
  <c r="T102" i="1"/>
  <c r="V102" i="1" s="1"/>
  <c r="T115" i="1"/>
  <c r="V115" i="1" s="1"/>
  <c r="T154" i="1"/>
  <c r="V154" i="1" s="1"/>
  <c r="T100" i="1"/>
  <c r="V100" i="1" s="1"/>
  <c r="T23" i="1"/>
  <c r="V23" i="1" s="1"/>
  <c r="T37" i="1"/>
  <c r="V37" i="1" s="1"/>
  <c r="T61" i="1"/>
  <c r="V61" i="1" s="1"/>
  <c r="T158" i="1"/>
  <c r="V158" i="1" s="1"/>
  <c r="T135" i="1"/>
  <c r="V135" i="1" s="1"/>
  <c r="T46" i="1"/>
  <c r="V46" i="1" s="1"/>
  <c r="T32" i="1"/>
  <c r="V32" i="1" s="1"/>
  <c r="T111" i="1"/>
  <c r="V111" i="1" s="1"/>
  <c r="T116" i="1"/>
  <c r="V116" i="1" s="1"/>
  <c r="T123" i="1"/>
  <c r="V123" i="1" s="1"/>
  <c r="T107" i="1"/>
  <c r="V107" i="1" s="1"/>
  <c r="T84" i="1"/>
  <c r="V84" i="1" s="1"/>
  <c r="T150" i="1"/>
  <c r="V150" i="1" s="1"/>
  <c r="T99" i="1"/>
  <c r="V99" i="1" s="1"/>
  <c r="T81" i="1"/>
  <c r="V81" i="1" s="1"/>
  <c r="T105" i="1"/>
  <c r="V105" i="1" s="1"/>
  <c r="T59" i="1"/>
  <c r="V59" i="1" s="1"/>
  <c r="T22" i="1"/>
  <c r="V22" i="1" s="1"/>
  <c r="T90" i="1"/>
  <c r="V90" i="1" s="1"/>
  <c r="T73" i="1"/>
  <c r="V73" i="1" s="1"/>
  <c r="T48" i="1"/>
  <c r="V48" i="1" s="1"/>
  <c r="T103" i="1"/>
  <c r="V103" i="1" s="1"/>
  <c r="T95" i="1"/>
  <c r="V95" i="1" s="1"/>
  <c r="T62" i="1"/>
  <c r="V62" i="1" s="1"/>
  <c r="T121" i="1"/>
  <c r="V121" i="1" s="1"/>
  <c r="T122" i="1"/>
  <c r="V122" i="1" s="1"/>
  <c r="T94" i="1"/>
  <c r="V94" i="1" s="1"/>
  <c r="T42" i="1"/>
  <c r="V42" i="1" s="1"/>
  <c r="T124" i="1"/>
  <c r="V124" i="1" s="1"/>
  <c r="T55" i="1"/>
  <c r="V55" i="1" s="1"/>
  <c r="T160" i="1"/>
  <c r="V160" i="1" s="1"/>
  <c r="T38" i="1"/>
  <c r="V38" i="1" s="1"/>
  <c r="T56" i="1"/>
  <c r="V56" i="1" s="1"/>
  <c r="T120" i="1"/>
  <c r="V120" i="1" s="1"/>
  <c r="T110" i="1"/>
  <c r="V110" i="1" s="1"/>
  <c r="T75" i="1"/>
  <c r="V75" i="1" s="1"/>
  <c r="T109" i="1"/>
  <c r="V109" i="1" s="1"/>
  <c r="T119" i="1"/>
  <c r="V119" i="1" s="1"/>
  <c r="T52" i="1"/>
  <c r="V52" i="1" s="1"/>
  <c r="T137" i="1"/>
  <c r="V137" i="1" s="1"/>
  <c r="T77" i="1"/>
  <c r="V77" i="1" s="1"/>
  <c r="T53" i="1"/>
  <c r="V53" i="1" s="1"/>
  <c r="T26" i="1"/>
  <c r="V26" i="1" s="1"/>
  <c r="T136" i="1"/>
  <c r="V136" i="1" s="1"/>
  <c r="T76" i="1"/>
  <c r="V76" i="1" s="1"/>
  <c r="T141" i="1"/>
  <c r="V141" i="1" s="1"/>
  <c r="T41" i="1"/>
  <c r="V41" i="1" s="1"/>
  <c r="T65" i="1"/>
  <c r="V65" i="1" s="1"/>
  <c r="T43" i="1"/>
  <c r="V43" i="1" s="1"/>
  <c r="T89" i="1"/>
  <c r="V89" i="1" s="1"/>
  <c r="T31" i="1"/>
  <c r="V31" i="1" s="1"/>
  <c r="T39" i="1"/>
  <c r="V39" i="1" s="1"/>
  <c r="T85" i="1"/>
  <c r="V85" i="1" s="1"/>
  <c r="T72" i="1"/>
  <c r="V72" i="1" s="1"/>
  <c r="T67" i="1"/>
  <c r="V67" i="1" s="1"/>
  <c r="T79" i="1"/>
  <c r="V79" i="1" s="1"/>
  <c r="T50" i="1"/>
  <c r="V50" i="1" s="1"/>
  <c r="T40" i="1"/>
  <c r="V40" i="1" s="1"/>
  <c r="T156" i="1"/>
  <c r="V156" i="1" s="1"/>
  <c r="T66" i="1"/>
  <c r="V66" i="1" s="1"/>
  <c r="T69" i="1"/>
  <c r="V69" i="1" s="1"/>
  <c r="T30" i="1"/>
  <c r="V30" i="1" s="1"/>
  <c r="T33" i="1"/>
  <c r="V33" i="1" s="1"/>
  <c r="T149" i="1"/>
  <c r="V149" i="1" s="1"/>
  <c r="T83" i="1"/>
  <c r="V83" i="1" s="1"/>
  <c r="T98" i="1"/>
  <c r="V98" i="1" s="1"/>
  <c r="T126" i="1"/>
  <c r="V126" i="1" s="1"/>
  <c r="T125" i="1"/>
  <c r="V125" i="1" s="1"/>
  <c r="T108" i="1"/>
  <c r="V108" i="1" s="1"/>
  <c r="T36" i="1"/>
  <c r="V36" i="1" s="1"/>
  <c r="T74" i="1"/>
  <c r="V74" i="1" s="1"/>
  <c r="T157" i="1"/>
  <c r="V157" i="1" s="1"/>
  <c r="T101" i="1"/>
  <c r="V101" i="1" s="1"/>
  <c r="T93" i="1"/>
  <c r="V93" i="1" s="1"/>
  <c r="T134" i="1"/>
  <c r="V134" i="1" s="1"/>
  <c r="T127" i="1"/>
  <c r="V127" i="1" s="1"/>
  <c r="T151" i="1"/>
  <c r="V151" i="1" s="1"/>
  <c r="T51" i="1"/>
  <c r="V51" i="1" s="1"/>
  <c r="T47" i="1"/>
  <c r="V47" i="1" s="1"/>
  <c r="T106" i="1"/>
  <c r="V106" i="1" s="1"/>
  <c r="T133" i="1"/>
  <c r="V133" i="1" s="1"/>
  <c r="T78" i="1"/>
  <c r="V78" i="1" s="1"/>
  <c r="T104" i="1"/>
  <c r="V104" i="1" s="1"/>
  <c r="V163" i="1"/>
  <c r="T44" i="1"/>
  <c r="V44" i="1" s="1"/>
  <c r="U67" i="1" l="1"/>
  <c r="W67" i="1"/>
  <c r="X67" i="1" s="1"/>
  <c r="W95" i="1"/>
  <c r="X95" i="1" s="1"/>
  <c r="U95" i="1"/>
  <c r="U80" i="1"/>
  <c r="W80" i="1"/>
  <c r="X80" i="1" s="1"/>
  <c r="W36" i="1"/>
  <c r="X36" i="1" s="1"/>
  <c r="U36" i="1"/>
  <c r="U119" i="1"/>
  <c r="W119" i="1"/>
  <c r="X119" i="1" s="1"/>
  <c r="W99" i="1"/>
  <c r="X99" i="1" s="1"/>
  <c r="U99" i="1"/>
  <c r="U164" i="1"/>
  <c r="W164" i="1"/>
  <c r="X164" i="1" s="1"/>
  <c r="W44" i="1"/>
  <c r="X44" i="1" s="1"/>
  <c r="U44" i="1"/>
  <c r="W69" i="1"/>
  <c r="X69" i="1" s="1"/>
  <c r="U69" i="1"/>
  <c r="W109" i="1"/>
  <c r="X109" i="1" s="1"/>
  <c r="U109" i="1"/>
  <c r="W135" i="1"/>
  <c r="X135" i="1" s="1"/>
  <c r="U135" i="1"/>
  <c r="W88" i="1"/>
  <c r="X88" i="1" s="1"/>
  <c r="U88" i="1"/>
  <c r="W163" i="1"/>
  <c r="X163" i="1" s="1"/>
  <c r="U163" i="1"/>
  <c r="U39" i="1"/>
  <c r="W39" i="1"/>
  <c r="X39" i="1" s="1"/>
  <c r="U73" i="1"/>
  <c r="W73" i="1"/>
  <c r="X73" i="1" s="1"/>
  <c r="U92" i="1"/>
  <c r="W92" i="1"/>
  <c r="X92" i="1" s="1"/>
  <c r="U114" i="1"/>
  <c r="W114" i="1"/>
  <c r="X114" i="1" s="1"/>
  <c r="W104" i="1"/>
  <c r="X104" i="1" s="1"/>
  <c r="U104" i="1"/>
  <c r="U126" i="1"/>
  <c r="W126" i="1"/>
  <c r="X126" i="1" s="1"/>
  <c r="W156" i="1"/>
  <c r="X156" i="1" s="1"/>
  <c r="U156" i="1"/>
  <c r="U31" i="1"/>
  <c r="W31" i="1"/>
  <c r="X31" i="1" s="1"/>
  <c r="U26" i="1"/>
  <c r="W26" i="1"/>
  <c r="X26" i="1" s="1"/>
  <c r="W110" i="1"/>
  <c r="X110" i="1" s="1"/>
  <c r="U110" i="1"/>
  <c r="W94" i="1"/>
  <c r="X94" i="1" s="1"/>
  <c r="U94" i="1"/>
  <c r="U90" i="1"/>
  <c r="W90" i="1"/>
  <c r="X90" i="1" s="1"/>
  <c r="W107" i="1"/>
  <c r="X107" i="1" s="1"/>
  <c r="U107" i="1"/>
  <c r="U61" i="1"/>
  <c r="W61" i="1"/>
  <c r="X61" i="1" s="1"/>
  <c r="V21" i="1"/>
  <c r="T181" i="1"/>
  <c r="T182" i="1" s="1"/>
  <c r="T183" i="1" s="1"/>
  <c r="T184" i="1" s="1"/>
  <c r="T190" i="1" s="1"/>
  <c r="U82" i="1"/>
  <c r="W82" i="1"/>
  <c r="X82" i="1" s="1"/>
  <c r="U148" i="1"/>
  <c r="W148" i="1"/>
  <c r="X148" i="1" s="1"/>
  <c r="U174" i="1"/>
  <c r="W174" i="1"/>
  <c r="X174" i="1" s="1"/>
  <c r="W74" i="1"/>
  <c r="X74" i="1" s="1"/>
  <c r="U74" i="1"/>
  <c r="U52" i="1"/>
  <c r="W52" i="1"/>
  <c r="X52" i="1" s="1"/>
  <c r="W81" i="1"/>
  <c r="X81" i="1" s="1"/>
  <c r="U81" i="1"/>
  <c r="U54" i="1"/>
  <c r="W54" i="1"/>
  <c r="X54" i="1" s="1"/>
  <c r="U51" i="1"/>
  <c r="W51" i="1"/>
  <c r="X51" i="1" s="1"/>
  <c r="U30" i="1"/>
  <c r="W30" i="1"/>
  <c r="X30" i="1" s="1"/>
  <c r="U141" i="1"/>
  <c r="W141" i="1"/>
  <c r="X141" i="1" s="1"/>
  <c r="W103" i="1"/>
  <c r="X103" i="1" s="1"/>
  <c r="U103" i="1"/>
  <c r="U115" i="1"/>
  <c r="W115" i="1"/>
  <c r="X115" i="1" s="1"/>
  <c r="W172" i="1"/>
  <c r="X172" i="1" s="1"/>
  <c r="U172" i="1"/>
  <c r="W108" i="1"/>
  <c r="X108" i="1" s="1"/>
  <c r="U108" i="1"/>
  <c r="W76" i="1"/>
  <c r="X76" i="1" s="1"/>
  <c r="U76" i="1"/>
  <c r="U124" i="1"/>
  <c r="W124" i="1"/>
  <c r="X124" i="1" s="1"/>
  <c r="W150" i="1"/>
  <c r="X150" i="1" s="1"/>
  <c r="U150" i="1"/>
  <c r="U142" i="1"/>
  <c r="W142" i="1"/>
  <c r="X142" i="1" s="1"/>
  <c r="U125" i="1"/>
  <c r="W125" i="1"/>
  <c r="X125" i="1" s="1"/>
  <c r="U136" i="1"/>
  <c r="W136" i="1"/>
  <c r="X136" i="1" s="1"/>
  <c r="U42" i="1"/>
  <c r="W42" i="1"/>
  <c r="X42" i="1" s="1"/>
  <c r="W152" i="1"/>
  <c r="X152" i="1" s="1"/>
  <c r="U152" i="1"/>
  <c r="W176" i="1"/>
  <c r="X176" i="1" s="1"/>
  <c r="U176" i="1"/>
  <c r="U134" i="1"/>
  <c r="W134" i="1"/>
  <c r="X134" i="1" s="1"/>
  <c r="W78" i="1"/>
  <c r="X78" i="1" s="1"/>
  <c r="U78" i="1"/>
  <c r="W93" i="1"/>
  <c r="X93" i="1" s="1"/>
  <c r="U93" i="1"/>
  <c r="U98" i="1"/>
  <c r="W98" i="1"/>
  <c r="X98" i="1" s="1"/>
  <c r="U40" i="1"/>
  <c r="W40" i="1"/>
  <c r="X40" i="1" s="1"/>
  <c r="U89" i="1"/>
  <c r="W89" i="1"/>
  <c r="X89" i="1" s="1"/>
  <c r="U53" i="1"/>
  <c r="W53" i="1"/>
  <c r="X53" i="1" s="1"/>
  <c r="U120" i="1"/>
  <c r="W120" i="1"/>
  <c r="X120" i="1" s="1"/>
  <c r="U122" i="1"/>
  <c r="W122" i="1"/>
  <c r="X122" i="1" s="1"/>
  <c r="W22" i="1"/>
  <c r="X22" i="1" s="1"/>
  <c r="U22" i="1"/>
  <c r="W123" i="1"/>
  <c r="X123" i="1" s="1"/>
  <c r="U123" i="1"/>
  <c r="U37" i="1"/>
  <c r="W37" i="1"/>
  <c r="X37" i="1" s="1"/>
  <c r="U29" i="1"/>
  <c r="W29" i="1"/>
  <c r="X29" i="1" s="1"/>
  <c r="U34" i="1"/>
  <c r="W34" i="1"/>
  <c r="X34" i="1" s="1"/>
  <c r="U68" i="1"/>
  <c r="W68" i="1"/>
  <c r="X68" i="1" s="1"/>
  <c r="W171" i="1"/>
  <c r="X171" i="1" s="1"/>
  <c r="U171" i="1"/>
  <c r="U33" i="1"/>
  <c r="W33" i="1"/>
  <c r="X33" i="1" s="1"/>
  <c r="W160" i="1"/>
  <c r="X160" i="1" s="1"/>
  <c r="U160" i="1"/>
  <c r="W154" i="1"/>
  <c r="X154" i="1" s="1"/>
  <c r="U154" i="1"/>
  <c r="W66" i="1"/>
  <c r="X66" i="1" s="1"/>
  <c r="U66" i="1"/>
  <c r="W84" i="1"/>
  <c r="X84" i="1" s="1"/>
  <c r="U84" i="1"/>
  <c r="W101" i="1"/>
  <c r="X101" i="1" s="1"/>
  <c r="U101" i="1"/>
  <c r="U50" i="1"/>
  <c r="W50" i="1"/>
  <c r="X50" i="1" s="1"/>
  <c r="W77" i="1"/>
  <c r="X77" i="1" s="1"/>
  <c r="U77" i="1"/>
  <c r="U56" i="1"/>
  <c r="W56" i="1"/>
  <c r="X56" i="1" s="1"/>
  <c r="W121" i="1"/>
  <c r="X121" i="1" s="1"/>
  <c r="U121" i="1"/>
  <c r="U59" i="1"/>
  <c r="W59" i="1"/>
  <c r="X59" i="1" s="1"/>
  <c r="U116" i="1"/>
  <c r="W116" i="1"/>
  <c r="X116" i="1" s="1"/>
  <c r="W23" i="1"/>
  <c r="X23" i="1" s="1"/>
  <c r="U23" i="1"/>
  <c r="U60" i="1"/>
  <c r="W60" i="1"/>
  <c r="X60" i="1" s="1"/>
  <c r="U71" i="1"/>
  <c r="W71" i="1"/>
  <c r="X71" i="1" s="1"/>
  <c r="W165" i="1"/>
  <c r="X165" i="1" s="1"/>
  <c r="U165" i="1"/>
  <c r="U177" i="1"/>
  <c r="W177" i="1"/>
  <c r="X177" i="1" s="1"/>
  <c r="W47" i="1"/>
  <c r="X47" i="1" s="1"/>
  <c r="U47" i="1"/>
  <c r="U41" i="1"/>
  <c r="W41" i="1"/>
  <c r="X41" i="1" s="1"/>
  <c r="U32" i="1"/>
  <c r="W32" i="1"/>
  <c r="X32" i="1" s="1"/>
  <c r="W159" i="1"/>
  <c r="X159" i="1" s="1"/>
  <c r="U159" i="1"/>
  <c r="U72" i="1"/>
  <c r="W72" i="1"/>
  <c r="X72" i="1" s="1"/>
  <c r="U55" i="1"/>
  <c r="W55" i="1"/>
  <c r="X55" i="1" s="1"/>
  <c r="U46" i="1"/>
  <c r="W46" i="1"/>
  <c r="X46" i="1" s="1"/>
  <c r="U166" i="1"/>
  <c r="W166" i="1"/>
  <c r="X166" i="1" s="1"/>
  <c r="W151" i="1"/>
  <c r="X151" i="1" s="1"/>
  <c r="U151" i="1"/>
  <c r="U85" i="1"/>
  <c r="W85" i="1"/>
  <c r="X85" i="1" s="1"/>
  <c r="U48" i="1"/>
  <c r="W48" i="1"/>
  <c r="X48" i="1" s="1"/>
  <c r="W102" i="1"/>
  <c r="X102" i="1" s="1"/>
  <c r="U102" i="1"/>
  <c r="U173" i="1"/>
  <c r="W173" i="1"/>
  <c r="X173" i="1" s="1"/>
  <c r="U127" i="1"/>
  <c r="W127" i="1"/>
  <c r="X127" i="1" s="1"/>
  <c r="U75" i="1"/>
  <c r="W75" i="1"/>
  <c r="X75" i="1" s="1"/>
  <c r="W158" i="1"/>
  <c r="X158" i="1" s="1"/>
  <c r="U158" i="1"/>
  <c r="U133" i="1"/>
  <c r="W133" i="1"/>
  <c r="X133" i="1" s="1"/>
  <c r="U83" i="1"/>
  <c r="W83" i="1"/>
  <c r="X83" i="1" s="1"/>
  <c r="U43" i="1"/>
  <c r="W43" i="1"/>
  <c r="X43" i="1" s="1"/>
  <c r="W106" i="1"/>
  <c r="X106" i="1" s="1"/>
  <c r="U106" i="1"/>
  <c r="W157" i="1"/>
  <c r="X157" i="1" s="1"/>
  <c r="U157" i="1"/>
  <c r="W149" i="1"/>
  <c r="X149" i="1" s="1"/>
  <c r="U149" i="1"/>
  <c r="W79" i="1"/>
  <c r="X79" i="1" s="1"/>
  <c r="U79" i="1"/>
  <c r="W65" i="1"/>
  <c r="X65" i="1" s="1"/>
  <c r="U65" i="1"/>
  <c r="U137" i="1"/>
  <c r="W137" i="1"/>
  <c r="X137" i="1" s="1"/>
  <c r="U38" i="1"/>
  <c r="W38" i="1"/>
  <c r="X38" i="1" s="1"/>
  <c r="U62" i="1"/>
  <c r="W62" i="1"/>
  <c r="X62" i="1" s="1"/>
  <c r="W105" i="1"/>
  <c r="X105" i="1" s="1"/>
  <c r="U105" i="1"/>
  <c r="W111" i="1"/>
  <c r="X111" i="1" s="1"/>
  <c r="U111" i="1"/>
  <c r="W100" i="1"/>
  <c r="X100" i="1" s="1"/>
  <c r="U100" i="1"/>
  <c r="U132" i="1"/>
  <c r="W132" i="1"/>
  <c r="X132" i="1" s="1"/>
  <c r="U45" i="1"/>
  <c r="W45" i="1"/>
  <c r="X45" i="1" s="1"/>
  <c r="W155" i="1"/>
  <c r="X155" i="1" s="1"/>
  <c r="U155" i="1"/>
  <c r="W175" i="1"/>
  <c r="X175" i="1" s="1"/>
  <c r="U175" i="1"/>
  <c r="T185" i="1" l="1"/>
  <c r="T186" i="1" s="1"/>
  <c r="W21" i="1"/>
  <c r="X21" i="1" s="1"/>
  <c r="U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1" authorId="0" shapeId="0" xr:uid="{00000000-0006-0000-0400-000001000000}">
      <text>
        <r>
          <rPr>
            <b/>
            <sz val="9"/>
            <color rgb="FF000000"/>
            <rFont val="Tahoma"/>
            <family val="2"/>
          </rPr>
          <t>Standard spread and strip/perimeter footings. Based on building's gross square footage.</t>
        </r>
      </text>
    </comment>
    <comment ref="I21" authorId="0" shapeId="0" xr:uid="{00000000-0006-0000-0400-000002000000}">
      <text>
        <r>
          <rPr>
            <b/>
            <sz val="9"/>
            <color indexed="81"/>
            <rFont val="Tahoma"/>
            <family val="2"/>
          </rPr>
          <t>Minor cracking observed - fill and seal the cracks to prevent water intrusion.</t>
        </r>
      </text>
    </comment>
    <comment ref="M21" authorId="0" shapeId="0" xr:uid="{00000000-0006-0000-0400-000003000000}">
      <text>
        <r>
          <rPr>
            <b/>
            <sz val="9"/>
            <color indexed="81"/>
            <rFont val="Tahoma"/>
            <family val="2"/>
          </rPr>
          <t>Settlement observed in surrounding conditions - requiring stabilization of the foundation, sub-grade adjustment, and re-enforcement of the foundation.</t>
        </r>
      </text>
    </comment>
    <comment ref="C22" authorId="0" shapeId="0" xr:uid="{00000000-0006-0000-0400-000004000000}">
      <text>
        <r>
          <rPr>
            <b/>
            <sz val="9"/>
            <color indexed="81"/>
            <rFont val="Tahoma"/>
            <family val="2"/>
          </rPr>
          <t xml:space="preserve">Pilings or other extended foundation systems that overcome non-standard soil conditions. Based on building's gross square footage. </t>
        </r>
      </text>
    </comment>
    <comment ref="I22" authorId="0" shapeId="0" xr:uid="{00000000-0006-0000-0400-000005000000}">
      <text>
        <r>
          <rPr>
            <b/>
            <sz val="9"/>
            <color indexed="81"/>
            <rFont val="Tahoma"/>
            <family val="2"/>
          </rPr>
          <t>Minor cracking observed - fill and seal the cracks to prevent water intrusion.</t>
        </r>
      </text>
    </comment>
    <comment ref="M22" authorId="0" shapeId="0" xr:uid="{00000000-0006-0000-0400-000006000000}">
      <text>
        <r>
          <rPr>
            <b/>
            <sz val="9"/>
            <color indexed="81"/>
            <rFont val="Tahoma"/>
            <family val="2"/>
          </rPr>
          <t>Settlement observed in surrounding conditions - requiring stabilization of the foundation, sub-grade adjustment, and re-enforcement of the foundation.</t>
        </r>
      </text>
    </comment>
    <comment ref="C23" authorId="0" shapeId="0" xr:uid="{00000000-0006-0000-0400-000007000000}">
      <text>
        <r>
          <rPr>
            <b/>
            <sz val="9"/>
            <color indexed="81"/>
            <rFont val="Tahoma"/>
            <family val="2"/>
          </rPr>
          <t>Standard ground-set concrete slab. If slab is elevated, i.e. has a crawl space or basement, apply conditions to B1010 instead. Based on building's gross square footage.</t>
        </r>
      </text>
    </comment>
    <comment ref="K23" authorId="0" shapeId="0" xr:uid="{00000000-0006-0000-0400-000008000000}">
      <text>
        <r>
          <rPr>
            <b/>
            <sz val="9"/>
            <color indexed="81"/>
            <rFont val="Tahoma"/>
            <family val="2"/>
          </rPr>
          <t>Separation cracks occurring requiring route and fill and patch.</t>
        </r>
      </text>
    </comment>
    <comment ref="M23" authorId="0" shapeId="0" xr:uid="{00000000-0006-0000-0400-000009000000}">
      <text>
        <r>
          <rPr>
            <b/>
            <sz val="9"/>
            <color indexed="81"/>
            <rFont val="Tahoma"/>
            <family val="2"/>
          </rPr>
          <t>Differential settlement occurring - requires removal of section of slab, adjustment to sub-grade, and new infill.</t>
        </r>
      </text>
    </comment>
    <comment ref="C26" authorId="0" shapeId="0" xr:uid="{00000000-0006-0000-0400-00000A000000}">
      <text>
        <r>
          <rPr>
            <b/>
            <sz val="9"/>
            <color indexed="81"/>
            <rFont val="Tahoma"/>
            <family val="2"/>
          </rPr>
          <t xml:space="preserve">Assumed as concrete walls with water-proofing on the exterior.  Includes only the structural portion and not the wall finishes. Based on building's gross square footage. </t>
        </r>
      </text>
    </comment>
    <comment ref="I26" authorId="0" shapeId="0" xr:uid="{00000000-0006-0000-0400-00000B000000}">
      <text>
        <r>
          <rPr>
            <b/>
            <sz val="9"/>
            <color indexed="81"/>
            <rFont val="Tahoma"/>
            <family val="2"/>
          </rPr>
          <t>Inadequate below grade venting is observed - cut in and add venting.</t>
        </r>
      </text>
    </comment>
    <comment ref="K26" authorId="0" shapeId="0" xr:uid="{00000000-0006-0000-0400-00000C000000}">
      <text>
        <r>
          <rPr>
            <b/>
            <sz val="9"/>
            <color indexed="81"/>
            <rFont val="Tahoma"/>
            <family val="2"/>
          </rPr>
          <t>Wall is cracked and spalling requiring route and fill and patch and re-finish.</t>
        </r>
      </text>
    </comment>
    <comment ref="M26" authorId="0" shapeId="0" xr:uid="{00000000-0006-0000-0400-00000D000000}">
      <text>
        <r>
          <rPr>
            <b/>
            <sz val="9"/>
            <color indexed="81"/>
            <rFont val="Tahoma"/>
            <family val="2"/>
          </rPr>
          <t>Wall is cracked with evidence of water intrusion. Repairs to be implemented and water barrier to be applied to be applied.</t>
        </r>
      </text>
    </comment>
    <comment ref="C29" authorId="0" shapeId="0" xr:uid="{00000000-0006-0000-0400-00000E000000}">
      <text>
        <r>
          <rPr>
            <b/>
            <sz val="9"/>
            <color indexed="81"/>
            <rFont val="Tahoma"/>
            <family val="2"/>
          </rPr>
          <t>A suspended floor including the structural members and floor construction, but not including the actual finish.</t>
        </r>
      </text>
    </comment>
    <comment ref="K29" authorId="0" shapeId="0" xr:uid="{00000000-0006-0000-0400-00000F000000}">
      <text>
        <r>
          <rPr>
            <b/>
            <sz val="9"/>
            <color indexed="81"/>
            <rFont val="Tahoma"/>
            <family val="2"/>
          </rPr>
          <t>Deck lifting, settling, or uneven - appears related to the deck itself and not the structural support below - requires removal and replacement of deck.</t>
        </r>
      </text>
    </comment>
    <comment ref="O29" authorId="0" shapeId="0" xr:uid="{00000000-0006-0000-0400-000010000000}">
      <text>
        <r>
          <rPr>
            <b/>
            <sz val="9"/>
            <color indexed="81"/>
            <rFont val="Tahoma"/>
            <family val="2"/>
          </rPr>
          <t>Visible evidence of a sagging or settled structure or depression in the floor line, requiring removal and replacement.</t>
        </r>
      </text>
    </comment>
    <comment ref="Q29" authorId="0" shapeId="0" xr:uid="{00000000-0006-0000-0400-000011000000}">
      <text>
        <r>
          <rPr>
            <b/>
            <sz val="9"/>
            <color indexed="81"/>
            <rFont val="Tahoma"/>
            <family val="2"/>
          </rPr>
          <t>Visible evidence of a sagging or settled structure or depression in the floor line, requiring removal and replacement</t>
        </r>
      </text>
    </comment>
    <comment ref="K30" authorId="0" shapeId="0" xr:uid="{00000000-0006-0000-0400-000012000000}">
      <text>
        <r>
          <rPr>
            <b/>
            <sz val="9"/>
            <color indexed="81"/>
            <rFont val="Tahoma"/>
            <family val="2"/>
          </rPr>
          <t>Deck lifting, settling, or uneven - appears related to the deck itself and not the structural support below - requires removal and replacement of deck.</t>
        </r>
      </text>
    </comment>
    <comment ref="O30" authorId="0" shapeId="0" xr:uid="{00000000-0006-0000-0400-000013000000}">
      <text>
        <r>
          <rPr>
            <b/>
            <sz val="9"/>
            <color indexed="81"/>
            <rFont val="Tahoma"/>
            <family val="2"/>
          </rPr>
          <t>Visible evidence of a sagging or settled structure or depression in the floor line, requiring removal and replacement.</t>
        </r>
      </text>
    </comment>
    <comment ref="Q30" authorId="0" shapeId="0" xr:uid="{00000000-0006-0000-0400-000014000000}">
      <text>
        <r>
          <rPr>
            <b/>
            <sz val="9"/>
            <color indexed="81"/>
            <rFont val="Tahoma"/>
            <family val="2"/>
          </rPr>
          <t>Visible evidence of a sagging or settled structure or depression in the floor line, requiring removal and replacement</t>
        </r>
      </text>
    </comment>
    <comment ref="K31" authorId="0" shapeId="0" xr:uid="{00000000-0006-0000-0400-000015000000}">
      <text>
        <r>
          <rPr>
            <b/>
            <sz val="9"/>
            <color indexed="81"/>
            <rFont val="Tahoma"/>
            <family val="2"/>
          </rPr>
          <t>Deck lifting, settling, or uneven - appears related to the deck itself and not the structural support below - requires removal and replacement of deck.</t>
        </r>
      </text>
    </comment>
    <comment ref="O31" authorId="0" shapeId="0" xr:uid="{00000000-0006-0000-0400-000016000000}">
      <text>
        <r>
          <rPr>
            <b/>
            <sz val="9"/>
            <color indexed="81"/>
            <rFont val="Tahoma"/>
            <family val="2"/>
          </rPr>
          <t>Visible evidence of a sagging or settled structure or depression in the floor line, requiring removal and replacement.</t>
        </r>
      </text>
    </comment>
    <comment ref="Q31" authorId="0" shapeId="0" xr:uid="{00000000-0006-0000-0400-000017000000}">
      <text>
        <r>
          <rPr>
            <b/>
            <sz val="9"/>
            <color indexed="81"/>
            <rFont val="Tahoma"/>
            <family val="2"/>
          </rPr>
          <t>Visible evidence of a sagging or settled structure or depression in the floor line, requiring removal and replacement</t>
        </r>
      </text>
    </comment>
    <comment ref="C32" authorId="0" shapeId="0" xr:uid="{00000000-0006-0000-0400-000018000000}">
      <text>
        <r>
          <rPr>
            <b/>
            <sz val="9"/>
            <color indexed="81"/>
            <rFont val="Tahoma"/>
            <family val="2"/>
          </rPr>
          <t>The roof structure referring to the supporting structure and the deck but excluding the roofing itself.</t>
        </r>
      </text>
    </comment>
    <comment ref="M32" authorId="0" shapeId="0" xr:uid="{00000000-0006-0000-0400-000019000000}">
      <text>
        <r>
          <rPr>
            <b/>
            <sz val="9"/>
            <color indexed="81"/>
            <rFont val="Tahoma"/>
            <family val="2"/>
          </rPr>
          <t>Evidence of a spongy decking from water intrusion - replacing the deck but not the trusses.</t>
        </r>
      </text>
    </comment>
    <comment ref="O32" authorId="0" shapeId="0" xr:uid="{00000000-0006-0000-0400-00001A000000}">
      <text>
        <r>
          <rPr>
            <b/>
            <sz val="9"/>
            <color indexed="81"/>
            <rFont val="Tahoma"/>
            <family val="2"/>
          </rPr>
          <t>Visible evidence of a sagging structure or depression in the roof line, requiring removal and replacement.</t>
        </r>
      </text>
    </comment>
    <comment ref="Q32" authorId="0" shapeId="0" xr:uid="{00000000-0006-0000-0400-00001B000000}">
      <text>
        <r>
          <rPr>
            <b/>
            <sz val="9"/>
            <color indexed="81"/>
            <rFont val="Tahoma"/>
            <family val="2"/>
          </rPr>
          <t>Visible evidence of a sagging structure or depression in the roof line, requiring removal and replacement</t>
        </r>
      </text>
    </comment>
    <comment ref="M33" authorId="0" shapeId="0" xr:uid="{00000000-0006-0000-0400-00001C000000}">
      <text>
        <r>
          <rPr>
            <b/>
            <sz val="9"/>
            <color indexed="81"/>
            <rFont val="Tahoma"/>
            <family val="2"/>
          </rPr>
          <t>Evidence of a flexing decking from water intrusion/rust - replacing the deck but not the trusses.</t>
        </r>
      </text>
    </comment>
    <comment ref="O33" authorId="0" shapeId="0" xr:uid="{00000000-0006-0000-0400-00001D000000}">
      <text>
        <r>
          <rPr>
            <b/>
            <sz val="9"/>
            <color indexed="81"/>
            <rFont val="Tahoma"/>
            <family val="2"/>
          </rPr>
          <t>Visible evidence of a sagging structure or depression in the roof line, requiring removal and replacement.</t>
        </r>
      </text>
    </comment>
    <comment ref="Q33" authorId="0" shapeId="0" xr:uid="{00000000-0006-0000-0400-00001E000000}">
      <text>
        <r>
          <rPr>
            <b/>
            <sz val="9"/>
            <color indexed="81"/>
            <rFont val="Tahoma"/>
            <family val="2"/>
          </rPr>
          <t>Visible evidence of a sagging structure or depression in the roof line, requiring removal and replacement</t>
        </r>
      </text>
    </comment>
    <comment ref="M34" authorId="0" shapeId="0" xr:uid="{00000000-0006-0000-0400-00001F000000}">
      <text>
        <r>
          <rPr>
            <b/>
            <sz val="9"/>
            <color indexed="81"/>
            <rFont val="Tahoma"/>
            <family val="2"/>
          </rPr>
          <t>Evidence of a spongy/spalling deck from water intrusion - replacing the deck but not the beams.</t>
        </r>
      </text>
    </comment>
    <comment ref="O34" authorId="0" shapeId="0" xr:uid="{00000000-0006-0000-0400-000020000000}">
      <text>
        <r>
          <rPr>
            <b/>
            <sz val="9"/>
            <color indexed="81"/>
            <rFont val="Tahoma"/>
            <family val="2"/>
          </rPr>
          <t>Visible evidence of a sagging structure or depression in the roof line, requiring removal and replacement.</t>
        </r>
      </text>
    </comment>
    <comment ref="Q34" authorId="0" shapeId="0" xr:uid="{00000000-0006-0000-0400-000021000000}">
      <text>
        <r>
          <rPr>
            <b/>
            <sz val="9"/>
            <color indexed="81"/>
            <rFont val="Tahoma"/>
            <family val="2"/>
          </rPr>
          <t>Visible evidence of a sagging structure or depression in the roof line, requiring removal and replacement</t>
        </r>
      </text>
    </comment>
    <comment ref="K36" authorId="0" shapeId="0" xr:uid="{00000000-0006-0000-0400-000022000000}">
      <text>
        <r>
          <rPr>
            <b/>
            <sz val="9"/>
            <color indexed="81"/>
            <rFont val="Tahoma"/>
            <family val="2"/>
          </rPr>
          <t>Surface is intact but finish is deteriorated - paint.</t>
        </r>
      </text>
    </comment>
    <comment ref="M36" authorId="0" shapeId="0" xr:uid="{00000000-0006-0000-0400-000023000000}">
      <text>
        <r>
          <rPr>
            <b/>
            <sz val="9"/>
            <color indexed="81"/>
            <rFont val="Tahoma"/>
            <family val="2"/>
          </rPr>
          <t>Cracks visible - route and patch prior to painting.</t>
        </r>
      </text>
    </comment>
    <comment ref="K37" authorId="0" shapeId="0" xr:uid="{00000000-0006-0000-0400-000024000000}">
      <text>
        <r>
          <rPr>
            <b/>
            <sz val="9"/>
            <color indexed="81"/>
            <rFont val="Tahoma"/>
            <family val="2"/>
          </rPr>
          <t>Surface is intact but finish is deteriorated - paint.</t>
        </r>
      </text>
    </comment>
    <comment ref="M37" authorId="0" shapeId="0" xr:uid="{00000000-0006-0000-0400-000025000000}">
      <text>
        <r>
          <rPr>
            <b/>
            <sz val="9"/>
            <color indexed="81"/>
            <rFont val="Tahoma"/>
            <family val="2"/>
          </rPr>
          <t>Some blocks are damaged, needing patch and repair prior to sealing or painting.</t>
        </r>
      </text>
    </comment>
    <comment ref="O37" authorId="0" shapeId="0" xr:uid="{00000000-0006-0000-0400-000026000000}">
      <text>
        <r>
          <rPr>
            <b/>
            <sz val="9"/>
            <color indexed="81"/>
            <rFont val="Tahoma"/>
            <family val="2"/>
          </rPr>
          <t>There is evidence of settling, failure, or a compromised structure that requires removal and replacement.</t>
        </r>
      </text>
    </comment>
    <comment ref="Q37" authorId="0" shapeId="0" xr:uid="{00000000-0006-0000-0400-000027000000}">
      <text>
        <r>
          <rPr>
            <b/>
            <sz val="9"/>
            <color indexed="81"/>
            <rFont val="Tahoma"/>
            <family val="2"/>
          </rPr>
          <t>There is evidence of settling, failure, or a compromised structure that requires removal and replacement</t>
        </r>
      </text>
    </comment>
    <comment ref="K38" authorId="0" shapeId="0" xr:uid="{00000000-0006-0000-0400-000028000000}">
      <text>
        <r>
          <rPr>
            <b/>
            <sz val="9"/>
            <color indexed="81"/>
            <rFont val="Tahoma"/>
            <family val="2"/>
          </rPr>
          <t>Surface is intact but finish is deteriorated - paint.</t>
        </r>
      </text>
    </comment>
    <comment ref="M38" authorId="0" shapeId="0" xr:uid="{00000000-0006-0000-0400-000029000000}">
      <text>
        <r>
          <rPr>
            <b/>
            <sz val="9"/>
            <color indexed="81"/>
            <rFont val="Tahoma"/>
            <family val="2"/>
          </rPr>
          <t>A number of panels are damaged, requiring patch and repair prior to re-painting.</t>
        </r>
      </text>
    </comment>
    <comment ref="O38" authorId="0" shapeId="0" xr:uid="{00000000-0006-0000-0400-00002A000000}">
      <text>
        <r>
          <rPr>
            <b/>
            <sz val="9"/>
            <color indexed="81"/>
            <rFont val="Tahoma"/>
            <family val="2"/>
          </rPr>
          <t>The panels are lifting or separating or otherwise losing their integrity - remove and replace.</t>
        </r>
      </text>
    </comment>
    <comment ref="Q38" authorId="0" shapeId="0" xr:uid="{00000000-0006-0000-0400-00002B000000}">
      <text>
        <r>
          <rPr>
            <b/>
            <sz val="9"/>
            <color indexed="81"/>
            <rFont val="Tahoma"/>
            <family val="2"/>
          </rPr>
          <t>The panels are lifting or separating or otherwise losing their integrity - remove and replace</t>
        </r>
      </text>
    </comment>
    <comment ref="K39" authorId="0" shapeId="0" xr:uid="{00000000-0006-0000-0400-00002C000000}">
      <text>
        <r>
          <rPr>
            <b/>
            <sz val="9"/>
            <color indexed="81"/>
            <rFont val="Tahoma"/>
            <family val="2"/>
          </rPr>
          <t>Surface is intact but finish is deteriorated - paint.</t>
        </r>
      </text>
    </comment>
    <comment ref="M39" authorId="0" shapeId="0" xr:uid="{00000000-0006-0000-0400-00002D000000}">
      <text>
        <r>
          <rPr>
            <b/>
            <sz val="9"/>
            <color indexed="81"/>
            <rFont val="Tahoma"/>
            <family val="2"/>
          </rPr>
          <t>A number of panels are damaged, requiring patch and repair prior to re-painting.</t>
        </r>
      </text>
    </comment>
    <comment ref="O39" authorId="0" shapeId="0" xr:uid="{00000000-0006-0000-0400-00002E000000}">
      <text>
        <r>
          <rPr>
            <b/>
            <sz val="9"/>
            <color indexed="81"/>
            <rFont val="Tahoma"/>
            <family val="2"/>
          </rPr>
          <t>The panels are lifting or separating or otherwise losing their integrity - remove and replace.</t>
        </r>
      </text>
    </comment>
    <comment ref="Q39" authorId="0" shapeId="0" xr:uid="{00000000-0006-0000-0400-00002F000000}">
      <text>
        <r>
          <rPr>
            <b/>
            <sz val="9"/>
            <color indexed="81"/>
            <rFont val="Tahoma"/>
            <family val="2"/>
          </rPr>
          <t>System in failure with evidence of water intrusion - remove and replace</t>
        </r>
      </text>
    </comment>
    <comment ref="K40" authorId="0" shapeId="0" xr:uid="{00000000-0006-0000-0400-000030000000}">
      <text>
        <r>
          <rPr>
            <b/>
            <sz val="9"/>
            <color indexed="81"/>
            <rFont val="Tahoma"/>
            <family val="2"/>
          </rPr>
          <t>Surface is in tact but finish is deteriorated - paint.</t>
        </r>
      </text>
    </comment>
    <comment ref="M40" authorId="0" shapeId="0" xr:uid="{00000000-0006-0000-0400-000031000000}">
      <text>
        <r>
          <rPr>
            <b/>
            <sz val="9"/>
            <color indexed="81"/>
            <rFont val="Tahoma"/>
            <family val="2"/>
          </rPr>
          <t>Cracks visible - route and patch prior to painting.</t>
        </r>
      </text>
    </comment>
    <comment ref="O40" authorId="0" shapeId="0" xr:uid="{00000000-0006-0000-0400-000032000000}">
      <text>
        <r>
          <rPr>
            <b/>
            <sz val="9"/>
            <color indexed="81"/>
            <rFont val="Tahoma"/>
            <family val="2"/>
          </rPr>
          <t>System in failure with evidence of water intrusion - remove and replace.</t>
        </r>
      </text>
    </comment>
    <comment ref="Q40" authorId="0" shapeId="0" xr:uid="{00000000-0006-0000-0400-000033000000}">
      <text>
        <r>
          <rPr>
            <b/>
            <sz val="9"/>
            <color indexed="81"/>
            <rFont val="Tahoma"/>
            <family val="2"/>
          </rPr>
          <t>Masonry visibly damaged and requiring removal and replacement</t>
        </r>
      </text>
    </comment>
    <comment ref="K41" authorId="0" shapeId="0" xr:uid="{00000000-0006-0000-0400-000034000000}">
      <text>
        <r>
          <rPr>
            <b/>
            <sz val="9"/>
            <color indexed="81"/>
            <rFont val="Tahoma"/>
            <family val="2"/>
          </rPr>
          <t>Minor repairs needed to mortar, prep, and re-sealing.</t>
        </r>
      </text>
    </comment>
    <comment ref="M41" authorId="0" shapeId="0" xr:uid="{00000000-0006-0000-0400-000035000000}">
      <text>
        <r>
          <rPr>
            <b/>
            <sz val="9"/>
            <color indexed="81"/>
            <rFont val="Tahoma"/>
            <family val="2"/>
          </rPr>
          <t>Mortar missing in a majority of areas requiring complete re-pointing and sealing.</t>
        </r>
      </text>
    </comment>
    <comment ref="O41" authorId="0" shapeId="0" xr:uid="{00000000-0006-0000-0400-000036000000}">
      <text>
        <r>
          <rPr>
            <b/>
            <sz val="9"/>
            <color indexed="81"/>
            <rFont val="Tahoma"/>
            <family val="2"/>
          </rPr>
          <t>Masonry visibly damaged and requiring removal and replacement.</t>
        </r>
      </text>
    </comment>
    <comment ref="Q41" authorId="0" shapeId="0" xr:uid="{00000000-0006-0000-0400-000037000000}">
      <text>
        <r>
          <rPr>
            <b/>
            <sz val="9"/>
            <color indexed="81"/>
            <rFont val="Tahoma"/>
            <family val="2"/>
          </rPr>
          <t>The structural integrity of the frame is damaged, requiring the full replacement of the window unit</t>
        </r>
      </text>
    </comment>
    <comment ref="K42" authorId="0" shapeId="0" xr:uid="{00000000-0006-0000-0400-000038000000}">
      <text>
        <r>
          <rPr>
            <b/>
            <sz val="9"/>
            <color indexed="81"/>
            <rFont val="Tahoma"/>
            <family val="2"/>
          </rPr>
          <t>The glazing is double pane but is broken or fogged and requires replacement.</t>
        </r>
      </text>
    </comment>
    <comment ref="M42" authorId="0" shapeId="0" xr:uid="{00000000-0006-0000-0400-000039000000}">
      <text>
        <r>
          <rPr>
            <b/>
            <sz val="9"/>
            <color indexed="81"/>
            <rFont val="Tahoma"/>
            <family val="2"/>
          </rPr>
          <t>The glazing is single pane or the sash is damaged - either requires replacement of the sash and its glazing.</t>
        </r>
      </text>
    </comment>
    <comment ref="O42" authorId="0" shapeId="0" xr:uid="{00000000-0006-0000-0400-00003A000000}">
      <text>
        <r>
          <rPr>
            <b/>
            <sz val="9"/>
            <color indexed="81"/>
            <rFont val="Tahoma"/>
            <family val="2"/>
          </rPr>
          <t>The structural integrity of the frame is damaged, requiring the full replacement of the window unit.</t>
        </r>
      </text>
    </comment>
    <comment ref="Q42" authorId="0" shapeId="0" xr:uid="{00000000-0006-0000-0400-00003B000000}">
      <text>
        <r>
          <rPr>
            <b/>
            <sz val="9"/>
            <color indexed="81"/>
            <rFont val="Tahoma"/>
            <family val="2"/>
          </rPr>
          <t>The structural integrity of the frame is damaged, requiring the full replacement of the window unit</t>
        </r>
      </text>
    </comment>
    <comment ref="D43" authorId="0" shapeId="0" xr:uid="{00000000-0006-0000-0400-00003C000000}">
      <text>
        <r>
          <rPr>
            <b/>
            <sz val="9"/>
            <color indexed="81"/>
            <rFont val="Tahoma"/>
            <family val="2"/>
          </rPr>
          <t>This assumes both individual aluminum windows and storefront systems.</t>
        </r>
      </text>
    </comment>
    <comment ref="K43" authorId="0" shapeId="0" xr:uid="{00000000-0006-0000-0400-00003D000000}">
      <text>
        <r>
          <rPr>
            <b/>
            <sz val="9"/>
            <color indexed="81"/>
            <rFont val="Tahoma"/>
            <family val="2"/>
          </rPr>
          <t>The glazing is double pane but is broken or fogged and requires replacement.</t>
        </r>
      </text>
    </comment>
    <comment ref="M43" authorId="0" shapeId="0" xr:uid="{00000000-0006-0000-0400-00003E000000}">
      <text>
        <r>
          <rPr>
            <b/>
            <sz val="9"/>
            <color indexed="81"/>
            <rFont val="Tahoma"/>
            <family val="2"/>
          </rPr>
          <t>The glazing is single pane or the sash is damaged - either requires replacement of the sash and its glazing.</t>
        </r>
      </text>
    </comment>
    <comment ref="O43" authorId="0" shapeId="0" xr:uid="{00000000-0006-0000-0400-00003F000000}">
      <text>
        <r>
          <rPr>
            <b/>
            <sz val="9"/>
            <color indexed="81"/>
            <rFont val="Tahoma"/>
            <family val="2"/>
          </rPr>
          <t>The structural integrity of the frame is damaged, requiring the full replacement of the window unit.</t>
        </r>
      </text>
    </comment>
    <comment ref="Q43" authorId="0" shapeId="0" xr:uid="{00000000-0006-0000-0400-000040000000}">
      <text>
        <r>
          <rPr>
            <b/>
            <sz val="9"/>
            <color indexed="81"/>
            <rFont val="Tahoma"/>
            <family val="2"/>
          </rPr>
          <t>The structural integrity of the frame is damaged, requiring the full replacement of the window unit</t>
        </r>
      </text>
    </comment>
    <comment ref="D44" authorId="0" shapeId="0" xr:uid="{00000000-0006-0000-0400-000041000000}">
      <text>
        <r>
          <rPr>
            <b/>
            <sz val="9"/>
            <color indexed="81"/>
            <rFont val="Tahoma"/>
            <family val="2"/>
          </rPr>
          <t>This assumes a metal windows system clad with wood or vinyl.</t>
        </r>
      </text>
    </comment>
    <comment ref="K44" authorId="0" shapeId="0" xr:uid="{00000000-0006-0000-0400-000042000000}">
      <text>
        <r>
          <rPr>
            <b/>
            <sz val="9"/>
            <color indexed="81"/>
            <rFont val="Tahoma"/>
            <family val="2"/>
          </rPr>
          <t>The glazing is double pane but is broken or fogged and requires replacement.</t>
        </r>
      </text>
    </comment>
    <comment ref="M44" authorId="0" shapeId="0" xr:uid="{00000000-0006-0000-0400-000043000000}">
      <text>
        <r>
          <rPr>
            <b/>
            <sz val="9"/>
            <color indexed="81"/>
            <rFont val="Tahoma"/>
            <family val="2"/>
          </rPr>
          <t>The glazing is single pane or the sash is damaged - either requires replacement of the sash and its glazing.</t>
        </r>
      </text>
    </comment>
    <comment ref="O44" authorId="0" shapeId="0" xr:uid="{00000000-0006-0000-0400-000044000000}">
      <text>
        <r>
          <rPr>
            <b/>
            <sz val="9"/>
            <color indexed="81"/>
            <rFont val="Tahoma"/>
            <family val="2"/>
          </rPr>
          <t>The structural integrity of the frame is damaged, requiring the full replacement of the window unit.</t>
        </r>
      </text>
    </comment>
    <comment ref="Q44" authorId="0" shapeId="0" xr:uid="{00000000-0006-0000-0400-000045000000}">
      <text>
        <r>
          <rPr>
            <b/>
            <sz val="9"/>
            <color indexed="81"/>
            <rFont val="Tahoma"/>
            <family val="2"/>
          </rPr>
          <t>Settlement or displacement is evident</t>
        </r>
      </text>
    </comment>
    <comment ref="K45" authorId="0" shapeId="0" xr:uid="{00000000-0006-0000-0400-000046000000}">
      <text>
        <r>
          <rPr>
            <b/>
            <sz val="9"/>
            <color indexed="81"/>
            <rFont val="Tahoma"/>
            <family val="2"/>
          </rPr>
          <t>Minor leaks at wall seams - re-caulk and re-seal.</t>
        </r>
      </text>
    </comment>
    <comment ref="M45" authorId="0" shapeId="0" xr:uid="{00000000-0006-0000-0400-000047000000}">
      <text>
        <r>
          <rPr>
            <b/>
            <sz val="9"/>
            <color indexed="81"/>
            <rFont val="Tahoma"/>
            <family val="2"/>
          </rPr>
          <t>Window panels fogged and require replacement.</t>
        </r>
      </text>
    </comment>
    <comment ref="O45" authorId="0" shapeId="0" xr:uid="{00000000-0006-0000-0400-000048000000}">
      <text>
        <r>
          <rPr>
            <b/>
            <sz val="9"/>
            <color indexed="81"/>
            <rFont val="Tahoma"/>
            <family val="2"/>
          </rPr>
          <t>Settlement or displacement is evident.</t>
        </r>
      </text>
    </comment>
    <comment ref="Q45" authorId="0" shapeId="0" xr:uid="{00000000-0006-0000-0400-000049000000}">
      <text>
        <r>
          <rPr>
            <b/>
            <sz val="9"/>
            <color indexed="81"/>
            <rFont val="Tahoma"/>
            <family val="2"/>
          </rPr>
          <t>Door frame, door, and hardware are damaged and require replacement</t>
        </r>
      </text>
    </comment>
    <comment ref="D46" authorId="0" shapeId="0" xr:uid="{00000000-0006-0000-0400-00004A000000}">
      <text>
        <r>
          <rPr>
            <b/>
            <sz val="9"/>
            <color indexed="81"/>
            <rFont val="Tahoma"/>
            <family val="2"/>
          </rPr>
          <t>Apply to door count.</t>
        </r>
      </text>
    </comment>
    <comment ref="K46" authorId="0" shapeId="0" xr:uid="{00000000-0006-0000-0400-00004B000000}">
      <text>
        <r>
          <rPr>
            <b/>
            <sz val="9"/>
            <color indexed="81"/>
            <rFont val="Tahoma"/>
            <family val="2"/>
          </rPr>
          <t>Door hardware is damaged or non-functional and requires replacement.</t>
        </r>
      </text>
    </comment>
    <comment ref="M46" authorId="0" shapeId="0" xr:uid="{00000000-0006-0000-0400-00004C000000}">
      <text>
        <r>
          <rPr>
            <b/>
            <sz val="9"/>
            <color indexed="81"/>
            <rFont val="Tahoma"/>
            <family val="2"/>
          </rPr>
          <t xml:space="preserve">Door panel and hardware are damaged and require replacement.
</t>
        </r>
      </text>
    </comment>
    <comment ref="O46" authorId="0" shapeId="0" xr:uid="{00000000-0006-0000-0400-00004D000000}">
      <text>
        <r>
          <rPr>
            <b/>
            <sz val="9"/>
            <color indexed="81"/>
            <rFont val="Tahoma"/>
            <family val="2"/>
          </rPr>
          <t>Door frame, door, and hardware are damaged and require replacement.</t>
        </r>
      </text>
    </comment>
    <comment ref="Q46" authorId="0" shapeId="0" xr:uid="{00000000-0006-0000-0400-00004E000000}">
      <text>
        <r>
          <rPr>
            <b/>
            <sz val="9"/>
            <color indexed="81"/>
            <rFont val="Tahoma"/>
            <family val="2"/>
          </rPr>
          <t>Door frame, door, and hardware are damaged and require replacement</t>
        </r>
      </text>
    </comment>
    <comment ref="D47" authorId="0" shapeId="0" xr:uid="{00000000-0006-0000-0400-00004F000000}">
      <text>
        <r>
          <rPr>
            <b/>
            <sz val="9"/>
            <color indexed="81"/>
            <rFont val="Tahoma"/>
            <family val="2"/>
          </rPr>
          <t>Apply to door count.</t>
        </r>
      </text>
    </comment>
    <comment ref="K47" authorId="0" shapeId="0" xr:uid="{00000000-0006-0000-0400-000050000000}">
      <text>
        <r>
          <rPr>
            <b/>
            <sz val="9"/>
            <color indexed="81"/>
            <rFont val="Tahoma"/>
            <family val="2"/>
          </rPr>
          <t>Door hardware is damaged or non-functional and requires replacement.</t>
        </r>
      </text>
    </comment>
    <comment ref="M47" authorId="0" shapeId="0" xr:uid="{00000000-0006-0000-0400-000051000000}">
      <text>
        <r>
          <rPr>
            <b/>
            <sz val="9"/>
            <color indexed="81"/>
            <rFont val="Tahoma"/>
            <family val="2"/>
          </rPr>
          <t xml:space="preserve">Door panel and hardware are damaged and require replacement.
</t>
        </r>
      </text>
    </comment>
    <comment ref="O47" authorId="0" shapeId="0" xr:uid="{00000000-0006-0000-0400-000052000000}">
      <text>
        <r>
          <rPr>
            <b/>
            <sz val="9"/>
            <color indexed="81"/>
            <rFont val="Tahoma"/>
            <family val="2"/>
          </rPr>
          <t>Door frame, door, and hardware are damaged and require replacement.</t>
        </r>
      </text>
    </comment>
    <comment ref="Q47" authorId="0" shapeId="0" xr:uid="{00000000-0006-0000-0400-000053000000}">
      <text>
        <r>
          <rPr>
            <b/>
            <sz val="9"/>
            <color indexed="81"/>
            <rFont val="Tahoma"/>
            <family val="2"/>
          </rPr>
          <t>Door frame, door, and hardware are damaged and require replacement</t>
        </r>
      </text>
    </comment>
    <comment ref="D48" authorId="0" shapeId="0" xr:uid="{00000000-0006-0000-0400-000054000000}">
      <text>
        <r>
          <rPr>
            <b/>
            <sz val="9"/>
            <color indexed="81"/>
            <rFont val="Tahoma"/>
            <family val="2"/>
          </rPr>
          <t>Apply to door count.</t>
        </r>
      </text>
    </comment>
    <comment ref="K48" authorId="0" shapeId="0" xr:uid="{00000000-0006-0000-0400-000055000000}">
      <text>
        <r>
          <rPr>
            <b/>
            <sz val="9"/>
            <color indexed="81"/>
            <rFont val="Tahoma"/>
            <family val="2"/>
          </rPr>
          <t>Door hardware is damaged or non-functional and requires replacement.</t>
        </r>
      </text>
    </comment>
    <comment ref="M48" authorId="0" shapeId="0" xr:uid="{00000000-0006-0000-0400-000056000000}">
      <text>
        <r>
          <rPr>
            <b/>
            <sz val="9"/>
            <color indexed="81"/>
            <rFont val="Tahoma"/>
            <family val="2"/>
          </rPr>
          <t xml:space="preserve">Door panel and hardware are damaged and require replacement.
</t>
        </r>
      </text>
    </comment>
    <comment ref="O48" authorId="0" shapeId="0" xr:uid="{00000000-0006-0000-0400-000057000000}">
      <text>
        <r>
          <rPr>
            <b/>
            <sz val="9"/>
            <color indexed="81"/>
            <rFont val="Tahoma"/>
            <family val="2"/>
          </rPr>
          <t>Door frame, door, and hardware are damaged and require replacement.</t>
        </r>
      </text>
    </comment>
    <comment ref="Q49" authorId="0" shapeId="0" xr:uid="{00000000-0006-0000-0400-000058000000}">
      <text>
        <r>
          <rPr>
            <b/>
            <sz val="9"/>
            <color indexed="81"/>
            <rFont val="Tahoma"/>
            <family val="2"/>
          </rPr>
          <t>System in complete failure with multiple leaks and multiple examples of visible breaches in system - REMOVE AND Replace roof system</t>
        </r>
      </text>
    </comment>
    <comment ref="C50" authorId="0" shapeId="0" xr:uid="{00000000-0006-0000-0400-000059000000}">
      <text>
        <r>
          <rPr>
            <b/>
            <sz val="9"/>
            <color indexed="81"/>
            <rFont val="Tahoma"/>
            <family val="2"/>
          </rPr>
          <t>Assumes the insulation, roof covering, and associated flashings, gutters, and downspouts.</t>
        </r>
      </text>
    </comment>
    <comment ref="I50" authorId="0" shapeId="0" xr:uid="{00000000-0006-0000-0400-00005A000000}">
      <text>
        <r>
          <rPr>
            <b/>
            <sz val="9"/>
            <color indexed="81"/>
            <rFont val="Tahoma"/>
            <family val="2"/>
          </rPr>
          <t>Small number of shingles lifting and/or separation in a portion of flashing.</t>
        </r>
      </text>
    </comment>
    <comment ref="K50" authorId="0" shapeId="0" xr:uid="{00000000-0006-0000-0400-00005B000000}">
      <text>
        <r>
          <rPr>
            <b/>
            <sz val="9"/>
            <color indexed="81"/>
            <rFont val="Tahoma"/>
            <family val="2"/>
          </rPr>
          <t>Leaks in a specific area or zone related to poor detailing and / or flashing.</t>
        </r>
      </text>
    </comment>
    <comment ref="M50" authorId="0" shapeId="0" xr:uid="{00000000-0006-0000-0400-00005C000000}">
      <text>
        <r>
          <rPr>
            <b/>
            <sz val="9"/>
            <color indexed="81"/>
            <rFont val="Tahoma"/>
            <family val="2"/>
          </rPr>
          <t>System in complete failure with multiple leaks and multiple examples of visible breaches in system - Replace roof system OVER TOP OF EXISTING.</t>
        </r>
      </text>
    </comment>
    <comment ref="O50" authorId="0" shapeId="0" xr:uid="{00000000-0006-0000-0400-00005D000000}">
      <text>
        <r>
          <rPr>
            <b/>
            <sz val="9"/>
            <color indexed="81"/>
            <rFont val="Tahoma"/>
            <family val="2"/>
          </rPr>
          <t>System in complete failure with multiple leaks and multiple examples of visible breaches in system - REMOVE AND REPLACE roof system.</t>
        </r>
      </text>
    </comment>
    <comment ref="Q50" authorId="0" shapeId="0" xr:uid="{00000000-0006-0000-0400-00005E000000}">
      <text>
        <r>
          <rPr>
            <b/>
            <sz val="9"/>
            <color indexed="81"/>
            <rFont val="Tahoma"/>
            <family val="2"/>
          </rPr>
          <t>System in complete failure with multiple leaks and multiple examples of visible breaches in system - REMOVE AND Replace roof system</t>
        </r>
      </text>
    </comment>
    <comment ref="I51" authorId="0" shapeId="0" xr:uid="{00000000-0006-0000-0400-00005F000000}">
      <text>
        <r>
          <rPr>
            <b/>
            <sz val="9"/>
            <color indexed="81"/>
            <rFont val="Tahoma"/>
            <family val="2"/>
          </rPr>
          <t>Minor blistering requiring isolated patches.</t>
        </r>
      </text>
    </comment>
    <comment ref="K51" authorId="0" shapeId="0" xr:uid="{00000000-0006-0000-0400-000060000000}">
      <text>
        <r>
          <rPr>
            <b/>
            <sz val="9"/>
            <color indexed="81"/>
            <rFont val="Tahoma"/>
            <family val="2"/>
          </rPr>
          <t>Leaks in a specific area or zone related to poor detailing and / or flashing or unchecked blisters.</t>
        </r>
      </text>
    </comment>
    <comment ref="M51" authorId="0" shapeId="0" xr:uid="{00000000-0006-0000-0400-000061000000}">
      <text>
        <r>
          <rPr>
            <b/>
            <sz val="9"/>
            <color indexed="81"/>
            <rFont val="Tahoma"/>
            <family val="2"/>
          </rPr>
          <t>System in complete failure with multiple leaks and multiple examples of visible breaches in system - Replace roof system OVER TOP OF EXISTING.</t>
        </r>
      </text>
    </comment>
    <comment ref="O51" authorId="0" shapeId="0" xr:uid="{00000000-0006-0000-0400-000062000000}">
      <text>
        <r>
          <rPr>
            <b/>
            <sz val="9"/>
            <color indexed="81"/>
            <rFont val="Tahoma"/>
            <family val="2"/>
          </rPr>
          <t>System in complete failure with multiple leaks and multiple examples of visible breaches in system - REMOVE AND REPLACE
roof system.</t>
        </r>
      </text>
    </comment>
    <comment ref="Q51" authorId="0" shapeId="0" xr:uid="{00000000-0006-0000-0400-000063000000}">
      <text>
        <r>
          <rPr>
            <b/>
            <sz val="9"/>
            <color indexed="81"/>
            <rFont val="Tahoma"/>
            <family val="2"/>
          </rPr>
          <t>System in complete failure with multiple leaks and multiple examples of visible breaches in system - REMOVE AND Replace roof system</t>
        </r>
      </text>
    </comment>
    <comment ref="I52" authorId="0" shapeId="0" xr:uid="{00000000-0006-0000-0400-000064000000}">
      <text>
        <r>
          <rPr>
            <b/>
            <sz val="9"/>
            <color indexed="81"/>
            <rFont val="Tahoma"/>
            <family val="2"/>
          </rPr>
          <t>Minor blistering requiring isolated patches.</t>
        </r>
      </text>
    </comment>
    <comment ref="K52" authorId="0" shapeId="0" xr:uid="{00000000-0006-0000-0400-000065000000}">
      <text>
        <r>
          <rPr>
            <b/>
            <sz val="9"/>
            <color indexed="81"/>
            <rFont val="Tahoma"/>
            <family val="2"/>
          </rPr>
          <t>Leaks in a specific area or zone related to poor detailing and / or flashing or seam separation.</t>
        </r>
      </text>
    </comment>
    <comment ref="M52" authorId="0" shapeId="0" xr:uid="{00000000-0006-0000-0400-000066000000}">
      <text>
        <r>
          <rPr>
            <b/>
            <sz val="9"/>
            <color indexed="81"/>
            <rFont val="Tahoma"/>
            <family val="2"/>
          </rPr>
          <t>System in complete failure with multiple leaks and multiple examples of visible breaches in system - Prep and re-coat roof system OVER TOP OF EXISTING.</t>
        </r>
      </text>
    </comment>
    <comment ref="O52" authorId="0" shapeId="0" xr:uid="{00000000-0006-0000-0400-000067000000}">
      <text>
        <r>
          <rPr>
            <b/>
            <sz val="9"/>
            <color indexed="81"/>
            <rFont val="Tahoma"/>
            <family val="2"/>
          </rPr>
          <t>System in complete failure with multiple leaks and multiple examples of visible breaches in system - REMOVE AND REPLACE roof system.</t>
        </r>
      </text>
    </comment>
    <comment ref="Q52" authorId="0" shapeId="0" xr:uid="{00000000-0006-0000-0400-000068000000}">
      <text>
        <r>
          <rPr>
            <b/>
            <sz val="9"/>
            <color indexed="81"/>
            <rFont val="Tahoma"/>
            <family val="2"/>
          </rPr>
          <t>Panels have lifted or separated and water intrusion is evident.  Remove and replace panels and associated flashing</t>
        </r>
      </text>
    </comment>
    <comment ref="K53" authorId="0" shapeId="0" xr:uid="{00000000-0006-0000-0400-000069000000}">
      <text>
        <r>
          <rPr>
            <b/>
            <sz val="9"/>
            <color indexed="81"/>
            <rFont val="Tahoma"/>
            <family val="2"/>
          </rPr>
          <t>Leaks are occurring and flashing at seams or transitions has separated requiring replacement of flashing and sealant.</t>
        </r>
      </text>
    </comment>
    <comment ref="O53" authorId="0" shapeId="0" xr:uid="{00000000-0006-0000-0400-00006A000000}">
      <text>
        <r>
          <rPr>
            <b/>
            <sz val="9"/>
            <color indexed="81"/>
            <rFont val="Tahoma"/>
            <family val="2"/>
          </rPr>
          <t>Panels have lifted or separated and water intrusion is evident.  Remove and replace panels and associated flashing.</t>
        </r>
      </text>
    </comment>
    <comment ref="Q53" authorId="0" shapeId="0" xr:uid="{00000000-0006-0000-0400-00006B000000}">
      <text>
        <r>
          <rPr>
            <b/>
            <sz val="9"/>
            <color indexed="81"/>
            <rFont val="Tahoma"/>
            <family val="2"/>
          </rPr>
          <t>Tiles are cracked, loose, or damaged and require removal and replacement</t>
        </r>
      </text>
    </comment>
    <comment ref="K54" authorId="0" shapeId="0" xr:uid="{00000000-0006-0000-0400-00006C000000}">
      <text>
        <r>
          <rPr>
            <b/>
            <sz val="9"/>
            <color indexed="81"/>
            <rFont val="Tahoma"/>
            <family val="2"/>
          </rPr>
          <t>Leaks occurring at isolated areas requiring grout removal and re-grout at isolated tile locations.</t>
        </r>
      </text>
    </comment>
    <comment ref="O54" authorId="0" shapeId="0" xr:uid="{00000000-0006-0000-0400-00006D000000}">
      <text>
        <r>
          <rPr>
            <b/>
            <sz val="9"/>
            <color indexed="81"/>
            <rFont val="Tahoma"/>
            <family val="2"/>
          </rPr>
          <t>Tiles are cracked, loose, or damaged and require removal and replacement.</t>
        </r>
      </text>
    </comment>
    <comment ref="Q54" authorId="0" shapeId="0" xr:uid="{00000000-0006-0000-0400-00006E000000}">
      <text>
        <r>
          <rPr>
            <b/>
            <sz val="9"/>
            <color indexed="81"/>
            <rFont val="Tahoma"/>
            <family val="2"/>
          </rPr>
          <t>The panes or framing are damaged beyond repair and requires replacement</t>
        </r>
      </text>
    </comment>
    <comment ref="D55" authorId="0" shapeId="0" xr:uid="{00000000-0006-0000-0400-00006F000000}">
      <text>
        <r>
          <rPr>
            <b/>
            <sz val="9"/>
            <color indexed="81"/>
            <rFont val="Tahoma"/>
            <family val="2"/>
          </rPr>
          <t>Based on building's gross square footage.</t>
        </r>
      </text>
    </comment>
    <comment ref="K55" authorId="0" shapeId="0" xr:uid="{00000000-0006-0000-0400-000070000000}">
      <text>
        <r>
          <rPr>
            <b/>
            <sz val="9"/>
            <color indexed="81"/>
            <rFont val="Tahoma"/>
            <family val="2"/>
          </rPr>
          <t>Minor leaking is occurring, requiring re-caulk and re-seal.</t>
        </r>
      </text>
    </comment>
    <comment ref="O55" authorId="0" shapeId="0" xr:uid="{00000000-0006-0000-0400-000071000000}">
      <text>
        <r>
          <rPr>
            <b/>
            <sz val="9"/>
            <color indexed="81"/>
            <rFont val="Tahoma"/>
            <family val="2"/>
          </rPr>
          <t>The panes or framing are damaged beyond repair and requires replacement.</t>
        </r>
      </text>
    </comment>
    <comment ref="Q55" authorId="0" shapeId="0" xr:uid="{00000000-0006-0000-0400-000072000000}">
      <text>
        <r>
          <rPr>
            <b/>
            <sz val="9"/>
            <color indexed="81"/>
            <rFont val="Tahoma"/>
            <family val="2"/>
          </rPr>
          <t>The door is non-functional or damaged beyond repair and requires replacement</t>
        </r>
      </text>
    </comment>
    <comment ref="D56" authorId="0" shapeId="0" xr:uid="{00000000-0006-0000-0400-000073000000}">
      <text>
        <r>
          <rPr>
            <b/>
            <sz val="9"/>
            <color indexed="81"/>
            <rFont val="Tahoma"/>
            <family val="2"/>
          </rPr>
          <t xml:space="preserve">Apply to access hatch count. </t>
        </r>
      </text>
    </comment>
    <comment ref="O56" authorId="0" shapeId="0" xr:uid="{00000000-0006-0000-0400-000074000000}">
      <text>
        <r>
          <rPr>
            <b/>
            <sz val="9"/>
            <color indexed="81"/>
            <rFont val="Tahoma"/>
            <family val="2"/>
          </rPr>
          <t>The door is non-functional or damaged beyond repair and requires replacement.</t>
        </r>
      </text>
    </comment>
    <comment ref="O59" authorId="0" shapeId="0" xr:uid="{00000000-0006-0000-0400-000075000000}">
      <text>
        <r>
          <rPr>
            <b/>
            <sz val="9"/>
            <color indexed="81"/>
            <rFont val="Tahoma"/>
            <family val="2"/>
          </rPr>
          <t>There is evidence of settling, failure, or a compromised structure that requires removal and replacement.</t>
        </r>
      </text>
    </comment>
    <comment ref="Q59" authorId="0" shapeId="0" xr:uid="{00000000-0006-0000-0400-000076000000}">
      <text>
        <r>
          <rPr>
            <b/>
            <sz val="9"/>
            <color indexed="81"/>
            <rFont val="Tahoma"/>
            <family val="2"/>
          </rPr>
          <t>There is evidence of settling, failure, or a compromised structure that requires removal and replacement</t>
        </r>
      </text>
    </comment>
    <comment ref="M60" authorId="0" shapeId="0" xr:uid="{00000000-0006-0000-0400-000077000000}">
      <text>
        <r>
          <rPr>
            <b/>
            <sz val="9"/>
            <color indexed="81"/>
            <rFont val="Tahoma"/>
            <family val="2"/>
          </rPr>
          <t>There are some blocks that are damaged and requires a strategic removal and replacement.</t>
        </r>
      </text>
    </comment>
    <comment ref="O60" authorId="0" shapeId="0" xr:uid="{00000000-0006-0000-0400-000078000000}">
      <text>
        <r>
          <rPr>
            <b/>
            <sz val="9"/>
            <color indexed="81"/>
            <rFont val="Tahoma"/>
            <family val="2"/>
          </rPr>
          <t>There is evidence of settling, failure, or a compromised structure that requires removal and replacement.</t>
        </r>
      </text>
    </comment>
    <comment ref="Q60" authorId="0" shapeId="0" xr:uid="{00000000-0006-0000-0400-000079000000}">
      <text>
        <r>
          <rPr>
            <b/>
            <sz val="9"/>
            <color indexed="81"/>
            <rFont val="Tahoma"/>
            <family val="2"/>
          </rPr>
          <t>There is evidence of settling, failure, or a compromised structure that requires removal and replacement</t>
        </r>
      </text>
    </comment>
    <comment ref="D61" authorId="0" shapeId="0" xr:uid="{00000000-0006-0000-0400-00007A000000}">
      <text>
        <r>
          <rPr>
            <b/>
            <sz val="9"/>
            <color indexed="81"/>
            <rFont val="Tahoma"/>
            <family val="2"/>
          </rPr>
          <t>Apply to door count.</t>
        </r>
      </text>
    </comment>
    <comment ref="K61" authorId="0" shapeId="0" xr:uid="{00000000-0006-0000-0400-00007B000000}">
      <text>
        <r>
          <rPr>
            <b/>
            <sz val="9"/>
            <color indexed="81"/>
            <rFont val="Tahoma"/>
            <family val="2"/>
          </rPr>
          <t>Door hardware is damaged or non-functional and requires replacement.</t>
        </r>
      </text>
    </comment>
    <comment ref="M61" authorId="0" shapeId="0" xr:uid="{00000000-0006-0000-0400-00007C000000}">
      <text>
        <r>
          <rPr>
            <b/>
            <sz val="9"/>
            <color indexed="81"/>
            <rFont val="Tahoma"/>
            <family val="2"/>
          </rPr>
          <t>Door panel and hardware are damaged and require replacement.</t>
        </r>
      </text>
    </comment>
    <comment ref="O61" authorId="0" shapeId="0" xr:uid="{00000000-0006-0000-0400-00007D000000}">
      <text>
        <r>
          <rPr>
            <b/>
            <sz val="9"/>
            <color indexed="81"/>
            <rFont val="Tahoma"/>
            <family val="2"/>
          </rPr>
          <t>Door frame, door, and hardware are damaged and require replacement.</t>
        </r>
      </text>
    </comment>
    <comment ref="Q61" authorId="0" shapeId="0" xr:uid="{00000000-0006-0000-0400-00007E000000}">
      <text>
        <r>
          <rPr>
            <b/>
            <sz val="9"/>
            <color indexed="81"/>
            <rFont val="Tahoma"/>
            <family val="2"/>
          </rPr>
          <t>Door frame, door, and hardware are damaged and require replacement</t>
        </r>
      </text>
    </comment>
    <comment ref="D62" authorId="0" shapeId="0" xr:uid="{00000000-0006-0000-0400-00007F000000}">
      <text>
        <r>
          <rPr>
            <b/>
            <sz val="9"/>
            <color indexed="81"/>
            <rFont val="Tahoma"/>
            <family val="2"/>
          </rPr>
          <t>Apply to door count.</t>
        </r>
      </text>
    </comment>
    <comment ref="K62" authorId="0" shapeId="0" xr:uid="{00000000-0006-0000-0400-000080000000}">
      <text>
        <r>
          <rPr>
            <b/>
            <sz val="9"/>
            <color indexed="81"/>
            <rFont val="Tahoma"/>
            <family val="2"/>
          </rPr>
          <t>Door hardware is damaged or non-functional and requires replacement.</t>
        </r>
      </text>
    </comment>
    <comment ref="M62" authorId="0" shapeId="0" xr:uid="{00000000-0006-0000-0400-000081000000}">
      <text>
        <r>
          <rPr>
            <b/>
            <sz val="9"/>
            <color indexed="81"/>
            <rFont val="Tahoma"/>
            <family val="2"/>
          </rPr>
          <t xml:space="preserve">Door panel and hardware are damaged and require replacement.
</t>
        </r>
      </text>
    </comment>
    <comment ref="O62" authorId="0" shapeId="0" xr:uid="{00000000-0006-0000-0400-000082000000}">
      <text>
        <r>
          <rPr>
            <b/>
            <sz val="9"/>
            <color indexed="81"/>
            <rFont val="Tahoma"/>
            <family val="2"/>
          </rPr>
          <t>Door frame, door, and hardware are damaged and require replacement.</t>
        </r>
      </text>
    </comment>
    <comment ref="Q62" authorId="0" shapeId="0" xr:uid="{00000000-0006-0000-0400-000083000000}">
      <text>
        <r>
          <rPr>
            <b/>
            <sz val="9"/>
            <color indexed="81"/>
            <rFont val="Tahoma"/>
            <family val="2"/>
          </rPr>
          <t>Door frame, door, and hardware are damaged and require replacement</t>
        </r>
      </text>
    </comment>
    <comment ref="D65" authorId="0" shapeId="0" xr:uid="{00000000-0006-0000-0400-000084000000}">
      <text>
        <r>
          <rPr>
            <b/>
            <sz val="9"/>
            <color indexed="81"/>
            <rFont val="Tahoma"/>
            <family val="2"/>
          </rPr>
          <t>Apply to stair flights.</t>
        </r>
      </text>
    </comment>
    <comment ref="M65" authorId="0" shapeId="0" xr:uid="{00000000-0006-0000-0400-000085000000}">
      <text>
        <r>
          <rPr>
            <b/>
            <sz val="9"/>
            <color indexed="81"/>
            <rFont val="Tahoma"/>
            <family val="2"/>
          </rPr>
          <t>Rails not compliant with code and require removal and replacement.</t>
        </r>
      </text>
    </comment>
    <comment ref="O65" authorId="0" shapeId="0" xr:uid="{00000000-0006-0000-0400-000086000000}">
      <text>
        <r>
          <rPr>
            <b/>
            <sz val="9"/>
            <color indexed="81"/>
            <rFont val="Tahoma"/>
            <family val="2"/>
          </rPr>
          <t>Structural integrity of stair unit is compromised and requires its removal and replacement.</t>
        </r>
      </text>
    </comment>
    <comment ref="Q65" authorId="0" shapeId="0" xr:uid="{00000000-0006-0000-0400-000087000000}">
      <text>
        <r>
          <rPr>
            <b/>
            <sz val="9"/>
            <color indexed="81"/>
            <rFont val="Tahoma"/>
            <family val="2"/>
          </rPr>
          <t>Structural integrity of stair unit is compromised and requires its removal and replacement</t>
        </r>
      </text>
    </comment>
    <comment ref="D66" authorId="0" shapeId="0" xr:uid="{00000000-0006-0000-0400-000088000000}">
      <text>
        <r>
          <rPr>
            <b/>
            <sz val="9"/>
            <color indexed="81"/>
            <rFont val="Tahoma"/>
            <family val="2"/>
          </rPr>
          <t>Apply to stair flights.</t>
        </r>
      </text>
    </comment>
    <comment ref="I66" authorId="0" shapeId="0" xr:uid="{00000000-0006-0000-0400-000089000000}">
      <text>
        <r>
          <rPr>
            <b/>
            <sz val="9"/>
            <color indexed="81"/>
            <rFont val="Tahoma"/>
            <family val="2"/>
          </rPr>
          <t>Rust visible - prep and re-finish.</t>
        </r>
      </text>
    </comment>
    <comment ref="M66" authorId="0" shapeId="0" xr:uid="{00000000-0006-0000-0400-00008A000000}">
      <text>
        <r>
          <rPr>
            <b/>
            <sz val="9"/>
            <color indexed="81"/>
            <rFont val="Tahoma"/>
            <family val="2"/>
          </rPr>
          <t>Rails not compliant with code and require removal and replacement.</t>
        </r>
      </text>
    </comment>
    <comment ref="O66" authorId="0" shapeId="0" xr:uid="{00000000-0006-0000-0400-00008B000000}">
      <text>
        <r>
          <rPr>
            <b/>
            <sz val="9"/>
            <color indexed="81"/>
            <rFont val="Tahoma"/>
            <family val="2"/>
          </rPr>
          <t>Structural integrity of stair unit is compromised and requires its removal and replacement.</t>
        </r>
      </text>
    </comment>
    <comment ref="Q66" authorId="0" shapeId="0" xr:uid="{00000000-0006-0000-0400-00008C000000}">
      <text>
        <r>
          <rPr>
            <b/>
            <sz val="9"/>
            <color indexed="81"/>
            <rFont val="Tahoma"/>
            <family val="2"/>
          </rPr>
          <t>Structural integrity of stair unit is compromised and requires its removal and replacement</t>
        </r>
      </text>
    </comment>
    <comment ref="D67" authorId="0" shapeId="0" xr:uid="{00000000-0006-0000-0400-00008D000000}">
      <text>
        <r>
          <rPr>
            <b/>
            <sz val="9"/>
            <color indexed="81"/>
            <rFont val="Tahoma"/>
            <family val="2"/>
          </rPr>
          <t>Apply to stair flights.</t>
        </r>
      </text>
    </comment>
    <comment ref="M67" authorId="0" shapeId="0" xr:uid="{00000000-0006-0000-0400-00008E000000}">
      <text>
        <r>
          <rPr>
            <b/>
            <sz val="9"/>
            <color indexed="81"/>
            <rFont val="Tahoma"/>
            <family val="2"/>
          </rPr>
          <t>An isolated structural crack or separation requiring re-enforcement in place.</t>
        </r>
      </text>
    </comment>
    <comment ref="O67" authorId="0" shapeId="0" xr:uid="{00000000-0006-0000-0400-00008F000000}">
      <text>
        <r>
          <rPr>
            <b/>
            <sz val="9"/>
            <color indexed="81"/>
            <rFont val="Tahoma"/>
            <family val="2"/>
          </rPr>
          <t>Structural cracking and separation occurring in multiple locations - remove and replace the stair unit.</t>
        </r>
      </text>
    </comment>
    <comment ref="Q67" authorId="0" shapeId="0" xr:uid="{00000000-0006-0000-0400-000090000000}">
      <text>
        <r>
          <rPr>
            <b/>
            <sz val="9"/>
            <color indexed="81"/>
            <rFont val="Tahoma"/>
            <family val="2"/>
          </rPr>
          <t>Structural cracking and separation occurring in multiple locations - remove and replace the stair unit</t>
        </r>
      </text>
    </comment>
    <comment ref="D68" authorId="0" shapeId="0" xr:uid="{00000000-0006-0000-0400-000091000000}">
      <text>
        <r>
          <rPr>
            <b/>
            <sz val="9"/>
            <color indexed="81"/>
            <rFont val="Tahoma"/>
            <family val="2"/>
          </rPr>
          <t>Apply to stair flights.</t>
        </r>
      </text>
    </comment>
    <comment ref="I68" authorId="0" shapeId="0" xr:uid="{00000000-0006-0000-0400-000092000000}">
      <text>
        <r>
          <rPr>
            <b/>
            <sz val="9"/>
            <color indexed="81"/>
            <rFont val="Tahoma"/>
            <family val="2"/>
          </rPr>
          <t>Surface feels rough and/or taking in moisture from the surface resulting in staining - prep and re-seal.</t>
        </r>
      </text>
    </comment>
    <comment ref="O68" authorId="0" shapeId="0" xr:uid="{00000000-0006-0000-0400-000093000000}">
      <text>
        <r>
          <rPr>
            <b/>
            <sz val="9"/>
            <color indexed="81"/>
            <rFont val="Tahoma"/>
            <family val="2"/>
          </rPr>
          <t>Severe cracking requiring removal and replacement of tread in fills.</t>
        </r>
      </text>
    </comment>
    <comment ref="Q68" authorId="0" shapeId="0" xr:uid="{00000000-0006-0000-0400-000094000000}">
      <text>
        <r>
          <rPr>
            <b/>
            <sz val="9"/>
            <color indexed="81"/>
            <rFont val="Tahoma"/>
            <family val="2"/>
          </rPr>
          <t>Severe cracking requiring removal and replacement of tread in fills</t>
        </r>
      </text>
    </comment>
    <comment ref="D69" authorId="0" shapeId="0" xr:uid="{00000000-0006-0000-0400-000095000000}">
      <text>
        <r>
          <rPr>
            <b/>
            <sz val="9"/>
            <color indexed="81"/>
            <rFont val="Tahoma"/>
            <family val="2"/>
          </rPr>
          <t>Apply to stair flights.</t>
        </r>
      </text>
    </comment>
    <comment ref="O69" authorId="0" shapeId="0" xr:uid="{00000000-0006-0000-0400-000096000000}">
      <text>
        <r>
          <rPr>
            <b/>
            <sz val="9"/>
            <color indexed="81"/>
            <rFont val="Tahoma"/>
            <family val="2"/>
          </rPr>
          <t>Finish is lifting or separating and creating trip hazards - remove and replace.</t>
        </r>
      </text>
    </comment>
    <comment ref="Q69" authorId="0" shapeId="0" xr:uid="{00000000-0006-0000-0400-000097000000}">
      <text>
        <r>
          <rPr>
            <b/>
            <sz val="9"/>
            <color indexed="81"/>
            <rFont val="Tahoma"/>
            <family val="2"/>
          </rPr>
          <t>finish is lifting or separating and creating trip hazards - remove and replace</t>
        </r>
      </text>
    </comment>
    <comment ref="I71" authorId="0" shapeId="0" xr:uid="{00000000-0006-0000-0400-000098000000}">
      <text>
        <r>
          <rPr>
            <b/>
            <sz val="9"/>
            <color indexed="81"/>
            <rFont val="Tahoma"/>
            <family val="2"/>
          </rPr>
          <t>Surface is intact but finish is deteriorated - paint.</t>
        </r>
      </text>
    </comment>
    <comment ref="O71" authorId="0" shapeId="0" xr:uid="{00000000-0006-0000-0400-000099000000}">
      <text>
        <r>
          <rPr>
            <b/>
            <sz val="9"/>
            <color indexed="81"/>
            <rFont val="Tahoma"/>
            <family val="2"/>
          </rPr>
          <t>Systemic failure of finish, possible water intrusion - requires removal and replacement.</t>
        </r>
      </text>
    </comment>
    <comment ref="Q71" authorId="0" shapeId="0" xr:uid="{00000000-0006-0000-0400-00009A000000}">
      <text>
        <r>
          <rPr>
            <b/>
            <sz val="9"/>
            <color indexed="81"/>
            <rFont val="Tahoma"/>
            <family val="2"/>
          </rPr>
          <t>Systemic failure of finish, possible water intrusion - requires removal and replacement</t>
        </r>
      </text>
    </comment>
    <comment ref="I72" authorId="0" shapeId="0" xr:uid="{00000000-0006-0000-0400-00009B000000}">
      <text>
        <r>
          <rPr>
            <b/>
            <sz val="9"/>
            <color indexed="81"/>
            <rFont val="Tahoma"/>
            <family val="2"/>
          </rPr>
          <t>Surface is intact but finish is deteriorated - paint.</t>
        </r>
      </text>
    </comment>
    <comment ref="K72" authorId="0" shapeId="0" xr:uid="{00000000-0006-0000-0400-00009C000000}">
      <text>
        <r>
          <rPr>
            <b/>
            <sz val="9"/>
            <color indexed="81"/>
            <rFont val="Tahoma"/>
            <family val="2"/>
          </rPr>
          <t>Surface is damaged - patching of the surface is required prior to painting.</t>
        </r>
      </text>
    </comment>
    <comment ref="O72" authorId="0" shapeId="0" xr:uid="{00000000-0006-0000-0400-00009D000000}">
      <text>
        <r>
          <rPr>
            <b/>
            <sz val="9"/>
            <color indexed="81"/>
            <rFont val="Tahoma"/>
            <family val="2"/>
          </rPr>
          <t>Systemic failure of finish, possible water intrusion - requires removal and replacement.</t>
        </r>
      </text>
    </comment>
    <comment ref="Q72" authorId="0" shapeId="0" xr:uid="{00000000-0006-0000-0400-00009E000000}">
      <text>
        <r>
          <rPr>
            <b/>
            <sz val="9"/>
            <color indexed="81"/>
            <rFont val="Tahoma"/>
            <family val="2"/>
          </rPr>
          <t>Systemic failure of finish, possible water intrusion - requires removal and replacement</t>
        </r>
      </text>
    </comment>
    <comment ref="I73" authorId="0" shapeId="0" xr:uid="{00000000-0006-0000-0400-00009F000000}">
      <text>
        <r>
          <rPr>
            <b/>
            <sz val="9"/>
            <color indexed="81"/>
            <rFont val="Tahoma"/>
            <family val="2"/>
          </rPr>
          <t>Surface is intact but finish is deteriorated - paint.</t>
        </r>
      </text>
    </comment>
    <comment ref="O73" authorId="0" shapeId="0" xr:uid="{00000000-0006-0000-0400-0000A0000000}">
      <text>
        <r>
          <rPr>
            <b/>
            <sz val="9"/>
            <color indexed="81"/>
            <rFont val="Tahoma"/>
            <family val="2"/>
          </rPr>
          <t>Systemic failure of finish, possible water intrusion - requires removal and replacement.</t>
        </r>
      </text>
    </comment>
    <comment ref="Q73" authorId="0" shapeId="0" xr:uid="{00000000-0006-0000-0400-0000A1000000}">
      <text>
        <r>
          <rPr>
            <b/>
            <sz val="9"/>
            <color indexed="81"/>
            <rFont val="Tahoma"/>
            <family val="2"/>
          </rPr>
          <t>Systemic failure of finish, possible water intrusion - requires removal and replacement</t>
        </r>
      </text>
    </comment>
    <comment ref="I74" authorId="0" shapeId="0" xr:uid="{00000000-0006-0000-0400-0000A2000000}">
      <text>
        <r>
          <rPr>
            <b/>
            <sz val="9"/>
            <color indexed="81"/>
            <rFont val="Tahoma"/>
            <family val="2"/>
          </rPr>
          <t>Grout is damaged or deteriorated.</t>
        </r>
      </text>
    </comment>
    <comment ref="O74" authorId="0" shapeId="0" xr:uid="{00000000-0006-0000-0400-0000A3000000}">
      <text>
        <r>
          <rPr>
            <b/>
            <sz val="9"/>
            <color indexed="81"/>
            <rFont val="Tahoma"/>
            <family val="2"/>
          </rPr>
          <t>Tiles are cracked or in disrepair.</t>
        </r>
      </text>
    </comment>
    <comment ref="Q74" authorId="0" shapeId="0" xr:uid="{00000000-0006-0000-0400-0000A4000000}">
      <text>
        <r>
          <rPr>
            <b/>
            <sz val="9"/>
            <color indexed="81"/>
            <rFont val="Tahoma"/>
            <family val="2"/>
          </rPr>
          <t>Tiles are cracked or in disrepair</t>
        </r>
      </text>
    </comment>
    <comment ref="O75" authorId="0" shapeId="0" xr:uid="{00000000-0006-0000-0400-0000A5000000}">
      <text>
        <r>
          <rPr>
            <b/>
            <sz val="9"/>
            <color indexed="81"/>
            <rFont val="Tahoma"/>
            <family val="2"/>
          </rPr>
          <t>Worn or severely stained or starting to pull up/bubble.</t>
        </r>
      </text>
    </comment>
    <comment ref="Q75" authorId="0" shapeId="0" xr:uid="{00000000-0006-0000-0400-0000A6000000}">
      <text>
        <r>
          <rPr>
            <b/>
            <sz val="9"/>
            <color indexed="81"/>
            <rFont val="Tahoma"/>
            <family val="2"/>
          </rPr>
          <t>worn or severely stained or starting to pull up / bubble</t>
        </r>
      </text>
    </comment>
    <comment ref="I76" authorId="0" shapeId="0" xr:uid="{00000000-0006-0000-0400-0000A7000000}">
      <text>
        <r>
          <rPr>
            <b/>
            <sz val="9"/>
            <color indexed="81"/>
            <rFont val="Tahoma"/>
            <family val="2"/>
          </rPr>
          <t>Sporadic number of tiles are lifting or cracked/broken and require replacement.</t>
        </r>
      </text>
    </comment>
    <comment ref="M76" authorId="0" shapeId="0" xr:uid="{00000000-0006-0000-0400-0000A8000000}">
      <text>
        <r>
          <rPr>
            <b/>
            <sz val="9"/>
            <color indexed="81"/>
            <rFont val="Tahoma"/>
            <family val="2"/>
          </rPr>
          <t xml:space="preserve">The majority of tiles are lifting, cracking/broken and require replacement - the tiles or glue are </t>
        </r>
        <r>
          <rPr>
            <b/>
            <u/>
            <sz val="9"/>
            <color indexed="81"/>
            <rFont val="Tahoma"/>
            <family val="2"/>
          </rPr>
          <t>NOT</t>
        </r>
        <r>
          <rPr>
            <b/>
            <sz val="9"/>
            <color indexed="81"/>
            <rFont val="Tahoma"/>
            <family val="2"/>
          </rPr>
          <t xml:space="preserve"> asbestos.</t>
        </r>
      </text>
    </comment>
    <comment ref="O76" authorId="0" shapeId="0" xr:uid="{00000000-0006-0000-0400-0000A9000000}">
      <text>
        <r>
          <rPr>
            <b/>
            <sz val="9"/>
            <color indexed="81"/>
            <rFont val="Tahoma"/>
            <family val="2"/>
          </rPr>
          <t>The majority of tiles are lifting, cracking/broken and require replacement - the tiles or glue are asbestos.</t>
        </r>
      </text>
    </comment>
    <comment ref="Q76" authorId="0" shapeId="0" xr:uid="{00000000-0006-0000-0400-0000AA000000}">
      <text>
        <r>
          <rPr>
            <b/>
            <sz val="9"/>
            <color indexed="81"/>
            <rFont val="Tahoma"/>
            <family val="2"/>
          </rPr>
          <t>The majority of tiles are lifting, cracking / broken and require replacement - the tiles or glue are asbestos</t>
        </r>
      </text>
    </comment>
    <comment ref="O77" authorId="0" shapeId="0" xr:uid="{00000000-0006-0000-0400-0000AB000000}">
      <text>
        <r>
          <rPr>
            <b/>
            <sz val="9"/>
            <color indexed="81"/>
            <rFont val="Tahoma"/>
            <family val="2"/>
          </rPr>
          <t>Severely worn or seams separating - replace.</t>
        </r>
      </text>
    </comment>
    <comment ref="Q77" authorId="0" shapeId="0" xr:uid="{00000000-0006-0000-0400-0000AC000000}">
      <text>
        <r>
          <rPr>
            <b/>
            <sz val="9"/>
            <color indexed="81"/>
            <rFont val="Tahoma"/>
            <family val="2"/>
          </rPr>
          <t>Severely worn or seams separating - replace</t>
        </r>
      </text>
    </comment>
    <comment ref="I78" authorId="0" shapeId="0" xr:uid="{00000000-0006-0000-0400-0000AD000000}">
      <text>
        <r>
          <rPr>
            <b/>
            <sz val="9"/>
            <color indexed="81"/>
            <rFont val="Tahoma"/>
            <family val="2"/>
          </rPr>
          <t>Surface feels rough and/or taking in moisture from the surface resulting in staining - prep and re-seal.</t>
        </r>
      </text>
    </comment>
    <comment ref="O78" authorId="0" shapeId="0" xr:uid="{00000000-0006-0000-0400-0000AE000000}">
      <text>
        <r>
          <rPr>
            <b/>
            <sz val="9"/>
            <color indexed="81"/>
            <rFont val="Tahoma"/>
            <family val="2"/>
          </rPr>
          <t>Significant cracking, but not differential - requires prep and crack filling prior to re-seal.  If differential, refer to slab on grade of floor construction above.</t>
        </r>
      </text>
    </comment>
    <comment ref="Q78" authorId="0" shapeId="0" xr:uid="{00000000-0006-0000-0400-0000AF000000}">
      <text>
        <r>
          <rPr>
            <b/>
            <sz val="9"/>
            <color indexed="81"/>
            <rFont val="Tahoma"/>
            <family val="2"/>
          </rPr>
          <t>Significant cracking, but not differential - requires prep and crack filling prior to re-seal.  If differential, refer to slab on grade of floor construction above</t>
        </r>
      </text>
    </comment>
    <comment ref="I79" authorId="0" shapeId="0" xr:uid="{00000000-0006-0000-0400-0000B0000000}">
      <text>
        <r>
          <rPr>
            <b/>
            <sz val="9"/>
            <color indexed="81"/>
            <rFont val="Tahoma"/>
            <family val="2"/>
          </rPr>
          <t>Grout is damaged or deteriorated.</t>
        </r>
      </text>
    </comment>
    <comment ref="O79" authorId="0" shapeId="0" xr:uid="{00000000-0006-0000-0400-0000B1000000}">
      <text>
        <r>
          <rPr>
            <b/>
            <sz val="9"/>
            <color indexed="81"/>
            <rFont val="Tahoma"/>
            <family val="2"/>
          </rPr>
          <t>Tiles are cracked or in disrepair.</t>
        </r>
      </text>
    </comment>
    <comment ref="Q79" authorId="0" shapeId="0" xr:uid="{00000000-0006-0000-0400-0000B2000000}">
      <text>
        <r>
          <rPr>
            <b/>
            <sz val="9"/>
            <color indexed="81"/>
            <rFont val="Tahoma"/>
            <family val="2"/>
          </rPr>
          <t>Tiles are cracked or in disrepair</t>
        </r>
      </text>
    </comment>
    <comment ref="O80" authorId="0" shapeId="0" xr:uid="{00000000-0006-0000-0400-0000B3000000}">
      <text>
        <r>
          <rPr>
            <b/>
            <sz val="9"/>
            <color indexed="81"/>
            <rFont val="Tahoma"/>
            <family val="2"/>
          </rPr>
          <t>Systemic blistering or severely worn traffic areas - strip and replace.</t>
        </r>
      </text>
    </comment>
    <comment ref="Q80" authorId="0" shapeId="0" xr:uid="{00000000-0006-0000-0400-0000B4000000}">
      <text>
        <r>
          <rPr>
            <b/>
            <sz val="9"/>
            <color indexed="81"/>
            <rFont val="Tahoma"/>
            <family val="2"/>
          </rPr>
          <t>Systemic blistering or severely worn traffic areas - strip and replace</t>
        </r>
      </text>
    </comment>
    <comment ref="K81" authorId="0" shapeId="0" xr:uid="{00000000-0006-0000-0400-0000B5000000}">
      <text>
        <r>
          <rPr>
            <b/>
            <sz val="9"/>
            <color indexed="81"/>
            <rFont val="Tahoma"/>
            <family val="2"/>
          </rPr>
          <t>Surface is damaged - requires sanding, repair, and re-coat/re-stripe.</t>
        </r>
      </text>
    </comment>
    <comment ref="O81" authorId="0" shapeId="0" xr:uid="{00000000-0006-0000-0400-0000B6000000}">
      <text>
        <r>
          <rPr>
            <b/>
            <sz val="9"/>
            <color indexed="81"/>
            <rFont val="Tahoma"/>
            <family val="2"/>
          </rPr>
          <t>Wood planks are deteriorated, separating, and multiple dead spots - replace floor.</t>
        </r>
      </text>
    </comment>
    <comment ref="Q81" authorId="0" shapeId="0" xr:uid="{00000000-0006-0000-0400-0000B7000000}">
      <text>
        <r>
          <rPr>
            <b/>
            <sz val="9"/>
            <color indexed="81"/>
            <rFont val="Tahoma"/>
            <family val="2"/>
          </rPr>
          <t>Wood planks are deteriorated, separating, and multiple dead spots - replace floor</t>
        </r>
      </text>
    </comment>
    <comment ref="I82" authorId="0" shapeId="0" xr:uid="{00000000-0006-0000-0400-0000B8000000}">
      <text>
        <r>
          <rPr>
            <b/>
            <sz val="9"/>
            <color indexed="81"/>
            <rFont val="Tahoma"/>
            <family val="2"/>
          </rPr>
          <t>Surface is in tact but finish is deteriorated - paint.</t>
        </r>
      </text>
    </comment>
    <comment ref="K82" authorId="0" shapeId="0" xr:uid="{00000000-0006-0000-0400-0000B9000000}">
      <text>
        <r>
          <rPr>
            <b/>
            <sz val="9"/>
            <color indexed="81"/>
            <rFont val="Tahoma"/>
            <family val="2"/>
          </rPr>
          <t>Surface is damaged - patching of the surface is required prior to painting.</t>
        </r>
      </text>
    </comment>
    <comment ref="O82" authorId="0" shapeId="0" xr:uid="{00000000-0006-0000-0400-0000BA000000}">
      <text>
        <r>
          <rPr>
            <b/>
            <sz val="9"/>
            <color indexed="81"/>
            <rFont val="Tahoma"/>
            <family val="2"/>
          </rPr>
          <t>Systemic failure of finish, possible water intrusion - requires removal and replacement.</t>
        </r>
      </text>
    </comment>
    <comment ref="Q82" authorId="0" shapeId="0" xr:uid="{00000000-0006-0000-0400-0000BB000000}">
      <text>
        <r>
          <rPr>
            <b/>
            <sz val="9"/>
            <color indexed="81"/>
            <rFont val="Tahoma"/>
            <family val="2"/>
          </rPr>
          <t>Systemic failure of finish, possible water intrusion - requires removal and replacement</t>
        </r>
      </text>
    </comment>
    <comment ref="I83" authorId="0" shapeId="0" xr:uid="{00000000-0006-0000-0400-0000BC000000}">
      <text>
        <r>
          <rPr>
            <b/>
            <sz val="9"/>
            <color indexed="81"/>
            <rFont val="Tahoma"/>
            <family val="2"/>
          </rPr>
          <t>Stained or damaged ceiling tiles.</t>
        </r>
      </text>
    </comment>
    <comment ref="K83" authorId="0" shapeId="0" xr:uid="{00000000-0006-0000-0400-0000BD000000}">
      <text>
        <r>
          <rPr>
            <b/>
            <sz val="9"/>
            <color indexed="81"/>
            <rFont val="Tahoma"/>
            <family val="2"/>
          </rPr>
          <t>Diagonal bracing missing from grid.</t>
        </r>
      </text>
    </comment>
    <comment ref="O83" authorId="0" shapeId="0" xr:uid="{00000000-0006-0000-0400-0000BE000000}">
      <text>
        <r>
          <rPr>
            <b/>
            <sz val="9"/>
            <color indexed="81"/>
            <rFont val="Tahoma"/>
            <family val="2"/>
          </rPr>
          <t>Grid is sagging with tiles compromised - requires replacement of system.</t>
        </r>
      </text>
    </comment>
    <comment ref="Q83" authorId="0" shapeId="0" xr:uid="{00000000-0006-0000-0400-0000BF000000}">
      <text>
        <r>
          <rPr>
            <b/>
            <sz val="9"/>
            <color indexed="81"/>
            <rFont val="Tahoma"/>
            <family val="2"/>
          </rPr>
          <t>Grid is sagging with tiles compromised - requires replacement of system</t>
        </r>
      </text>
    </comment>
    <comment ref="I84" authorId="0" shapeId="0" xr:uid="{00000000-0006-0000-0400-0000C0000000}">
      <text>
        <r>
          <rPr>
            <b/>
            <sz val="9"/>
            <color indexed="81"/>
            <rFont val="Tahoma"/>
            <family val="2"/>
          </rPr>
          <t>Stained or damaged ceiling tiles.</t>
        </r>
      </text>
    </comment>
    <comment ref="O84" authorId="0" shapeId="0" xr:uid="{00000000-0006-0000-0400-0000C1000000}">
      <text>
        <r>
          <rPr>
            <b/>
            <sz val="9"/>
            <color indexed="81"/>
            <rFont val="Tahoma"/>
            <family val="2"/>
          </rPr>
          <t>Systemic failure of finish, possible water intrusion - requires removal and replacement.</t>
        </r>
      </text>
    </comment>
    <comment ref="Q84" authorId="0" shapeId="0" xr:uid="{00000000-0006-0000-0400-0000C2000000}">
      <text>
        <r>
          <rPr>
            <b/>
            <sz val="9"/>
            <color indexed="81"/>
            <rFont val="Tahoma"/>
            <family val="2"/>
          </rPr>
          <t>Systemic failure of finish, possible water intrusion - requires removal and replacement</t>
        </r>
      </text>
    </comment>
    <comment ref="O85" authorId="0" shapeId="0" xr:uid="{00000000-0006-0000-0400-0000C3000000}">
      <text>
        <r>
          <rPr>
            <b/>
            <sz val="9"/>
            <color indexed="81"/>
            <rFont val="Tahoma"/>
            <family val="2"/>
          </rPr>
          <t>Surface is in tact but finish is deteriorated - paint.</t>
        </r>
      </text>
    </comment>
    <comment ref="Q85" authorId="0" shapeId="0" xr:uid="{00000000-0006-0000-0400-0000C4000000}">
      <text>
        <r>
          <rPr>
            <b/>
            <sz val="9"/>
            <color indexed="81"/>
            <rFont val="Tahoma"/>
            <family val="2"/>
          </rPr>
          <t>Surface is in tact but finish is deteriorated - paint</t>
        </r>
      </text>
    </comment>
    <comment ref="C88" authorId="0" shapeId="0" xr:uid="{00000000-0006-0000-0400-0000C5000000}">
      <text>
        <r>
          <rPr>
            <b/>
            <sz val="9"/>
            <color indexed="81"/>
            <rFont val="Tahoma"/>
            <family val="2"/>
          </rPr>
          <t>Assume standard cab-style elevator. Apply per stop.</t>
        </r>
      </text>
    </comment>
    <comment ref="E88" authorId="0" shapeId="0" xr:uid="{00000000-0006-0000-0400-0000C6000000}">
      <text>
        <r>
          <rPr>
            <b/>
            <sz val="9"/>
            <color indexed="81"/>
            <rFont val="Tahoma"/>
            <family val="2"/>
          </rPr>
          <t>Insert number of elevators multiplied by number of stories, e.g.,  if there are 2 escalators each going 3 stories, enter 6.</t>
        </r>
      </text>
    </comment>
    <comment ref="I88" authorId="0" shapeId="0" xr:uid="{00000000-0006-0000-0400-0000C7000000}">
      <text>
        <r>
          <rPr>
            <b/>
            <sz val="9"/>
            <color indexed="81"/>
            <rFont val="Tahoma"/>
            <family val="2"/>
          </rPr>
          <t>The elevator doors are damaged and require replacement.</t>
        </r>
      </text>
    </comment>
    <comment ref="K88" authorId="0" shapeId="0" xr:uid="{00000000-0006-0000-0400-0000C8000000}">
      <text>
        <r>
          <rPr>
            <b/>
            <sz val="9"/>
            <color indexed="81"/>
            <rFont val="Tahoma"/>
            <family val="2"/>
          </rPr>
          <t>Electrical components are not working.</t>
        </r>
      </text>
    </comment>
    <comment ref="M88" authorId="0" shapeId="0" xr:uid="{00000000-0006-0000-0400-0000C9000000}">
      <text>
        <r>
          <rPr>
            <b/>
            <sz val="9"/>
            <color indexed="81"/>
            <rFont val="Tahoma"/>
            <family val="2"/>
          </rPr>
          <t>Replacement of the hoist cables, guide rails, or other similar mechanical components is required.</t>
        </r>
      </text>
    </comment>
    <comment ref="O88" authorId="0" shapeId="0" xr:uid="{00000000-0006-0000-0400-0000CA000000}">
      <text>
        <r>
          <rPr>
            <b/>
            <sz val="9"/>
            <color indexed="81"/>
            <rFont val="Tahoma"/>
            <family val="2"/>
          </rPr>
          <t>Mechanical and electrical components have deteriorated requiring the replacement of the system.</t>
        </r>
      </text>
    </comment>
    <comment ref="Q88" authorId="0" shapeId="0" xr:uid="{00000000-0006-0000-0400-0000CB000000}">
      <text>
        <r>
          <rPr>
            <b/>
            <sz val="9"/>
            <color indexed="81"/>
            <rFont val="Tahoma"/>
            <family val="2"/>
          </rPr>
          <t>Mechanical and electrical components have deteriorated requiring the replacement of the system</t>
        </r>
      </text>
    </comment>
    <comment ref="C89" authorId="0" shapeId="0" xr:uid="{00000000-0006-0000-0400-0000CC000000}">
      <text>
        <r>
          <rPr>
            <b/>
            <sz val="9"/>
            <color indexed="81"/>
            <rFont val="Tahoma"/>
            <family val="2"/>
          </rPr>
          <t>Apply per flight.</t>
        </r>
      </text>
    </comment>
    <comment ref="E89" authorId="0" shapeId="0" xr:uid="{00000000-0006-0000-0400-0000CD000000}">
      <text>
        <r>
          <rPr>
            <b/>
            <sz val="9"/>
            <color indexed="81"/>
            <rFont val="Tahoma"/>
            <family val="2"/>
          </rPr>
          <t>Insert number of escalators multiplied by number of stories, e.g.,  if there are 2 escalators each going 3 stories, enter 6.</t>
        </r>
      </text>
    </comment>
    <comment ref="K89" authorId="0" shapeId="0" xr:uid="{00000000-0006-0000-0400-0000CE000000}">
      <text>
        <r>
          <rPr>
            <b/>
            <sz val="9"/>
            <color indexed="81"/>
            <rFont val="Tahoma"/>
            <family val="2"/>
          </rPr>
          <t>Electrical components are not working.</t>
        </r>
      </text>
    </comment>
    <comment ref="O89" authorId="0" shapeId="0" xr:uid="{00000000-0006-0000-0400-0000CF000000}">
      <text>
        <r>
          <rPr>
            <b/>
            <sz val="9"/>
            <color indexed="81"/>
            <rFont val="Tahoma"/>
            <family val="2"/>
          </rPr>
          <t>Mechanical and electrical components have deteriorated requiring the replacement of the system.</t>
        </r>
      </text>
    </comment>
    <comment ref="Q89" authorId="0" shapeId="0" xr:uid="{00000000-0006-0000-0400-0000D0000000}">
      <text>
        <r>
          <rPr>
            <b/>
            <sz val="9"/>
            <color indexed="81"/>
            <rFont val="Tahoma"/>
            <family val="2"/>
          </rPr>
          <t>Mechanical and electrical components have deteriorated requiring the replacement of the system</t>
        </r>
      </text>
    </comment>
    <comment ref="C90" authorId="0" shapeId="0" xr:uid="{00000000-0006-0000-0400-0000D1000000}">
      <text>
        <r>
          <rPr>
            <b/>
            <sz val="9"/>
            <color indexed="81"/>
            <rFont val="Tahoma"/>
            <family val="2"/>
          </rPr>
          <t>Assume open vertical or inclined lift. Apply per unit.</t>
        </r>
      </text>
    </comment>
    <comment ref="E90" authorId="0" shapeId="0" xr:uid="{00000000-0006-0000-0400-0000D2000000}">
      <text>
        <r>
          <rPr>
            <b/>
            <sz val="9"/>
            <color indexed="81"/>
            <rFont val="Tahoma"/>
            <family val="2"/>
          </rPr>
          <t>Insert number of lifts.</t>
        </r>
      </text>
    </comment>
    <comment ref="K90" authorId="0" shapeId="0" xr:uid="{00000000-0006-0000-0400-0000D3000000}">
      <text>
        <r>
          <rPr>
            <b/>
            <sz val="9"/>
            <color indexed="81"/>
            <rFont val="Tahoma"/>
            <family val="2"/>
          </rPr>
          <t>Electrical components are not working.</t>
        </r>
      </text>
    </comment>
    <comment ref="O90" authorId="0" shapeId="0" xr:uid="{00000000-0006-0000-0400-0000D4000000}">
      <text>
        <r>
          <rPr>
            <b/>
            <sz val="9"/>
            <color indexed="81"/>
            <rFont val="Tahoma"/>
            <family val="2"/>
          </rPr>
          <t>Mechanical and electrical components have deteriorated requiring the replacement of the system.</t>
        </r>
      </text>
    </comment>
    <comment ref="Q90" authorId="0" shapeId="0" xr:uid="{00000000-0006-0000-0400-0000D5000000}">
      <text>
        <r>
          <rPr>
            <b/>
            <sz val="9"/>
            <color indexed="81"/>
            <rFont val="Tahoma"/>
            <family val="2"/>
          </rPr>
          <t>Mechanical and electrical components have deteriorated requiring the replacement of the system</t>
        </r>
      </text>
    </comment>
    <comment ref="C92" authorId="0" shapeId="0" xr:uid="{00000000-0006-0000-0400-0000D6000000}">
      <text>
        <r>
          <rPr>
            <b/>
            <sz val="9"/>
            <color indexed="81"/>
            <rFont val="Tahoma"/>
            <family val="2"/>
          </rPr>
          <t>All fixtures (toilets, urinals, sinks, showers, etc.) to be lumped together here.</t>
        </r>
      </text>
    </comment>
    <comment ref="K92" authorId="0" shapeId="0" xr:uid="{00000000-0006-0000-0400-0000D7000000}">
      <text>
        <r>
          <rPr>
            <b/>
            <sz val="9"/>
            <color indexed="81"/>
            <rFont val="Tahoma"/>
            <family val="2"/>
          </rPr>
          <t>Flush valves or faucets are non-functional and require replacement.</t>
        </r>
      </text>
    </comment>
    <comment ref="O92" authorId="0" shapeId="0" xr:uid="{00000000-0006-0000-0400-0000D8000000}">
      <text>
        <r>
          <rPr>
            <b/>
            <sz val="9"/>
            <color indexed="81"/>
            <rFont val="Tahoma"/>
            <family val="2"/>
          </rPr>
          <t>The fixture itself is broken or is not compliant with water efficiency standards.</t>
        </r>
      </text>
    </comment>
    <comment ref="Q92" authorId="0" shapeId="0" xr:uid="{00000000-0006-0000-0400-0000D9000000}">
      <text>
        <r>
          <rPr>
            <b/>
            <sz val="9"/>
            <color indexed="81"/>
            <rFont val="Tahoma"/>
            <family val="2"/>
          </rPr>
          <t>The fixture itself is broken or is not compliant with water efficiency standards</t>
        </r>
      </text>
    </comment>
    <comment ref="I93" authorId="0" shapeId="0" xr:uid="{00000000-0006-0000-0400-0000DA000000}">
      <text>
        <r>
          <rPr>
            <b/>
            <sz val="9"/>
            <color indexed="81"/>
            <rFont val="Tahoma"/>
            <family val="2"/>
          </rPr>
          <t>The vale stems, pressure gauges, and gate valves no longer function.</t>
        </r>
      </text>
    </comment>
    <comment ref="K93" authorId="0" shapeId="0" xr:uid="{00000000-0006-0000-0400-0000DB000000}">
      <text>
        <r>
          <rPr>
            <b/>
            <sz val="9"/>
            <color indexed="81"/>
            <rFont val="Tahoma"/>
            <family val="2"/>
          </rPr>
          <t>The insulation on the piping is in disrepair, loose, or missing.</t>
        </r>
      </text>
    </comment>
    <comment ref="O93" authorId="0" shapeId="0" xr:uid="{00000000-0006-0000-0400-0000DC000000}">
      <text>
        <r>
          <rPr>
            <b/>
            <sz val="9"/>
            <color indexed="81"/>
            <rFont val="Tahoma"/>
            <family val="2"/>
          </rPr>
          <t>The risers are worn, damaged, or clogged beyond repair.  Replacement includes the piping, insulation, and valves.</t>
        </r>
      </text>
    </comment>
    <comment ref="Q93" authorId="0" shapeId="0" xr:uid="{00000000-0006-0000-0400-0000DD000000}">
      <text>
        <r>
          <rPr>
            <b/>
            <sz val="9"/>
            <color indexed="81"/>
            <rFont val="Tahoma"/>
            <family val="2"/>
          </rPr>
          <t>The risers are worn, damaged, or clogged beyond repair.  Replacement includes the piping, insulation, and valves</t>
        </r>
      </text>
    </comment>
    <comment ref="I94" authorId="0" shapeId="0" xr:uid="{00000000-0006-0000-0400-0000DE000000}">
      <text>
        <r>
          <rPr>
            <b/>
            <sz val="9"/>
            <color indexed="81"/>
            <rFont val="Tahoma"/>
            <family val="2"/>
          </rPr>
          <t>In some areas, there are back-ups requiring the replacement of the broken floor or wall, clean outs, routing and cleaning the problem areas, and snaking floor drains.</t>
        </r>
      </text>
    </comment>
    <comment ref="O94" authorId="0" shapeId="0" xr:uid="{00000000-0006-0000-0400-0000DF000000}">
      <text>
        <r>
          <rPr>
            <b/>
            <sz val="9"/>
            <color indexed="81"/>
            <rFont val="Tahoma"/>
            <family val="2"/>
          </rPr>
          <t>The runs and risers are deteriorated, displaced, or have systemic leaks and requires full replacement.</t>
        </r>
      </text>
    </comment>
    <comment ref="Q94" authorId="0" shapeId="0" xr:uid="{00000000-0006-0000-0400-0000E0000000}">
      <text>
        <r>
          <rPr>
            <b/>
            <sz val="9"/>
            <color indexed="81"/>
            <rFont val="Tahoma"/>
            <family val="2"/>
          </rPr>
          <t>The runs and risers are deteriorated, displaced, or have systemic leaks and requires full replacement</t>
        </r>
      </text>
    </comment>
    <comment ref="C95" authorId="0" shapeId="0" xr:uid="{00000000-0006-0000-0400-0000E1000000}">
      <text>
        <r>
          <rPr>
            <b/>
            <sz val="9"/>
            <color indexed="81"/>
            <rFont val="Tahoma"/>
            <family val="2"/>
          </rPr>
          <t>This is for the presence of interior rain drains. Excludes external downspouts. Based on gross square footage.</t>
        </r>
      </text>
    </comment>
    <comment ref="K95" authorId="0" shapeId="0" xr:uid="{00000000-0006-0000-0400-0000E2000000}">
      <text>
        <r>
          <rPr>
            <b/>
            <sz val="9"/>
            <color indexed="81"/>
            <rFont val="Tahoma"/>
            <family val="2"/>
          </rPr>
          <t>The rain drain or overflow is damaged and needs replacement.</t>
        </r>
      </text>
    </comment>
    <comment ref="O95" authorId="0" shapeId="0" xr:uid="{00000000-0006-0000-0400-0000E3000000}">
      <text>
        <r>
          <rPr>
            <b/>
            <sz val="9"/>
            <color indexed="81"/>
            <rFont val="Tahoma"/>
            <family val="2"/>
          </rPr>
          <t>The integrity of the piping is compromised and is leaking inside the walls.</t>
        </r>
      </text>
    </comment>
    <comment ref="Q95" authorId="0" shapeId="0" xr:uid="{00000000-0006-0000-0400-0000E4000000}">
      <text>
        <r>
          <rPr>
            <b/>
            <sz val="9"/>
            <color indexed="81"/>
            <rFont val="Tahoma"/>
            <family val="2"/>
          </rPr>
          <t>The integrity of the piping is compromised and is leaking inside the walls</t>
        </r>
      </text>
    </comment>
    <comment ref="C98" authorId="0" shapeId="0" xr:uid="{00000000-0006-0000-0400-0000E5000000}">
      <text>
        <r>
          <rPr>
            <b/>
            <sz val="9"/>
            <color indexed="81"/>
            <rFont val="Tahoma"/>
            <family val="2"/>
          </rPr>
          <t>This assumes gas piping.</t>
        </r>
      </text>
    </comment>
    <comment ref="I98" authorId="0" shapeId="0" xr:uid="{00000000-0006-0000-0400-0000E6000000}">
      <text>
        <r>
          <rPr>
            <b/>
            <sz val="9"/>
            <color indexed="81"/>
            <rFont val="Tahoma"/>
            <family val="2"/>
          </rPr>
          <t>The valve stems, riser gate valves, and temperature probes need to be repaired or replaced.</t>
        </r>
      </text>
    </comment>
    <comment ref="O98" authorId="0" shapeId="0" xr:uid="{00000000-0006-0000-0400-0000E7000000}">
      <text>
        <r>
          <rPr>
            <b/>
            <sz val="9"/>
            <color indexed="81"/>
            <rFont val="Tahoma"/>
            <family val="2"/>
          </rPr>
          <t>The risers are worn, damaged, or clogged beyond repair.  Replacement includes the piping, insulation, and valves.</t>
        </r>
      </text>
    </comment>
    <comment ref="Q98" authorId="0" shapeId="0" xr:uid="{00000000-0006-0000-0400-0000E8000000}">
      <text>
        <r>
          <rPr>
            <b/>
            <sz val="9"/>
            <color indexed="81"/>
            <rFont val="Tahoma"/>
            <family val="2"/>
          </rPr>
          <t>The risers are worn, damaged, or clogged beyond repair.  Replacement includes the piping, insulation, and valves</t>
        </r>
      </text>
    </comment>
    <comment ref="I99" authorId="0" shapeId="0" xr:uid="{00000000-0006-0000-0400-0000E9000000}">
      <text>
        <r>
          <rPr>
            <b/>
            <sz val="9"/>
            <color indexed="81"/>
            <rFont val="Tahoma"/>
            <family val="2"/>
          </rPr>
          <t>The burner is inefficient and requires refurbishment.</t>
        </r>
      </text>
    </comment>
    <comment ref="K99" authorId="0" shapeId="0" xr:uid="{00000000-0006-0000-0400-0000EA000000}">
      <text>
        <r>
          <rPr>
            <b/>
            <sz val="9"/>
            <color indexed="81"/>
            <rFont val="Tahoma"/>
            <family val="2"/>
          </rPr>
          <t xml:space="preserve">One major component needs to be replaced.
</t>
        </r>
      </text>
    </comment>
    <comment ref="M99" authorId="0" shapeId="0" xr:uid="{00000000-0006-0000-0400-0000EB000000}">
      <text>
        <r>
          <rPr>
            <b/>
            <sz val="9"/>
            <color indexed="81"/>
            <rFont val="Tahoma"/>
            <family val="2"/>
          </rPr>
          <t>More than one major component needs to be replaced.</t>
        </r>
      </text>
    </comment>
    <comment ref="O99" authorId="0" shapeId="0" xr:uid="{00000000-0006-0000-0400-0000EC000000}">
      <text>
        <r>
          <rPr>
            <b/>
            <sz val="9"/>
            <color indexed="81"/>
            <rFont val="Tahoma"/>
            <family val="2"/>
          </rPr>
          <t>The system is in failure.</t>
        </r>
      </text>
    </comment>
    <comment ref="Q99" authorId="0" shapeId="0" xr:uid="{00000000-0006-0000-0400-0000ED000000}">
      <text>
        <r>
          <rPr>
            <b/>
            <sz val="9"/>
            <color indexed="81"/>
            <rFont val="Tahoma"/>
            <family val="2"/>
          </rPr>
          <t>The system is in failure</t>
        </r>
      </text>
    </comment>
    <comment ref="M100" authorId="0" shapeId="0" xr:uid="{00000000-0006-0000-0400-0000EE000000}">
      <text>
        <r>
          <rPr>
            <b/>
            <sz val="9"/>
            <color indexed="81"/>
            <rFont val="Tahoma"/>
            <family val="2"/>
          </rPr>
          <t>Some of the distribution fans and coils are dysfunctional.</t>
        </r>
      </text>
    </comment>
    <comment ref="O100" authorId="0" shapeId="0" xr:uid="{00000000-0006-0000-0400-0000EF000000}">
      <text>
        <r>
          <rPr>
            <b/>
            <sz val="9"/>
            <color indexed="81"/>
            <rFont val="Tahoma"/>
            <family val="2"/>
          </rPr>
          <t>The majority of the distribution fans or coils are dysfunctional and the primary unit is in a state of disrepair.</t>
        </r>
      </text>
    </comment>
    <comment ref="Q100" authorId="0" shapeId="0" xr:uid="{00000000-0006-0000-0400-0000F0000000}">
      <text>
        <r>
          <rPr>
            <b/>
            <sz val="9"/>
            <color indexed="81"/>
            <rFont val="Tahoma"/>
            <family val="2"/>
          </rPr>
          <t>The majority of the distribution fans or coils are dysfunctional and the primary unit is in a state of disrepair</t>
        </r>
      </text>
    </comment>
    <comment ref="K101" authorId="0" shapeId="0" xr:uid="{00000000-0006-0000-0400-0000F1000000}">
      <text>
        <r>
          <rPr>
            <b/>
            <sz val="9"/>
            <color indexed="81"/>
            <rFont val="Tahoma"/>
            <family val="2"/>
          </rPr>
          <t>A small number of minor parts need to be repaired or replaced.</t>
        </r>
      </text>
    </comment>
    <comment ref="M101" authorId="0" shapeId="0" xr:uid="{00000000-0006-0000-0400-0000F2000000}">
      <text>
        <r>
          <rPr>
            <b/>
            <sz val="9"/>
            <color indexed="81"/>
            <rFont val="Tahoma"/>
            <family val="2"/>
          </rPr>
          <t>The burner, combustion chamber, or fan are faulty and require replacement.</t>
        </r>
      </text>
    </comment>
    <comment ref="O101" authorId="0" shapeId="0" xr:uid="{00000000-0006-0000-0400-0000F3000000}">
      <text>
        <r>
          <rPr>
            <b/>
            <sz val="9"/>
            <color indexed="81"/>
            <rFont val="Tahoma"/>
            <family val="2"/>
          </rPr>
          <t xml:space="preserve">The entire furnace requires replacement.
</t>
        </r>
      </text>
    </comment>
    <comment ref="Q101" authorId="0" shapeId="0" xr:uid="{00000000-0006-0000-0400-0000F4000000}">
      <text>
        <r>
          <rPr>
            <b/>
            <sz val="9"/>
            <color indexed="81"/>
            <rFont val="Tahoma"/>
            <family val="2"/>
          </rPr>
          <t xml:space="preserve">The entire furnace requires replacement
</t>
        </r>
      </text>
    </comment>
    <comment ref="K102" authorId="0" shapeId="0" xr:uid="{00000000-0006-0000-0400-0000F5000000}">
      <text>
        <r>
          <rPr>
            <b/>
            <sz val="9"/>
            <color indexed="81"/>
            <rFont val="Tahoma"/>
            <family val="2"/>
          </rPr>
          <t>A small number of minor parts need to be repaired or replaced.</t>
        </r>
      </text>
    </comment>
    <comment ref="M102" authorId="0" shapeId="0" xr:uid="{00000000-0006-0000-0400-0000F6000000}">
      <text>
        <r>
          <rPr>
            <b/>
            <sz val="9"/>
            <color indexed="81"/>
            <rFont val="Tahoma"/>
            <family val="2"/>
          </rPr>
          <t>System operating at low efficiency; shell exhibits corrosion.  Retube heat exchanger.</t>
        </r>
      </text>
    </comment>
    <comment ref="O102" authorId="0" shapeId="0" xr:uid="{00000000-0006-0000-0400-0000F7000000}">
      <text>
        <r>
          <rPr>
            <b/>
            <sz val="9"/>
            <color indexed="81"/>
            <rFont val="Tahoma"/>
            <family val="2"/>
          </rPr>
          <t>System operates at low efficiency with corrosion and leaks apparent. Replace system.</t>
        </r>
      </text>
    </comment>
    <comment ref="Q102" authorId="0" shapeId="0" xr:uid="{00000000-0006-0000-0400-0000F8000000}">
      <text>
        <r>
          <rPr>
            <b/>
            <sz val="9"/>
            <color indexed="81"/>
            <rFont val="Tahoma"/>
            <family val="2"/>
          </rPr>
          <t>System operates at low efficiency with corrosion and leaks apparent.  Replace system</t>
        </r>
      </text>
    </comment>
    <comment ref="M103" authorId="0" shapeId="0" xr:uid="{00000000-0006-0000-0400-0000F9000000}">
      <text>
        <r>
          <rPr>
            <b/>
            <sz val="9"/>
            <color indexed="81"/>
            <rFont val="Tahoma"/>
            <family val="2"/>
          </rPr>
          <t>Some of the distribution fans and coils are dysfunctional.</t>
        </r>
      </text>
    </comment>
    <comment ref="O103" authorId="0" shapeId="0" xr:uid="{00000000-0006-0000-0400-0000FA000000}">
      <text>
        <r>
          <rPr>
            <b/>
            <sz val="9"/>
            <color indexed="81"/>
            <rFont val="Tahoma"/>
            <family val="2"/>
          </rPr>
          <t>The majority of the distribution fans or coils are dysfunctional and the primary unit is in a state of disrepair.</t>
        </r>
      </text>
    </comment>
    <comment ref="Q103" authorId="0" shapeId="0" xr:uid="{00000000-0006-0000-0400-0000FB000000}">
      <text>
        <r>
          <rPr>
            <b/>
            <sz val="9"/>
            <color indexed="81"/>
            <rFont val="Tahoma"/>
            <family val="2"/>
          </rPr>
          <t>The majority of the distribution fans or coils are dysfunctional and the primary unit is in a state of disrepair</t>
        </r>
      </text>
    </comment>
    <comment ref="O104" authorId="0" shapeId="0" xr:uid="{00000000-0006-0000-0400-0000FC000000}">
      <text>
        <r>
          <rPr>
            <b/>
            <sz val="9"/>
            <color indexed="81"/>
            <rFont val="Tahoma"/>
            <family val="2"/>
          </rPr>
          <t>The chiller is beyond economic repair.</t>
        </r>
      </text>
    </comment>
    <comment ref="Q104" authorId="0" shapeId="0" xr:uid="{00000000-0006-0000-0400-0000FD000000}">
      <text>
        <r>
          <rPr>
            <b/>
            <sz val="9"/>
            <color indexed="81"/>
            <rFont val="Tahoma"/>
            <family val="2"/>
          </rPr>
          <t>The chiller is beyond economic repair</t>
        </r>
      </text>
    </comment>
    <comment ref="K105" authorId="0" shapeId="0" xr:uid="{00000000-0006-0000-0400-0000FE000000}">
      <text>
        <r>
          <rPr>
            <b/>
            <sz val="9"/>
            <color indexed="81"/>
            <rFont val="Tahoma"/>
            <family val="2"/>
          </rPr>
          <t>Dampers in the system are inoperative.</t>
        </r>
      </text>
    </comment>
    <comment ref="M105" authorId="0" shapeId="0" xr:uid="{00000000-0006-0000-0400-0000FF000000}">
      <text>
        <r>
          <rPr>
            <b/>
            <sz val="9"/>
            <color indexed="81"/>
            <rFont val="Tahoma"/>
            <family val="2"/>
          </rPr>
          <t>The insulation is damaged or missing.</t>
        </r>
      </text>
    </comment>
    <comment ref="O105" authorId="0" shapeId="0" xr:uid="{00000000-0006-0000-0400-000000010000}">
      <text>
        <r>
          <rPr>
            <b/>
            <sz val="9"/>
            <color indexed="81"/>
            <rFont val="Tahoma"/>
            <family val="2"/>
          </rPr>
          <t>The ductwork is damaged or inadequately designed and requires replacement.</t>
        </r>
      </text>
    </comment>
    <comment ref="Q105" authorId="0" shapeId="0" xr:uid="{00000000-0006-0000-0400-000001010000}">
      <text>
        <r>
          <rPr>
            <b/>
            <sz val="9"/>
            <color indexed="81"/>
            <rFont val="Tahoma"/>
            <family val="2"/>
          </rPr>
          <t>The ductwork is damaged or inadequately designed and requires replacement</t>
        </r>
      </text>
    </comment>
    <comment ref="I106" authorId="0" shapeId="0" xr:uid="{00000000-0006-0000-0400-000002010000}">
      <text>
        <r>
          <rPr>
            <b/>
            <sz val="9"/>
            <color indexed="81"/>
            <rFont val="Tahoma"/>
            <family val="2"/>
          </rPr>
          <t>The valve stems, riser gate valves, and temperature probes need to be repaired or replaced.</t>
        </r>
      </text>
    </comment>
    <comment ref="K106" authorId="0" shapeId="0" xr:uid="{00000000-0006-0000-0400-000003010000}">
      <text>
        <r>
          <rPr>
            <b/>
            <sz val="9"/>
            <color indexed="81"/>
            <rFont val="Tahoma"/>
            <family val="2"/>
          </rPr>
          <t>The insulation on the piping is in disrepair, loose, or missing.</t>
        </r>
      </text>
    </comment>
    <comment ref="O106" authorId="0" shapeId="0" xr:uid="{00000000-0006-0000-0400-000004010000}">
      <text>
        <r>
          <rPr>
            <b/>
            <sz val="9"/>
            <color indexed="81"/>
            <rFont val="Tahoma"/>
            <family val="2"/>
          </rPr>
          <t>The risers are worn, damaged, or clogged beyond repair.  Replacement includes the piping, insulation, and valves.</t>
        </r>
      </text>
    </comment>
    <comment ref="Q106" authorId="0" shapeId="0" xr:uid="{00000000-0006-0000-0400-000005010000}">
      <text>
        <r>
          <rPr>
            <b/>
            <sz val="9"/>
            <color indexed="81"/>
            <rFont val="Tahoma"/>
            <family val="2"/>
          </rPr>
          <t>The risers are worn, damaged, or clogged beyond repair.  Replacement includes the piping, insulation, and valves</t>
        </r>
      </text>
    </comment>
    <comment ref="O107" authorId="0" shapeId="0" xr:uid="{00000000-0006-0000-0400-000006010000}">
      <text>
        <r>
          <rPr>
            <b/>
            <sz val="9"/>
            <color indexed="81"/>
            <rFont val="Tahoma"/>
            <family val="2"/>
          </rPr>
          <t>Entire unit is failing to function.</t>
        </r>
      </text>
    </comment>
    <comment ref="Q107" authorId="0" shapeId="0" xr:uid="{00000000-0006-0000-0400-000007010000}">
      <text>
        <r>
          <rPr>
            <b/>
            <sz val="9"/>
            <color indexed="81"/>
            <rFont val="Tahoma"/>
            <family val="2"/>
          </rPr>
          <t>Entire unit is failing to function</t>
        </r>
      </text>
    </comment>
    <comment ref="K108" authorId="0" shapeId="0" xr:uid="{00000000-0006-0000-0400-000008010000}">
      <text>
        <r>
          <rPr>
            <b/>
            <sz val="9"/>
            <color indexed="81"/>
            <rFont val="Tahoma"/>
            <family val="2"/>
          </rPr>
          <t>Internal compressor is bad and requires replacement.</t>
        </r>
      </text>
    </comment>
    <comment ref="O108" authorId="0" shapeId="0" xr:uid="{00000000-0006-0000-0400-000009010000}">
      <text>
        <r>
          <rPr>
            <b/>
            <sz val="9"/>
            <color indexed="81"/>
            <rFont val="Tahoma"/>
            <family val="2"/>
          </rPr>
          <t>Entire unit is failing to function.</t>
        </r>
      </text>
    </comment>
    <comment ref="Q108" authorId="0" shapeId="0" xr:uid="{00000000-0006-0000-0400-00000A010000}">
      <text>
        <r>
          <rPr>
            <b/>
            <sz val="9"/>
            <color indexed="81"/>
            <rFont val="Tahoma"/>
            <family val="2"/>
          </rPr>
          <t>Entire unit is failing to function</t>
        </r>
      </text>
    </comment>
    <comment ref="I109" authorId="0" shapeId="0" xr:uid="{00000000-0006-0000-0400-00000B010000}">
      <text>
        <r>
          <rPr>
            <b/>
            <sz val="9"/>
            <color indexed="81"/>
            <rFont val="Tahoma"/>
            <family val="2"/>
          </rPr>
          <t>In-room valve is failing and requires replacement.</t>
        </r>
      </text>
    </comment>
    <comment ref="O109" authorId="0" shapeId="0" xr:uid="{00000000-0006-0000-0400-00000C010000}">
      <text>
        <r>
          <rPr>
            <b/>
            <sz val="9"/>
            <color indexed="81"/>
            <rFont val="Tahoma"/>
            <family val="2"/>
          </rPr>
          <t>Entire unit is failing to function.</t>
        </r>
      </text>
    </comment>
    <comment ref="Q109" authorId="0" shapeId="0" xr:uid="{00000000-0006-0000-0400-00000D010000}">
      <text>
        <r>
          <rPr>
            <b/>
            <sz val="9"/>
            <color indexed="81"/>
            <rFont val="Tahoma"/>
            <family val="2"/>
          </rPr>
          <t>Entire unit is failing to function</t>
        </r>
      </text>
    </comment>
    <comment ref="M110" authorId="0" shapeId="0" xr:uid="{00000000-0006-0000-0400-00000E010000}">
      <text>
        <r>
          <rPr>
            <b/>
            <sz val="9"/>
            <color indexed="81"/>
            <rFont val="Tahoma"/>
            <family val="2"/>
          </rPr>
          <t>Some of the sensors or valve actuators are dysfunctional. Replace these sensors or actuators.</t>
        </r>
      </text>
    </comment>
    <comment ref="O110" authorId="0" shapeId="0" xr:uid="{00000000-0006-0000-0400-00000F010000}">
      <text>
        <r>
          <rPr>
            <b/>
            <sz val="9"/>
            <color indexed="81"/>
            <rFont val="Tahoma"/>
            <family val="2"/>
          </rPr>
          <t>The majority of sensors or actuators are faulty, and the system software is dysfunctional OR the system is an older/obsolete pneumatic system - replace.</t>
        </r>
      </text>
    </comment>
    <comment ref="Q110" authorId="0" shapeId="0" xr:uid="{00000000-0006-0000-0400-000010010000}">
      <text>
        <r>
          <rPr>
            <b/>
            <sz val="9"/>
            <color indexed="81"/>
            <rFont val="Tahoma"/>
            <family val="2"/>
          </rPr>
          <t>The majority of sensors or actuators are faulty, and the system software is dysfunctional OR the system is an older / obsolete pneumatic system - replace</t>
        </r>
      </text>
    </comment>
    <comment ref="O111" authorId="0" shapeId="0" xr:uid="{00000000-0006-0000-0400-000011010000}">
      <text>
        <r>
          <rPr>
            <b/>
            <sz val="9"/>
            <color indexed="81"/>
            <rFont val="Tahoma"/>
            <family val="2"/>
          </rPr>
          <t>One or more zones require re-balancing.</t>
        </r>
      </text>
    </comment>
    <comment ref="Q111" authorId="0" shapeId="0" xr:uid="{00000000-0006-0000-0400-000012010000}">
      <text>
        <r>
          <rPr>
            <b/>
            <sz val="9"/>
            <color indexed="81"/>
            <rFont val="Tahoma"/>
            <family val="2"/>
          </rPr>
          <t>One or more zones require re-balancing</t>
        </r>
      </text>
    </comment>
    <comment ref="K114" authorId="0" shapeId="0" xr:uid="{00000000-0006-0000-0400-000013010000}">
      <text>
        <r>
          <rPr>
            <b/>
            <sz val="9"/>
            <color indexed="81"/>
            <rFont val="Tahoma"/>
            <family val="2"/>
          </rPr>
          <t>Sprinkler heads are inoperable or non-compliant and need to be replaced.</t>
        </r>
      </text>
    </comment>
    <comment ref="O114" authorId="0" shapeId="0" xr:uid="{00000000-0006-0000-0400-000014010000}">
      <text>
        <r>
          <rPr>
            <b/>
            <sz val="9"/>
            <color indexed="81"/>
            <rFont val="Tahoma"/>
            <family val="2"/>
          </rPr>
          <t>The piping has deteriorated or clogged or is non-compliant and needs to be replaced, including heads.</t>
        </r>
      </text>
    </comment>
    <comment ref="Q114" authorId="0" shapeId="0" xr:uid="{00000000-0006-0000-0400-000015010000}">
      <text>
        <r>
          <rPr>
            <b/>
            <sz val="9"/>
            <color indexed="81"/>
            <rFont val="Tahoma"/>
            <family val="2"/>
          </rPr>
          <t>The piping has deteriorated or clogged or is non-compliant and needs to be replaced, including heads</t>
        </r>
      </text>
    </comment>
    <comment ref="K115" authorId="0" shapeId="0" xr:uid="{00000000-0006-0000-0400-000016010000}">
      <text>
        <r>
          <rPr>
            <b/>
            <sz val="9"/>
            <color indexed="81"/>
            <rFont val="Tahoma"/>
            <family val="2"/>
          </rPr>
          <t>The Siamese twin connection, tamper flow switches, or flow control valves are inoperable and need to be replaced.</t>
        </r>
      </text>
    </comment>
    <comment ref="O115" authorId="0" shapeId="0" xr:uid="{00000000-0006-0000-0400-000017010000}">
      <text>
        <r>
          <rPr>
            <b/>
            <sz val="9"/>
            <color indexed="81"/>
            <rFont val="Tahoma"/>
            <family val="2"/>
          </rPr>
          <t>The fire pump is beyond repair and needs to be replaced.</t>
        </r>
      </text>
    </comment>
    <comment ref="Q115" authorId="0" shapeId="0" xr:uid="{00000000-0006-0000-0400-000018010000}">
      <text>
        <r>
          <rPr>
            <b/>
            <sz val="9"/>
            <color indexed="81"/>
            <rFont val="Tahoma"/>
            <family val="2"/>
          </rPr>
          <t xml:space="preserve">The fire pump is beyond repair and needs to be replaced
</t>
        </r>
      </text>
    </comment>
    <comment ref="C116" authorId="0" shapeId="0" xr:uid="{00000000-0006-0000-0400-000019010000}">
      <text>
        <r>
          <rPr>
            <b/>
            <sz val="9"/>
            <color indexed="81"/>
            <rFont val="Tahoma"/>
            <family val="2"/>
          </rPr>
          <t>Assume chemical extinguishing system.</t>
        </r>
      </text>
    </comment>
    <comment ref="K116" authorId="0" shapeId="0" xr:uid="{00000000-0006-0000-0400-00001A010000}">
      <text>
        <r>
          <rPr>
            <b/>
            <sz val="9"/>
            <color indexed="81"/>
            <rFont val="Tahoma"/>
            <family val="2"/>
          </rPr>
          <t>The back-up tank has been discharged or lacks pressure and needs to be replaced.</t>
        </r>
      </text>
    </comment>
    <comment ref="O116" authorId="0" shapeId="0" xr:uid="{00000000-0006-0000-0400-00001B010000}">
      <text>
        <r>
          <rPr>
            <b/>
            <sz val="9"/>
            <color indexed="81"/>
            <rFont val="Tahoma"/>
            <family val="2"/>
          </rPr>
          <t>The system is non-functional or not compliant with the current needs and needs to be replaced.</t>
        </r>
      </text>
    </comment>
    <comment ref="Q116" authorId="0" shapeId="0" xr:uid="{00000000-0006-0000-0400-00001C010000}">
      <text>
        <r>
          <rPr>
            <b/>
            <sz val="9"/>
            <color indexed="81"/>
            <rFont val="Tahoma"/>
            <family val="2"/>
          </rPr>
          <t>The system is non-functional or not compliant with the current needs and needs to be replaced</t>
        </r>
      </text>
    </comment>
    <comment ref="K119" authorId="0" shapeId="0" xr:uid="{00000000-0006-0000-0400-00001D010000}">
      <text>
        <r>
          <rPr>
            <b/>
            <sz val="9"/>
            <color indexed="81"/>
            <rFont val="Tahoma"/>
            <family val="2"/>
          </rPr>
          <t>Wiring has systemic problems or does not meet code and needs to be replaced.</t>
        </r>
      </text>
    </comment>
    <comment ref="M119" authorId="0" shapeId="0" xr:uid="{00000000-0006-0000-0400-00001E010000}">
      <text>
        <r>
          <rPr>
            <b/>
            <sz val="9"/>
            <color indexed="81"/>
            <rFont val="Tahoma"/>
            <family val="2"/>
          </rPr>
          <t>Branch panels are obsolete with replacement breakers difficult to acquire and requires replacement.</t>
        </r>
      </text>
    </comment>
    <comment ref="O119" authorId="0" shapeId="0" xr:uid="{00000000-0006-0000-0400-00001F010000}">
      <text>
        <r>
          <rPr>
            <b/>
            <sz val="9"/>
            <color indexed="81"/>
            <rFont val="Tahoma"/>
            <family val="2"/>
          </rPr>
          <t>Main switchgear is obsolete or undersized and requires replacement, including service into building.</t>
        </r>
      </text>
    </comment>
    <comment ref="Q119" authorId="0" shapeId="0" xr:uid="{00000000-0006-0000-0400-000020010000}">
      <text>
        <r>
          <rPr>
            <b/>
            <sz val="9"/>
            <color indexed="81"/>
            <rFont val="Tahoma"/>
            <family val="2"/>
          </rPr>
          <t>Main switchgear is obsolete or undersized and requires replacement, including service into building</t>
        </r>
      </text>
    </comment>
    <comment ref="M120" authorId="0" shapeId="0" xr:uid="{00000000-0006-0000-0400-000021010000}">
      <text>
        <r>
          <rPr>
            <b/>
            <sz val="9"/>
            <color indexed="81"/>
            <rFont val="Tahoma"/>
            <family val="2"/>
          </rPr>
          <t>The lighting fixtures are obsolete or non-functional and require replacement.</t>
        </r>
      </text>
    </comment>
    <comment ref="O120" authorId="0" shapeId="0" xr:uid="{00000000-0006-0000-0400-000022010000}">
      <text>
        <r>
          <rPr>
            <b/>
            <sz val="9"/>
            <color indexed="81"/>
            <rFont val="Tahoma"/>
            <family val="2"/>
          </rPr>
          <t>Replacement of fixtures is requiring the replacement of the wiring as well - includes fixtures AND wiring.</t>
        </r>
      </text>
    </comment>
    <comment ref="Q120" authorId="0" shapeId="0" xr:uid="{00000000-0006-0000-0400-000023010000}">
      <text>
        <r>
          <rPr>
            <b/>
            <sz val="9"/>
            <color indexed="81"/>
            <rFont val="Tahoma"/>
            <family val="2"/>
          </rPr>
          <t>Replacement of fixtures is requiring the replacement of the wiring as well - includes fixtures AND wiring</t>
        </r>
      </text>
    </comment>
    <comment ref="K121" authorId="0" shapeId="0" xr:uid="{00000000-0006-0000-0400-000024010000}">
      <text>
        <r>
          <rPr>
            <b/>
            <sz val="9"/>
            <color indexed="81"/>
            <rFont val="Tahoma"/>
            <family val="2"/>
          </rPr>
          <t>There are individual devices that are not functional.</t>
        </r>
      </text>
    </comment>
    <comment ref="M121" authorId="0" shapeId="0" xr:uid="{00000000-0006-0000-0400-000025010000}">
      <text>
        <r>
          <rPr>
            <b/>
            <sz val="9"/>
            <color indexed="81"/>
            <rFont val="Tahoma"/>
            <family val="2"/>
          </rPr>
          <t>The master control panel is obsolete or not functional.</t>
        </r>
      </text>
    </comment>
    <comment ref="O121" authorId="0" shapeId="0" xr:uid="{00000000-0006-0000-0400-000026010000}">
      <text>
        <r>
          <rPr>
            <b/>
            <sz val="9"/>
            <color indexed="81"/>
            <rFont val="Tahoma"/>
            <family val="2"/>
          </rPr>
          <t>The system is obsolete or works intermittently in multiple areas and requires a system replacement.</t>
        </r>
      </text>
    </comment>
    <comment ref="Q121" authorId="0" shapeId="0" xr:uid="{00000000-0006-0000-0400-000027010000}">
      <text>
        <r>
          <rPr>
            <b/>
            <sz val="9"/>
            <color indexed="81"/>
            <rFont val="Tahoma"/>
            <family val="2"/>
          </rPr>
          <t>The system is obsolete or works intermittently in multiple areas and requires a system replacement</t>
        </r>
      </text>
    </comment>
    <comment ref="K122" authorId="0" shapeId="0" xr:uid="{00000000-0006-0000-0400-000028010000}">
      <text>
        <r>
          <rPr>
            <b/>
            <sz val="9"/>
            <color indexed="81"/>
            <rFont val="Tahoma"/>
            <family val="2"/>
          </rPr>
          <t>There are individual devices that are not functional.</t>
        </r>
      </text>
    </comment>
    <comment ref="M122" authorId="0" shapeId="0" xr:uid="{00000000-0006-0000-0400-000029010000}">
      <text>
        <r>
          <rPr>
            <b/>
            <sz val="9"/>
            <color indexed="81"/>
            <rFont val="Tahoma"/>
            <family val="2"/>
          </rPr>
          <t xml:space="preserve">The master control panel is obsolete or not functional.
</t>
        </r>
      </text>
    </comment>
    <comment ref="O122" authorId="0" shapeId="0" xr:uid="{00000000-0006-0000-0400-00002A010000}">
      <text>
        <r>
          <rPr>
            <b/>
            <sz val="9"/>
            <color indexed="81"/>
            <rFont val="Tahoma"/>
            <family val="2"/>
          </rPr>
          <t>The system is obsolete or works intermittently in multiple areas and requires a system replacement.</t>
        </r>
      </text>
    </comment>
    <comment ref="Q122" authorId="0" shapeId="0" xr:uid="{00000000-0006-0000-0400-00002B010000}">
      <text>
        <r>
          <rPr>
            <b/>
            <sz val="9"/>
            <color indexed="81"/>
            <rFont val="Tahoma"/>
            <family val="2"/>
          </rPr>
          <t>The system is obsolete or works intermittently in multiple areas and requires a system replacement</t>
        </r>
      </text>
    </comment>
    <comment ref="K123" authorId="0" shapeId="0" xr:uid="{00000000-0006-0000-0400-00002C010000}">
      <text>
        <r>
          <rPr>
            <b/>
            <sz val="9"/>
            <color indexed="81"/>
            <rFont val="Tahoma"/>
            <family val="2"/>
          </rPr>
          <t>There are individual devices that are not functional.</t>
        </r>
      </text>
    </comment>
    <comment ref="M123" authorId="0" shapeId="0" xr:uid="{00000000-0006-0000-0400-00002D010000}">
      <text>
        <r>
          <rPr>
            <b/>
            <sz val="9"/>
            <color indexed="81"/>
            <rFont val="Tahoma"/>
            <family val="2"/>
          </rPr>
          <t xml:space="preserve">The master control panel is obsolete or not functional.
</t>
        </r>
      </text>
    </comment>
    <comment ref="O123" authorId="0" shapeId="0" xr:uid="{00000000-0006-0000-0400-00002E010000}">
      <text>
        <r>
          <rPr>
            <b/>
            <sz val="9"/>
            <color indexed="81"/>
            <rFont val="Tahoma"/>
            <family val="2"/>
          </rPr>
          <t>The system is obsolete or works intermittently in multiple areas and requires a system replacement.</t>
        </r>
      </text>
    </comment>
    <comment ref="Q123" authorId="0" shapeId="0" xr:uid="{00000000-0006-0000-0400-00002F010000}">
      <text>
        <r>
          <rPr>
            <b/>
            <sz val="9"/>
            <color indexed="81"/>
            <rFont val="Tahoma"/>
            <family val="2"/>
          </rPr>
          <t>The system is obsolete or works intermittently in multiple areas and requires a system replacement</t>
        </r>
      </text>
    </comment>
    <comment ref="K124" authorId="0" shapeId="0" xr:uid="{00000000-0006-0000-0400-000030010000}">
      <text>
        <r>
          <rPr>
            <b/>
            <sz val="9"/>
            <color indexed="81"/>
            <rFont val="Tahoma"/>
            <family val="2"/>
          </rPr>
          <t>There are individual devices that are not functional.</t>
        </r>
      </text>
    </comment>
    <comment ref="M124" authorId="0" shapeId="0" xr:uid="{00000000-0006-0000-0400-000031010000}">
      <text>
        <r>
          <rPr>
            <b/>
            <sz val="9"/>
            <color indexed="81"/>
            <rFont val="Tahoma"/>
            <family val="2"/>
          </rPr>
          <t xml:space="preserve">The master control panel is obsolete or not functional.
</t>
        </r>
      </text>
    </comment>
    <comment ref="O124" authorId="0" shapeId="0" xr:uid="{00000000-0006-0000-0400-000032010000}">
      <text>
        <r>
          <rPr>
            <b/>
            <sz val="9"/>
            <color indexed="81"/>
            <rFont val="Tahoma"/>
            <family val="2"/>
          </rPr>
          <t>The system is obsolete or works intermittently in multiple areas and requires a system replacement.</t>
        </r>
      </text>
    </comment>
    <comment ref="Q124" authorId="0" shapeId="0" xr:uid="{00000000-0006-0000-0400-000033010000}">
      <text>
        <r>
          <rPr>
            <b/>
            <sz val="9"/>
            <color indexed="81"/>
            <rFont val="Tahoma"/>
            <family val="2"/>
          </rPr>
          <t>The system is obsolete or works intermittently in multiple areas and requires a system replacement</t>
        </r>
      </text>
    </comment>
    <comment ref="K125" authorId="0" shapeId="0" xr:uid="{00000000-0006-0000-0400-000034010000}">
      <text>
        <r>
          <rPr>
            <b/>
            <sz val="9"/>
            <color indexed="81"/>
            <rFont val="Tahoma"/>
            <family val="2"/>
          </rPr>
          <t>There are individual devices that are not functional.</t>
        </r>
      </text>
    </comment>
    <comment ref="M125" authorId="0" shapeId="0" xr:uid="{00000000-0006-0000-0400-000035010000}">
      <text>
        <r>
          <rPr>
            <b/>
            <sz val="9"/>
            <color indexed="81"/>
            <rFont val="Tahoma"/>
            <family val="2"/>
          </rPr>
          <t xml:space="preserve">The master control panel is obsolete or not functional.
</t>
        </r>
      </text>
    </comment>
    <comment ref="O125" authorId="0" shapeId="0" xr:uid="{00000000-0006-0000-0400-000036010000}">
      <text>
        <r>
          <rPr>
            <b/>
            <sz val="9"/>
            <color indexed="81"/>
            <rFont val="Tahoma"/>
            <family val="2"/>
          </rPr>
          <t>The system is obsolete or works intermittently in multiple areas and requires a system replacement.</t>
        </r>
      </text>
    </comment>
    <comment ref="Q125" authorId="0" shapeId="0" xr:uid="{00000000-0006-0000-0400-000037010000}">
      <text>
        <r>
          <rPr>
            <b/>
            <sz val="9"/>
            <color indexed="81"/>
            <rFont val="Tahoma"/>
            <family val="2"/>
          </rPr>
          <t>The system is obsolete or works intermittently in multiple areas and requires a system replacement</t>
        </r>
      </text>
    </comment>
    <comment ref="K126" authorId="0" shapeId="0" xr:uid="{00000000-0006-0000-0400-000038010000}">
      <text>
        <r>
          <rPr>
            <b/>
            <sz val="9"/>
            <color indexed="81"/>
            <rFont val="Tahoma"/>
            <family val="2"/>
          </rPr>
          <t>There are individual devices that are not functional or in regular alarm.</t>
        </r>
      </text>
    </comment>
    <comment ref="M126" authorId="0" shapeId="0" xr:uid="{00000000-0006-0000-0400-000039010000}">
      <text>
        <r>
          <rPr>
            <b/>
            <sz val="9"/>
            <color indexed="81"/>
            <rFont val="Tahoma"/>
            <family val="2"/>
          </rPr>
          <t xml:space="preserve">The master control panel is obsolete or not functional.
</t>
        </r>
      </text>
    </comment>
    <comment ref="Q126" authorId="0" shapeId="0" xr:uid="{00000000-0006-0000-0400-00003B010000}">
      <text>
        <r>
          <rPr>
            <b/>
            <sz val="9"/>
            <color indexed="81"/>
            <rFont val="Tahoma"/>
            <family val="2"/>
          </rPr>
          <t>The entire system is dysfunctional and constantly in trouble mode with areas not fully covered.  Remove and replace system</t>
        </r>
      </text>
    </comment>
    <comment ref="I127" authorId="0" shapeId="0" xr:uid="{00000000-0006-0000-0400-00003C010000}">
      <text>
        <r>
          <rPr>
            <b/>
            <sz val="9"/>
            <color indexed="81"/>
            <rFont val="Tahoma"/>
            <family val="2"/>
          </rPr>
          <t>Individual room sensors are failing and require replacement.</t>
        </r>
      </text>
    </comment>
    <comment ref="M127" authorId="0" shapeId="0" xr:uid="{00000000-0006-0000-0400-00003D010000}">
      <text>
        <r>
          <rPr>
            <b/>
            <sz val="9"/>
            <color indexed="81"/>
            <rFont val="Tahoma"/>
            <family val="2"/>
          </rPr>
          <t>The central control panel and software need upgraded.</t>
        </r>
      </text>
    </comment>
    <comment ref="O127" authorId="0" shapeId="0" xr:uid="{00000000-0006-0000-0400-00003A010000}">
      <text>
        <r>
          <rPr>
            <b/>
            <sz val="9"/>
            <color indexed="81"/>
            <rFont val="Tahoma"/>
            <family val="2"/>
          </rPr>
          <t>The entire system is dysfunctional and constantly in trouble mode with areas not fully covered.  Remove and replace system.</t>
        </r>
      </text>
    </comment>
    <comment ref="Q127" authorId="0" shapeId="0" xr:uid="{00000000-0006-0000-0400-00003F010000}">
      <text>
        <r>
          <rPr>
            <b/>
            <sz val="9"/>
            <color indexed="81"/>
            <rFont val="Tahoma"/>
            <family val="2"/>
          </rPr>
          <t>The entire system is in failure and requires replacement of sensors, wiring and central panel</t>
        </r>
      </text>
    </comment>
    <comment ref="I132" authorId="0" shapeId="0" xr:uid="{00000000-0006-0000-0400-000040010000}">
      <text>
        <r>
          <rPr>
            <b/>
            <sz val="9"/>
            <color indexed="81"/>
            <rFont val="Tahoma"/>
            <family val="2"/>
          </rPr>
          <t>2-3 pieces of equipment require replacement.</t>
        </r>
      </text>
    </comment>
    <comment ref="K132" authorId="0" shapeId="0" xr:uid="{00000000-0006-0000-0400-000041010000}">
      <text>
        <r>
          <rPr>
            <b/>
            <sz val="9"/>
            <color indexed="81"/>
            <rFont val="Tahoma"/>
            <family val="2"/>
          </rPr>
          <t>Counters and sinks are not code compliant and require replacement with stainless steel and sink system.</t>
        </r>
      </text>
    </comment>
    <comment ref="M132" authorId="0" shapeId="0" xr:uid="{00000000-0006-0000-0400-000042010000}">
      <text>
        <r>
          <rPr>
            <b/>
            <sz val="9"/>
            <color indexed="81"/>
            <rFont val="Tahoma"/>
            <family val="2"/>
          </rPr>
          <t>Walk-in cooler and freezer are not functional or function intermittently and require replacement.</t>
        </r>
      </text>
    </comment>
    <comment ref="O132" authorId="0" shapeId="0" xr:uid="{00000000-0006-0000-0400-000043010000}">
      <text>
        <r>
          <rPr>
            <b/>
            <sz val="9"/>
            <color indexed="81"/>
            <rFont val="Tahoma"/>
            <family val="2"/>
          </rPr>
          <t>Walk-ins and kitchen design does not meet current functional requirements or has become obsolete and requires complete replacement as a full prep kitchen.</t>
        </r>
      </text>
    </comment>
    <comment ref="Q132" authorId="0" shapeId="0" xr:uid="{00000000-0006-0000-0400-000044010000}">
      <text>
        <r>
          <rPr>
            <b/>
            <sz val="9"/>
            <color indexed="81"/>
            <rFont val="Tahoma"/>
            <family val="2"/>
          </rPr>
          <t>Walk-ins and kitchen design does not meet current functional requirements or has become obsolete and requires complete replacement as a full prep kitchen</t>
        </r>
      </text>
    </comment>
    <comment ref="I133" authorId="0" shapeId="0" xr:uid="{00000000-0006-0000-0400-000045010000}">
      <text>
        <r>
          <rPr>
            <b/>
            <sz val="9"/>
            <color indexed="81"/>
            <rFont val="Tahoma"/>
            <family val="2"/>
          </rPr>
          <t>2-3 pieces of equipment require replacement.</t>
        </r>
      </text>
    </comment>
    <comment ref="M133" authorId="0" shapeId="0" xr:uid="{00000000-0006-0000-0400-000046010000}">
      <text>
        <r>
          <rPr>
            <b/>
            <sz val="9"/>
            <color indexed="81"/>
            <rFont val="Tahoma"/>
            <family val="2"/>
          </rPr>
          <t>Mechanical and electrical service upgrades are required to meet code and amount of program equipment.</t>
        </r>
      </text>
    </comment>
    <comment ref="O133" authorId="0" shapeId="0" xr:uid="{00000000-0006-0000-0400-000047010000}">
      <text>
        <r>
          <rPr>
            <b/>
            <sz val="9"/>
            <color indexed="81"/>
            <rFont val="Tahoma"/>
            <family val="2"/>
          </rPr>
          <t>Both mechanical and electrical AND equipment needs replacement to meet program criteria and code.</t>
        </r>
      </text>
    </comment>
    <comment ref="Q133" authorId="0" shapeId="0" xr:uid="{00000000-0006-0000-0400-000048010000}">
      <text>
        <r>
          <rPr>
            <b/>
            <sz val="9"/>
            <color indexed="81"/>
            <rFont val="Tahoma"/>
            <family val="2"/>
          </rPr>
          <t>Both mechanical and electrical AND equipment needs replacement to meet program criteria and code</t>
        </r>
      </text>
    </comment>
    <comment ref="E134" authorId="0" shapeId="0" xr:uid="{00000000-0006-0000-0400-000049010000}">
      <text>
        <r>
          <rPr>
            <b/>
            <sz val="9"/>
            <color indexed="81"/>
            <rFont val="Tahoma"/>
            <family val="2"/>
          </rPr>
          <t>Enter total square feet of science classrooms.</t>
        </r>
      </text>
    </comment>
    <comment ref="K134" authorId="0" shapeId="0" xr:uid="{00000000-0006-0000-0400-00004A010000}">
      <text>
        <r>
          <rPr>
            <b/>
            <sz val="9"/>
            <color indexed="81"/>
            <rFont val="Tahoma"/>
            <family val="2"/>
          </rPr>
          <t>Room lacking (and needing) eye wash or fume hood.</t>
        </r>
      </text>
    </comment>
    <comment ref="M134" authorId="0" shapeId="0" xr:uid="{00000000-0006-0000-0400-00004B010000}">
      <text>
        <r>
          <rPr>
            <b/>
            <sz val="9"/>
            <color indexed="81"/>
            <rFont val="Tahoma"/>
            <family val="2"/>
          </rPr>
          <t>Sinks are in disrepair and require replacement.</t>
        </r>
      </text>
    </comment>
    <comment ref="O134" authorId="0" shapeId="0" xr:uid="{00000000-0006-0000-0400-00004C010000}">
      <text>
        <r>
          <rPr>
            <b/>
            <sz val="9"/>
            <color indexed="81"/>
            <rFont val="Tahoma"/>
            <family val="2"/>
          </rPr>
          <t>Work stations need upgrades to meet current program criteria - replace.</t>
        </r>
      </text>
    </comment>
    <comment ref="Q134" authorId="0" shapeId="0" xr:uid="{00000000-0006-0000-0400-00004D010000}">
      <text>
        <r>
          <rPr>
            <b/>
            <sz val="9"/>
            <color indexed="81"/>
            <rFont val="Tahoma"/>
            <family val="2"/>
          </rPr>
          <t>Work stations need upgrades to meet current program criteria - replace</t>
        </r>
      </text>
    </comment>
    <comment ref="E135" authorId="0" shapeId="0" xr:uid="{00000000-0006-0000-0400-00004E010000}">
      <text>
        <r>
          <rPr>
            <b/>
            <sz val="9"/>
            <color indexed="81"/>
            <rFont val="Tahoma"/>
            <family val="2"/>
          </rPr>
          <t>Enter total square feet of art classrooms.</t>
        </r>
      </text>
    </comment>
    <comment ref="K135" authorId="0" shapeId="0" xr:uid="{00000000-0006-0000-0400-00004F010000}">
      <text>
        <r>
          <rPr>
            <b/>
            <sz val="9"/>
            <color indexed="81"/>
            <rFont val="Tahoma"/>
            <family val="2"/>
          </rPr>
          <t>Storage units damaged or in disrepair.</t>
        </r>
      </text>
    </comment>
    <comment ref="M135" authorId="0" shapeId="0" xr:uid="{00000000-0006-0000-0400-000050010000}">
      <text>
        <r>
          <rPr>
            <b/>
            <sz val="9"/>
            <color indexed="81"/>
            <rFont val="Tahoma"/>
            <family val="2"/>
          </rPr>
          <t>Sinks are in disrepair and require replacement.</t>
        </r>
      </text>
    </comment>
    <comment ref="O135" authorId="0" shapeId="0" xr:uid="{00000000-0006-0000-0400-000051010000}">
      <text>
        <r>
          <rPr>
            <b/>
            <sz val="9"/>
            <color indexed="81"/>
            <rFont val="Tahoma"/>
            <family val="2"/>
          </rPr>
          <t>Work stations need upgrades to meet current program criteria - replace.</t>
        </r>
      </text>
    </comment>
    <comment ref="Q135" authorId="0" shapeId="0" xr:uid="{00000000-0006-0000-0400-000052010000}">
      <text>
        <r>
          <rPr>
            <b/>
            <sz val="9"/>
            <color indexed="81"/>
            <rFont val="Tahoma"/>
            <family val="2"/>
          </rPr>
          <t>Work stations need upgrades to meet current program criteria - replace</t>
        </r>
      </text>
    </comment>
    <comment ref="E136" authorId="0" shapeId="0" xr:uid="{00000000-0006-0000-0400-000053010000}">
      <text>
        <r>
          <rPr>
            <b/>
            <sz val="9"/>
            <color indexed="81"/>
            <rFont val="Tahoma"/>
            <family val="2"/>
          </rPr>
          <t>Insert square feet of auditorium. If multi-purpose room, enter square feet of stage area only. Assumes stage with rigging and lighting.</t>
        </r>
      </text>
    </comment>
    <comment ref="K136" authorId="0" shapeId="0" xr:uid="{00000000-0006-0000-0400-000054010000}">
      <text>
        <r>
          <rPr>
            <b/>
            <sz val="9"/>
            <color indexed="81"/>
            <rFont val="Tahoma"/>
            <family val="2"/>
          </rPr>
          <t>Seats damaged and need replacement OR sound OR lighting system inadequate and needs upgraded.</t>
        </r>
      </text>
    </comment>
    <comment ref="M136" authorId="0" shapeId="0" xr:uid="{00000000-0006-0000-0400-000055010000}">
      <text>
        <r>
          <rPr>
            <b/>
            <sz val="9"/>
            <color indexed="81"/>
            <rFont val="Tahoma"/>
            <family val="2"/>
          </rPr>
          <t>Fly rigging in disrepair and needs upgrading.</t>
        </r>
      </text>
    </comment>
    <comment ref="O136" authorId="0" shapeId="0" xr:uid="{00000000-0006-0000-0400-000056010000}">
      <text>
        <r>
          <rPr>
            <b/>
            <sz val="9"/>
            <color indexed="81"/>
            <rFont val="Tahoma"/>
            <family val="2"/>
          </rPr>
          <t>Two or more stage systems are dysfunctional and need upgrade/replacement.</t>
        </r>
      </text>
    </comment>
    <comment ref="Q136" authorId="0" shapeId="0" xr:uid="{00000000-0006-0000-0400-000057010000}">
      <text>
        <r>
          <rPr>
            <b/>
            <sz val="9"/>
            <color indexed="81"/>
            <rFont val="Tahoma"/>
            <family val="2"/>
          </rPr>
          <t>2 or more stage system dysfunctional and needs upgrade / replacement to production systems</t>
        </r>
      </text>
    </comment>
    <comment ref="I137" authorId="0" shapeId="0" xr:uid="{00000000-0006-0000-0400-000058010000}">
      <text>
        <r>
          <rPr>
            <b/>
            <sz val="9"/>
            <color indexed="81"/>
            <rFont val="Tahoma"/>
            <family val="2"/>
          </rPr>
          <t>An accessory is damaged or missing.</t>
        </r>
      </text>
    </comment>
    <comment ref="K137" authorId="0" shapeId="0" xr:uid="{00000000-0006-0000-0400-000059010000}">
      <text>
        <r>
          <rPr>
            <b/>
            <sz val="9"/>
            <color indexed="81"/>
            <rFont val="Tahoma"/>
            <family val="2"/>
          </rPr>
          <t>Accessories need to be replaced to meet ADA.</t>
        </r>
      </text>
    </comment>
    <comment ref="M137" authorId="0" shapeId="0" xr:uid="{00000000-0006-0000-0400-00005A010000}">
      <text>
        <r>
          <rPr>
            <b/>
            <sz val="9"/>
            <color indexed="81"/>
            <rFont val="Tahoma"/>
            <family val="2"/>
          </rPr>
          <t>The stall doors are not functional or missing and need to be replaced.</t>
        </r>
      </text>
    </comment>
    <comment ref="O137" authorId="0" shapeId="0" xr:uid="{00000000-0006-0000-0400-00005B010000}">
      <text>
        <r>
          <rPr>
            <b/>
            <sz val="9"/>
            <color indexed="81"/>
            <rFont val="Tahoma"/>
            <family val="2"/>
          </rPr>
          <t>The restrooms stall structure is failing and needs to be replaced or needs re-configuration.</t>
        </r>
      </text>
    </comment>
    <comment ref="Q137" authorId="0" shapeId="0" xr:uid="{00000000-0006-0000-0400-00005C010000}">
      <text>
        <r>
          <rPr>
            <b/>
            <sz val="9"/>
            <color indexed="81"/>
            <rFont val="Tahoma"/>
            <family val="2"/>
          </rPr>
          <t>The restrooms stall structure is failing or needs re-configuration and needs to be replaced</t>
        </r>
      </text>
    </comment>
    <comment ref="D138" authorId="0" shapeId="0" xr:uid="{00000000-0006-0000-0400-00005D010000}">
      <text>
        <r>
          <rPr>
            <b/>
            <sz val="9"/>
            <color indexed="81"/>
            <rFont val="Tahoma"/>
            <family val="2"/>
          </rPr>
          <t>Note anything specific in the "Other" category at the bottom of the assessment form.</t>
        </r>
      </text>
    </comment>
    <comment ref="C141" authorId="0" shapeId="0" xr:uid="{00000000-0006-0000-0400-00005E010000}">
      <text>
        <r>
          <rPr>
            <b/>
            <sz val="9"/>
            <color indexed="81"/>
            <rFont val="Tahoma"/>
            <family val="2"/>
          </rPr>
          <t>Assume fixed casework (counters, cabinets, shelving, etc.).</t>
        </r>
      </text>
    </comment>
    <comment ref="I141" authorId="0" shapeId="0" xr:uid="{00000000-0006-0000-0400-00005F010000}">
      <text>
        <r>
          <rPr>
            <b/>
            <sz val="9"/>
            <color indexed="81"/>
            <rFont val="Tahoma"/>
            <family val="2"/>
          </rPr>
          <t>The counter top or exposed surface has been damaged and can be refinished.</t>
        </r>
      </text>
    </comment>
    <comment ref="K141" authorId="0" shapeId="0" xr:uid="{00000000-0006-0000-0400-000060010000}">
      <text>
        <r>
          <rPr>
            <b/>
            <sz val="9"/>
            <color indexed="81"/>
            <rFont val="Tahoma"/>
            <family val="2"/>
          </rPr>
          <t>The drawers and/or doors are damaged and require replacement including hardware.</t>
        </r>
      </text>
    </comment>
    <comment ref="M141" authorId="0" shapeId="0" xr:uid="{00000000-0006-0000-0400-000061010000}">
      <text>
        <r>
          <rPr>
            <b/>
            <sz val="9"/>
            <color indexed="81"/>
            <rFont val="Tahoma"/>
            <family val="2"/>
          </rPr>
          <t>A combination of minor and moderate action is required, but the cabinet box is still salvageable.</t>
        </r>
      </text>
    </comment>
    <comment ref="O141" authorId="0" shapeId="0" xr:uid="{00000000-0006-0000-0400-000062010000}">
      <text>
        <r>
          <rPr>
            <b/>
            <sz val="9"/>
            <color indexed="81"/>
            <rFont val="Tahoma"/>
            <family val="2"/>
          </rPr>
          <t>The casework is severely damaged throughout or is obsolete for the purposes of the space and needs to be replaced.</t>
        </r>
      </text>
    </comment>
    <comment ref="Q141" authorId="0" shapeId="0" xr:uid="{00000000-0006-0000-0400-000063010000}">
      <text>
        <r>
          <rPr>
            <b/>
            <sz val="9"/>
            <color indexed="81"/>
            <rFont val="Tahoma"/>
            <family val="2"/>
          </rPr>
          <t>The casework is severely damaged throughout or is obsolete for the purposes of the space and needs to be replaced</t>
        </r>
      </text>
    </comment>
    <comment ref="C142" authorId="0" shapeId="0" xr:uid="{00000000-0006-0000-0400-000064010000}">
      <text>
        <r>
          <rPr>
            <b/>
            <sz val="9"/>
            <color indexed="81"/>
            <rFont val="Tahoma"/>
            <family val="2"/>
          </rPr>
          <t>Assume loose furnishings (desks, chairs, tables, etc.).</t>
        </r>
      </text>
    </comment>
    <comment ref="O142" authorId="0" shapeId="0" xr:uid="{00000000-0006-0000-0400-000065010000}">
      <text>
        <r>
          <rPr>
            <b/>
            <sz val="9"/>
            <color indexed="81"/>
            <rFont val="Tahoma"/>
            <family val="2"/>
          </rPr>
          <t>The furnishings are severely worn or are inappropriate for the age of students or function of space and require replacement.</t>
        </r>
      </text>
    </comment>
    <comment ref="Q142" authorId="0" shapeId="0" xr:uid="{00000000-0006-0000-0400-000066010000}">
      <text>
        <r>
          <rPr>
            <b/>
            <sz val="9"/>
            <color indexed="81"/>
            <rFont val="Tahoma"/>
            <family val="2"/>
          </rPr>
          <t>The furnishings are severely worn or are inappropriate for the age of students or function of space and require replacement</t>
        </r>
      </text>
    </comment>
    <comment ref="C148" authorId="0" shapeId="0" xr:uid="{00000000-0006-0000-0400-000067010000}">
      <text>
        <r>
          <rPr>
            <b/>
            <sz val="9"/>
            <color indexed="81"/>
            <rFont val="Tahoma"/>
            <family val="2"/>
          </rPr>
          <t>Paved only or needs to be paved. Apply to square footage of surface area.</t>
        </r>
      </text>
    </comment>
    <comment ref="E148" authorId="0" shapeId="0" xr:uid="{00000000-0006-0000-0400-000068010000}">
      <text>
        <r>
          <rPr>
            <b/>
            <sz val="9"/>
            <color indexed="81"/>
            <rFont val="Tahoma"/>
            <family val="2"/>
          </rPr>
          <t>Indicate square footage of road.</t>
        </r>
      </text>
    </comment>
    <comment ref="I148" authorId="0" shapeId="0" xr:uid="{00000000-0006-0000-0400-000069010000}">
      <text>
        <r>
          <rPr>
            <b/>
            <sz val="9"/>
            <color indexed="81"/>
            <rFont val="Tahoma"/>
            <family val="2"/>
          </rPr>
          <t>Minor cracking exists and can be resolved with application of a slurry coat.</t>
        </r>
      </text>
    </comment>
    <comment ref="M148" authorId="0" shapeId="0" xr:uid="{00000000-0006-0000-0400-00006A010000}">
      <text>
        <r>
          <rPr>
            <b/>
            <sz val="9"/>
            <color indexed="81"/>
            <rFont val="Tahoma"/>
            <family val="2"/>
          </rPr>
          <t>Surface is alligatoring requiring a section to be removed down to gravel base, replaced, and region slurry coated.</t>
        </r>
      </text>
    </comment>
    <comment ref="O148" authorId="0" shapeId="0" xr:uid="{00000000-0006-0000-0400-00006B010000}">
      <text>
        <r>
          <rPr>
            <b/>
            <sz val="9"/>
            <color indexed="81"/>
            <rFont val="Tahoma"/>
            <family val="2"/>
          </rPr>
          <t>Surface is broken and shows evidence of heaving and/or settlement requiring removal of asphalt and over-ex of sub-grade with complete replacement. Where there is only a gravel road and a paved one is needed, this category should be used.</t>
        </r>
      </text>
    </comment>
    <comment ref="Q148" authorId="0" shapeId="0" xr:uid="{00000000-0006-0000-0400-00006C010000}">
      <text>
        <r>
          <rPr>
            <b/>
            <sz val="9"/>
            <color indexed="81"/>
            <rFont val="Tahoma"/>
            <family val="2"/>
          </rPr>
          <t>Surface is broken and shows evidence of heaving and/or settlement requiring removal of asphalt and over-ex of sub-grade with complete replacement.  Where there is only a gravel road and a paved one is needed, this category shall be used</t>
        </r>
      </text>
    </comment>
    <comment ref="C149" authorId="0" shapeId="0" xr:uid="{00000000-0006-0000-0400-00006D010000}">
      <text>
        <r>
          <rPr>
            <b/>
            <sz val="9"/>
            <color indexed="81"/>
            <rFont val="Tahoma"/>
            <family val="2"/>
          </rPr>
          <t>Paved only or needs to be paved. Apply to square footage of surface area.</t>
        </r>
      </text>
    </comment>
    <comment ref="E149" authorId="0" shapeId="0" xr:uid="{00000000-0006-0000-0400-00006E010000}">
      <text>
        <r>
          <rPr>
            <b/>
            <sz val="9"/>
            <color indexed="81"/>
            <rFont val="Tahoma"/>
            <family val="2"/>
          </rPr>
          <t>Indicate square footage of parking lot.</t>
        </r>
      </text>
    </comment>
    <comment ref="I149" authorId="0" shapeId="0" xr:uid="{00000000-0006-0000-0400-00006F010000}">
      <text>
        <r>
          <rPr>
            <b/>
            <sz val="9"/>
            <color indexed="81"/>
            <rFont val="Tahoma"/>
            <family val="2"/>
          </rPr>
          <t>Minor cracking exists and can be resolved with application of a slurry coat.</t>
        </r>
      </text>
    </comment>
    <comment ref="M149" authorId="0" shapeId="0" xr:uid="{00000000-0006-0000-0400-000070010000}">
      <text>
        <r>
          <rPr>
            <b/>
            <sz val="9"/>
            <color indexed="81"/>
            <rFont val="Tahoma"/>
            <family val="2"/>
          </rPr>
          <t>Surface is alligatoring requiring a section to be removed down to gravel base, replaced, and region slurry coated.</t>
        </r>
      </text>
    </comment>
    <comment ref="O149" authorId="0" shapeId="0" xr:uid="{00000000-0006-0000-0400-000071010000}">
      <text>
        <r>
          <rPr>
            <b/>
            <sz val="9"/>
            <color indexed="81"/>
            <rFont val="Tahoma"/>
            <family val="2"/>
          </rPr>
          <t>Surface is broken and shows evidence of heaving and/or settlement requiring removal of asphalt and over-ex of sub-grade with complete replacement. Where there is only a gravel lot and a paved one is needed, this category shall be used.</t>
        </r>
      </text>
    </comment>
    <comment ref="Q149" authorId="0" shapeId="0" xr:uid="{00000000-0006-0000-0400-000072010000}">
      <text>
        <r>
          <rPr>
            <b/>
            <sz val="9"/>
            <color indexed="81"/>
            <rFont val="Tahoma"/>
            <family val="2"/>
          </rPr>
          <t>Surface is broken and shows evidence of heaving and/or settlement requiring removal of asphalt and over-ex of sub-grade with complete replacement.  Where there is only a gravel lot and a paved one is needed, this category shall be used</t>
        </r>
      </text>
    </comment>
    <comment ref="C150" authorId="0" shapeId="0" xr:uid="{00000000-0006-0000-0400-000073010000}">
      <text>
        <r>
          <rPr>
            <b/>
            <sz val="9"/>
            <color indexed="81"/>
            <rFont val="Tahoma"/>
            <family val="2"/>
          </rPr>
          <t>Concrete only or needs to be concrete. Apply to square footage of surface area.</t>
        </r>
      </text>
    </comment>
    <comment ref="E150" authorId="0" shapeId="0" xr:uid="{00000000-0006-0000-0400-000074010000}">
      <text>
        <r>
          <rPr>
            <b/>
            <sz val="9"/>
            <color indexed="81"/>
            <rFont val="Tahoma"/>
            <family val="2"/>
          </rPr>
          <t>Indicate square footage of walks and plazas.</t>
        </r>
      </text>
    </comment>
    <comment ref="M150" authorId="0" shapeId="0" xr:uid="{00000000-0006-0000-0400-000075010000}">
      <text>
        <r>
          <rPr>
            <b/>
            <sz val="9"/>
            <color indexed="81"/>
            <rFont val="Tahoma"/>
            <family val="2"/>
          </rPr>
          <t>Sections are broken with differential settlement requiring the removal of the effected panels and replacement.</t>
        </r>
      </text>
    </comment>
    <comment ref="O150" authorId="0" shapeId="0" xr:uid="{00000000-0006-0000-0400-000076010000}">
      <text>
        <r>
          <rPr>
            <b/>
            <sz val="9"/>
            <color indexed="81"/>
            <rFont val="Tahoma"/>
            <family val="2"/>
          </rPr>
          <t>Not only are sections of the concrete broken, but there is evidence of settlement surrounding the walk requiring removal through sub-grade and replacement. Where there is no concrete walk, but one is needed, this category shall be used.</t>
        </r>
      </text>
    </comment>
    <comment ref="Q150" authorId="0" shapeId="0" xr:uid="{00000000-0006-0000-0400-000077010000}">
      <text>
        <r>
          <rPr>
            <b/>
            <sz val="9"/>
            <color indexed="81"/>
            <rFont val="Tahoma"/>
            <family val="2"/>
          </rPr>
          <t>Not only are sections of the concrete broken, but there is evidence of settlement surrounding the walk requiring removal through sub-grade and replacement.  Where there is no concrete walk, but one is needed, this category shall be used</t>
        </r>
      </text>
    </comment>
    <comment ref="C151" authorId="0" shapeId="0" xr:uid="{00000000-0006-0000-0400-000078010000}">
      <text>
        <r>
          <rPr>
            <b/>
            <sz val="9"/>
            <color indexed="81"/>
            <rFont val="Tahoma"/>
            <family val="2"/>
          </rPr>
          <t>Chain-link fencing. Apply to linear footage of fence.</t>
        </r>
      </text>
    </comment>
    <comment ref="E151" authorId="0" shapeId="0" xr:uid="{00000000-0006-0000-0400-000079010000}">
      <text>
        <r>
          <rPr>
            <b/>
            <sz val="9"/>
            <color indexed="81"/>
            <rFont val="Tahoma"/>
            <family val="2"/>
          </rPr>
          <t>Indicate length of fencing in feet. Assuming 6-foot high chain-link.</t>
        </r>
      </text>
    </comment>
    <comment ref="M151" authorId="0" shapeId="0" xr:uid="{00000000-0006-0000-0400-00007A010000}">
      <text>
        <r>
          <rPr>
            <b/>
            <sz val="9"/>
            <color indexed="81"/>
            <rFont val="Tahoma"/>
            <family val="2"/>
          </rPr>
          <t>The fence fabric is damaged and needs to be replaced.</t>
        </r>
      </text>
    </comment>
    <comment ref="O151" authorId="0" shapeId="0" xr:uid="{00000000-0006-0000-0400-00007B010000}">
      <text>
        <r>
          <rPr>
            <b/>
            <sz val="9"/>
            <color indexed="81"/>
            <rFont val="Tahoma"/>
            <family val="2"/>
          </rPr>
          <t>The fencing has lost its structural integrity and is beyond repair.</t>
        </r>
      </text>
    </comment>
    <comment ref="Q151" authorId="0" shapeId="0" xr:uid="{00000000-0006-0000-0400-00007C010000}">
      <text>
        <r>
          <rPr>
            <b/>
            <sz val="9"/>
            <color indexed="81"/>
            <rFont val="Tahoma"/>
            <family val="2"/>
          </rPr>
          <t>The fencing has lost its structural integrity and is beyond repair.</t>
        </r>
      </text>
    </comment>
    <comment ref="C152" authorId="0" shapeId="0" xr:uid="{00000000-0006-0000-0400-00007D010000}">
      <text>
        <r>
          <rPr>
            <b/>
            <sz val="9"/>
            <color indexed="81"/>
            <rFont val="Tahoma"/>
            <family val="2"/>
          </rPr>
          <t>Irrigation systems. Other landscape or field items should be included in "Other" category at bottom of assessment form. Apply to square footage of landscape area.</t>
        </r>
      </text>
    </comment>
    <comment ref="E152" authorId="0" shapeId="0" xr:uid="{00000000-0006-0000-0400-00007E010000}">
      <text>
        <r>
          <rPr>
            <b/>
            <sz val="9"/>
            <color indexed="81"/>
            <rFont val="Tahoma"/>
            <family val="2"/>
          </rPr>
          <t>Indicate square footage of landscaped area served (including grass areas).</t>
        </r>
      </text>
    </comment>
    <comment ref="O152" authorId="0" shapeId="0" xr:uid="{00000000-0006-0000-0400-00007F010000}">
      <text>
        <r>
          <rPr>
            <b/>
            <sz val="9"/>
            <color indexed="81"/>
            <rFont val="Tahoma"/>
            <family val="2"/>
          </rPr>
          <t>Irrigation system is dysfunctional and beyond repair.</t>
        </r>
      </text>
    </comment>
    <comment ref="Q152" authorId="0" shapeId="0" xr:uid="{00000000-0006-0000-0400-000080010000}">
      <text>
        <r>
          <rPr>
            <b/>
            <sz val="9"/>
            <color indexed="81"/>
            <rFont val="Tahoma"/>
            <family val="2"/>
          </rPr>
          <t xml:space="preserve">Irrigation system is dysfunctional and beyond repair
</t>
        </r>
      </text>
    </comment>
    <comment ref="D154" authorId="0" shapeId="0" xr:uid="{00000000-0006-0000-0400-000081010000}">
      <text>
        <r>
          <rPr>
            <b/>
            <sz val="9"/>
            <color indexed="81"/>
            <rFont val="Tahoma"/>
            <family val="2"/>
          </rPr>
          <t>Assumes 4" line to building. Wells should be placed in "Other" category at bottom of form. Apply to surface area.</t>
        </r>
      </text>
    </comment>
    <comment ref="O154" authorId="0" shapeId="0" xr:uid="{00000000-0006-0000-0400-000082010000}">
      <text>
        <r>
          <rPr>
            <b/>
            <sz val="9"/>
            <color indexed="81"/>
            <rFont val="Tahoma"/>
            <family val="2"/>
          </rPr>
          <t xml:space="preserve">A portion of the line has lost its structural integrity and requires replacement.
</t>
        </r>
      </text>
    </comment>
    <comment ref="Q154" authorId="0" shapeId="0" xr:uid="{00000000-0006-0000-0400-000083010000}">
      <text>
        <r>
          <rPr>
            <b/>
            <sz val="9"/>
            <color indexed="81"/>
            <rFont val="Tahoma"/>
            <family val="2"/>
          </rPr>
          <t xml:space="preserve">A portion of the line has lost its structural integrity and requires replacement
</t>
        </r>
      </text>
    </comment>
    <comment ref="D155" authorId="0" shapeId="0" xr:uid="{00000000-0006-0000-0400-000084010000}">
      <text>
        <r>
          <rPr>
            <b/>
            <sz val="9"/>
            <color indexed="81"/>
            <rFont val="Tahoma"/>
            <family val="2"/>
          </rPr>
          <t>Assumes 6" line to building.  Wells and holding tanks should be placed in "Other" category at bottom of form. Apply to surface area.</t>
        </r>
      </text>
    </comment>
    <comment ref="O155" authorId="0" shapeId="0" xr:uid="{00000000-0006-0000-0400-000085010000}">
      <text>
        <r>
          <rPr>
            <b/>
            <sz val="9"/>
            <color indexed="81"/>
            <rFont val="Tahoma"/>
            <family val="2"/>
          </rPr>
          <t>A portion of the line has lost its structural integrity and requires replacement.</t>
        </r>
      </text>
    </comment>
    <comment ref="Q155" authorId="0" shapeId="0" xr:uid="{00000000-0006-0000-0400-000086010000}">
      <text>
        <r>
          <rPr>
            <b/>
            <sz val="9"/>
            <color indexed="81"/>
            <rFont val="Tahoma"/>
            <family val="2"/>
          </rPr>
          <t xml:space="preserve">A portion of the line has lost its structural integrity and requires replacement
</t>
        </r>
      </text>
    </comment>
    <comment ref="C156" authorId="0" shapeId="0" xr:uid="{00000000-0006-0000-0400-000087010000}">
      <text>
        <r>
          <rPr>
            <b/>
            <sz val="9"/>
            <color indexed="81"/>
            <rFont val="Tahoma"/>
            <family val="2"/>
          </rPr>
          <t xml:space="preserve">Apply to linear footage
of sewer lines. Septic fields, tanks, etc. should be placed in "Other" category at bottom of form. </t>
        </r>
      </text>
    </comment>
    <comment ref="O156" authorId="0" shapeId="0" xr:uid="{00000000-0006-0000-0400-000088010000}">
      <text>
        <r>
          <rPr>
            <b/>
            <sz val="9"/>
            <color indexed="81"/>
            <rFont val="Tahoma"/>
            <family val="2"/>
          </rPr>
          <t>A portion of the line has lost its structural integrity and requires replacement.</t>
        </r>
      </text>
    </comment>
    <comment ref="Q156" authorId="0" shapeId="0" xr:uid="{00000000-0006-0000-0400-000089010000}">
      <text>
        <r>
          <rPr>
            <b/>
            <sz val="9"/>
            <color indexed="81"/>
            <rFont val="Tahoma"/>
            <family val="2"/>
          </rPr>
          <t>A portion of the line has lost its structural integrity and requires replacement</t>
        </r>
      </text>
    </comment>
    <comment ref="C157" authorId="0" shapeId="0" xr:uid="{00000000-0006-0000-0400-00008A010000}">
      <text>
        <r>
          <rPr>
            <b/>
            <sz val="9"/>
            <color indexed="81"/>
            <rFont val="Tahoma"/>
            <family val="2"/>
          </rPr>
          <t xml:space="preserve">Apply to square footage of area to be drained. Assumes underground system.  For surface runoff system, apply to "Other" category at bottom of form. </t>
        </r>
      </text>
    </comment>
    <comment ref="I157" authorId="0" shapeId="0" xr:uid="{00000000-0006-0000-0400-00008B010000}">
      <text>
        <r>
          <rPr>
            <b/>
            <sz val="9"/>
            <color indexed="81"/>
            <rFont val="Tahoma"/>
            <family val="2"/>
          </rPr>
          <t>Catch basins have lost their integrity or are out of alignment.  Remove catch basin, reset, and realign.</t>
        </r>
      </text>
    </comment>
    <comment ref="K157" authorId="0" shapeId="0" xr:uid="{00000000-0006-0000-0400-00008C010000}">
      <text>
        <r>
          <rPr>
            <b/>
            <sz val="9"/>
            <color indexed="81"/>
            <rFont val="Tahoma"/>
            <family val="2"/>
          </rPr>
          <t>Storm sewer piping is dysfunctional or damaged. Remove and replace.</t>
        </r>
      </text>
    </comment>
    <comment ref="M157" authorId="0" shapeId="0" xr:uid="{00000000-0006-0000-0400-00008D010000}">
      <text>
        <r>
          <rPr>
            <b/>
            <sz val="9"/>
            <color indexed="81"/>
            <rFont val="Tahoma"/>
            <family val="2"/>
          </rPr>
          <t xml:space="preserve">Detention/retention has failed, but piping and catch basins are functional. Replace detention/retention system.
</t>
        </r>
      </text>
    </comment>
    <comment ref="O157" authorId="0" shapeId="0" xr:uid="{00000000-0006-0000-0400-00008E010000}">
      <text>
        <r>
          <rPr>
            <b/>
            <sz val="9"/>
            <color indexed="81"/>
            <rFont val="Tahoma"/>
            <family val="2"/>
          </rPr>
          <t>The entire underground system has failed and requires removal and replacement of all components.</t>
        </r>
      </text>
    </comment>
    <comment ref="Q157" authorId="0" shapeId="0" xr:uid="{00000000-0006-0000-0400-00008F010000}">
      <text>
        <r>
          <rPr>
            <b/>
            <sz val="9"/>
            <color indexed="81"/>
            <rFont val="Tahoma"/>
            <family val="2"/>
          </rPr>
          <t>The entire underground system has failed and requires removal and replacement of all components</t>
        </r>
      </text>
    </comment>
    <comment ref="C158" authorId="0" shapeId="0" xr:uid="{00000000-0006-0000-0400-000090010000}">
      <text>
        <r>
          <rPr>
            <b/>
            <sz val="9"/>
            <color indexed="81"/>
            <rFont val="Tahoma"/>
            <family val="2"/>
          </rPr>
          <t xml:space="preserve">Apply to linear footage of heating ducts. </t>
        </r>
      </text>
    </comment>
    <comment ref="O158" authorId="0" shapeId="0" xr:uid="{00000000-0006-0000-0400-000091010000}">
      <text>
        <r>
          <rPr>
            <b/>
            <sz val="9"/>
            <color indexed="81"/>
            <rFont val="Tahoma"/>
            <family val="2"/>
          </rPr>
          <t>A portion of the line has lost its structural integrity and requires replacement.</t>
        </r>
      </text>
    </comment>
    <comment ref="Q158" authorId="0" shapeId="0" xr:uid="{00000000-0006-0000-0400-000092010000}">
      <text>
        <r>
          <rPr>
            <b/>
            <sz val="9"/>
            <color indexed="81"/>
            <rFont val="Tahoma"/>
            <family val="2"/>
          </rPr>
          <t xml:space="preserve">A portion of the line has lost its structural integrity and requires replacement
</t>
        </r>
      </text>
    </comment>
    <comment ref="C159" authorId="0" shapeId="0" xr:uid="{00000000-0006-0000-0400-000093010000}">
      <text>
        <r>
          <rPr>
            <b/>
            <sz val="9"/>
            <color indexed="81"/>
            <rFont val="Tahoma"/>
            <family val="2"/>
          </rPr>
          <t>Apply to linear footage of duct work.</t>
        </r>
      </text>
    </comment>
    <comment ref="O159" authorId="0" shapeId="0" xr:uid="{00000000-0006-0000-0400-000094010000}">
      <text>
        <r>
          <rPr>
            <b/>
            <sz val="9"/>
            <color indexed="81"/>
            <rFont val="Tahoma"/>
            <family val="2"/>
          </rPr>
          <t>A portion of the line has lost its structural integrity and requires replacement.</t>
        </r>
      </text>
    </comment>
    <comment ref="Q159" authorId="0" shapeId="0" xr:uid="{00000000-0006-0000-0400-000095010000}">
      <text>
        <r>
          <rPr>
            <b/>
            <sz val="9"/>
            <color indexed="81"/>
            <rFont val="Tahoma"/>
            <family val="2"/>
          </rPr>
          <t xml:space="preserve">A portion of the line has lost its structural integrity and requires replacement
</t>
        </r>
      </text>
    </comment>
    <comment ref="C160" authorId="0" shapeId="0" xr:uid="{00000000-0006-0000-0400-000096010000}">
      <text>
        <r>
          <rPr>
            <b/>
            <sz val="9"/>
            <color indexed="81"/>
            <rFont val="Tahoma"/>
            <family val="2"/>
          </rPr>
          <t xml:space="preserve">Apply to linear footage of natural gas lines. </t>
        </r>
      </text>
    </comment>
    <comment ref="O160" authorId="0" shapeId="0" xr:uid="{00000000-0006-0000-0400-000097010000}">
      <text>
        <r>
          <rPr>
            <b/>
            <sz val="9"/>
            <color indexed="81"/>
            <rFont val="Tahoma"/>
            <family val="2"/>
          </rPr>
          <t>A portion of the line has lost its structural integrity and requires replacement.</t>
        </r>
      </text>
    </comment>
    <comment ref="Q160" authorId="0" shapeId="0" xr:uid="{00000000-0006-0000-0400-000098010000}">
      <text>
        <r>
          <rPr>
            <b/>
            <sz val="9"/>
            <color indexed="81"/>
            <rFont val="Tahoma"/>
            <family val="2"/>
          </rPr>
          <t>A portion of the line has lost its structural integrity and requires replacement</t>
        </r>
      </text>
    </comment>
    <comment ref="D163" authorId="0" shapeId="0" xr:uid="{00000000-0006-0000-0400-000099010000}">
      <text>
        <r>
          <rPr>
            <b/>
            <sz val="9"/>
            <color indexed="81"/>
            <rFont val="Tahoma"/>
            <family val="2"/>
          </rPr>
          <t>Assumes the private portion of the service lines typically underground after the meter or transformer. Apply to square footage of the whole project site.</t>
        </r>
      </text>
    </comment>
    <comment ref="M163" authorId="0" shapeId="0" xr:uid="{00000000-0006-0000-0400-00009A010000}">
      <text>
        <r>
          <rPr>
            <b/>
            <sz val="9"/>
            <color indexed="81"/>
            <rFont val="Tahoma"/>
            <family val="2"/>
          </rPr>
          <t>The transformer no longer functions and is in need of replacement.</t>
        </r>
      </text>
    </comment>
    <comment ref="O163" authorId="0" shapeId="0" xr:uid="{00000000-0006-0000-0400-00009B010000}">
      <text>
        <r>
          <rPr>
            <b/>
            <sz val="9"/>
            <color indexed="81"/>
            <rFont val="Tahoma"/>
            <family val="2"/>
          </rPr>
          <t>The service has failed and is beyond repair or is undersized requiring replacement of transformer and service lines.</t>
        </r>
      </text>
    </comment>
    <comment ref="Q163" authorId="0" shapeId="0" xr:uid="{00000000-0006-0000-0400-00009C010000}">
      <text>
        <r>
          <rPr>
            <b/>
            <sz val="9"/>
            <color indexed="81"/>
            <rFont val="Tahoma"/>
            <family val="2"/>
          </rPr>
          <t>The service has failed and is beyond repair or is undersized requiring replacement of transformer and service lines</t>
        </r>
      </text>
    </comment>
    <comment ref="D164" authorId="0" shapeId="0" xr:uid="{00000000-0006-0000-0400-00009D010000}">
      <text>
        <r>
          <rPr>
            <b/>
            <sz val="9"/>
            <color indexed="81"/>
            <rFont val="Tahoma"/>
            <family val="2"/>
          </rPr>
          <t>Apply to generator quantity.</t>
        </r>
      </text>
    </comment>
    <comment ref="I164" authorId="0" shapeId="0" xr:uid="{00000000-0006-0000-0400-00009E010000}">
      <text>
        <r>
          <rPr>
            <b/>
            <sz val="9"/>
            <color indexed="81"/>
            <rFont val="Tahoma"/>
            <family val="2"/>
          </rPr>
          <t>The generator needs to be tuned up.</t>
        </r>
      </text>
    </comment>
    <comment ref="K164" authorId="0" shapeId="0" xr:uid="{00000000-0006-0000-0400-00009F010000}">
      <text>
        <r>
          <rPr>
            <b/>
            <sz val="9"/>
            <color indexed="81"/>
            <rFont val="Tahoma"/>
            <family val="2"/>
          </rPr>
          <t>The valves or other engine parts need to be repaired or replaced and then a tune up.</t>
        </r>
      </text>
    </comment>
    <comment ref="M164" authorId="0" shapeId="0" xr:uid="{00000000-0006-0000-0400-0000A0010000}">
      <text>
        <r>
          <rPr>
            <b/>
            <sz val="9"/>
            <color indexed="81"/>
            <rFont val="Tahoma"/>
            <family val="2"/>
          </rPr>
          <t>Generator is non-functional or under-sized.</t>
        </r>
      </text>
    </comment>
    <comment ref="O164" authorId="0" shapeId="0" xr:uid="{00000000-0006-0000-0400-0000A1010000}">
      <text>
        <r>
          <rPr>
            <b/>
            <sz val="9"/>
            <color indexed="81"/>
            <rFont val="Tahoma"/>
            <family val="2"/>
          </rPr>
          <t>The system (generator, tank, services lines connected lighting system) is non-functional or under-sized.</t>
        </r>
      </text>
    </comment>
    <comment ref="Q164" authorId="0" shapeId="0" xr:uid="{00000000-0006-0000-0400-0000A2010000}">
      <text>
        <r>
          <rPr>
            <b/>
            <sz val="9"/>
            <color indexed="81"/>
            <rFont val="Tahoma"/>
            <family val="2"/>
          </rPr>
          <t>The system (generator, tank, services lines connected lighting system) is non-functional or under-sized</t>
        </r>
      </text>
    </comment>
    <comment ref="C165" authorId="0" shapeId="0" xr:uid="{CF4343F8-13A9-4867-89BA-BB60A6089833}">
      <text>
        <r>
          <rPr>
            <b/>
            <sz val="9"/>
            <color indexed="81"/>
            <rFont val="Tahoma"/>
            <family val="2"/>
          </rPr>
          <t xml:space="preserve">Apply to square footage of the whole 
project site. </t>
        </r>
      </text>
    </comment>
    <comment ref="K165" authorId="0" shapeId="0" xr:uid="{00000000-0006-0000-0400-0000A3010000}">
      <text>
        <r>
          <rPr>
            <b/>
            <sz val="9"/>
            <color indexed="81"/>
            <rFont val="Tahoma"/>
            <family val="2"/>
          </rPr>
          <t>The fixtures are nonfunctional and require replacement.</t>
        </r>
      </text>
    </comment>
    <comment ref="O165" authorId="0" shapeId="0" xr:uid="{00000000-0006-0000-0400-0000A4010000}">
      <text>
        <r>
          <rPr>
            <b/>
            <sz val="9"/>
            <color indexed="81"/>
            <rFont val="Tahoma"/>
            <family val="2"/>
          </rPr>
          <t>The fixtures, supports, and underground wiring need to be replaced.</t>
        </r>
      </text>
    </comment>
    <comment ref="Q165" authorId="0" shapeId="0" xr:uid="{00000000-0006-0000-0400-0000A5010000}">
      <text>
        <r>
          <rPr>
            <b/>
            <sz val="9"/>
            <color indexed="81"/>
            <rFont val="Tahoma"/>
            <family val="2"/>
          </rPr>
          <t>The fixtures, supports, and underground wiring need to be replaced</t>
        </r>
      </text>
    </comment>
    <comment ref="C166" authorId="0" shapeId="0" xr:uid="{00000000-0006-0000-0400-0000A6010000}">
      <text>
        <r>
          <rPr>
            <b/>
            <sz val="9"/>
            <color indexed="81"/>
            <rFont val="Tahoma"/>
            <family val="2"/>
          </rPr>
          <t xml:space="preserve">Assumes low voltage lines underground. Apply to square footage of the whole project site. </t>
        </r>
      </text>
    </comment>
    <comment ref="O166" authorId="0" shapeId="0" xr:uid="{00000000-0006-0000-0400-0000A7010000}">
      <text>
        <r>
          <rPr>
            <b/>
            <sz val="9"/>
            <color indexed="81"/>
            <rFont val="Tahoma"/>
            <family val="2"/>
          </rPr>
          <t>Site cabling is inadequate or service is interrupted - replace cabling.</t>
        </r>
      </text>
    </comment>
    <comment ref="Q166" authorId="0" shapeId="0" xr:uid="{00000000-0006-0000-0400-0000A8010000}">
      <text>
        <r>
          <rPr>
            <b/>
            <sz val="9"/>
            <color indexed="81"/>
            <rFont val="Tahoma"/>
            <family val="2"/>
          </rPr>
          <t>Site cabling is inadequate or service is interrupted - replace cabling</t>
        </r>
      </text>
    </comment>
    <comment ref="C170" authorId="0" shapeId="0" xr:uid="{00000000-0006-0000-0400-0000A9010000}">
      <text>
        <r>
          <rPr>
            <b/>
            <sz val="9"/>
            <color indexed="81"/>
            <rFont val="Tahoma"/>
            <family val="2"/>
          </rPr>
          <t>For assessment professional to hand enter for specialty items and systems that do not fit into categories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0" authorId="0" shapeId="0" xr:uid="{00000000-0006-0000-0A00-000001000000}">
      <text>
        <r>
          <rPr>
            <b/>
            <sz val="9"/>
            <color indexed="81"/>
            <rFont val="Tahoma"/>
            <family val="2"/>
          </rPr>
          <t>Standard spread and strip / perimeter footings</t>
        </r>
      </text>
    </comment>
    <comment ref="E10" authorId="0" shapeId="0" xr:uid="{00000000-0006-0000-0A00-000002000000}">
      <text>
        <r>
          <rPr>
            <b/>
            <sz val="9"/>
            <color rgb="FF000000"/>
            <rFont val="Tahoma"/>
            <family val="2"/>
          </rPr>
          <t>Minor cracking observed - fill and seal the cracks to prevent water intrusion</t>
        </r>
      </text>
    </comment>
    <comment ref="I10" authorId="0" shapeId="0" xr:uid="{00000000-0006-0000-0A00-000003000000}">
      <text>
        <r>
          <rPr>
            <b/>
            <sz val="9"/>
            <color rgb="FF000000"/>
            <rFont val="Tahoma"/>
            <family val="2"/>
          </rPr>
          <t>Settlement observed in surrounding conditions - requiring stabilization of the foundation, sub-grade adjustment, and re-enforcement of the foundation.</t>
        </r>
      </text>
    </comment>
    <comment ref="C11" authorId="0" shapeId="0" xr:uid="{00000000-0006-0000-0A00-000004000000}">
      <text>
        <r>
          <rPr>
            <b/>
            <sz val="9"/>
            <color indexed="81"/>
            <rFont val="Tahoma"/>
            <family val="2"/>
          </rPr>
          <t>Pilings or other extended foundation systems that overcome non-standard soil conditions.</t>
        </r>
      </text>
    </comment>
    <comment ref="E11" authorId="0" shapeId="0" xr:uid="{00000000-0006-0000-0A00-000005000000}">
      <text>
        <r>
          <rPr>
            <b/>
            <sz val="9"/>
            <color rgb="FF000000"/>
            <rFont val="Tahoma"/>
            <family val="2"/>
          </rPr>
          <t>Minor cracking observed - fill and seal the cracks to prevent water intrusion</t>
        </r>
      </text>
    </comment>
    <comment ref="I11" authorId="0" shapeId="0" xr:uid="{00000000-0006-0000-0A00-000006000000}">
      <text>
        <r>
          <rPr>
            <b/>
            <sz val="9"/>
            <color indexed="81"/>
            <rFont val="Tahoma"/>
            <family val="2"/>
          </rPr>
          <t>Settlement observed in surrounding conditions - requiring stabilization of the foundation, sub-grade adjustment, and re-enforcement of the foundation.</t>
        </r>
      </text>
    </comment>
    <comment ref="C12" authorId="0" shapeId="0" xr:uid="{00000000-0006-0000-0A00-000007000000}">
      <text>
        <r>
          <rPr>
            <b/>
            <sz val="9"/>
            <color indexed="81"/>
            <rFont val="Tahoma"/>
            <family val="2"/>
          </rPr>
          <t>Standard ground-set concrete slab.  If slab is elevated (i.e. has a crawl space or basement), apply conditions to B1010 instead.</t>
        </r>
      </text>
    </comment>
    <comment ref="G12" authorId="0" shapeId="0" xr:uid="{00000000-0006-0000-0A00-000008000000}">
      <text>
        <r>
          <rPr>
            <b/>
            <sz val="9"/>
            <color indexed="81"/>
            <rFont val="Tahoma"/>
            <family val="2"/>
          </rPr>
          <t>Separation cracks occurring requiring route and fill and patch</t>
        </r>
      </text>
    </comment>
    <comment ref="I12" authorId="0" shapeId="0" xr:uid="{00000000-0006-0000-0A00-000009000000}">
      <text>
        <r>
          <rPr>
            <b/>
            <sz val="9"/>
            <color indexed="81"/>
            <rFont val="Tahoma"/>
            <family val="2"/>
          </rPr>
          <t>Differential settlement occurring - requires removal of section of slab, adjustment to sub-grade, and new infill.</t>
        </r>
      </text>
    </comment>
    <comment ref="C15" authorId="0" shapeId="0" xr:uid="{00000000-0006-0000-0A00-00000A000000}">
      <text>
        <r>
          <rPr>
            <b/>
            <sz val="9"/>
            <color indexed="81"/>
            <rFont val="Tahoma"/>
            <family val="2"/>
          </rPr>
          <t>Assumed as concrete walls with water-proofing on the exterior.  Includes only the structural portion and not the wall finishes.</t>
        </r>
      </text>
    </comment>
    <comment ref="E15" authorId="0" shapeId="0" xr:uid="{00000000-0006-0000-0A00-00000B000000}">
      <text>
        <r>
          <rPr>
            <b/>
            <sz val="9"/>
            <color indexed="81"/>
            <rFont val="Tahoma"/>
            <family val="2"/>
          </rPr>
          <t>Inadequate below grade venting is observed - cut in and add venting</t>
        </r>
      </text>
    </comment>
    <comment ref="G15" authorId="0" shapeId="0" xr:uid="{00000000-0006-0000-0A00-00000C000000}">
      <text>
        <r>
          <rPr>
            <b/>
            <sz val="9"/>
            <color rgb="FF000000"/>
            <rFont val="Tahoma"/>
            <family val="2"/>
          </rPr>
          <t>Wall is cracked and spalling requiring route and fill and patch and re-finish.</t>
        </r>
      </text>
    </comment>
    <comment ref="I15" authorId="0" shapeId="0" xr:uid="{00000000-0006-0000-0A00-00000D000000}">
      <text>
        <r>
          <rPr>
            <b/>
            <sz val="9"/>
            <color indexed="81"/>
            <rFont val="Tahoma"/>
            <family val="2"/>
          </rPr>
          <t>Wall is cracked with evidence of water intrusion.  Repairs to be implemented and water barrier to be applied.</t>
        </r>
      </text>
    </comment>
    <comment ref="C18" authorId="0" shapeId="0" xr:uid="{00000000-0006-0000-0A00-00000E000000}">
      <text>
        <r>
          <rPr>
            <b/>
            <sz val="9"/>
            <color indexed="81"/>
            <rFont val="Tahoma"/>
            <family val="2"/>
          </rPr>
          <t>A suspended floor including the structural members and floor construction, but not including the actual finish.</t>
        </r>
      </text>
    </comment>
    <comment ref="G18" authorId="0" shapeId="0" xr:uid="{00000000-0006-0000-0A00-00000F000000}">
      <text>
        <r>
          <rPr>
            <b/>
            <sz val="9"/>
            <color indexed="81"/>
            <rFont val="Tahoma"/>
            <family val="2"/>
          </rPr>
          <t>Deck lifting, settling, or uneven - appears related to the deck itself and not the structural support below - requires removal and replacement of deck.</t>
        </r>
      </text>
    </comment>
    <comment ref="K18" authorId="0" shapeId="0" xr:uid="{00000000-0006-0000-0A00-000010000000}">
      <text>
        <r>
          <rPr>
            <b/>
            <sz val="9"/>
            <color indexed="81"/>
            <rFont val="Tahoma"/>
            <family val="2"/>
          </rPr>
          <t>Visible evidence of a sagging or settled structure or depression in the floor line, requiring removal and replacement.</t>
        </r>
      </text>
    </comment>
    <comment ref="M18" authorId="0" shapeId="0" xr:uid="{00000000-0006-0000-0A00-000011000000}">
      <text>
        <r>
          <rPr>
            <b/>
            <sz val="9"/>
            <color indexed="81"/>
            <rFont val="Tahoma"/>
            <family val="2"/>
          </rPr>
          <t>Visible evidence of a sagging or settled structure or depression in the floor line, requiring removal and replacement</t>
        </r>
      </text>
    </comment>
    <comment ref="G19" authorId="0" shapeId="0" xr:uid="{00000000-0006-0000-0A00-000012000000}">
      <text>
        <r>
          <rPr>
            <b/>
            <sz val="9"/>
            <color indexed="81"/>
            <rFont val="Tahoma"/>
            <family val="2"/>
          </rPr>
          <t>Deck lifting, settling, or uneven - appears related to the deck itself and not the structural support below - requires removal and replacement of deck.</t>
        </r>
      </text>
    </comment>
    <comment ref="K19" authorId="0" shapeId="0" xr:uid="{00000000-0006-0000-0A00-000013000000}">
      <text>
        <r>
          <rPr>
            <b/>
            <sz val="9"/>
            <color indexed="81"/>
            <rFont val="Tahoma"/>
            <family val="2"/>
          </rPr>
          <t>Visible evidence of a sagging or settled structure or depression in the floor line, requiring removal and replacement.</t>
        </r>
      </text>
    </comment>
    <comment ref="M19" authorId="0" shapeId="0" xr:uid="{00000000-0006-0000-0A00-000014000000}">
      <text>
        <r>
          <rPr>
            <b/>
            <sz val="9"/>
            <color indexed="81"/>
            <rFont val="Tahoma"/>
            <family val="2"/>
          </rPr>
          <t>Visible evidence of a sagging or settled structure or depression in the floor line, requiring removal and replacement</t>
        </r>
      </text>
    </comment>
    <comment ref="G20" authorId="0" shapeId="0" xr:uid="{00000000-0006-0000-0A00-000015000000}">
      <text>
        <r>
          <rPr>
            <b/>
            <sz val="9"/>
            <color indexed="81"/>
            <rFont val="Tahoma"/>
            <family val="2"/>
          </rPr>
          <t>Deck lifting, settling, or uneven - appears related to the deck itself and not the structural support below - requires removal and replacement of deck.</t>
        </r>
      </text>
    </comment>
    <comment ref="K20" authorId="0" shapeId="0" xr:uid="{00000000-0006-0000-0A00-000016000000}">
      <text>
        <r>
          <rPr>
            <b/>
            <sz val="9"/>
            <color indexed="81"/>
            <rFont val="Tahoma"/>
            <family val="2"/>
          </rPr>
          <t>Visible evidence of a sagging or settled structure or depression in the floor line, requiring removal and replacement.</t>
        </r>
      </text>
    </comment>
    <comment ref="M20" authorId="0" shapeId="0" xr:uid="{00000000-0006-0000-0A00-000017000000}">
      <text>
        <r>
          <rPr>
            <b/>
            <sz val="9"/>
            <color indexed="81"/>
            <rFont val="Tahoma"/>
            <family val="2"/>
          </rPr>
          <t>Visible evidence of a sagging or settled structure or depression in the floor line, requiring removal and replacement</t>
        </r>
      </text>
    </comment>
    <comment ref="C21" authorId="0" shapeId="0" xr:uid="{00000000-0006-0000-0A00-000018000000}">
      <text>
        <r>
          <rPr>
            <b/>
            <sz val="9"/>
            <color indexed="81"/>
            <rFont val="Tahoma"/>
            <family val="2"/>
          </rPr>
          <t>The roof structure referring to the supporting structure and the deck but excluding the roofing itself.</t>
        </r>
      </text>
    </comment>
    <comment ref="I21" authorId="0" shapeId="0" xr:uid="{00000000-0006-0000-0A00-000019000000}">
      <text>
        <r>
          <rPr>
            <b/>
            <sz val="9"/>
            <color indexed="81"/>
            <rFont val="Tahoma"/>
            <family val="2"/>
          </rPr>
          <t>Evidence of a spongy decking from water intrusion - replacing the deck but not the trusses.</t>
        </r>
      </text>
    </comment>
    <comment ref="K21" authorId="0" shapeId="0" xr:uid="{00000000-0006-0000-0A00-00001A000000}">
      <text>
        <r>
          <rPr>
            <b/>
            <sz val="9"/>
            <color indexed="81"/>
            <rFont val="Tahoma"/>
            <family val="2"/>
          </rPr>
          <t>Visible evidence of a sagging structure or depression in the roof line, requiring removal and replacement.</t>
        </r>
      </text>
    </comment>
    <comment ref="M21" authorId="0" shapeId="0" xr:uid="{00000000-0006-0000-0A00-00001B000000}">
      <text>
        <r>
          <rPr>
            <b/>
            <sz val="9"/>
            <color indexed="81"/>
            <rFont val="Tahoma"/>
            <family val="2"/>
          </rPr>
          <t>Visible evidence of a sagging structure or depression in the roof line, requiring removal and replacement</t>
        </r>
      </text>
    </comment>
    <comment ref="I22" authorId="0" shapeId="0" xr:uid="{00000000-0006-0000-0A00-00001C000000}">
      <text>
        <r>
          <rPr>
            <b/>
            <sz val="9"/>
            <color indexed="81"/>
            <rFont val="Tahoma"/>
            <family val="2"/>
          </rPr>
          <t>Evidence of a flexing decking from water intrusion / rust - replacing the deck but not the trusses.</t>
        </r>
      </text>
    </comment>
    <comment ref="K22" authorId="0" shapeId="0" xr:uid="{00000000-0006-0000-0A00-00001D000000}">
      <text>
        <r>
          <rPr>
            <b/>
            <sz val="9"/>
            <color indexed="81"/>
            <rFont val="Tahoma"/>
            <family val="2"/>
          </rPr>
          <t>Visible evidence of a sagging structure or depression in the roof line, requiring removal and replacement.</t>
        </r>
      </text>
    </comment>
    <comment ref="M22" authorId="0" shapeId="0" xr:uid="{00000000-0006-0000-0A00-00001E000000}">
      <text>
        <r>
          <rPr>
            <b/>
            <sz val="9"/>
            <color indexed="81"/>
            <rFont val="Tahoma"/>
            <family val="2"/>
          </rPr>
          <t>Visible evidence of a sagging structure or depression in the roof line, requiring removal and replacement</t>
        </r>
      </text>
    </comment>
    <comment ref="I23" authorId="0" shapeId="0" xr:uid="{00000000-0006-0000-0A00-00001F000000}">
      <text>
        <r>
          <rPr>
            <b/>
            <sz val="9"/>
            <color indexed="81"/>
            <rFont val="Tahoma"/>
            <family val="2"/>
          </rPr>
          <t>Evidence of a spongy / spalling deck from water intrusion - replacing the deck but not the beams.</t>
        </r>
      </text>
    </comment>
    <comment ref="K23" authorId="0" shapeId="0" xr:uid="{00000000-0006-0000-0A00-000020000000}">
      <text>
        <r>
          <rPr>
            <b/>
            <sz val="9"/>
            <color indexed="81"/>
            <rFont val="Tahoma"/>
            <family val="2"/>
          </rPr>
          <t>Visible evidence of a sagging structure or depression in the roof line, requiring removal and replacement.</t>
        </r>
      </text>
    </comment>
    <comment ref="M23" authorId="0" shapeId="0" xr:uid="{00000000-0006-0000-0A00-000021000000}">
      <text>
        <r>
          <rPr>
            <b/>
            <sz val="9"/>
            <color indexed="81"/>
            <rFont val="Tahoma"/>
            <family val="2"/>
          </rPr>
          <t>Visible evidence of a sagging structure or depression in the roof line, requiring removal and replacement</t>
        </r>
      </text>
    </comment>
    <comment ref="G25" authorId="0" shapeId="0" xr:uid="{00000000-0006-0000-0A00-000022000000}">
      <text>
        <r>
          <rPr>
            <b/>
            <sz val="9"/>
            <color indexed="81"/>
            <rFont val="Tahoma"/>
            <family val="2"/>
          </rPr>
          <t>Surface is in tact, but finish is deteriorated - paint.</t>
        </r>
      </text>
    </comment>
    <comment ref="I25" authorId="0" shapeId="0" xr:uid="{00000000-0006-0000-0A00-000023000000}">
      <text>
        <r>
          <rPr>
            <b/>
            <sz val="9"/>
            <color indexed="81"/>
            <rFont val="Tahoma"/>
            <family val="2"/>
          </rPr>
          <t>Cracks visible - route and patch prior to painting.</t>
        </r>
      </text>
    </comment>
    <comment ref="G26" authorId="0" shapeId="0" xr:uid="{00000000-0006-0000-0A00-000024000000}">
      <text>
        <r>
          <rPr>
            <b/>
            <sz val="9"/>
            <color indexed="81"/>
            <rFont val="Tahoma"/>
            <family val="2"/>
          </rPr>
          <t>Surface is in tact, but finish is deteriorated - paint.</t>
        </r>
      </text>
    </comment>
    <comment ref="I26" authorId="0" shapeId="0" xr:uid="{00000000-0006-0000-0A00-000025000000}">
      <text>
        <r>
          <rPr>
            <b/>
            <sz val="9"/>
            <color indexed="81"/>
            <rFont val="Tahoma"/>
            <family val="2"/>
          </rPr>
          <t>Some blocks are damaged, needing patch and repair prior to sealing or painting.</t>
        </r>
      </text>
    </comment>
    <comment ref="K26" authorId="0" shapeId="0" xr:uid="{00000000-0006-0000-0A00-000026000000}">
      <text>
        <r>
          <rPr>
            <b/>
            <sz val="9"/>
            <color indexed="81"/>
            <rFont val="Tahoma"/>
            <family val="2"/>
          </rPr>
          <t>There is evidence of settling, failure, or a compromised structure that requires removal and replacement.</t>
        </r>
      </text>
    </comment>
    <comment ref="M26" authorId="0" shapeId="0" xr:uid="{00000000-0006-0000-0A00-000027000000}">
      <text>
        <r>
          <rPr>
            <b/>
            <sz val="9"/>
            <color indexed="81"/>
            <rFont val="Tahoma"/>
            <family val="2"/>
          </rPr>
          <t>There is evidence of settling, failure, or a compromised structure that requires removal and replacement</t>
        </r>
      </text>
    </comment>
    <comment ref="G27" authorId="0" shapeId="0" xr:uid="{00000000-0006-0000-0A00-000028000000}">
      <text>
        <r>
          <rPr>
            <b/>
            <sz val="9"/>
            <color indexed="81"/>
            <rFont val="Tahoma"/>
            <family val="2"/>
          </rPr>
          <t>Surface is in tact, but finish is deteriorated - paint.</t>
        </r>
      </text>
    </comment>
    <comment ref="I27" authorId="0" shapeId="0" xr:uid="{00000000-0006-0000-0A00-000029000000}">
      <text>
        <r>
          <rPr>
            <b/>
            <sz val="9"/>
            <color indexed="81"/>
            <rFont val="Tahoma"/>
            <family val="2"/>
          </rPr>
          <t>A number of panels are damaged, requiring patch and repair prior to re-painting.</t>
        </r>
      </text>
    </comment>
    <comment ref="K27" authorId="0" shapeId="0" xr:uid="{00000000-0006-0000-0A00-00002A000000}">
      <text>
        <r>
          <rPr>
            <b/>
            <sz val="9"/>
            <color indexed="81"/>
            <rFont val="Tahoma"/>
            <family val="2"/>
          </rPr>
          <t>The panels are lifting or separating or otherwise losing their integrity - remove and replace.</t>
        </r>
      </text>
    </comment>
    <comment ref="M27" authorId="0" shapeId="0" xr:uid="{00000000-0006-0000-0A00-00002B000000}">
      <text>
        <r>
          <rPr>
            <b/>
            <sz val="9"/>
            <color indexed="81"/>
            <rFont val="Tahoma"/>
            <family val="2"/>
          </rPr>
          <t>The panels are lifting or separating or otherwise losing their integrity - remove and replace</t>
        </r>
      </text>
    </comment>
    <comment ref="G29" authorId="0" shapeId="0" xr:uid="{00000000-0006-0000-0A00-00002C000000}">
      <text>
        <r>
          <rPr>
            <b/>
            <sz val="9"/>
            <color indexed="81"/>
            <rFont val="Tahoma"/>
            <family val="2"/>
          </rPr>
          <t>Surface is in tact, but finish is deteriorated - paint.</t>
        </r>
      </text>
    </comment>
    <comment ref="I29" authorId="0" shapeId="0" xr:uid="{00000000-0006-0000-0A00-00002D000000}">
      <text>
        <r>
          <rPr>
            <b/>
            <sz val="9"/>
            <color indexed="81"/>
            <rFont val="Tahoma"/>
            <family val="2"/>
          </rPr>
          <t>Cracks visible - route and patch prior to painting.</t>
        </r>
      </text>
    </comment>
    <comment ref="K29" authorId="0" shapeId="0" xr:uid="{00000000-0006-0000-0A00-00002E000000}">
      <text>
        <r>
          <rPr>
            <b/>
            <sz val="9"/>
            <color indexed="81"/>
            <rFont val="Tahoma"/>
            <family val="2"/>
          </rPr>
          <t>System in failure with evidence of water intrusion - remove and replace.</t>
        </r>
      </text>
    </comment>
    <comment ref="M29" authorId="0" shapeId="0" xr:uid="{00000000-0006-0000-0A00-00002F000000}">
      <text>
        <r>
          <rPr>
            <b/>
            <sz val="9"/>
            <color indexed="81"/>
            <rFont val="Tahoma"/>
            <family val="2"/>
          </rPr>
          <t>System in failure with evidence of water intrusion - remove and replace</t>
        </r>
      </text>
    </comment>
    <comment ref="G30" authorId="0" shapeId="0" xr:uid="{00000000-0006-0000-0A00-000030000000}">
      <text>
        <r>
          <rPr>
            <b/>
            <sz val="9"/>
            <color indexed="81"/>
            <rFont val="Tahoma"/>
            <family val="2"/>
          </rPr>
          <t>Minor repairs needed to mortar, prep, and re-sealing.</t>
        </r>
      </text>
    </comment>
    <comment ref="I30" authorId="0" shapeId="0" xr:uid="{00000000-0006-0000-0A00-000031000000}">
      <text>
        <r>
          <rPr>
            <b/>
            <sz val="9"/>
            <color indexed="81"/>
            <rFont val="Tahoma"/>
            <family val="2"/>
          </rPr>
          <t>Mortar missing in a majority of areas requiring complete re-pointing and sealing.</t>
        </r>
      </text>
    </comment>
    <comment ref="K30" authorId="0" shapeId="0" xr:uid="{00000000-0006-0000-0A00-000032000000}">
      <text>
        <r>
          <rPr>
            <b/>
            <sz val="9"/>
            <color indexed="81"/>
            <rFont val="Tahoma"/>
            <family val="2"/>
          </rPr>
          <t>Masonry visibly damaged and requiring removal and replacement.</t>
        </r>
      </text>
    </comment>
    <comment ref="M30" authorId="0" shapeId="0" xr:uid="{00000000-0006-0000-0A00-000033000000}">
      <text>
        <r>
          <rPr>
            <b/>
            <sz val="9"/>
            <color indexed="81"/>
            <rFont val="Tahoma"/>
            <family val="2"/>
          </rPr>
          <t>Masonry visibly damaged and requiring removal and replacement</t>
        </r>
      </text>
    </comment>
    <comment ref="G31" authorId="0" shapeId="0" xr:uid="{00000000-0006-0000-0A00-000034000000}">
      <text>
        <r>
          <rPr>
            <b/>
            <sz val="9"/>
            <color indexed="81"/>
            <rFont val="Tahoma"/>
            <family val="2"/>
          </rPr>
          <t>The glazing is double pane, but is broken or fogged and requires replacement.</t>
        </r>
      </text>
    </comment>
    <comment ref="I31" authorId="0" shapeId="0" xr:uid="{00000000-0006-0000-0A00-000035000000}">
      <text>
        <r>
          <rPr>
            <b/>
            <sz val="9"/>
            <color indexed="81"/>
            <rFont val="Tahoma"/>
            <family val="2"/>
          </rPr>
          <t>The glazing is single pane or the sash is damaged - either requires replacement of the sash and its glazing.</t>
        </r>
      </text>
    </comment>
    <comment ref="K31" authorId="0" shapeId="0" xr:uid="{00000000-0006-0000-0A00-000036000000}">
      <text>
        <r>
          <rPr>
            <b/>
            <sz val="9"/>
            <color indexed="81"/>
            <rFont val="Tahoma"/>
            <family val="2"/>
          </rPr>
          <t>The structural integrity of the frame is damaged, requiring the full replacement of the window unit.</t>
        </r>
      </text>
    </comment>
    <comment ref="M31" authorId="0" shapeId="0" xr:uid="{00000000-0006-0000-0A00-000037000000}">
      <text>
        <r>
          <rPr>
            <b/>
            <sz val="9"/>
            <color indexed="81"/>
            <rFont val="Tahoma"/>
            <family val="2"/>
          </rPr>
          <t>The structural integrity of the frame is damaged, requiring the full replacement of the window unit</t>
        </r>
      </text>
    </comment>
    <comment ref="D32" authorId="0" shapeId="0" xr:uid="{00000000-0006-0000-0A00-000038000000}">
      <text>
        <r>
          <rPr>
            <b/>
            <sz val="9"/>
            <color indexed="81"/>
            <rFont val="Tahoma"/>
            <family val="2"/>
          </rPr>
          <t>This assumes both individual aluminum windows and storefront systems.</t>
        </r>
      </text>
    </comment>
    <comment ref="G32" authorId="0" shapeId="0" xr:uid="{00000000-0006-0000-0A00-000039000000}">
      <text>
        <r>
          <rPr>
            <b/>
            <sz val="9"/>
            <color indexed="81"/>
            <rFont val="Tahoma"/>
            <family val="2"/>
          </rPr>
          <t>The glazing is double pane, but is broken or fogged and requires replacement.</t>
        </r>
      </text>
    </comment>
    <comment ref="I32" authorId="0" shapeId="0" xr:uid="{00000000-0006-0000-0A00-00003A000000}">
      <text>
        <r>
          <rPr>
            <b/>
            <sz val="9"/>
            <color indexed="81"/>
            <rFont val="Tahoma"/>
            <family val="2"/>
          </rPr>
          <t>The glazing is single pane or the sash is damaged - either requires replacement of the sash and its glazing.</t>
        </r>
      </text>
    </comment>
    <comment ref="K32" authorId="0" shapeId="0" xr:uid="{00000000-0006-0000-0A00-00003B000000}">
      <text>
        <r>
          <rPr>
            <b/>
            <sz val="9"/>
            <color indexed="81"/>
            <rFont val="Tahoma"/>
            <family val="2"/>
          </rPr>
          <t>The structural integrity of the frame is damaged, requiring the full replacement of the window unit.</t>
        </r>
      </text>
    </comment>
    <comment ref="M32" authorId="0" shapeId="0" xr:uid="{00000000-0006-0000-0A00-00003C000000}">
      <text>
        <r>
          <rPr>
            <b/>
            <sz val="9"/>
            <color indexed="81"/>
            <rFont val="Tahoma"/>
            <family val="2"/>
          </rPr>
          <t>The structural integrity of the frame is damaged, requiring the full replacement of the window unit</t>
        </r>
      </text>
    </comment>
    <comment ref="D33" authorId="0" shapeId="0" xr:uid="{00000000-0006-0000-0A00-00003D000000}">
      <text>
        <r>
          <rPr>
            <b/>
            <sz val="9"/>
            <color indexed="81"/>
            <rFont val="Tahoma"/>
            <family val="2"/>
          </rPr>
          <t>This assumes a metal windows system clad with wood or vinyl.</t>
        </r>
      </text>
    </comment>
    <comment ref="G33" authorId="0" shapeId="0" xr:uid="{00000000-0006-0000-0A00-00003E000000}">
      <text>
        <r>
          <rPr>
            <b/>
            <sz val="9"/>
            <color indexed="81"/>
            <rFont val="Tahoma"/>
            <family val="2"/>
          </rPr>
          <t>The glazing is double pane, but is broken or fogged and requires replacement.</t>
        </r>
      </text>
    </comment>
    <comment ref="I33" authorId="0" shapeId="0" xr:uid="{00000000-0006-0000-0A00-00003F000000}">
      <text>
        <r>
          <rPr>
            <b/>
            <sz val="9"/>
            <color indexed="81"/>
            <rFont val="Tahoma"/>
            <family val="2"/>
          </rPr>
          <t>The glazing is single pane or the sash is damaged - either requires replacement of the sash and its glazing.</t>
        </r>
      </text>
    </comment>
    <comment ref="K33" authorId="0" shapeId="0" xr:uid="{00000000-0006-0000-0A00-000040000000}">
      <text>
        <r>
          <rPr>
            <b/>
            <sz val="9"/>
            <color indexed="81"/>
            <rFont val="Tahoma"/>
            <family val="2"/>
          </rPr>
          <t>The structural integrity of the frame is damaged, requiring the full replacement of the window unit.</t>
        </r>
      </text>
    </comment>
    <comment ref="M33" authorId="0" shapeId="0" xr:uid="{00000000-0006-0000-0A00-000041000000}">
      <text>
        <r>
          <rPr>
            <b/>
            <sz val="9"/>
            <color indexed="81"/>
            <rFont val="Tahoma"/>
            <family val="2"/>
          </rPr>
          <t>The structural integrity of the frame is damaged, requiring the full replacement of the window unit</t>
        </r>
      </text>
    </comment>
    <comment ref="G34" authorId="0" shapeId="0" xr:uid="{00000000-0006-0000-0A00-000042000000}">
      <text>
        <r>
          <rPr>
            <b/>
            <sz val="9"/>
            <color indexed="81"/>
            <rFont val="Tahoma"/>
            <family val="2"/>
          </rPr>
          <t>Minor leaks at wall seams - re-caulk and re-seal.</t>
        </r>
      </text>
    </comment>
    <comment ref="I34" authorId="0" shapeId="0" xr:uid="{00000000-0006-0000-0A00-000043000000}">
      <text>
        <r>
          <rPr>
            <b/>
            <sz val="9"/>
            <color indexed="81"/>
            <rFont val="Tahoma"/>
            <family val="2"/>
          </rPr>
          <t>Window panels fogged and require replacement.</t>
        </r>
      </text>
    </comment>
    <comment ref="K34" authorId="0" shapeId="0" xr:uid="{00000000-0006-0000-0A00-000044000000}">
      <text>
        <r>
          <rPr>
            <b/>
            <sz val="9"/>
            <color indexed="81"/>
            <rFont val="Tahoma"/>
            <family val="2"/>
          </rPr>
          <t>Settlement or displacement is evident.</t>
        </r>
      </text>
    </comment>
    <comment ref="M34" authorId="0" shapeId="0" xr:uid="{00000000-0006-0000-0A00-000045000000}">
      <text>
        <r>
          <rPr>
            <b/>
            <sz val="9"/>
            <color indexed="81"/>
            <rFont val="Tahoma"/>
            <family val="2"/>
          </rPr>
          <t>Settlement or displacement is evident</t>
        </r>
      </text>
    </comment>
    <comment ref="G35" authorId="0" shapeId="0" xr:uid="{00000000-0006-0000-0A00-000046000000}">
      <text>
        <r>
          <rPr>
            <b/>
            <sz val="9"/>
            <color indexed="81"/>
            <rFont val="Tahoma"/>
            <family val="2"/>
          </rPr>
          <t>Door hardware is damaged or non-functional and requires replacement.</t>
        </r>
      </text>
    </comment>
    <comment ref="I35" authorId="0" shapeId="0" xr:uid="{00000000-0006-0000-0A00-000047000000}">
      <text>
        <r>
          <rPr>
            <b/>
            <sz val="9"/>
            <color indexed="81"/>
            <rFont val="Tahoma"/>
            <family val="2"/>
          </rPr>
          <t xml:space="preserve">Door panel and hardware are damaged and require replacement.
</t>
        </r>
      </text>
    </comment>
    <comment ref="K35" authorId="0" shapeId="0" xr:uid="{00000000-0006-0000-0A00-000048000000}">
      <text>
        <r>
          <rPr>
            <b/>
            <sz val="9"/>
            <color indexed="81"/>
            <rFont val="Tahoma"/>
            <family val="2"/>
          </rPr>
          <t>Door frame, door, and hardware are damaged and require replacement.</t>
        </r>
      </text>
    </comment>
    <comment ref="M35" authorId="0" shapeId="0" xr:uid="{00000000-0006-0000-0A00-000049000000}">
      <text>
        <r>
          <rPr>
            <b/>
            <sz val="9"/>
            <color indexed="81"/>
            <rFont val="Tahoma"/>
            <family val="2"/>
          </rPr>
          <t>Door frame, door, and hardware are damaged and require replacement</t>
        </r>
      </text>
    </comment>
    <comment ref="G36" authorId="0" shapeId="0" xr:uid="{00000000-0006-0000-0A00-00004A000000}">
      <text>
        <r>
          <rPr>
            <b/>
            <sz val="9"/>
            <color indexed="81"/>
            <rFont val="Tahoma"/>
            <family val="2"/>
          </rPr>
          <t>Door hardware is damaged or non-functional and requires replacement.</t>
        </r>
      </text>
    </comment>
    <comment ref="I36" authorId="0" shapeId="0" xr:uid="{00000000-0006-0000-0A00-00004B000000}">
      <text>
        <r>
          <rPr>
            <b/>
            <sz val="9"/>
            <color indexed="81"/>
            <rFont val="Tahoma"/>
            <family val="2"/>
          </rPr>
          <t xml:space="preserve">Door panel and hardware are damaged and require replacement.
</t>
        </r>
      </text>
    </comment>
    <comment ref="K36" authorId="0" shapeId="0" xr:uid="{00000000-0006-0000-0A00-00004C000000}">
      <text>
        <r>
          <rPr>
            <b/>
            <sz val="9"/>
            <color indexed="81"/>
            <rFont val="Tahoma"/>
            <family val="2"/>
          </rPr>
          <t>Door frame, door, and hardware are damaged and require replacement.</t>
        </r>
      </text>
    </comment>
    <comment ref="M36" authorId="0" shapeId="0" xr:uid="{00000000-0006-0000-0A00-00004D000000}">
      <text>
        <r>
          <rPr>
            <b/>
            <sz val="9"/>
            <color indexed="81"/>
            <rFont val="Tahoma"/>
            <family val="2"/>
          </rPr>
          <t>Door frame, door, and hardware are damaged and require replacement</t>
        </r>
      </text>
    </comment>
    <comment ref="G37" authorId="0" shapeId="0" xr:uid="{00000000-0006-0000-0A00-00004E000000}">
      <text>
        <r>
          <rPr>
            <b/>
            <sz val="9"/>
            <color indexed="81"/>
            <rFont val="Tahoma"/>
            <family val="2"/>
          </rPr>
          <t>Door hardware is damaged or non-functional and requires replacement.</t>
        </r>
      </text>
    </comment>
    <comment ref="I37" authorId="0" shapeId="0" xr:uid="{00000000-0006-0000-0A00-00004F000000}">
      <text>
        <r>
          <rPr>
            <b/>
            <sz val="9"/>
            <color indexed="81"/>
            <rFont val="Tahoma"/>
            <family val="2"/>
          </rPr>
          <t xml:space="preserve">Door panel and hardware are damaged and require replacement.
</t>
        </r>
      </text>
    </comment>
    <comment ref="K37" authorId="0" shapeId="0" xr:uid="{00000000-0006-0000-0A00-000050000000}">
      <text>
        <r>
          <rPr>
            <b/>
            <sz val="9"/>
            <color indexed="81"/>
            <rFont val="Tahoma"/>
            <family val="2"/>
          </rPr>
          <t>Door frame, door, and hardware are damaged and require replacement.</t>
        </r>
      </text>
    </comment>
    <comment ref="M37" authorId="0" shapeId="0" xr:uid="{00000000-0006-0000-0A00-000051000000}">
      <text>
        <r>
          <rPr>
            <b/>
            <sz val="9"/>
            <color indexed="81"/>
            <rFont val="Tahoma"/>
            <family val="2"/>
          </rPr>
          <t>Door frame, door, and hardware are damaged and require replacement</t>
        </r>
      </text>
    </comment>
    <comment ref="C39" authorId="0" shapeId="0" xr:uid="{00000000-0006-0000-0A00-000052000000}">
      <text>
        <r>
          <rPr>
            <b/>
            <sz val="9"/>
            <color indexed="81"/>
            <rFont val="Tahoma"/>
            <family val="2"/>
          </rPr>
          <t>Assumes the insulation, roof covering, and associated flashings, gutters, and downspouts.</t>
        </r>
      </text>
    </comment>
    <comment ref="E39" authorId="0" shapeId="0" xr:uid="{00000000-0006-0000-0A00-000053000000}">
      <text>
        <r>
          <rPr>
            <b/>
            <sz val="9"/>
            <color indexed="81"/>
            <rFont val="Tahoma"/>
            <family val="2"/>
          </rPr>
          <t>Small number of shingles lifting and/or separation in a portion of flashing</t>
        </r>
      </text>
    </comment>
    <comment ref="G39" authorId="0" shapeId="0" xr:uid="{00000000-0006-0000-0A00-000054000000}">
      <text>
        <r>
          <rPr>
            <b/>
            <sz val="9"/>
            <color indexed="81"/>
            <rFont val="Tahoma"/>
            <family val="2"/>
          </rPr>
          <t>Leaks in a specific area or zone related to poor detailing and / or flashing.</t>
        </r>
      </text>
    </comment>
    <comment ref="I39" authorId="0" shapeId="0" xr:uid="{00000000-0006-0000-0A00-000055000000}">
      <text>
        <r>
          <rPr>
            <b/>
            <sz val="9"/>
            <color indexed="81"/>
            <rFont val="Tahoma"/>
            <family val="2"/>
          </rPr>
          <t>System in complete failure with multiple leaks and multiple examples of visible breaches in system - Replace roof system OVER TOP OF EXISTING.</t>
        </r>
      </text>
    </comment>
    <comment ref="K39" authorId="0" shapeId="0" xr:uid="{00000000-0006-0000-0A00-000056000000}">
      <text>
        <r>
          <rPr>
            <b/>
            <sz val="9"/>
            <color indexed="81"/>
            <rFont val="Tahoma"/>
            <family val="2"/>
          </rPr>
          <t>System in complete failure with multiple leaks and multiple examples of visible breaches in system - REMOVE AND Replace roof system.</t>
        </r>
      </text>
    </comment>
    <comment ref="M39" authorId="0" shapeId="0" xr:uid="{00000000-0006-0000-0A00-000057000000}">
      <text>
        <r>
          <rPr>
            <b/>
            <sz val="9"/>
            <color indexed="81"/>
            <rFont val="Tahoma"/>
            <family val="2"/>
          </rPr>
          <t>System in complete failure with multiple leaks and multiple examples of visible breaches in system - REMOVE AND Replace roof system</t>
        </r>
      </text>
    </comment>
    <comment ref="E40" authorId="0" shapeId="0" xr:uid="{00000000-0006-0000-0A00-000058000000}">
      <text>
        <r>
          <rPr>
            <b/>
            <sz val="9"/>
            <color indexed="81"/>
            <rFont val="Tahoma"/>
            <family val="2"/>
          </rPr>
          <t>Minor blistering requiring isolated patches</t>
        </r>
      </text>
    </comment>
    <comment ref="G40" authorId="0" shapeId="0" xr:uid="{00000000-0006-0000-0A00-000059000000}">
      <text>
        <r>
          <rPr>
            <b/>
            <sz val="9"/>
            <color indexed="81"/>
            <rFont val="Tahoma"/>
            <family val="2"/>
          </rPr>
          <t>Leaks in a specific area or zone related to poor detailing and / or flashing or unchecked blisters.</t>
        </r>
      </text>
    </comment>
    <comment ref="I40" authorId="0" shapeId="0" xr:uid="{00000000-0006-0000-0A00-00005A000000}">
      <text>
        <r>
          <rPr>
            <b/>
            <sz val="9"/>
            <color indexed="81"/>
            <rFont val="Tahoma"/>
            <family val="2"/>
          </rPr>
          <t>System in complete failure with multiple leaks and multiple examples of visible breaches in system - Replace roof system OVER TOP OF EXISTING.</t>
        </r>
      </text>
    </comment>
    <comment ref="K40" authorId="0" shapeId="0" xr:uid="{00000000-0006-0000-0A00-00005B000000}">
      <text>
        <r>
          <rPr>
            <b/>
            <sz val="9"/>
            <color indexed="81"/>
            <rFont val="Tahoma"/>
            <family val="2"/>
          </rPr>
          <t>System in complete failure with multiple leaks and multiple examples of visible breaches in system - REMOVE AND Replace roof system.</t>
        </r>
      </text>
    </comment>
    <comment ref="M40" authorId="0" shapeId="0" xr:uid="{00000000-0006-0000-0A00-00005C000000}">
      <text>
        <r>
          <rPr>
            <b/>
            <sz val="9"/>
            <color indexed="81"/>
            <rFont val="Tahoma"/>
            <family val="2"/>
          </rPr>
          <t>System in complete failure with multiple leaks and multiple examples of visible breaches in system - REMOVE AND Replace roof system</t>
        </r>
      </text>
    </comment>
    <comment ref="E41" authorId="0" shapeId="0" xr:uid="{00000000-0006-0000-0A00-00005D000000}">
      <text>
        <r>
          <rPr>
            <b/>
            <sz val="9"/>
            <color indexed="81"/>
            <rFont val="Tahoma"/>
            <family val="2"/>
          </rPr>
          <t>Minor blistering requiring isolated patches</t>
        </r>
      </text>
    </comment>
    <comment ref="G41" authorId="0" shapeId="0" xr:uid="{00000000-0006-0000-0A00-00005E000000}">
      <text>
        <r>
          <rPr>
            <b/>
            <sz val="9"/>
            <color indexed="81"/>
            <rFont val="Tahoma"/>
            <family val="2"/>
          </rPr>
          <t>Leaks in a specific area or zone related to poor detailing and / or flashing or seam separation.</t>
        </r>
      </text>
    </comment>
    <comment ref="I41" authorId="0" shapeId="0" xr:uid="{00000000-0006-0000-0A00-00005F000000}">
      <text>
        <r>
          <rPr>
            <b/>
            <sz val="9"/>
            <color indexed="81"/>
            <rFont val="Tahoma"/>
            <family val="2"/>
          </rPr>
          <t>System in complete failure with multiple leaks and multiple examples of visible breaches in system - Prep and re-coat roof system OVER TOP OF EXISTING.</t>
        </r>
      </text>
    </comment>
    <comment ref="K41" authorId="0" shapeId="0" xr:uid="{00000000-0006-0000-0A00-000060000000}">
      <text>
        <r>
          <rPr>
            <b/>
            <sz val="9"/>
            <color indexed="81"/>
            <rFont val="Tahoma"/>
            <family val="2"/>
          </rPr>
          <t>System in complete failure with multiple leaks and multiple examples of visible breaches in system - REMOVE AND Replace roof system.</t>
        </r>
      </text>
    </comment>
    <comment ref="M41" authorId="0" shapeId="0" xr:uid="{00000000-0006-0000-0A00-000061000000}">
      <text>
        <r>
          <rPr>
            <b/>
            <sz val="9"/>
            <color indexed="81"/>
            <rFont val="Tahoma"/>
            <family val="2"/>
          </rPr>
          <t>System in complete failure with multiple leaks and multiple examples of visible breaches in system - REMOVE AND Replace roof system</t>
        </r>
      </text>
    </comment>
    <comment ref="G42" authorId="0" shapeId="0" xr:uid="{00000000-0006-0000-0A00-000062000000}">
      <text>
        <r>
          <rPr>
            <b/>
            <sz val="9"/>
            <color indexed="81"/>
            <rFont val="Tahoma"/>
            <family val="2"/>
          </rPr>
          <t>Leaks are occurring and flashing at seams or transitions has separated requiring replacement of flashing and sealant.</t>
        </r>
      </text>
    </comment>
    <comment ref="K42" authorId="0" shapeId="0" xr:uid="{00000000-0006-0000-0A00-000063000000}">
      <text>
        <r>
          <rPr>
            <b/>
            <sz val="9"/>
            <color indexed="81"/>
            <rFont val="Tahoma"/>
            <family val="2"/>
          </rPr>
          <t>Panels have lifted or separated and water intrusion is evident.  Remove and replace panels and associated flashing.</t>
        </r>
      </text>
    </comment>
    <comment ref="M42" authorId="0" shapeId="0" xr:uid="{00000000-0006-0000-0A00-000064000000}">
      <text>
        <r>
          <rPr>
            <b/>
            <sz val="9"/>
            <color indexed="81"/>
            <rFont val="Tahoma"/>
            <family val="2"/>
          </rPr>
          <t>Panels have lifted or separated and water intrusion is evident.  Remove and replace panels and associated flashing</t>
        </r>
      </text>
    </comment>
    <comment ref="G43" authorId="0" shapeId="0" xr:uid="{00000000-0006-0000-0A00-000065000000}">
      <text>
        <r>
          <rPr>
            <b/>
            <sz val="9"/>
            <color indexed="81"/>
            <rFont val="Tahoma"/>
            <family val="2"/>
          </rPr>
          <t>Leaks occurring at isolated areas requiring grout removal and re-grout at isolated tile locations.</t>
        </r>
      </text>
    </comment>
    <comment ref="K43" authorId="0" shapeId="0" xr:uid="{00000000-0006-0000-0A00-000066000000}">
      <text>
        <r>
          <rPr>
            <b/>
            <sz val="9"/>
            <color indexed="81"/>
            <rFont val="Tahoma"/>
            <family val="2"/>
          </rPr>
          <t>Tiles are cracked, loose, or damaged and require removal and replacement.</t>
        </r>
      </text>
    </comment>
    <comment ref="M43" authorId="0" shapeId="0" xr:uid="{00000000-0006-0000-0A00-000067000000}">
      <text>
        <r>
          <rPr>
            <b/>
            <sz val="9"/>
            <color indexed="81"/>
            <rFont val="Tahoma"/>
            <family val="2"/>
          </rPr>
          <t>Tiles are cracked, loose, or damaged and require removal and replacement</t>
        </r>
      </text>
    </comment>
    <comment ref="G44" authorId="0" shapeId="0" xr:uid="{00000000-0006-0000-0A00-000068000000}">
      <text>
        <r>
          <rPr>
            <b/>
            <sz val="9"/>
            <color indexed="81"/>
            <rFont val="Tahoma"/>
            <family val="2"/>
          </rPr>
          <t>Minor leaking is occurring, requiring re-caulk and re-seal.</t>
        </r>
      </text>
    </comment>
    <comment ref="K44" authorId="0" shapeId="0" xr:uid="{00000000-0006-0000-0A00-000069000000}">
      <text>
        <r>
          <rPr>
            <b/>
            <sz val="9"/>
            <color indexed="81"/>
            <rFont val="Tahoma"/>
            <family val="2"/>
          </rPr>
          <t>The panes or framing are damaged beyond repair and requires replacement.</t>
        </r>
      </text>
    </comment>
    <comment ref="M44" authorId="0" shapeId="0" xr:uid="{00000000-0006-0000-0A00-00006A000000}">
      <text>
        <r>
          <rPr>
            <b/>
            <sz val="9"/>
            <color indexed="81"/>
            <rFont val="Tahoma"/>
            <family val="2"/>
          </rPr>
          <t>The panes or framing are damaged beyond repair and requires replacement</t>
        </r>
      </text>
    </comment>
    <comment ref="K45" authorId="0" shapeId="0" xr:uid="{00000000-0006-0000-0A00-00006B000000}">
      <text>
        <r>
          <rPr>
            <b/>
            <sz val="9"/>
            <color indexed="81"/>
            <rFont val="Tahoma"/>
            <family val="2"/>
          </rPr>
          <t>The door is non-functional or damaged beyond repair and requires replacement.</t>
        </r>
      </text>
    </comment>
    <comment ref="M45" authorId="0" shapeId="0" xr:uid="{00000000-0006-0000-0A00-00006C000000}">
      <text>
        <r>
          <rPr>
            <b/>
            <sz val="9"/>
            <color indexed="81"/>
            <rFont val="Tahoma"/>
            <family val="2"/>
          </rPr>
          <t>The door is non-functional or damaged beyond repair and requires replacement</t>
        </r>
      </text>
    </comment>
    <comment ref="K48" authorId="0" shapeId="0" xr:uid="{00000000-0006-0000-0A00-00006D000000}">
      <text>
        <r>
          <rPr>
            <b/>
            <sz val="9"/>
            <color indexed="81"/>
            <rFont val="Tahoma"/>
            <family val="2"/>
          </rPr>
          <t>There is evidence of settling, failure, or a compromised structure that requires removal and replacement.</t>
        </r>
      </text>
    </comment>
    <comment ref="M48" authorId="0" shapeId="0" xr:uid="{00000000-0006-0000-0A00-00006E000000}">
      <text>
        <r>
          <rPr>
            <b/>
            <sz val="9"/>
            <color indexed="81"/>
            <rFont val="Tahoma"/>
            <family val="2"/>
          </rPr>
          <t>There is evidence of settling, failure, or a compromised structure that requires removal and replacement</t>
        </r>
      </text>
    </comment>
    <comment ref="I49" authorId="0" shapeId="0" xr:uid="{00000000-0006-0000-0A00-00006F000000}">
      <text>
        <r>
          <rPr>
            <b/>
            <sz val="9"/>
            <color indexed="81"/>
            <rFont val="Tahoma"/>
            <family val="2"/>
          </rPr>
          <t>There are some blocks that are damaged and requires a strategic removal and replacement.</t>
        </r>
      </text>
    </comment>
    <comment ref="K49" authorId="0" shapeId="0" xr:uid="{00000000-0006-0000-0A00-000070000000}">
      <text>
        <r>
          <rPr>
            <b/>
            <sz val="9"/>
            <color indexed="81"/>
            <rFont val="Tahoma"/>
            <family val="2"/>
          </rPr>
          <t>There is evidence of settling, failure, or a compromised structure that requires removal and replacement.</t>
        </r>
      </text>
    </comment>
    <comment ref="M49" authorId="0" shapeId="0" xr:uid="{00000000-0006-0000-0A00-000071000000}">
      <text>
        <r>
          <rPr>
            <b/>
            <sz val="9"/>
            <color indexed="81"/>
            <rFont val="Tahoma"/>
            <family val="2"/>
          </rPr>
          <t>There is evidence of settling, failure, or a compromised structure that requires removal and replacement</t>
        </r>
      </text>
    </comment>
    <comment ref="G50" authorId="0" shapeId="0" xr:uid="{00000000-0006-0000-0A00-000072000000}">
      <text>
        <r>
          <rPr>
            <b/>
            <sz val="9"/>
            <color indexed="81"/>
            <rFont val="Tahoma"/>
            <family val="2"/>
          </rPr>
          <t>Door hardware is damaged or non-functional and requires replacement.</t>
        </r>
      </text>
    </comment>
    <comment ref="I50" authorId="0" shapeId="0" xr:uid="{00000000-0006-0000-0A00-000073000000}">
      <text>
        <r>
          <rPr>
            <b/>
            <sz val="9"/>
            <color indexed="81"/>
            <rFont val="Tahoma"/>
            <family val="2"/>
          </rPr>
          <t xml:space="preserve">Door panel and hardware are damaged and require replacement.
</t>
        </r>
      </text>
    </comment>
    <comment ref="K50" authorId="0" shapeId="0" xr:uid="{00000000-0006-0000-0A00-000074000000}">
      <text>
        <r>
          <rPr>
            <b/>
            <sz val="9"/>
            <color indexed="81"/>
            <rFont val="Tahoma"/>
            <family val="2"/>
          </rPr>
          <t>Door frame, door, and hardware are damaged and require replacement.</t>
        </r>
      </text>
    </comment>
    <comment ref="M50" authorId="0" shapeId="0" xr:uid="{00000000-0006-0000-0A00-000075000000}">
      <text>
        <r>
          <rPr>
            <b/>
            <sz val="9"/>
            <color indexed="81"/>
            <rFont val="Tahoma"/>
            <family val="2"/>
          </rPr>
          <t>Door frame, door, and hardware are damaged and require replacement</t>
        </r>
      </text>
    </comment>
    <comment ref="G51" authorId="0" shapeId="0" xr:uid="{00000000-0006-0000-0A00-000076000000}">
      <text>
        <r>
          <rPr>
            <b/>
            <sz val="9"/>
            <color indexed="81"/>
            <rFont val="Tahoma"/>
            <family val="2"/>
          </rPr>
          <t>Door hardware is damaged or non-functional and requires replacement.</t>
        </r>
      </text>
    </comment>
    <comment ref="I51" authorId="0" shapeId="0" xr:uid="{00000000-0006-0000-0A00-000077000000}">
      <text>
        <r>
          <rPr>
            <b/>
            <sz val="9"/>
            <color indexed="81"/>
            <rFont val="Tahoma"/>
            <family val="2"/>
          </rPr>
          <t xml:space="preserve">Door panel and hardware are damaged and require replacement.
</t>
        </r>
      </text>
    </comment>
    <comment ref="K51" authorId="0" shapeId="0" xr:uid="{00000000-0006-0000-0A00-000078000000}">
      <text>
        <r>
          <rPr>
            <b/>
            <sz val="9"/>
            <color indexed="81"/>
            <rFont val="Tahoma"/>
            <family val="2"/>
          </rPr>
          <t>Door frame, door, and hardware are damaged and require replacement.</t>
        </r>
      </text>
    </comment>
    <comment ref="M51" authorId="0" shapeId="0" xr:uid="{00000000-0006-0000-0A00-000079000000}">
      <text>
        <r>
          <rPr>
            <b/>
            <sz val="9"/>
            <color indexed="81"/>
            <rFont val="Tahoma"/>
            <family val="2"/>
          </rPr>
          <t>Door frame, door, and hardware are damaged and require replacement</t>
        </r>
      </text>
    </comment>
    <comment ref="I54" authorId="0" shapeId="0" xr:uid="{00000000-0006-0000-0A00-00007A000000}">
      <text>
        <r>
          <rPr>
            <b/>
            <sz val="9"/>
            <color indexed="81"/>
            <rFont val="Tahoma"/>
            <family val="2"/>
          </rPr>
          <t>Rails not compliant with code and require removal and replacement.</t>
        </r>
      </text>
    </comment>
    <comment ref="K54" authorId="0" shapeId="0" xr:uid="{00000000-0006-0000-0A00-00007B000000}">
      <text>
        <r>
          <rPr>
            <b/>
            <sz val="9"/>
            <color indexed="81"/>
            <rFont val="Tahoma"/>
            <family val="2"/>
          </rPr>
          <t>Structural integrity of stair unit is compromised and requires its removal and replacement.</t>
        </r>
      </text>
    </comment>
    <comment ref="M54" authorId="0" shapeId="0" xr:uid="{00000000-0006-0000-0A00-00007C000000}">
      <text>
        <r>
          <rPr>
            <b/>
            <sz val="9"/>
            <color indexed="81"/>
            <rFont val="Tahoma"/>
            <family val="2"/>
          </rPr>
          <t>Structural integrity of stair unit is compromised and requires its removal and replacement</t>
        </r>
      </text>
    </comment>
    <comment ref="E55" authorId="0" shapeId="0" xr:uid="{00000000-0006-0000-0A00-00007D000000}">
      <text>
        <r>
          <rPr>
            <b/>
            <sz val="9"/>
            <color indexed="81"/>
            <rFont val="Tahoma"/>
            <family val="2"/>
          </rPr>
          <t>Rust visible - prep and re-finish.</t>
        </r>
      </text>
    </comment>
    <comment ref="I55" authorId="0" shapeId="0" xr:uid="{00000000-0006-0000-0A00-00007E000000}">
      <text>
        <r>
          <rPr>
            <b/>
            <sz val="9"/>
            <color indexed="81"/>
            <rFont val="Tahoma"/>
            <family val="2"/>
          </rPr>
          <t>Rails not compliant with code and require removal and replacement.</t>
        </r>
      </text>
    </comment>
    <comment ref="K55" authorId="0" shapeId="0" xr:uid="{00000000-0006-0000-0A00-00007F000000}">
      <text>
        <r>
          <rPr>
            <b/>
            <sz val="9"/>
            <color indexed="81"/>
            <rFont val="Tahoma"/>
            <family val="2"/>
          </rPr>
          <t>Structural integrity of stair unit is compromised and requires its removal and replacement.</t>
        </r>
      </text>
    </comment>
    <comment ref="M55" authorId="0" shapeId="0" xr:uid="{00000000-0006-0000-0A00-000080000000}">
      <text>
        <r>
          <rPr>
            <b/>
            <sz val="9"/>
            <color indexed="81"/>
            <rFont val="Tahoma"/>
            <family val="2"/>
          </rPr>
          <t>Structural integrity of stair unit is compromised and requires its removal and replacement</t>
        </r>
      </text>
    </comment>
    <comment ref="I56" authorId="0" shapeId="0" xr:uid="{00000000-0006-0000-0A00-000081000000}">
      <text>
        <r>
          <rPr>
            <b/>
            <sz val="9"/>
            <color indexed="81"/>
            <rFont val="Tahoma"/>
            <family val="2"/>
          </rPr>
          <t>An isolated structural crack or separation requiring re-enforcement in place.</t>
        </r>
      </text>
    </comment>
    <comment ref="K56" authorId="0" shapeId="0" xr:uid="{00000000-0006-0000-0A00-000082000000}">
      <text>
        <r>
          <rPr>
            <b/>
            <sz val="9"/>
            <color indexed="81"/>
            <rFont val="Tahoma"/>
            <family val="2"/>
          </rPr>
          <t>Structural cracking and separation occurring in multiple locations - remove and replace the stair unit.</t>
        </r>
      </text>
    </comment>
    <comment ref="M56" authorId="0" shapeId="0" xr:uid="{00000000-0006-0000-0A00-000083000000}">
      <text>
        <r>
          <rPr>
            <b/>
            <sz val="9"/>
            <color indexed="81"/>
            <rFont val="Tahoma"/>
            <family val="2"/>
          </rPr>
          <t>Structural cracking and separation occurring in multiple locations - remove and replace the stair unit</t>
        </r>
      </text>
    </comment>
    <comment ref="E57" authorId="0" shapeId="0" xr:uid="{00000000-0006-0000-0A00-000084000000}">
      <text>
        <r>
          <rPr>
            <b/>
            <sz val="9"/>
            <color indexed="81"/>
            <rFont val="Tahoma"/>
            <family val="2"/>
          </rPr>
          <t>Surface feels rough and/or taking in moisture from the surface resulting in staining - prep and re-seal.</t>
        </r>
      </text>
    </comment>
    <comment ref="K57" authorId="0" shapeId="0" xr:uid="{00000000-0006-0000-0A00-000085000000}">
      <text>
        <r>
          <rPr>
            <b/>
            <sz val="9"/>
            <color indexed="81"/>
            <rFont val="Tahoma"/>
            <family val="2"/>
          </rPr>
          <t>Severe cracking requiring removal and replacement of tread in fills.</t>
        </r>
      </text>
    </comment>
    <comment ref="M57" authorId="0" shapeId="0" xr:uid="{00000000-0006-0000-0A00-000086000000}">
      <text>
        <r>
          <rPr>
            <b/>
            <sz val="9"/>
            <color indexed="81"/>
            <rFont val="Tahoma"/>
            <family val="2"/>
          </rPr>
          <t>Severe cracking requiring removal and replacement of tread in fills</t>
        </r>
      </text>
    </comment>
    <comment ref="K58" authorId="0" shapeId="0" xr:uid="{00000000-0006-0000-0A00-000087000000}">
      <text>
        <r>
          <rPr>
            <b/>
            <sz val="9"/>
            <color indexed="81"/>
            <rFont val="Tahoma"/>
            <family val="2"/>
          </rPr>
          <t>Finish is lifting or separating and creating trip hazards - remove and replace.</t>
        </r>
      </text>
    </comment>
    <comment ref="M58" authorId="0" shapeId="0" xr:uid="{00000000-0006-0000-0A00-000088000000}">
      <text>
        <r>
          <rPr>
            <b/>
            <sz val="9"/>
            <color indexed="81"/>
            <rFont val="Tahoma"/>
            <family val="2"/>
          </rPr>
          <t>finish is lifting or separating and creating trip hazards - remove and replace</t>
        </r>
      </text>
    </comment>
    <comment ref="E60" authorId="0" shapeId="0" xr:uid="{00000000-0006-0000-0A00-000089000000}">
      <text>
        <r>
          <rPr>
            <b/>
            <sz val="9"/>
            <color indexed="81"/>
            <rFont val="Tahoma"/>
            <family val="2"/>
          </rPr>
          <t>Surface is in tact, but finish is deteriorated - paint.</t>
        </r>
      </text>
    </comment>
    <comment ref="K60" authorId="0" shapeId="0" xr:uid="{00000000-0006-0000-0A00-00008A000000}">
      <text>
        <r>
          <rPr>
            <b/>
            <sz val="9"/>
            <color indexed="81"/>
            <rFont val="Tahoma"/>
            <family val="2"/>
          </rPr>
          <t>Systemic failure of finish, possible water intrusion - requires removal and replacement.</t>
        </r>
      </text>
    </comment>
    <comment ref="M60" authorId="0" shapeId="0" xr:uid="{00000000-0006-0000-0A00-00008B000000}">
      <text>
        <r>
          <rPr>
            <b/>
            <sz val="9"/>
            <color indexed="81"/>
            <rFont val="Tahoma"/>
            <family val="2"/>
          </rPr>
          <t>Systemic failure of finish, possible water intrusion - requires removal and replacement</t>
        </r>
      </text>
    </comment>
    <comment ref="E61" authorId="0" shapeId="0" xr:uid="{00000000-0006-0000-0A00-00008C000000}">
      <text>
        <r>
          <rPr>
            <b/>
            <sz val="9"/>
            <color indexed="81"/>
            <rFont val="Tahoma"/>
            <family val="2"/>
          </rPr>
          <t>Surface is in tact, but finish is deteriorated - paint.</t>
        </r>
      </text>
    </comment>
    <comment ref="G61" authorId="0" shapeId="0" xr:uid="{00000000-0006-0000-0A00-00008D000000}">
      <text>
        <r>
          <rPr>
            <b/>
            <sz val="9"/>
            <color indexed="81"/>
            <rFont val="Tahoma"/>
            <family val="2"/>
          </rPr>
          <t>Surface is damaged - patching of the surface is required prior to painting.</t>
        </r>
      </text>
    </comment>
    <comment ref="K61" authorId="0" shapeId="0" xr:uid="{00000000-0006-0000-0A00-00008E000000}">
      <text>
        <r>
          <rPr>
            <b/>
            <sz val="9"/>
            <color indexed="81"/>
            <rFont val="Tahoma"/>
            <family val="2"/>
          </rPr>
          <t>Systemic failure of finish, possible water intrusion - requires removal and replacement.</t>
        </r>
      </text>
    </comment>
    <comment ref="M61" authorId="0" shapeId="0" xr:uid="{00000000-0006-0000-0A00-00008F000000}">
      <text>
        <r>
          <rPr>
            <b/>
            <sz val="9"/>
            <color indexed="81"/>
            <rFont val="Tahoma"/>
            <family val="2"/>
          </rPr>
          <t>Systemic failure of finish, possible water intrusion - requires removal and replacement</t>
        </r>
      </text>
    </comment>
    <comment ref="E62" authorId="0" shapeId="0" xr:uid="{00000000-0006-0000-0A00-000090000000}">
      <text>
        <r>
          <rPr>
            <b/>
            <sz val="9"/>
            <color indexed="81"/>
            <rFont val="Tahoma"/>
            <family val="2"/>
          </rPr>
          <t>Surface is in tact, but finish is deteriorated - paint.</t>
        </r>
      </text>
    </comment>
    <comment ref="K62" authorId="0" shapeId="0" xr:uid="{00000000-0006-0000-0A00-000091000000}">
      <text>
        <r>
          <rPr>
            <b/>
            <sz val="9"/>
            <color indexed="81"/>
            <rFont val="Tahoma"/>
            <family val="2"/>
          </rPr>
          <t>Systemic failure of finish, possible water intrusion - requires removal and replacement.</t>
        </r>
      </text>
    </comment>
    <comment ref="M62" authorId="0" shapeId="0" xr:uid="{00000000-0006-0000-0A00-000092000000}">
      <text>
        <r>
          <rPr>
            <b/>
            <sz val="9"/>
            <color indexed="81"/>
            <rFont val="Tahoma"/>
            <family val="2"/>
          </rPr>
          <t>Systemic failure of finish, possible water intrusion - requires removal and replacement</t>
        </r>
      </text>
    </comment>
    <comment ref="E63" authorId="0" shapeId="0" xr:uid="{00000000-0006-0000-0A00-000093000000}">
      <text>
        <r>
          <rPr>
            <b/>
            <sz val="9"/>
            <color indexed="81"/>
            <rFont val="Tahoma"/>
            <family val="2"/>
          </rPr>
          <t>Grout is damaged or deteriorated.</t>
        </r>
      </text>
    </comment>
    <comment ref="K63" authorId="0" shapeId="0" xr:uid="{00000000-0006-0000-0A00-000094000000}">
      <text>
        <r>
          <rPr>
            <b/>
            <sz val="9"/>
            <color indexed="81"/>
            <rFont val="Tahoma"/>
            <family val="2"/>
          </rPr>
          <t>Tiles are cracked or in disrepair.</t>
        </r>
      </text>
    </comment>
    <comment ref="M63" authorId="0" shapeId="0" xr:uid="{00000000-0006-0000-0A00-000095000000}">
      <text>
        <r>
          <rPr>
            <b/>
            <sz val="9"/>
            <color indexed="81"/>
            <rFont val="Tahoma"/>
            <family val="2"/>
          </rPr>
          <t>Tiles are cracked or in disrepair</t>
        </r>
      </text>
    </comment>
    <comment ref="K64" authorId="0" shapeId="0" xr:uid="{00000000-0006-0000-0A00-000096000000}">
      <text>
        <r>
          <rPr>
            <b/>
            <sz val="9"/>
            <color indexed="81"/>
            <rFont val="Tahoma"/>
            <family val="2"/>
          </rPr>
          <t>Worn or severely stained or starting to pull up / bubble.</t>
        </r>
      </text>
    </comment>
    <comment ref="M64" authorId="0" shapeId="0" xr:uid="{00000000-0006-0000-0A00-000097000000}">
      <text>
        <r>
          <rPr>
            <b/>
            <sz val="9"/>
            <color indexed="81"/>
            <rFont val="Tahoma"/>
            <family val="2"/>
          </rPr>
          <t>worn or severely stained or starting to pull up / bubble</t>
        </r>
      </text>
    </comment>
    <comment ref="E65" authorId="0" shapeId="0" xr:uid="{00000000-0006-0000-0A00-000098000000}">
      <text>
        <r>
          <rPr>
            <b/>
            <sz val="9"/>
            <color indexed="81"/>
            <rFont val="Tahoma"/>
            <family val="2"/>
          </rPr>
          <t>Sporadic number of tiles are lifting or cracked / broken and require replacement.</t>
        </r>
      </text>
    </comment>
    <comment ref="I65" authorId="0" shapeId="0" xr:uid="{00000000-0006-0000-0A00-000099000000}">
      <text>
        <r>
          <rPr>
            <b/>
            <sz val="9"/>
            <color indexed="81"/>
            <rFont val="Tahoma"/>
            <family val="2"/>
          </rPr>
          <t xml:space="preserve">The majority of tiles are lifting, cracking / broken and require replacement - the tiles or glue are </t>
        </r>
        <r>
          <rPr>
            <b/>
            <u/>
            <sz val="9"/>
            <color indexed="81"/>
            <rFont val="Tahoma"/>
            <family val="2"/>
          </rPr>
          <t>NOT</t>
        </r>
        <r>
          <rPr>
            <b/>
            <sz val="9"/>
            <color indexed="81"/>
            <rFont val="Tahoma"/>
            <family val="2"/>
          </rPr>
          <t xml:space="preserve"> asbestos.</t>
        </r>
      </text>
    </comment>
    <comment ref="K65" authorId="0" shapeId="0" xr:uid="{00000000-0006-0000-0A00-00009A000000}">
      <text>
        <r>
          <rPr>
            <b/>
            <sz val="9"/>
            <color indexed="81"/>
            <rFont val="Tahoma"/>
            <family val="2"/>
          </rPr>
          <t>The majority of tiles are lifting, cracking / broken and require replacement - the tiles or glue are asbestos.</t>
        </r>
      </text>
    </comment>
    <comment ref="M65" authorId="0" shapeId="0" xr:uid="{00000000-0006-0000-0A00-00009B000000}">
      <text>
        <r>
          <rPr>
            <b/>
            <sz val="9"/>
            <color indexed="81"/>
            <rFont val="Tahoma"/>
            <family val="2"/>
          </rPr>
          <t>The majority of tiles are lifting, cracking / broken and require replacement - the tiles or glue are asbestos</t>
        </r>
      </text>
    </comment>
    <comment ref="K66" authorId="0" shapeId="0" xr:uid="{00000000-0006-0000-0A00-00009C000000}">
      <text>
        <r>
          <rPr>
            <b/>
            <sz val="9"/>
            <color indexed="81"/>
            <rFont val="Tahoma"/>
            <family val="2"/>
          </rPr>
          <t>Severely worn or seams separating - replace.</t>
        </r>
      </text>
    </comment>
    <comment ref="M66" authorId="0" shapeId="0" xr:uid="{00000000-0006-0000-0A00-00009D000000}">
      <text>
        <r>
          <rPr>
            <b/>
            <sz val="9"/>
            <color indexed="81"/>
            <rFont val="Tahoma"/>
            <family val="2"/>
          </rPr>
          <t>Severely worn or seams separating - replace</t>
        </r>
      </text>
    </comment>
    <comment ref="E67" authorId="0" shapeId="0" xr:uid="{00000000-0006-0000-0A00-00009E000000}">
      <text>
        <r>
          <rPr>
            <b/>
            <sz val="9"/>
            <color indexed="81"/>
            <rFont val="Tahoma"/>
            <family val="2"/>
          </rPr>
          <t>Surface feels rough and/or taking in moisture from the surface resulting in staining - prep and re-seal.</t>
        </r>
      </text>
    </comment>
    <comment ref="K67" authorId="0" shapeId="0" xr:uid="{00000000-0006-0000-0A00-00009F000000}">
      <text>
        <r>
          <rPr>
            <b/>
            <sz val="9"/>
            <color indexed="81"/>
            <rFont val="Tahoma"/>
            <family val="2"/>
          </rPr>
          <t>Significant cracking, but not differential - requires prep and crack filling prior to re-seal.  If differential, refer to slab on grade of floor construction above.</t>
        </r>
      </text>
    </comment>
    <comment ref="M67" authorId="0" shapeId="0" xr:uid="{00000000-0006-0000-0A00-0000A0000000}">
      <text>
        <r>
          <rPr>
            <b/>
            <sz val="9"/>
            <color indexed="81"/>
            <rFont val="Tahoma"/>
            <family val="2"/>
          </rPr>
          <t>Significant cracking, but not differential - requires prep and crack filling prior to re-seal.  If differential, refer to slab on grade of floor construction above</t>
        </r>
      </text>
    </comment>
    <comment ref="E68" authorId="0" shapeId="0" xr:uid="{00000000-0006-0000-0A00-0000A1000000}">
      <text>
        <r>
          <rPr>
            <b/>
            <sz val="9"/>
            <color indexed="81"/>
            <rFont val="Tahoma"/>
            <family val="2"/>
          </rPr>
          <t>Grout is damaged or deteriorated.</t>
        </r>
      </text>
    </comment>
    <comment ref="K68" authorId="0" shapeId="0" xr:uid="{00000000-0006-0000-0A00-0000A2000000}">
      <text>
        <r>
          <rPr>
            <b/>
            <sz val="9"/>
            <color indexed="81"/>
            <rFont val="Tahoma"/>
            <family val="2"/>
          </rPr>
          <t>Tiles are cracked or in disrepair.</t>
        </r>
      </text>
    </comment>
    <comment ref="M68" authorId="0" shapeId="0" xr:uid="{00000000-0006-0000-0A00-0000A3000000}">
      <text>
        <r>
          <rPr>
            <b/>
            <sz val="9"/>
            <color indexed="81"/>
            <rFont val="Tahoma"/>
            <family val="2"/>
          </rPr>
          <t>Tiles are cracked or in disrepair</t>
        </r>
      </text>
    </comment>
    <comment ref="K69" authorId="0" shapeId="0" xr:uid="{00000000-0006-0000-0A00-0000A4000000}">
      <text>
        <r>
          <rPr>
            <b/>
            <sz val="9"/>
            <color indexed="81"/>
            <rFont val="Tahoma"/>
            <family val="2"/>
          </rPr>
          <t>Systemic blistering or severely worn traffic areas - strip and replace.</t>
        </r>
      </text>
    </comment>
    <comment ref="M69" authorId="0" shapeId="0" xr:uid="{00000000-0006-0000-0A00-0000A5000000}">
      <text>
        <r>
          <rPr>
            <b/>
            <sz val="9"/>
            <color indexed="81"/>
            <rFont val="Tahoma"/>
            <family val="2"/>
          </rPr>
          <t>Systemic blistering or severely worn traffic areas - strip and replace</t>
        </r>
      </text>
    </comment>
    <comment ref="G70" authorId="0" shapeId="0" xr:uid="{00000000-0006-0000-0A00-0000A6000000}">
      <text>
        <r>
          <rPr>
            <b/>
            <sz val="9"/>
            <color indexed="81"/>
            <rFont val="Tahoma"/>
            <family val="2"/>
          </rPr>
          <t>Surface is damaged - requires sanding, repair, and re-coat / re-stripe.</t>
        </r>
      </text>
    </comment>
    <comment ref="K70" authorId="0" shapeId="0" xr:uid="{00000000-0006-0000-0A00-0000A7000000}">
      <text>
        <r>
          <rPr>
            <b/>
            <sz val="9"/>
            <color indexed="81"/>
            <rFont val="Tahoma"/>
            <family val="2"/>
          </rPr>
          <t>Wood planks are deteriorated, separating, and multiple dead spots - replace floor.</t>
        </r>
      </text>
    </comment>
    <comment ref="M70" authorId="0" shapeId="0" xr:uid="{00000000-0006-0000-0A00-0000A8000000}">
      <text>
        <r>
          <rPr>
            <b/>
            <sz val="9"/>
            <color indexed="81"/>
            <rFont val="Tahoma"/>
            <family val="2"/>
          </rPr>
          <t>Wood planks are deteriorated, separating, and multiple dead spots - replace floor</t>
        </r>
      </text>
    </comment>
    <comment ref="E71" authorId="0" shapeId="0" xr:uid="{00000000-0006-0000-0A00-0000A9000000}">
      <text>
        <r>
          <rPr>
            <b/>
            <sz val="9"/>
            <color indexed="81"/>
            <rFont val="Tahoma"/>
            <family val="2"/>
          </rPr>
          <t>Surface is in tact, but finish is deteriorated - paint.</t>
        </r>
      </text>
    </comment>
    <comment ref="G71" authorId="0" shapeId="0" xr:uid="{00000000-0006-0000-0A00-0000AA000000}">
      <text>
        <r>
          <rPr>
            <b/>
            <sz val="9"/>
            <color indexed="81"/>
            <rFont val="Tahoma"/>
            <family val="2"/>
          </rPr>
          <t>Surface is damaged - patching of the surface is required prior to painting.</t>
        </r>
      </text>
    </comment>
    <comment ref="K71" authorId="0" shapeId="0" xr:uid="{00000000-0006-0000-0A00-0000AB000000}">
      <text>
        <r>
          <rPr>
            <b/>
            <sz val="9"/>
            <color indexed="81"/>
            <rFont val="Tahoma"/>
            <family val="2"/>
          </rPr>
          <t>Systemic failure of finish, possible water intrusion - requires removal and replacement.</t>
        </r>
      </text>
    </comment>
    <comment ref="M71" authorId="0" shapeId="0" xr:uid="{00000000-0006-0000-0A00-0000AC000000}">
      <text>
        <r>
          <rPr>
            <b/>
            <sz val="9"/>
            <color indexed="81"/>
            <rFont val="Tahoma"/>
            <family val="2"/>
          </rPr>
          <t>Systemic failure of finish, possible water intrusion - requires removal and replacement</t>
        </r>
      </text>
    </comment>
    <comment ref="E72" authorId="0" shapeId="0" xr:uid="{00000000-0006-0000-0A00-0000AD000000}">
      <text>
        <r>
          <rPr>
            <b/>
            <sz val="9"/>
            <color indexed="81"/>
            <rFont val="Tahoma"/>
            <family val="2"/>
          </rPr>
          <t>Stained or damaged ceiling tiles.</t>
        </r>
      </text>
    </comment>
    <comment ref="G72" authorId="0" shapeId="0" xr:uid="{00000000-0006-0000-0A00-0000AE000000}">
      <text>
        <r>
          <rPr>
            <b/>
            <sz val="9"/>
            <color indexed="81"/>
            <rFont val="Tahoma"/>
            <family val="2"/>
          </rPr>
          <t>Diagonal bracing missing from grid.</t>
        </r>
      </text>
    </comment>
    <comment ref="K72" authorId="0" shapeId="0" xr:uid="{00000000-0006-0000-0A00-0000AF000000}">
      <text>
        <r>
          <rPr>
            <b/>
            <sz val="9"/>
            <color indexed="81"/>
            <rFont val="Tahoma"/>
            <family val="2"/>
          </rPr>
          <t>Grid is sagging with tiles compromised - requires replacement of system.</t>
        </r>
      </text>
    </comment>
    <comment ref="M72" authorId="0" shapeId="0" xr:uid="{00000000-0006-0000-0A00-0000B0000000}">
      <text>
        <r>
          <rPr>
            <b/>
            <sz val="9"/>
            <color indexed="81"/>
            <rFont val="Tahoma"/>
            <family val="2"/>
          </rPr>
          <t>Grid is sagging with tiles compromised - requires replacement of system</t>
        </r>
      </text>
    </comment>
    <comment ref="E73" authorId="0" shapeId="0" xr:uid="{00000000-0006-0000-0A00-0000B1000000}">
      <text>
        <r>
          <rPr>
            <b/>
            <sz val="9"/>
            <color indexed="81"/>
            <rFont val="Tahoma"/>
            <family val="2"/>
          </rPr>
          <t>Stained or damaged ceiling tiles.</t>
        </r>
      </text>
    </comment>
    <comment ref="K73" authorId="0" shapeId="0" xr:uid="{00000000-0006-0000-0A00-0000B2000000}">
      <text>
        <r>
          <rPr>
            <b/>
            <sz val="9"/>
            <color indexed="81"/>
            <rFont val="Tahoma"/>
            <family val="2"/>
          </rPr>
          <t>Systemic failure of finish, possible water intrusion - requires removal and replacement.</t>
        </r>
      </text>
    </comment>
    <comment ref="M73" authorId="0" shapeId="0" xr:uid="{00000000-0006-0000-0A00-0000B3000000}">
      <text>
        <r>
          <rPr>
            <b/>
            <sz val="9"/>
            <color indexed="81"/>
            <rFont val="Tahoma"/>
            <family val="2"/>
          </rPr>
          <t>Systemic failure of finish, possible water intrusion - requires removal and replacement</t>
        </r>
      </text>
    </comment>
    <comment ref="K74" authorId="0" shapeId="0" xr:uid="{00000000-0006-0000-0A00-0000B4000000}">
      <text>
        <r>
          <rPr>
            <b/>
            <sz val="9"/>
            <color indexed="81"/>
            <rFont val="Tahoma"/>
            <family val="2"/>
          </rPr>
          <t>Surface is in tact, but finish is deteriorated - paint.</t>
        </r>
      </text>
    </comment>
    <comment ref="M74" authorId="0" shapeId="0" xr:uid="{00000000-0006-0000-0A00-0000B5000000}">
      <text>
        <r>
          <rPr>
            <b/>
            <sz val="9"/>
            <color indexed="81"/>
            <rFont val="Tahoma"/>
            <family val="2"/>
          </rPr>
          <t>Surface is in tact but finish is deteriorated - paint</t>
        </r>
      </text>
    </comment>
    <comment ref="C77" authorId="0" shapeId="0" xr:uid="{00000000-0006-0000-0A00-0000B6000000}">
      <text>
        <r>
          <rPr>
            <b/>
            <sz val="9"/>
            <color indexed="81"/>
            <rFont val="Tahoma"/>
            <family val="2"/>
          </rPr>
          <t>Assume standard cab-style elevator.</t>
        </r>
      </text>
    </comment>
    <comment ref="E77" authorId="0" shapeId="0" xr:uid="{00000000-0006-0000-0A00-0000B7000000}">
      <text>
        <r>
          <rPr>
            <b/>
            <sz val="9"/>
            <color indexed="81"/>
            <rFont val="Tahoma"/>
            <family val="2"/>
          </rPr>
          <t xml:space="preserve">The elevator doors are damaged and require replacement.
</t>
        </r>
      </text>
    </comment>
    <comment ref="G77" authorId="0" shapeId="0" xr:uid="{00000000-0006-0000-0A00-0000B8000000}">
      <text>
        <r>
          <rPr>
            <b/>
            <sz val="9"/>
            <color indexed="81"/>
            <rFont val="Tahoma"/>
            <family val="2"/>
          </rPr>
          <t>Electrical components are not working.</t>
        </r>
      </text>
    </comment>
    <comment ref="I77" authorId="0" shapeId="0" xr:uid="{00000000-0006-0000-0A00-0000B9000000}">
      <text>
        <r>
          <rPr>
            <b/>
            <sz val="9"/>
            <color indexed="81"/>
            <rFont val="Tahoma"/>
            <family val="2"/>
          </rPr>
          <t>Replacement of the hoist cables, guide rails, or other similar mechanical components is required.</t>
        </r>
      </text>
    </comment>
    <comment ref="K77" authorId="0" shapeId="0" xr:uid="{00000000-0006-0000-0A00-0000BA000000}">
      <text>
        <r>
          <rPr>
            <b/>
            <sz val="9"/>
            <color indexed="81"/>
            <rFont val="Tahoma"/>
            <family val="2"/>
          </rPr>
          <t>Mechanical and electrical components have deteriorated requiring the replacement of the system.</t>
        </r>
      </text>
    </comment>
    <comment ref="M77" authorId="0" shapeId="0" xr:uid="{00000000-0006-0000-0A00-0000BB000000}">
      <text>
        <r>
          <rPr>
            <b/>
            <sz val="9"/>
            <color indexed="81"/>
            <rFont val="Tahoma"/>
            <family val="2"/>
          </rPr>
          <t>Mechanical and electrical components have deteriorated requiring the replacement of the system</t>
        </r>
      </text>
    </comment>
    <comment ref="G78" authorId="0" shapeId="0" xr:uid="{00000000-0006-0000-0A00-0000BC000000}">
      <text>
        <r>
          <rPr>
            <b/>
            <sz val="9"/>
            <color indexed="81"/>
            <rFont val="Tahoma"/>
            <family val="2"/>
          </rPr>
          <t>Electrical components are not working.</t>
        </r>
      </text>
    </comment>
    <comment ref="K78" authorId="0" shapeId="0" xr:uid="{00000000-0006-0000-0A00-0000BD000000}">
      <text>
        <r>
          <rPr>
            <b/>
            <sz val="9"/>
            <color indexed="81"/>
            <rFont val="Tahoma"/>
            <family val="2"/>
          </rPr>
          <t>Mechanical and electrical components have deteriorated requiring the replacement of the system.</t>
        </r>
      </text>
    </comment>
    <comment ref="M78" authorId="0" shapeId="0" xr:uid="{00000000-0006-0000-0A00-0000BE000000}">
      <text>
        <r>
          <rPr>
            <b/>
            <sz val="9"/>
            <color indexed="81"/>
            <rFont val="Tahoma"/>
            <family val="2"/>
          </rPr>
          <t>Mechanical and electrical components have deteriorated requiring the replacement of the system</t>
        </r>
      </text>
    </comment>
    <comment ref="C79" authorId="0" shapeId="0" xr:uid="{00000000-0006-0000-0A00-0000BF000000}">
      <text>
        <r>
          <rPr>
            <b/>
            <sz val="9"/>
            <color indexed="81"/>
            <rFont val="Tahoma"/>
            <family val="2"/>
          </rPr>
          <t>Assume open vertical or inclined lift.</t>
        </r>
      </text>
    </comment>
    <comment ref="G79" authorId="0" shapeId="0" xr:uid="{00000000-0006-0000-0A00-0000C0000000}">
      <text>
        <r>
          <rPr>
            <b/>
            <sz val="9"/>
            <color indexed="81"/>
            <rFont val="Tahoma"/>
            <family val="2"/>
          </rPr>
          <t>Electrical components are not working.</t>
        </r>
      </text>
    </comment>
    <comment ref="K79" authorId="0" shapeId="0" xr:uid="{00000000-0006-0000-0A00-0000C1000000}">
      <text>
        <r>
          <rPr>
            <b/>
            <sz val="9"/>
            <color indexed="81"/>
            <rFont val="Tahoma"/>
            <family val="2"/>
          </rPr>
          <t>Mechanical and electrical components have deteriorated requiring the replacement of the system.</t>
        </r>
      </text>
    </comment>
    <comment ref="M79" authorId="0" shapeId="0" xr:uid="{00000000-0006-0000-0A00-0000C2000000}">
      <text>
        <r>
          <rPr>
            <b/>
            <sz val="9"/>
            <color indexed="81"/>
            <rFont val="Tahoma"/>
            <family val="2"/>
          </rPr>
          <t>Mechanical and electrical components have deteriorated requiring the replacement of the system</t>
        </r>
      </text>
    </comment>
    <comment ref="C81" authorId="0" shapeId="0" xr:uid="{00000000-0006-0000-0A00-0000C3000000}">
      <text>
        <r>
          <rPr>
            <b/>
            <sz val="9"/>
            <color indexed="81"/>
            <rFont val="Tahoma"/>
            <family val="2"/>
          </rPr>
          <t>All fixtures (toilets, urinals, sinks, showers, etc.) to be lumped together here.</t>
        </r>
      </text>
    </comment>
    <comment ref="G81" authorId="0" shapeId="0" xr:uid="{00000000-0006-0000-0A00-0000C4000000}">
      <text>
        <r>
          <rPr>
            <b/>
            <sz val="9"/>
            <color indexed="81"/>
            <rFont val="Tahoma"/>
            <family val="2"/>
          </rPr>
          <t>Flush valves or faucets are non-functional and require replacement.</t>
        </r>
      </text>
    </comment>
    <comment ref="K81" authorId="0" shapeId="0" xr:uid="{00000000-0006-0000-0A00-0000C5000000}">
      <text>
        <r>
          <rPr>
            <b/>
            <sz val="9"/>
            <color indexed="81"/>
            <rFont val="Tahoma"/>
            <family val="2"/>
          </rPr>
          <t>The fixture itself is broken or is not compliant with water efficiency standards.</t>
        </r>
      </text>
    </comment>
    <comment ref="M81" authorId="0" shapeId="0" xr:uid="{00000000-0006-0000-0A00-0000C6000000}">
      <text>
        <r>
          <rPr>
            <b/>
            <sz val="9"/>
            <color indexed="81"/>
            <rFont val="Tahoma"/>
            <family val="2"/>
          </rPr>
          <t>The fixture itself is broken or is not compliant with water efficiency standards</t>
        </r>
      </text>
    </comment>
    <comment ref="E82" authorId="0" shapeId="0" xr:uid="{00000000-0006-0000-0A00-0000C7000000}">
      <text>
        <r>
          <rPr>
            <b/>
            <sz val="9"/>
            <color indexed="81"/>
            <rFont val="Tahoma"/>
            <family val="2"/>
          </rPr>
          <t xml:space="preserve">The vale stems, pressure gauges, and gate valves no longer function.
</t>
        </r>
      </text>
    </comment>
    <comment ref="G82" authorId="0" shapeId="0" xr:uid="{00000000-0006-0000-0A00-0000C8000000}">
      <text>
        <r>
          <rPr>
            <b/>
            <sz val="9"/>
            <color indexed="81"/>
            <rFont val="Tahoma"/>
            <family val="2"/>
          </rPr>
          <t>The insulation on the piping is in disrepair, loose, or missing.</t>
        </r>
      </text>
    </comment>
    <comment ref="K82" authorId="0" shapeId="0" xr:uid="{00000000-0006-0000-0A00-0000C9000000}">
      <text>
        <r>
          <rPr>
            <b/>
            <sz val="9"/>
            <color indexed="81"/>
            <rFont val="Tahoma"/>
            <family val="2"/>
          </rPr>
          <t>The risers are worn, damaged, or clogged beyond repair.  Replacement includes the piping, insulation, and valves.</t>
        </r>
      </text>
    </comment>
    <comment ref="M82" authorId="0" shapeId="0" xr:uid="{00000000-0006-0000-0A00-0000CA000000}">
      <text>
        <r>
          <rPr>
            <b/>
            <sz val="9"/>
            <color indexed="81"/>
            <rFont val="Tahoma"/>
            <family val="2"/>
          </rPr>
          <t>The risers are worn, damaged, or clogged beyond repair.  Replacement includes the piping, insulation, and valves</t>
        </r>
      </text>
    </comment>
    <comment ref="E83" authorId="0" shapeId="0" xr:uid="{00000000-0006-0000-0A00-0000CB000000}">
      <text>
        <r>
          <rPr>
            <b/>
            <sz val="9"/>
            <color indexed="81"/>
            <rFont val="Tahoma"/>
            <family val="2"/>
          </rPr>
          <t>In some areas, there are back ups requiring the replacement of the broken floor or wall, clean outs, routing and cleaning the problem areas, and snaking floor drains.</t>
        </r>
      </text>
    </comment>
    <comment ref="K83" authorId="0" shapeId="0" xr:uid="{00000000-0006-0000-0A00-0000CC000000}">
      <text>
        <r>
          <rPr>
            <b/>
            <sz val="9"/>
            <color indexed="81"/>
            <rFont val="Tahoma"/>
            <family val="2"/>
          </rPr>
          <t>The runs and risers are deteriorated, displaced, or have systemic leaks and requires full replacement.</t>
        </r>
      </text>
    </comment>
    <comment ref="M83" authorId="0" shapeId="0" xr:uid="{00000000-0006-0000-0A00-0000CD000000}">
      <text>
        <r>
          <rPr>
            <b/>
            <sz val="9"/>
            <color indexed="81"/>
            <rFont val="Tahoma"/>
            <family val="2"/>
          </rPr>
          <t>The runs and risers are deteriorated, displaced, or have systemic leaks and requires full replacement</t>
        </r>
      </text>
    </comment>
    <comment ref="C84" authorId="0" shapeId="0" xr:uid="{00000000-0006-0000-0A00-0000CE000000}">
      <text>
        <r>
          <rPr>
            <b/>
            <sz val="9"/>
            <color indexed="81"/>
            <rFont val="Tahoma"/>
            <family val="2"/>
          </rPr>
          <t>This is for the presence of interior rain drains; note building percentage based on area of roof served - excludes external downspouts.</t>
        </r>
      </text>
    </comment>
    <comment ref="G84" authorId="0" shapeId="0" xr:uid="{00000000-0006-0000-0A00-0000CF000000}">
      <text>
        <r>
          <rPr>
            <b/>
            <sz val="9"/>
            <color indexed="81"/>
            <rFont val="Tahoma"/>
            <family val="2"/>
          </rPr>
          <t>The rain drain or overflow is damaged and needs replacement.</t>
        </r>
      </text>
    </comment>
    <comment ref="K84" authorId="0" shapeId="0" xr:uid="{00000000-0006-0000-0A00-0000D0000000}">
      <text>
        <r>
          <rPr>
            <b/>
            <sz val="9"/>
            <color indexed="81"/>
            <rFont val="Tahoma"/>
            <family val="2"/>
          </rPr>
          <t>The integrity of the piping is compromised and is leaking inside the walls.</t>
        </r>
      </text>
    </comment>
    <comment ref="M84" authorId="0" shapeId="0" xr:uid="{00000000-0006-0000-0A00-0000D1000000}">
      <text>
        <r>
          <rPr>
            <b/>
            <sz val="9"/>
            <color indexed="81"/>
            <rFont val="Tahoma"/>
            <family val="2"/>
          </rPr>
          <t>The integrity of the piping is compromised and is leaking inside the walls</t>
        </r>
      </text>
    </comment>
    <comment ref="C87" authorId="0" shapeId="0" xr:uid="{00000000-0006-0000-0A00-0000D2000000}">
      <text>
        <r>
          <rPr>
            <b/>
            <sz val="9"/>
            <color indexed="81"/>
            <rFont val="Tahoma"/>
            <family val="2"/>
          </rPr>
          <t>This assumes gas piping.</t>
        </r>
      </text>
    </comment>
    <comment ref="E87" authorId="0" shapeId="0" xr:uid="{00000000-0006-0000-0A00-0000D3000000}">
      <text>
        <r>
          <rPr>
            <b/>
            <sz val="9"/>
            <color indexed="81"/>
            <rFont val="Tahoma"/>
            <family val="2"/>
          </rPr>
          <t>The valve stems, riser gate valves, and temperature probes need to be repaired or replaced.</t>
        </r>
      </text>
    </comment>
    <comment ref="K87" authorId="0" shapeId="0" xr:uid="{00000000-0006-0000-0A00-0000D4000000}">
      <text>
        <r>
          <rPr>
            <b/>
            <sz val="9"/>
            <color indexed="81"/>
            <rFont val="Tahoma"/>
            <family val="2"/>
          </rPr>
          <t>The risers are worn, damaged, or clogged beyond repair.  Replacement includes the piping, insulation, and valves.</t>
        </r>
      </text>
    </comment>
    <comment ref="M87" authorId="0" shapeId="0" xr:uid="{00000000-0006-0000-0A00-0000D5000000}">
      <text>
        <r>
          <rPr>
            <b/>
            <sz val="9"/>
            <color indexed="81"/>
            <rFont val="Tahoma"/>
            <family val="2"/>
          </rPr>
          <t>The risers are worn, damaged, or clogged beyond repair.  Replacement includes the piping, insulation, and valves</t>
        </r>
      </text>
    </comment>
    <comment ref="E88" authorId="0" shapeId="0" xr:uid="{00000000-0006-0000-0A00-0000D6000000}">
      <text>
        <r>
          <rPr>
            <b/>
            <sz val="9"/>
            <color indexed="81"/>
            <rFont val="Tahoma"/>
            <family val="2"/>
          </rPr>
          <t>The burner is inefficient and requires refurbishment.</t>
        </r>
      </text>
    </comment>
    <comment ref="G88" authorId="0" shapeId="0" xr:uid="{00000000-0006-0000-0A00-0000D7000000}">
      <text>
        <r>
          <rPr>
            <b/>
            <sz val="9"/>
            <color indexed="81"/>
            <rFont val="Tahoma"/>
            <family val="2"/>
          </rPr>
          <t xml:space="preserve">One major component needs to be replaced.
</t>
        </r>
      </text>
    </comment>
    <comment ref="I88" authorId="0" shapeId="0" xr:uid="{00000000-0006-0000-0A00-0000D8000000}">
      <text>
        <r>
          <rPr>
            <b/>
            <sz val="9"/>
            <color indexed="81"/>
            <rFont val="Tahoma"/>
            <family val="2"/>
          </rPr>
          <t>More than one major component needs to be replaced.</t>
        </r>
      </text>
    </comment>
    <comment ref="K88" authorId="0" shapeId="0" xr:uid="{00000000-0006-0000-0A00-0000D9000000}">
      <text>
        <r>
          <rPr>
            <b/>
            <sz val="9"/>
            <color indexed="81"/>
            <rFont val="Tahoma"/>
            <family val="2"/>
          </rPr>
          <t>The system is in failure.</t>
        </r>
      </text>
    </comment>
    <comment ref="M88" authorId="0" shapeId="0" xr:uid="{00000000-0006-0000-0A00-0000DA000000}">
      <text>
        <r>
          <rPr>
            <b/>
            <sz val="9"/>
            <color indexed="81"/>
            <rFont val="Tahoma"/>
            <family val="2"/>
          </rPr>
          <t>The system is in failure</t>
        </r>
      </text>
    </comment>
    <comment ref="I89" authorId="0" shapeId="0" xr:uid="{00000000-0006-0000-0A00-0000DB000000}">
      <text>
        <r>
          <rPr>
            <b/>
            <sz val="9"/>
            <color indexed="81"/>
            <rFont val="Tahoma"/>
            <family val="2"/>
          </rPr>
          <t>Some of the distribution fans and coils are dysfunctional.</t>
        </r>
      </text>
    </comment>
    <comment ref="K89" authorId="0" shapeId="0" xr:uid="{00000000-0006-0000-0A00-0000DC000000}">
      <text>
        <r>
          <rPr>
            <b/>
            <sz val="9"/>
            <color indexed="81"/>
            <rFont val="Tahoma"/>
            <family val="2"/>
          </rPr>
          <t>The majority of the distribution fans or coils are dysfunctional and the primary unit is in a state of disrepair.</t>
        </r>
      </text>
    </comment>
    <comment ref="M89" authorId="0" shapeId="0" xr:uid="{00000000-0006-0000-0A00-0000DD000000}">
      <text>
        <r>
          <rPr>
            <b/>
            <sz val="9"/>
            <color indexed="81"/>
            <rFont val="Tahoma"/>
            <family val="2"/>
          </rPr>
          <t>The majority of the distribution fans or coils are dysfunctional and the primary unit is in a state of disrepair</t>
        </r>
      </text>
    </comment>
    <comment ref="G90" authorId="0" shapeId="0" xr:uid="{00000000-0006-0000-0A00-0000DE000000}">
      <text>
        <r>
          <rPr>
            <b/>
            <sz val="9"/>
            <color indexed="81"/>
            <rFont val="Tahoma"/>
            <family val="2"/>
          </rPr>
          <t>A small number of minor parts need to be repaired or replaced.</t>
        </r>
      </text>
    </comment>
    <comment ref="I90" authorId="0" shapeId="0" xr:uid="{00000000-0006-0000-0A00-0000DF000000}">
      <text>
        <r>
          <rPr>
            <b/>
            <sz val="9"/>
            <color indexed="81"/>
            <rFont val="Tahoma"/>
            <family val="2"/>
          </rPr>
          <t>The burner, combustion chamber, or fan are faulty and require replacement.</t>
        </r>
      </text>
    </comment>
    <comment ref="K90" authorId="0" shapeId="0" xr:uid="{00000000-0006-0000-0A00-0000E0000000}">
      <text>
        <r>
          <rPr>
            <b/>
            <sz val="9"/>
            <color indexed="81"/>
            <rFont val="Tahoma"/>
            <family val="2"/>
          </rPr>
          <t xml:space="preserve">The entire furnace requires replacement.
</t>
        </r>
      </text>
    </comment>
    <comment ref="M90" authorId="0" shapeId="0" xr:uid="{00000000-0006-0000-0A00-0000E1000000}">
      <text>
        <r>
          <rPr>
            <b/>
            <sz val="9"/>
            <color indexed="81"/>
            <rFont val="Tahoma"/>
            <family val="2"/>
          </rPr>
          <t xml:space="preserve">The entire furnace requires replacement
</t>
        </r>
      </text>
    </comment>
    <comment ref="G91" authorId="0" shapeId="0" xr:uid="{00000000-0006-0000-0A00-0000E2000000}">
      <text>
        <r>
          <rPr>
            <b/>
            <sz val="9"/>
            <color indexed="81"/>
            <rFont val="Tahoma"/>
            <family val="2"/>
          </rPr>
          <t>A small number of minor parts need to be repaired or replaced.</t>
        </r>
      </text>
    </comment>
    <comment ref="I91" authorId="0" shapeId="0" xr:uid="{00000000-0006-0000-0A00-0000E3000000}">
      <text>
        <r>
          <rPr>
            <b/>
            <sz val="9"/>
            <color indexed="81"/>
            <rFont val="Tahoma"/>
            <family val="2"/>
          </rPr>
          <t>System operating at low efficiency; shell exhibits corrosion.  Retube heat exchanger.</t>
        </r>
      </text>
    </comment>
    <comment ref="K91" authorId="0" shapeId="0" xr:uid="{00000000-0006-0000-0A00-0000E4000000}">
      <text>
        <r>
          <rPr>
            <b/>
            <sz val="9"/>
            <color indexed="81"/>
            <rFont val="Tahoma"/>
            <family val="2"/>
          </rPr>
          <t>System operates at low efficiency with corrosion and leaks apparent.  Replace system.</t>
        </r>
      </text>
    </comment>
    <comment ref="M91" authorId="0" shapeId="0" xr:uid="{00000000-0006-0000-0A00-0000E5000000}">
      <text>
        <r>
          <rPr>
            <b/>
            <sz val="9"/>
            <color indexed="81"/>
            <rFont val="Tahoma"/>
            <family val="2"/>
          </rPr>
          <t>System operates at low efficiency with corrosion and leaks apparent.  Replace system</t>
        </r>
      </text>
    </comment>
    <comment ref="I92" authorId="0" shapeId="0" xr:uid="{00000000-0006-0000-0A00-0000E6000000}">
      <text>
        <r>
          <rPr>
            <b/>
            <sz val="9"/>
            <color indexed="81"/>
            <rFont val="Tahoma"/>
            <family val="2"/>
          </rPr>
          <t>Some of the distribution fans and coils are dysfunctional.</t>
        </r>
      </text>
    </comment>
    <comment ref="K92" authorId="0" shapeId="0" xr:uid="{00000000-0006-0000-0A00-0000E7000000}">
      <text>
        <r>
          <rPr>
            <b/>
            <sz val="9"/>
            <color indexed="81"/>
            <rFont val="Tahoma"/>
            <family val="2"/>
          </rPr>
          <t>The majority of the distribution fans or coils are dysfunctional and the primary unit is in a state of disrepair.</t>
        </r>
      </text>
    </comment>
    <comment ref="M92" authorId="0" shapeId="0" xr:uid="{00000000-0006-0000-0A00-0000E8000000}">
      <text>
        <r>
          <rPr>
            <b/>
            <sz val="9"/>
            <color indexed="81"/>
            <rFont val="Tahoma"/>
            <family val="2"/>
          </rPr>
          <t>The majority of the distribution fans or coils are dysfunctional and the primary unit is in a state of disrepair</t>
        </r>
      </text>
    </comment>
    <comment ref="K93" authorId="0" shapeId="0" xr:uid="{00000000-0006-0000-0A00-0000E9000000}">
      <text>
        <r>
          <rPr>
            <b/>
            <sz val="9"/>
            <color indexed="81"/>
            <rFont val="Tahoma"/>
            <family val="2"/>
          </rPr>
          <t>The chiller is beyond economic repair.</t>
        </r>
      </text>
    </comment>
    <comment ref="M93" authorId="0" shapeId="0" xr:uid="{00000000-0006-0000-0A00-0000EA000000}">
      <text>
        <r>
          <rPr>
            <b/>
            <sz val="9"/>
            <color indexed="81"/>
            <rFont val="Tahoma"/>
            <family val="2"/>
          </rPr>
          <t>The chiller is beyond economic repair</t>
        </r>
      </text>
    </comment>
    <comment ref="G94" authorId="0" shapeId="0" xr:uid="{00000000-0006-0000-0A00-0000EB000000}">
      <text>
        <r>
          <rPr>
            <b/>
            <sz val="9"/>
            <color indexed="81"/>
            <rFont val="Tahoma"/>
            <family val="2"/>
          </rPr>
          <t>Dampers in the system are inoperative.</t>
        </r>
      </text>
    </comment>
    <comment ref="I94" authorId="0" shapeId="0" xr:uid="{00000000-0006-0000-0A00-0000EC000000}">
      <text>
        <r>
          <rPr>
            <b/>
            <sz val="9"/>
            <color indexed="81"/>
            <rFont val="Tahoma"/>
            <family val="2"/>
          </rPr>
          <t>The insulation is damaged or missing.</t>
        </r>
      </text>
    </comment>
    <comment ref="K94" authorId="0" shapeId="0" xr:uid="{00000000-0006-0000-0A00-0000ED000000}">
      <text>
        <r>
          <rPr>
            <b/>
            <sz val="9"/>
            <color indexed="81"/>
            <rFont val="Tahoma"/>
            <family val="2"/>
          </rPr>
          <t>The ductwork is damaged or inadequately designed and requires replacement.</t>
        </r>
      </text>
    </comment>
    <comment ref="M94" authorId="0" shapeId="0" xr:uid="{00000000-0006-0000-0A00-0000EE000000}">
      <text>
        <r>
          <rPr>
            <b/>
            <sz val="9"/>
            <color indexed="81"/>
            <rFont val="Tahoma"/>
            <family val="2"/>
          </rPr>
          <t>The ductwork is damaged or inadequately designed and requires replacement</t>
        </r>
      </text>
    </comment>
    <comment ref="E95" authorId="0" shapeId="0" xr:uid="{00000000-0006-0000-0A00-0000EF000000}">
      <text>
        <r>
          <rPr>
            <b/>
            <sz val="9"/>
            <color indexed="81"/>
            <rFont val="Tahoma"/>
            <family val="2"/>
          </rPr>
          <t>The valve stems, riser gate valves, and temperature probes need to be repaired or replaced.</t>
        </r>
      </text>
    </comment>
    <comment ref="G95" authorId="0" shapeId="0" xr:uid="{00000000-0006-0000-0A00-0000F0000000}">
      <text>
        <r>
          <rPr>
            <b/>
            <sz val="9"/>
            <color indexed="81"/>
            <rFont val="Tahoma"/>
            <family val="2"/>
          </rPr>
          <t>The insulation on the piping is in disrepair, loose, or missing.</t>
        </r>
      </text>
    </comment>
    <comment ref="K95" authorId="0" shapeId="0" xr:uid="{00000000-0006-0000-0A00-0000F1000000}">
      <text>
        <r>
          <rPr>
            <b/>
            <sz val="9"/>
            <color indexed="81"/>
            <rFont val="Tahoma"/>
            <family val="2"/>
          </rPr>
          <t>The risers are worn, damaged, or clogged beyond repair.  Replacement includes the piping, insulation, and valves.</t>
        </r>
      </text>
    </comment>
    <comment ref="M95" authorId="0" shapeId="0" xr:uid="{00000000-0006-0000-0A00-0000F2000000}">
      <text>
        <r>
          <rPr>
            <b/>
            <sz val="9"/>
            <color indexed="81"/>
            <rFont val="Tahoma"/>
            <family val="2"/>
          </rPr>
          <t>The risers are worn, damaged, or clogged beyond repair.  Replacement includes the piping, insulation, and valves</t>
        </r>
      </text>
    </comment>
    <comment ref="K96" authorId="0" shapeId="0" xr:uid="{00000000-0006-0000-0A00-0000F3000000}">
      <text>
        <r>
          <rPr>
            <b/>
            <sz val="9"/>
            <color indexed="81"/>
            <rFont val="Tahoma"/>
            <family val="2"/>
          </rPr>
          <t>Entire unit is failing to function.</t>
        </r>
      </text>
    </comment>
    <comment ref="M96" authorId="0" shapeId="0" xr:uid="{00000000-0006-0000-0A00-0000F4000000}">
      <text>
        <r>
          <rPr>
            <b/>
            <sz val="9"/>
            <color indexed="81"/>
            <rFont val="Tahoma"/>
            <family val="2"/>
          </rPr>
          <t>Entire unit is failing to function</t>
        </r>
      </text>
    </comment>
    <comment ref="G97" authorId="0" shapeId="0" xr:uid="{00000000-0006-0000-0A00-0000F5000000}">
      <text>
        <r>
          <rPr>
            <b/>
            <sz val="9"/>
            <color indexed="81"/>
            <rFont val="Tahoma"/>
            <family val="2"/>
          </rPr>
          <t>Internal compressor is bad and requires replacement.</t>
        </r>
      </text>
    </comment>
    <comment ref="K97" authorId="0" shapeId="0" xr:uid="{00000000-0006-0000-0A00-0000F6000000}">
      <text>
        <r>
          <rPr>
            <b/>
            <sz val="9"/>
            <color indexed="81"/>
            <rFont val="Tahoma"/>
            <family val="2"/>
          </rPr>
          <t>Entire unit is failing to function.</t>
        </r>
      </text>
    </comment>
    <comment ref="M97" authorId="0" shapeId="0" xr:uid="{00000000-0006-0000-0A00-0000F7000000}">
      <text>
        <r>
          <rPr>
            <b/>
            <sz val="9"/>
            <color indexed="81"/>
            <rFont val="Tahoma"/>
            <family val="2"/>
          </rPr>
          <t>Entire unit is failing to function</t>
        </r>
      </text>
    </comment>
    <comment ref="E98" authorId="0" shapeId="0" xr:uid="{00000000-0006-0000-0A00-0000F8000000}">
      <text>
        <r>
          <rPr>
            <b/>
            <sz val="9"/>
            <color indexed="81"/>
            <rFont val="Tahoma"/>
            <family val="2"/>
          </rPr>
          <t>In-room valve is failing and requires replacement.</t>
        </r>
      </text>
    </comment>
    <comment ref="K98" authorId="0" shapeId="0" xr:uid="{00000000-0006-0000-0A00-0000F9000000}">
      <text>
        <r>
          <rPr>
            <b/>
            <sz val="9"/>
            <color indexed="81"/>
            <rFont val="Tahoma"/>
            <family val="2"/>
          </rPr>
          <t>Entire unit is failing to function.</t>
        </r>
      </text>
    </comment>
    <comment ref="M98" authorId="0" shapeId="0" xr:uid="{00000000-0006-0000-0A00-0000FA000000}">
      <text>
        <r>
          <rPr>
            <b/>
            <sz val="9"/>
            <color indexed="81"/>
            <rFont val="Tahoma"/>
            <family val="2"/>
          </rPr>
          <t>Entire unit is failing to function</t>
        </r>
      </text>
    </comment>
    <comment ref="I99" authorId="0" shapeId="0" xr:uid="{00000000-0006-0000-0A00-0000FB000000}">
      <text>
        <r>
          <rPr>
            <b/>
            <sz val="9"/>
            <color indexed="81"/>
            <rFont val="Tahoma"/>
            <family val="2"/>
          </rPr>
          <t>Some of the sensors or valve actuators are dysfunctional.  Replace these sensors or actuators.</t>
        </r>
      </text>
    </comment>
    <comment ref="K99" authorId="0" shapeId="0" xr:uid="{00000000-0006-0000-0A00-0000FC000000}">
      <text>
        <r>
          <rPr>
            <b/>
            <sz val="9"/>
            <color indexed="81"/>
            <rFont val="Tahoma"/>
            <family val="2"/>
          </rPr>
          <t>The majority of sensors or actuators are faulty, and the system software is dysfunctional OR the system is an older / obsolete pneumatic system - replace.</t>
        </r>
      </text>
    </comment>
    <comment ref="M99" authorId="0" shapeId="0" xr:uid="{00000000-0006-0000-0A00-0000FD000000}">
      <text>
        <r>
          <rPr>
            <b/>
            <sz val="9"/>
            <color indexed="81"/>
            <rFont val="Tahoma"/>
            <family val="2"/>
          </rPr>
          <t>The majority of sensors or actuators are faulty, and the system software is dysfunctional OR the system is an older / obsolete pneumatic system - replace</t>
        </r>
      </text>
    </comment>
    <comment ref="K100" authorId="0" shapeId="0" xr:uid="{00000000-0006-0000-0A00-0000FE000000}">
      <text>
        <r>
          <rPr>
            <b/>
            <sz val="9"/>
            <color indexed="81"/>
            <rFont val="Tahoma"/>
            <family val="2"/>
          </rPr>
          <t>One or more zones require re-balancing.</t>
        </r>
      </text>
    </comment>
    <comment ref="M100" authorId="0" shapeId="0" xr:uid="{00000000-0006-0000-0A00-0000FF000000}">
      <text>
        <r>
          <rPr>
            <b/>
            <sz val="9"/>
            <color indexed="81"/>
            <rFont val="Tahoma"/>
            <family val="2"/>
          </rPr>
          <t>One or more zones require re-balancing</t>
        </r>
      </text>
    </comment>
    <comment ref="G103" authorId="0" shapeId="0" xr:uid="{00000000-0006-0000-0A00-000000010000}">
      <text>
        <r>
          <rPr>
            <b/>
            <sz val="9"/>
            <color indexed="81"/>
            <rFont val="Tahoma"/>
            <family val="2"/>
          </rPr>
          <t>Sprinkler heads are inoperable or non-compliant and need to be replaced.</t>
        </r>
      </text>
    </comment>
    <comment ref="K103" authorId="0" shapeId="0" xr:uid="{00000000-0006-0000-0A00-000001010000}">
      <text>
        <r>
          <rPr>
            <b/>
            <sz val="9"/>
            <color indexed="81"/>
            <rFont val="Tahoma"/>
            <family val="2"/>
          </rPr>
          <t>The piping has deteriorated or clogged or is non-compliant and needs to be replaced, including heads.</t>
        </r>
      </text>
    </comment>
    <comment ref="M103" authorId="0" shapeId="0" xr:uid="{00000000-0006-0000-0A00-000002010000}">
      <text>
        <r>
          <rPr>
            <b/>
            <sz val="9"/>
            <color indexed="81"/>
            <rFont val="Tahoma"/>
            <family val="2"/>
          </rPr>
          <t>The piping has deteriorated or clogged or is non-compliant and needs to be replaced, including heads</t>
        </r>
      </text>
    </comment>
    <comment ref="G104" authorId="0" shapeId="0" xr:uid="{00000000-0006-0000-0A00-000003010000}">
      <text>
        <r>
          <rPr>
            <b/>
            <sz val="9"/>
            <color indexed="81"/>
            <rFont val="Tahoma"/>
            <family val="2"/>
          </rPr>
          <t>The Siamese twin connection, tamper flow switches, or flow control valves are inoperable and need to be replaced.</t>
        </r>
      </text>
    </comment>
    <comment ref="K104" authorId="0" shapeId="0" xr:uid="{00000000-0006-0000-0A00-000004010000}">
      <text>
        <r>
          <rPr>
            <b/>
            <sz val="9"/>
            <color indexed="81"/>
            <rFont val="Tahoma"/>
            <family val="2"/>
          </rPr>
          <t xml:space="preserve">The fire pump is beyond repair and needs to be replaced.
</t>
        </r>
      </text>
    </comment>
    <comment ref="M104" authorId="0" shapeId="0" xr:uid="{00000000-0006-0000-0A00-000005010000}">
      <text>
        <r>
          <rPr>
            <b/>
            <sz val="9"/>
            <color indexed="81"/>
            <rFont val="Tahoma"/>
            <family val="2"/>
          </rPr>
          <t xml:space="preserve">The fire pump is beyond repair and needs to be replaced
</t>
        </r>
      </text>
    </comment>
    <comment ref="C105" authorId="0" shapeId="0" xr:uid="{00000000-0006-0000-0A00-000006010000}">
      <text>
        <r>
          <rPr>
            <b/>
            <sz val="9"/>
            <color indexed="81"/>
            <rFont val="Tahoma"/>
            <family val="2"/>
          </rPr>
          <t>Assume chemical extinguishing system.</t>
        </r>
      </text>
    </comment>
    <comment ref="G105" authorId="0" shapeId="0" xr:uid="{00000000-0006-0000-0A00-000007010000}">
      <text>
        <r>
          <rPr>
            <b/>
            <sz val="9"/>
            <color indexed="81"/>
            <rFont val="Tahoma"/>
            <family val="2"/>
          </rPr>
          <t>The back-up tank has been discharged or lacks pressure and needs to be replaced.</t>
        </r>
      </text>
    </comment>
    <comment ref="K105" authorId="0" shapeId="0" xr:uid="{00000000-0006-0000-0A00-000008010000}">
      <text>
        <r>
          <rPr>
            <b/>
            <sz val="9"/>
            <color indexed="81"/>
            <rFont val="Tahoma"/>
            <family val="2"/>
          </rPr>
          <t>The system is non-functional or not compliant with the current needs and needs to be replaced.</t>
        </r>
      </text>
    </comment>
    <comment ref="M105" authorId="0" shapeId="0" xr:uid="{00000000-0006-0000-0A00-000009010000}">
      <text>
        <r>
          <rPr>
            <b/>
            <sz val="9"/>
            <color indexed="81"/>
            <rFont val="Tahoma"/>
            <family val="2"/>
          </rPr>
          <t>The system is non-functional or not compliant with the current needs and needs to be replaced</t>
        </r>
      </text>
    </comment>
    <comment ref="G108" authorId="0" shapeId="0" xr:uid="{00000000-0006-0000-0A00-00000A010000}">
      <text>
        <r>
          <rPr>
            <b/>
            <sz val="9"/>
            <color indexed="81"/>
            <rFont val="Tahoma"/>
            <family val="2"/>
          </rPr>
          <t>Wiring has systemic problems or does not meet code and needs to be replaced.</t>
        </r>
      </text>
    </comment>
    <comment ref="I108" authorId="0" shapeId="0" xr:uid="{00000000-0006-0000-0A00-00000B010000}">
      <text>
        <r>
          <rPr>
            <b/>
            <sz val="9"/>
            <color indexed="81"/>
            <rFont val="Tahoma"/>
            <family val="2"/>
          </rPr>
          <t>Branch panels are obsolete with replacement breakers difficult to acquire and requires replacement.</t>
        </r>
      </text>
    </comment>
    <comment ref="K108" authorId="0" shapeId="0" xr:uid="{00000000-0006-0000-0A00-00000C010000}">
      <text>
        <r>
          <rPr>
            <b/>
            <sz val="9"/>
            <color indexed="81"/>
            <rFont val="Tahoma"/>
            <family val="2"/>
          </rPr>
          <t>Main switchgear is obsolete or undersized and requires replacement, including service into building.</t>
        </r>
      </text>
    </comment>
    <comment ref="M108" authorId="0" shapeId="0" xr:uid="{00000000-0006-0000-0A00-00000D010000}">
      <text>
        <r>
          <rPr>
            <b/>
            <sz val="9"/>
            <color indexed="81"/>
            <rFont val="Tahoma"/>
            <family val="2"/>
          </rPr>
          <t>Main switchgear is obsolete or undersized and requires replacement, including service into building</t>
        </r>
      </text>
    </comment>
    <comment ref="I109" authorId="0" shapeId="0" xr:uid="{00000000-0006-0000-0A00-00000E010000}">
      <text>
        <r>
          <rPr>
            <b/>
            <sz val="9"/>
            <color indexed="81"/>
            <rFont val="Tahoma"/>
            <family val="2"/>
          </rPr>
          <t>The lighting fixtures are obsolete or non-functional and require replacement.</t>
        </r>
      </text>
    </comment>
    <comment ref="K109" authorId="0" shapeId="0" xr:uid="{00000000-0006-0000-0A00-00000F010000}">
      <text>
        <r>
          <rPr>
            <b/>
            <sz val="9"/>
            <color indexed="81"/>
            <rFont val="Tahoma"/>
            <family val="2"/>
          </rPr>
          <t>Replacement of fixtures is requiring the replacement of the wiring as well - includes fixtures AND wiring.</t>
        </r>
      </text>
    </comment>
    <comment ref="M109" authorId="0" shapeId="0" xr:uid="{00000000-0006-0000-0A00-000010010000}">
      <text>
        <r>
          <rPr>
            <b/>
            <sz val="9"/>
            <color indexed="81"/>
            <rFont val="Tahoma"/>
            <family val="2"/>
          </rPr>
          <t>Replacement of fixtures is requiring the replacement of the wiring as well - includes fixtures AND wiring</t>
        </r>
      </text>
    </comment>
    <comment ref="G110" authorId="0" shapeId="0" xr:uid="{00000000-0006-0000-0A00-000011010000}">
      <text>
        <r>
          <rPr>
            <b/>
            <sz val="9"/>
            <color indexed="81"/>
            <rFont val="Tahoma"/>
            <family val="2"/>
          </rPr>
          <t>There are individual devices that are not functional.</t>
        </r>
      </text>
    </comment>
    <comment ref="I110" authorId="0" shapeId="0" xr:uid="{00000000-0006-0000-0A00-000012010000}">
      <text>
        <r>
          <rPr>
            <b/>
            <sz val="9"/>
            <color indexed="81"/>
            <rFont val="Tahoma"/>
            <family val="2"/>
          </rPr>
          <t xml:space="preserve">The master control panel is obsolete or not functional.
</t>
        </r>
      </text>
    </comment>
    <comment ref="K110" authorId="0" shapeId="0" xr:uid="{00000000-0006-0000-0A00-000013010000}">
      <text>
        <r>
          <rPr>
            <b/>
            <sz val="9"/>
            <color indexed="81"/>
            <rFont val="Tahoma"/>
            <family val="2"/>
          </rPr>
          <t>The system is obsolete or works intermittently in multiple areas and requires a system replacement.</t>
        </r>
      </text>
    </comment>
    <comment ref="M110" authorId="0" shapeId="0" xr:uid="{00000000-0006-0000-0A00-000014010000}">
      <text>
        <r>
          <rPr>
            <b/>
            <sz val="9"/>
            <color indexed="81"/>
            <rFont val="Tahoma"/>
            <family val="2"/>
          </rPr>
          <t>The system is obsolete or works intermittently in multiple areas and requires a system replacement</t>
        </r>
      </text>
    </comment>
    <comment ref="G111" authorId="0" shapeId="0" xr:uid="{00000000-0006-0000-0A00-000015010000}">
      <text>
        <r>
          <rPr>
            <b/>
            <sz val="9"/>
            <color indexed="81"/>
            <rFont val="Tahoma"/>
            <family val="2"/>
          </rPr>
          <t>There are individual devices that are not functional.</t>
        </r>
      </text>
    </comment>
    <comment ref="I111" authorId="0" shapeId="0" xr:uid="{00000000-0006-0000-0A00-000016010000}">
      <text>
        <r>
          <rPr>
            <b/>
            <sz val="9"/>
            <color indexed="81"/>
            <rFont val="Tahoma"/>
            <family val="2"/>
          </rPr>
          <t xml:space="preserve">The master control panel is obsolete or not functional.
</t>
        </r>
      </text>
    </comment>
    <comment ref="K111" authorId="0" shapeId="0" xr:uid="{00000000-0006-0000-0A00-000017010000}">
      <text>
        <r>
          <rPr>
            <b/>
            <sz val="9"/>
            <color indexed="81"/>
            <rFont val="Tahoma"/>
            <family val="2"/>
          </rPr>
          <t>The system is obsolete or works intermittently in multiple areas and requires a system replacement.</t>
        </r>
      </text>
    </comment>
    <comment ref="M111" authorId="0" shapeId="0" xr:uid="{00000000-0006-0000-0A00-000018010000}">
      <text>
        <r>
          <rPr>
            <b/>
            <sz val="9"/>
            <color indexed="81"/>
            <rFont val="Tahoma"/>
            <family val="2"/>
          </rPr>
          <t>The system is obsolete or works intermittently in multiple areas and requires a system replacement</t>
        </r>
      </text>
    </comment>
    <comment ref="G112" authorId="0" shapeId="0" xr:uid="{00000000-0006-0000-0A00-000019010000}">
      <text>
        <r>
          <rPr>
            <b/>
            <sz val="9"/>
            <color indexed="81"/>
            <rFont val="Tahoma"/>
            <family val="2"/>
          </rPr>
          <t>There are individual devices that are not functional.</t>
        </r>
      </text>
    </comment>
    <comment ref="I112" authorId="0" shapeId="0" xr:uid="{00000000-0006-0000-0A00-00001A010000}">
      <text>
        <r>
          <rPr>
            <b/>
            <sz val="9"/>
            <color indexed="81"/>
            <rFont val="Tahoma"/>
            <family val="2"/>
          </rPr>
          <t>The master control panel is obsolete or not functional.</t>
        </r>
      </text>
    </comment>
    <comment ref="K112" authorId="0" shapeId="0" xr:uid="{00000000-0006-0000-0A00-00001B010000}">
      <text>
        <r>
          <rPr>
            <b/>
            <sz val="9"/>
            <color indexed="81"/>
            <rFont val="Tahoma"/>
            <family val="2"/>
          </rPr>
          <t>The system is obsolete or works intermittently in multiple areas and requires a system replacement.</t>
        </r>
      </text>
    </comment>
    <comment ref="M112" authorId="0" shapeId="0" xr:uid="{00000000-0006-0000-0A00-00001C010000}">
      <text>
        <r>
          <rPr>
            <b/>
            <sz val="9"/>
            <color indexed="81"/>
            <rFont val="Tahoma"/>
            <family val="2"/>
          </rPr>
          <t>The system is obsolete or works intermittently in multiple areas and requires a system replacement</t>
        </r>
      </text>
    </comment>
    <comment ref="G113" authorId="0" shapeId="0" xr:uid="{00000000-0006-0000-0A00-00001D010000}">
      <text>
        <r>
          <rPr>
            <b/>
            <sz val="9"/>
            <color indexed="81"/>
            <rFont val="Tahoma"/>
            <family val="2"/>
          </rPr>
          <t>There are individual devices that are not functional.</t>
        </r>
      </text>
    </comment>
    <comment ref="I113" authorId="0" shapeId="0" xr:uid="{00000000-0006-0000-0A00-00001E010000}">
      <text>
        <r>
          <rPr>
            <b/>
            <sz val="9"/>
            <color indexed="81"/>
            <rFont val="Tahoma"/>
            <family val="2"/>
          </rPr>
          <t xml:space="preserve">The master control panel is obsolete or not functional.
</t>
        </r>
      </text>
    </comment>
    <comment ref="K113" authorId="0" shapeId="0" xr:uid="{00000000-0006-0000-0A00-00001F010000}">
      <text>
        <r>
          <rPr>
            <b/>
            <sz val="9"/>
            <color indexed="81"/>
            <rFont val="Tahoma"/>
            <family val="2"/>
          </rPr>
          <t>The system is obsolete or works intermittently in multiple areas and requires a system replacement.</t>
        </r>
      </text>
    </comment>
    <comment ref="M113" authorId="0" shapeId="0" xr:uid="{00000000-0006-0000-0A00-000020010000}">
      <text>
        <r>
          <rPr>
            <b/>
            <sz val="9"/>
            <color indexed="81"/>
            <rFont val="Tahoma"/>
            <family val="2"/>
          </rPr>
          <t>The system is obsolete or works intermittently in multiple areas and requires a system replacement</t>
        </r>
      </text>
    </comment>
    <comment ref="G114" authorId="0" shapeId="0" xr:uid="{00000000-0006-0000-0A00-000021010000}">
      <text>
        <r>
          <rPr>
            <b/>
            <sz val="9"/>
            <color indexed="81"/>
            <rFont val="Tahoma"/>
            <family val="2"/>
          </rPr>
          <t>There are individual devices that are not functional.</t>
        </r>
      </text>
    </comment>
    <comment ref="I114" authorId="0" shapeId="0" xr:uid="{00000000-0006-0000-0A00-000022010000}">
      <text>
        <r>
          <rPr>
            <b/>
            <sz val="9"/>
            <color indexed="81"/>
            <rFont val="Tahoma"/>
            <family val="2"/>
          </rPr>
          <t xml:space="preserve">The master control panel is obsolete or not functional.
</t>
        </r>
      </text>
    </comment>
    <comment ref="K114" authorId="0" shapeId="0" xr:uid="{00000000-0006-0000-0A00-000023010000}">
      <text>
        <r>
          <rPr>
            <b/>
            <sz val="9"/>
            <color indexed="81"/>
            <rFont val="Tahoma"/>
            <family val="2"/>
          </rPr>
          <t>The system is obsolete or works intermittently in multiple areas and requires a system replacement.</t>
        </r>
      </text>
    </comment>
    <comment ref="M114" authorId="0" shapeId="0" xr:uid="{00000000-0006-0000-0A00-000024010000}">
      <text>
        <r>
          <rPr>
            <b/>
            <sz val="9"/>
            <color indexed="81"/>
            <rFont val="Tahoma"/>
            <family val="2"/>
          </rPr>
          <t>The system is obsolete or works intermittently in multiple areas and requires a system replacement</t>
        </r>
      </text>
    </comment>
    <comment ref="G115" authorId="0" shapeId="0" xr:uid="{00000000-0006-0000-0A00-000025010000}">
      <text>
        <r>
          <rPr>
            <b/>
            <sz val="9"/>
            <color indexed="81"/>
            <rFont val="Tahoma"/>
            <family val="2"/>
          </rPr>
          <t>There are individual devices that are not functional or in regular alarm.</t>
        </r>
      </text>
    </comment>
    <comment ref="I115" authorId="0" shapeId="0" xr:uid="{00000000-0006-0000-0A00-000026010000}">
      <text>
        <r>
          <rPr>
            <b/>
            <sz val="9"/>
            <color indexed="81"/>
            <rFont val="Tahoma"/>
            <family val="2"/>
          </rPr>
          <t xml:space="preserve">The master control panel is obsolete or not functional.
</t>
        </r>
      </text>
    </comment>
    <comment ref="K115" authorId="0" shapeId="0" xr:uid="{00000000-0006-0000-0A00-000027010000}">
      <text>
        <r>
          <rPr>
            <b/>
            <sz val="9"/>
            <color indexed="81"/>
            <rFont val="Tahoma"/>
            <family val="2"/>
          </rPr>
          <t>The entire system is dysfunctional and constantly in trouble mode with areas not fully covered.  Remove and replace system.</t>
        </r>
      </text>
    </comment>
    <comment ref="M115" authorId="0" shapeId="0" xr:uid="{00000000-0006-0000-0A00-000028010000}">
      <text>
        <r>
          <rPr>
            <b/>
            <sz val="9"/>
            <color indexed="81"/>
            <rFont val="Tahoma"/>
            <family val="2"/>
          </rPr>
          <t>The entire system is dysfunctional and constantly in trouble mode with areas not fully covered.  Remove and replace system</t>
        </r>
      </text>
    </comment>
    <comment ref="E116" authorId="0" shapeId="0" xr:uid="{00000000-0006-0000-0A00-000029010000}">
      <text>
        <r>
          <rPr>
            <b/>
            <sz val="9"/>
            <color indexed="81"/>
            <rFont val="Tahoma"/>
            <family val="2"/>
          </rPr>
          <t>Individual room sensors are failing and require replacement.</t>
        </r>
      </text>
    </comment>
    <comment ref="I116" authorId="0" shapeId="0" xr:uid="{00000000-0006-0000-0A00-00002A010000}">
      <text>
        <r>
          <rPr>
            <b/>
            <sz val="9"/>
            <color indexed="81"/>
            <rFont val="Tahoma"/>
            <family val="2"/>
          </rPr>
          <t>The central control panel and software need upgrading.</t>
        </r>
      </text>
    </comment>
    <comment ref="K116" authorId="0" shapeId="0" xr:uid="{00000000-0006-0000-0A00-00002B010000}">
      <text>
        <r>
          <rPr>
            <b/>
            <sz val="9"/>
            <color indexed="81"/>
            <rFont val="Tahoma"/>
            <family val="2"/>
          </rPr>
          <t>The entire system is in failure and requires replacement of sensors, wiring and central panel.</t>
        </r>
      </text>
    </comment>
    <comment ref="M116" authorId="0" shapeId="0" xr:uid="{00000000-0006-0000-0A00-00002C010000}">
      <text>
        <r>
          <rPr>
            <b/>
            <sz val="9"/>
            <color indexed="81"/>
            <rFont val="Tahoma"/>
            <family val="2"/>
          </rPr>
          <t>The entire system is in failure and requires replacement of sensors, wiring and central panel</t>
        </r>
      </text>
    </comment>
    <comment ref="E121" authorId="0" shapeId="0" xr:uid="{00000000-0006-0000-0A00-00002D010000}">
      <text>
        <r>
          <rPr>
            <b/>
            <sz val="9"/>
            <color indexed="81"/>
            <rFont val="Tahoma"/>
            <family val="2"/>
          </rPr>
          <t>2-3 pieces of equipment require replacement.</t>
        </r>
      </text>
    </comment>
    <comment ref="G121" authorId="0" shapeId="0" xr:uid="{00000000-0006-0000-0A00-00002E010000}">
      <text>
        <r>
          <rPr>
            <b/>
            <sz val="9"/>
            <color indexed="81"/>
            <rFont val="Tahoma"/>
            <family val="2"/>
          </rPr>
          <t>Counters and sinks are not code compliant and require replacement with stainless steel and sink system.</t>
        </r>
      </text>
    </comment>
    <comment ref="I121" authorId="0" shapeId="0" xr:uid="{00000000-0006-0000-0A00-00002F010000}">
      <text>
        <r>
          <rPr>
            <b/>
            <sz val="9"/>
            <color indexed="81"/>
            <rFont val="Tahoma"/>
            <family val="2"/>
          </rPr>
          <t>Walk-in cooler and freezer are not functional or function intermittently and require replacement.</t>
        </r>
      </text>
    </comment>
    <comment ref="K121" authorId="0" shapeId="0" xr:uid="{00000000-0006-0000-0A00-000030010000}">
      <text>
        <r>
          <rPr>
            <b/>
            <sz val="9"/>
            <color indexed="81"/>
            <rFont val="Tahoma"/>
            <family val="2"/>
          </rPr>
          <t>Walk-ins and kitchen design does not meet current functional requirements or has become obsolete and requires complete replacement as a full prep kitchen.</t>
        </r>
      </text>
    </comment>
    <comment ref="M121" authorId="0" shapeId="0" xr:uid="{00000000-0006-0000-0A00-000031010000}">
      <text>
        <r>
          <rPr>
            <b/>
            <sz val="9"/>
            <color indexed="81"/>
            <rFont val="Tahoma"/>
            <family val="2"/>
          </rPr>
          <t>Walk-ins and kitchen design does not meet current functional requirements or has become obsolete and requires complete replacement as a full prep kitchen</t>
        </r>
      </text>
    </comment>
    <comment ref="E122" authorId="0" shapeId="0" xr:uid="{00000000-0006-0000-0A00-000032010000}">
      <text>
        <r>
          <rPr>
            <b/>
            <sz val="9"/>
            <color indexed="81"/>
            <rFont val="Tahoma"/>
            <family val="2"/>
          </rPr>
          <t>2-3 pieces of equipment require replacement.</t>
        </r>
      </text>
    </comment>
    <comment ref="I122" authorId="0" shapeId="0" xr:uid="{00000000-0006-0000-0A00-000033010000}">
      <text>
        <r>
          <rPr>
            <b/>
            <sz val="9"/>
            <color indexed="81"/>
            <rFont val="Tahoma"/>
            <family val="2"/>
          </rPr>
          <t>Mechanical and electrical service upgrades are required to meet code and amount of program equipment.</t>
        </r>
      </text>
    </comment>
    <comment ref="K122" authorId="0" shapeId="0" xr:uid="{00000000-0006-0000-0A00-000034010000}">
      <text>
        <r>
          <rPr>
            <b/>
            <sz val="9"/>
            <color indexed="81"/>
            <rFont val="Tahoma"/>
            <family val="2"/>
          </rPr>
          <t>Both mechanical and electrical AND equipment needs replacement to meet program criteria and code.</t>
        </r>
      </text>
    </comment>
    <comment ref="M122" authorId="0" shapeId="0" xr:uid="{00000000-0006-0000-0A00-000035010000}">
      <text>
        <r>
          <rPr>
            <b/>
            <sz val="9"/>
            <color indexed="81"/>
            <rFont val="Tahoma"/>
            <family val="2"/>
          </rPr>
          <t>Both mechanical and electrical AND equipment needs replacement to meet program criteria and code</t>
        </r>
      </text>
    </comment>
    <comment ref="G123" authorId="0" shapeId="0" xr:uid="{00000000-0006-0000-0A00-000036010000}">
      <text>
        <r>
          <rPr>
            <b/>
            <sz val="9"/>
            <color indexed="81"/>
            <rFont val="Tahoma"/>
            <family val="2"/>
          </rPr>
          <t>Room lacking (and needing) eye wash or fume hood.</t>
        </r>
      </text>
    </comment>
    <comment ref="I123" authorId="0" shapeId="0" xr:uid="{00000000-0006-0000-0A00-000037010000}">
      <text>
        <r>
          <rPr>
            <b/>
            <sz val="9"/>
            <color indexed="81"/>
            <rFont val="Tahoma"/>
            <family val="2"/>
          </rPr>
          <t>Sinks are in disrepair and require replacement.</t>
        </r>
      </text>
    </comment>
    <comment ref="K123" authorId="0" shapeId="0" xr:uid="{00000000-0006-0000-0A00-000038010000}">
      <text>
        <r>
          <rPr>
            <b/>
            <sz val="9"/>
            <color indexed="81"/>
            <rFont val="Tahoma"/>
            <family val="2"/>
          </rPr>
          <t>Work stations need upgrades to meet current program criteria - replace.</t>
        </r>
      </text>
    </comment>
    <comment ref="M123" authorId="0" shapeId="0" xr:uid="{00000000-0006-0000-0A00-000039010000}">
      <text>
        <r>
          <rPr>
            <b/>
            <sz val="9"/>
            <color indexed="81"/>
            <rFont val="Tahoma"/>
            <family val="2"/>
          </rPr>
          <t>Work stations need upgrades to meet current program criteria - replace</t>
        </r>
      </text>
    </comment>
    <comment ref="G124" authorId="0" shapeId="0" xr:uid="{00000000-0006-0000-0A00-00003A010000}">
      <text>
        <r>
          <rPr>
            <b/>
            <sz val="9"/>
            <color indexed="81"/>
            <rFont val="Tahoma"/>
            <family val="2"/>
          </rPr>
          <t>Storage units damaged or in disrepair.</t>
        </r>
      </text>
    </comment>
    <comment ref="I124" authorId="0" shapeId="0" xr:uid="{00000000-0006-0000-0A00-00003B010000}">
      <text>
        <r>
          <rPr>
            <b/>
            <sz val="9"/>
            <color indexed="81"/>
            <rFont val="Tahoma"/>
            <family val="2"/>
          </rPr>
          <t>Sinks are in disrepair and require replacement.</t>
        </r>
      </text>
    </comment>
    <comment ref="K124" authorId="0" shapeId="0" xr:uid="{00000000-0006-0000-0A00-00003C010000}">
      <text>
        <r>
          <rPr>
            <b/>
            <sz val="9"/>
            <color indexed="81"/>
            <rFont val="Tahoma"/>
            <family val="2"/>
          </rPr>
          <t>Work stations need upgrades to meet current program criteria - replace.</t>
        </r>
      </text>
    </comment>
    <comment ref="M124" authorId="0" shapeId="0" xr:uid="{00000000-0006-0000-0A00-00003D010000}">
      <text>
        <r>
          <rPr>
            <b/>
            <sz val="9"/>
            <color indexed="81"/>
            <rFont val="Tahoma"/>
            <family val="2"/>
          </rPr>
          <t>Work stations need upgrades to meet current program criteria - replace</t>
        </r>
      </text>
    </comment>
    <comment ref="G125" authorId="0" shapeId="0" xr:uid="{00000000-0006-0000-0A00-00003E010000}">
      <text>
        <r>
          <rPr>
            <b/>
            <sz val="9"/>
            <color indexed="81"/>
            <rFont val="Tahoma"/>
            <family val="2"/>
          </rPr>
          <t>Seats damaged and need replacement OR sound OR lighting system inadequate and needs upgraded.</t>
        </r>
      </text>
    </comment>
    <comment ref="I125" authorId="0" shapeId="0" xr:uid="{00000000-0006-0000-0A00-00003F010000}">
      <text>
        <r>
          <rPr>
            <b/>
            <sz val="9"/>
            <color indexed="81"/>
            <rFont val="Tahoma"/>
            <family val="2"/>
          </rPr>
          <t>Fly rigging in disrepair and needs upgrading.</t>
        </r>
      </text>
    </comment>
    <comment ref="K125" authorId="0" shapeId="0" xr:uid="{00000000-0006-0000-0A00-000040010000}">
      <text>
        <r>
          <rPr>
            <b/>
            <sz val="9"/>
            <color indexed="81"/>
            <rFont val="Tahoma"/>
            <family val="2"/>
          </rPr>
          <t>2 or more stage system dysfunctional and needs upgrade / replacement to production systems.</t>
        </r>
      </text>
    </comment>
    <comment ref="M125" authorId="0" shapeId="0" xr:uid="{00000000-0006-0000-0A00-000041010000}">
      <text>
        <r>
          <rPr>
            <b/>
            <sz val="9"/>
            <color indexed="81"/>
            <rFont val="Tahoma"/>
            <family val="2"/>
          </rPr>
          <t>2 or more stage system dysfunctional and needs upgrade / replacement to production systems</t>
        </r>
      </text>
    </comment>
    <comment ref="E126" authorId="0" shapeId="0" xr:uid="{00000000-0006-0000-0A00-000042010000}">
      <text>
        <r>
          <rPr>
            <b/>
            <sz val="9"/>
            <color indexed="81"/>
            <rFont val="Tahoma"/>
            <family val="2"/>
          </rPr>
          <t>An accessory is damaged or missing.</t>
        </r>
      </text>
    </comment>
    <comment ref="G126" authorId="0" shapeId="0" xr:uid="{00000000-0006-0000-0A00-000043010000}">
      <text>
        <r>
          <rPr>
            <b/>
            <sz val="9"/>
            <color indexed="81"/>
            <rFont val="Tahoma"/>
            <family val="2"/>
          </rPr>
          <t>Accessories need to be replaced to meet ADA.</t>
        </r>
      </text>
    </comment>
    <comment ref="I126" authorId="0" shapeId="0" xr:uid="{00000000-0006-0000-0A00-000044010000}">
      <text>
        <r>
          <rPr>
            <b/>
            <sz val="9"/>
            <color indexed="81"/>
            <rFont val="Tahoma"/>
            <family val="2"/>
          </rPr>
          <t>The stall doors are not functional or missing and need to be replaced.</t>
        </r>
      </text>
    </comment>
    <comment ref="K126" authorId="0" shapeId="0" xr:uid="{00000000-0006-0000-0A00-000045010000}">
      <text>
        <r>
          <rPr>
            <b/>
            <sz val="9"/>
            <color indexed="81"/>
            <rFont val="Tahoma"/>
            <family val="2"/>
          </rPr>
          <t>The restrooms stall structure is failing or needs re-configuration and needs to be replaced.</t>
        </r>
      </text>
    </comment>
    <comment ref="M126" authorId="0" shapeId="0" xr:uid="{00000000-0006-0000-0A00-000046010000}">
      <text>
        <r>
          <rPr>
            <b/>
            <sz val="9"/>
            <color indexed="81"/>
            <rFont val="Tahoma"/>
            <family val="2"/>
          </rPr>
          <t>The restrooms stall structure is failing or needs re-configuration and needs to be replaced</t>
        </r>
      </text>
    </comment>
    <comment ref="D127" authorId="0" shapeId="0" xr:uid="{00000000-0006-0000-0A00-000047010000}">
      <text>
        <r>
          <rPr>
            <b/>
            <sz val="9"/>
            <color indexed="81"/>
            <rFont val="Tahoma"/>
            <family val="2"/>
          </rPr>
          <t>Note anything specific in the "Other" category at the bottom of the assessment form.</t>
        </r>
      </text>
    </comment>
    <comment ref="C130" authorId="0" shapeId="0" xr:uid="{00000000-0006-0000-0A00-000048010000}">
      <text>
        <r>
          <rPr>
            <b/>
            <sz val="9"/>
            <color indexed="81"/>
            <rFont val="Tahoma"/>
            <family val="2"/>
          </rPr>
          <t>Assume fixed casework (counters, cabinets, shelving, etc.).</t>
        </r>
      </text>
    </comment>
    <comment ref="E130" authorId="0" shapeId="0" xr:uid="{00000000-0006-0000-0A00-000049010000}">
      <text>
        <r>
          <rPr>
            <b/>
            <sz val="9"/>
            <color indexed="81"/>
            <rFont val="Tahoma"/>
            <family val="2"/>
          </rPr>
          <t>The countertop or exposed surface has been damaged and can be refinished.</t>
        </r>
      </text>
    </comment>
    <comment ref="G130" authorId="0" shapeId="0" xr:uid="{00000000-0006-0000-0A00-00004A010000}">
      <text>
        <r>
          <rPr>
            <b/>
            <sz val="9"/>
            <color indexed="81"/>
            <rFont val="Tahoma"/>
            <family val="2"/>
          </rPr>
          <t>The drawers and/or doors are damaged and require replacement including hardware.</t>
        </r>
      </text>
    </comment>
    <comment ref="I130" authorId="0" shapeId="0" xr:uid="{00000000-0006-0000-0A00-00004B010000}">
      <text>
        <r>
          <rPr>
            <b/>
            <sz val="9"/>
            <color indexed="81"/>
            <rFont val="Tahoma"/>
            <family val="2"/>
          </rPr>
          <t>A combination of minor and moderate action is required, but the box is still salvageable.</t>
        </r>
      </text>
    </comment>
    <comment ref="K130" authorId="0" shapeId="0" xr:uid="{00000000-0006-0000-0A00-00004C010000}">
      <text>
        <r>
          <rPr>
            <b/>
            <sz val="9"/>
            <color indexed="81"/>
            <rFont val="Tahoma"/>
            <family val="2"/>
          </rPr>
          <t>The casework is severely damaged throughout or is obsolete for the purposes of the space and needs to be replaced.</t>
        </r>
      </text>
    </comment>
    <comment ref="M130" authorId="0" shapeId="0" xr:uid="{00000000-0006-0000-0A00-00004D010000}">
      <text>
        <r>
          <rPr>
            <b/>
            <sz val="9"/>
            <color indexed="81"/>
            <rFont val="Tahoma"/>
            <family val="2"/>
          </rPr>
          <t>The casework is severely damaged throughout or is obsolete for the purposes of the space and needs to be replaced</t>
        </r>
      </text>
    </comment>
    <comment ref="C131" authorId="0" shapeId="0" xr:uid="{00000000-0006-0000-0A00-00004E010000}">
      <text>
        <r>
          <rPr>
            <b/>
            <sz val="9"/>
            <color indexed="81"/>
            <rFont val="Tahoma"/>
            <family val="2"/>
          </rPr>
          <t>Assume loose furnishings (desks, chairs, tables, etc.).</t>
        </r>
      </text>
    </comment>
    <comment ref="K131" authorId="0" shapeId="0" xr:uid="{00000000-0006-0000-0A00-00004F010000}">
      <text>
        <r>
          <rPr>
            <b/>
            <sz val="9"/>
            <color indexed="81"/>
            <rFont val="Tahoma"/>
            <family val="2"/>
          </rPr>
          <t>The furnishings are severely worn or are inappropriate for the age of students or function of space and require replacement.</t>
        </r>
      </text>
    </comment>
    <comment ref="M131" authorId="0" shapeId="0" xr:uid="{00000000-0006-0000-0A00-000050010000}">
      <text>
        <r>
          <rPr>
            <b/>
            <sz val="9"/>
            <color indexed="81"/>
            <rFont val="Tahoma"/>
            <family val="2"/>
          </rPr>
          <t>The furnishings are severely worn or are inappropriate for the age of students or function of space and require replacement</t>
        </r>
      </text>
    </comment>
    <comment ref="C137" authorId="0" shapeId="0" xr:uid="{00000000-0006-0000-0A00-000051010000}">
      <text>
        <r>
          <rPr>
            <b/>
            <sz val="9"/>
            <color indexed="81"/>
            <rFont val="Tahoma"/>
            <family val="2"/>
          </rPr>
          <t>Paved only or needs to be paved.</t>
        </r>
      </text>
    </comment>
    <comment ref="E137" authorId="0" shapeId="0" xr:uid="{00000000-0006-0000-0A00-000052010000}">
      <text>
        <r>
          <rPr>
            <b/>
            <sz val="9"/>
            <color indexed="81"/>
            <rFont val="Tahoma"/>
            <family val="2"/>
          </rPr>
          <t>Minor cracking exists and can be resolved with application of a slurry coat.</t>
        </r>
      </text>
    </comment>
    <comment ref="I137" authorId="0" shapeId="0" xr:uid="{00000000-0006-0000-0A00-000053010000}">
      <text>
        <r>
          <rPr>
            <b/>
            <sz val="9"/>
            <color indexed="81"/>
            <rFont val="Tahoma"/>
            <family val="2"/>
          </rPr>
          <t>Surface is alligatoring requiring a section to be removed down to gravel base, replaced, and region slurry coated.</t>
        </r>
      </text>
    </comment>
    <comment ref="K137" authorId="0" shapeId="0" xr:uid="{00000000-0006-0000-0A00-000054010000}">
      <text>
        <r>
          <rPr>
            <b/>
            <sz val="9"/>
            <color indexed="81"/>
            <rFont val="Tahoma"/>
            <family val="2"/>
          </rPr>
          <t>Surface is broken and shows evidence of heaving and/or settlement requiring removal of asphalt and over-ex of sub-grade with complete replacement.  Where there is only a gravel road and a paved one is needed, this category shall be used.</t>
        </r>
      </text>
    </comment>
    <comment ref="M137" authorId="0" shapeId="0" xr:uid="{00000000-0006-0000-0A00-000055010000}">
      <text>
        <r>
          <rPr>
            <b/>
            <sz val="9"/>
            <color indexed="81"/>
            <rFont val="Tahoma"/>
            <family val="2"/>
          </rPr>
          <t>Surface is broken and shows evidence of heaving and/or settlement requiring removal of asphalt and over-ex of sub-grade with complete replacement.  Where there is only a gravel road and a paved one is needed, this category shall be used</t>
        </r>
      </text>
    </comment>
    <comment ref="C138" authorId="0" shapeId="0" xr:uid="{00000000-0006-0000-0A00-000056010000}">
      <text>
        <r>
          <rPr>
            <b/>
            <sz val="9"/>
            <color indexed="81"/>
            <rFont val="Tahoma"/>
            <family val="2"/>
          </rPr>
          <t>Paved only or needs to be paved.</t>
        </r>
      </text>
    </comment>
    <comment ref="E138" authorId="0" shapeId="0" xr:uid="{00000000-0006-0000-0A00-000057010000}">
      <text>
        <r>
          <rPr>
            <b/>
            <sz val="9"/>
            <color indexed="81"/>
            <rFont val="Tahoma"/>
            <family val="2"/>
          </rPr>
          <t>Minor cracking exists and can be resolved with application of a slurry coat.</t>
        </r>
      </text>
    </comment>
    <comment ref="I138" authorId="0" shapeId="0" xr:uid="{00000000-0006-0000-0A00-000058010000}">
      <text>
        <r>
          <rPr>
            <b/>
            <sz val="9"/>
            <color indexed="81"/>
            <rFont val="Tahoma"/>
            <family val="2"/>
          </rPr>
          <t>Surface is alligatoring requiring a section to be removed down to gravel base, replaced, and region slurry coated.</t>
        </r>
      </text>
    </comment>
    <comment ref="K138" authorId="0" shapeId="0" xr:uid="{00000000-0006-0000-0A00-000059010000}">
      <text>
        <r>
          <rPr>
            <b/>
            <sz val="9"/>
            <color indexed="81"/>
            <rFont val="Tahoma"/>
            <family val="2"/>
          </rPr>
          <t>Surface is broken and shows evidence of heaving and/or settlement requiring removal of asphalt and over-ex of sub-grade with complete replacement.  Where there is only a gravel lot and a paved one is needed, this category shall be used.</t>
        </r>
      </text>
    </comment>
    <comment ref="M138" authorId="0" shapeId="0" xr:uid="{00000000-0006-0000-0A00-00005A010000}">
      <text>
        <r>
          <rPr>
            <b/>
            <sz val="9"/>
            <color indexed="81"/>
            <rFont val="Tahoma"/>
            <family val="2"/>
          </rPr>
          <t>Surface is broken and shows evidence of heaving and/or settlement requiring removal of asphalt and over-ex of sub-grade with complete replacement.  Where there is only a gravel lot and a paved one is needed, this category shall be used</t>
        </r>
      </text>
    </comment>
    <comment ref="C139" authorId="0" shapeId="0" xr:uid="{00000000-0006-0000-0A00-00005B010000}">
      <text>
        <r>
          <rPr>
            <b/>
            <sz val="9"/>
            <color indexed="81"/>
            <rFont val="Tahoma"/>
            <family val="2"/>
          </rPr>
          <t>Concrete only or needs to be concrete.</t>
        </r>
      </text>
    </comment>
    <comment ref="I139" authorId="0" shapeId="0" xr:uid="{00000000-0006-0000-0A00-00005C010000}">
      <text>
        <r>
          <rPr>
            <b/>
            <sz val="9"/>
            <color indexed="81"/>
            <rFont val="Tahoma"/>
            <family val="2"/>
          </rPr>
          <t>Sections are broken with differential settlement requiring the removal of the effected panels and replacement.</t>
        </r>
      </text>
    </comment>
    <comment ref="K139" authorId="0" shapeId="0" xr:uid="{00000000-0006-0000-0A00-00005D010000}">
      <text>
        <r>
          <rPr>
            <b/>
            <sz val="9"/>
            <color indexed="81"/>
            <rFont val="Tahoma"/>
            <family val="2"/>
          </rPr>
          <t>Not only are sections of the concrete broken, but there is evidence of settlement surrounding the walk requiring removal through sub-grade and replacement.  Where there is no concrete walk, but one is needed, this category shall be used.</t>
        </r>
      </text>
    </comment>
    <comment ref="M139" authorId="0" shapeId="0" xr:uid="{00000000-0006-0000-0A00-00005E010000}">
      <text>
        <r>
          <rPr>
            <b/>
            <sz val="9"/>
            <color indexed="81"/>
            <rFont val="Tahoma"/>
            <family val="2"/>
          </rPr>
          <t>Not only are sections of the concrete broken, but there is evidence of settlement surrounding the walk requiring removal through sub-grade and replacement.  Where there is no concrete walk, but one is needed, this category shall be used</t>
        </r>
      </text>
    </comment>
    <comment ref="C140" authorId="0" shapeId="0" xr:uid="{00000000-0006-0000-0A00-00005F010000}">
      <text>
        <r>
          <rPr>
            <b/>
            <sz val="9"/>
            <color indexed="81"/>
            <rFont val="Tahoma"/>
            <family val="2"/>
          </rPr>
          <t>Chain-link fencing.</t>
        </r>
      </text>
    </comment>
    <comment ref="I140" authorId="0" shapeId="0" xr:uid="{00000000-0006-0000-0A00-000060010000}">
      <text>
        <r>
          <rPr>
            <b/>
            <sz val="9"/>
            <color indexed="81"/>
            <rFont val="Tahoma"/>
            <family val="2"/>
          </rPr>
          <t>The fence fabric is damaged and needs to be replaced.</t>
        </r>
      </text>
    </comment>
    <comment ref="K140" authorId="0" shapeId="0" xr:uid="{00000000-0006-0000-0A00-000061010000}">
      <text>
        <r>
          <rPr>
            <b/>
            <sz val="9"/>
            <color indexed="81"/>
            <rFont val="Tahoma"/>
            <family val="2"/>
          </rPr>
          <t>The fencing has lost its structural integrity and is beyond repair.</t>
        </r>
      </text>
    </comment>
    <comment ref="M140" authorId="0" shapeId="0" xr:uid="{00000000-0006-0000-0A00-000062010000}">
      <text>
        <r>
          <rPr>
            <b/>
            <sz val="9"/>
            <color indexed="81"/>
            <rFont val="Tahoma"/>
            <family val="2"/>
          </rPr>
          <t>The fencing has lost its structural integrity and is beyond repair.</t>
        </r>
      </text>
    </comment>
    <comment ref="C141" authorId="0" shapeId="0" xr:uid="{00000000-0006-0000-0A00-000063010000}">
      <text>
        <r>
          <rPr>
            <b/>
            <sz val="9"/>
            <color indexed="81"/>
            <rFont val="Tahoma"/>
            <family val="2"/>
          </rPr>
          <t>Irrigation systems.  Other landscape or field items should be included in "Other" category at bottom of assessment form.</t>
        </r>
      </text>
    </comment>
    <comment ref="K141" authorId="0" shapeId="0" xr:uid="{00000000-0006-0000-0A00-000064010000}">
      <text>
        <r>
          <rPr>
            <b/>
            <sz val="9"/>
            <color indexed="81"/>
            <rFont val="Tahoma"/>
            <family val="2"/>
          </rPr>
          <t xml:space="preserve">Irrigation system is dysfunctional and beyond repair.
</t>
        </r>
      </text>
    </comment>
    <comment ref="M141" authorId="0" shapeId="0" xr:uid="{00000000-0006-0000-0A00-000065010000}">
      <text>
        <r>
          <rPr>
            <b/>
            <sz val="9"/>
            <color indexed="81"/>
            <rFont val="Tahoma"/>
            <family val="2"/>
          </rPr>
          <t xml:space="preserve">Irrigation system is dysfunctional and beyond repair
</t>
        </r>
      </text>
    </comment>
    <comment ref="D143" authorId="0" shapeId="0" xr:uid="{00000000-0006-0000-0A00-000066010000}">
      <text>
        <r>
          <rPr>
            <b/>
            <sz val="9"/>
            <color indexed="81"/>
            <rFont val="Tahoma"/>
            <family val="2"/>
          </rPr>
          <t>Assumes 4" line to building.  Wells should be placed in "Other" category at bottom of form.</t>
        </r>
      </text>
    </comment>
    <comment ref="K143" authorId="0" shapeId="0" xr:uid="{00000000-0006-0000-0A00-000067010000}">
      <text>
        <r>
          <rPr>
            <b/>
            <sz val="9"/>
            <color indexed="81"/>
            <rFont val="Tahoma"/>
            <family val="2"/>
          </rPr>
          <t xml:space="preserve">A portion of the line has lost its structural integrity and requires replacement.
</t>
        </r>
      </text>
    </comment>
    <comment ref="M143" authorId="0" shapeId="0" xr:uid="{00000000-0006-0000-0A00-000068010000}">
      <text>
        <r>
          <rPr>
            <b/>
            <sz val="9"/>
            <color indexed="81"/>
            <rFont val="Tahoma"/>
            <family val="2"/>
          </rPr>
          <t xml:space="preserve">A portion of the line has lost its structural integrity and requires replacement
</t>
        </r>
      </text>
    </comment>
    <comment ref="D144" authorId="0" shapeId="0" xr:uid="{00000000-0006-0000-0A00-000069010000}">
      <text>
        <r>
          <rPr>
            <b/>
            <sz val="9"/>
            <color indexed="81"/>
            <rFont val="Tahoma"/>
            <family val="2"/>
          </rPr>
          <t xml:space="preserve">Assumes 6" line to building.  Wells and holding tanks should be placed in "Other" category at bottom of form.
</t>
        </r>
      </text>
    </comment>
    <comment ref="K144" authorId="0" shapeId="0" xr:uid="{00000000-0006-0000-0A00-00006A010000}">
      <text>
        <r>
          <rPr>
            <b/>
            <sz val="9"/>
            <color indexed="81"/>
            <rFont val="Tahoma"/>
            <family val="2"/>
          </rPr>
          <t xml:space="preserve">A portion of the line has lost its structural integrity and requires replacement.
</t>
        </r>
      </text>
    </comment>
    <comment ref="M144" authorId="0" shapeId="0" xr:uid="{00000000-0006-0000-0A00-00006B010000}">
      <text>
        <r>
          <rPr>
            <b/>
            <sz val="9"/>
            <color indexed="81"/>
            <rFont val="Tahoma"/>
            <family val="2"/>
          </rPr>
          <t xml:space="preserve">A portion of the line has lost its structural integrity and requires replacement
</t>
        </r>
      </text>
    </comment>
    <comment ref="C145" authorId="0" shapeId="0" xr:uid="{00000000-0006-0000-0A00-00006C010000}">
      <text>
        <r>
          <rPr>
            <b/>
            <sz val="9"/>
            <color indexed="81"/>
            <rFont val="Tahoma"/>
            <family val="2"/>
          </rPr>
          <t>Lines only.  Septic fields, tanks, etc. should be placed in "other" category at bottom of form.</t>
        </r>
      </text>
    </comment>
    <comment ref="K145" authorId="0" shapeId="0" xr:uid="{00000000-0006-0000-0A00-00006D010000}">
      <text>
        <r>
          <rPr>
            <b/>
            <sz val="9"/>
            <color indexed="81"/>
            <rFont val="Tahoma"/>
            <family val="2"/>
          </rPr>
          <t>A portion of the line has lost its structural integrity and requires replacement.</t>
        </r>
      </text>
    </comment>
    <comment ref="M145" authorId="0" shapeId="0" xr:uid="{00000000-0006-0000-0A00-00006E010000}">
      <text>
        <r>
          <rPr>
            <b/>
            <sz val="9"/>
            <color indexed="81"/>
            <rFont val="Tahoma"/>
            <family val="2"/>
          </rPr>
          <t>A portion of the line has lost its structural integrity and requires replacement</t>
        </r>
      </text>
    </comment>
    <comment ref="C146" authorId="0" shapeId="0" xr:uid="{00000000-0006-0000-0A00-00006F010000}">
      <text>
        <r>
          <rPr>
            <b/>
            <sz val="9"/>
            <color indexed="81"/>
            <rFont val="Tahoma"/>
            <family val="2"/>
          </rPr>
          <t>Assumes underground system.  For surface runoff system, apply to "Other" category at bottom of form.</t>
        </r>
      </text>
    </comment>
    <comment ref="E146" authorId="0" shapeId="0" xr:uid="{00000000-0006-0000-0A00-000070010000}">
      <text>
        <r>
          <rPr>
            <b/>
            <sz val="9"/>
            <color indexed="81"/>
            <rFont val="Tahoma"/>
            <family val="2"/>
          </rPr>
          <t xml:space="preserve">Catch basins have lost their integrity or are out of alignment.  Remove catch basin, reset, and realign.
</t>
        </r>
      </text>
    </comment>
    <comment ref="G146" authorId="0" shapeId="0" xr:uid="{00000000-0006-0000-0A00-000071010000}">
      <text>
        <r>
          <rPr>
            <b/>
            <sz val="9"/>
            <color indexed="81"/>
            <rFont val="Tahoma"/>
            <family val="2"/>
          </rPr>
          <t xml:space="preserve">Storm sewer piping is dysfunctional or damaged.  Remove and replace.
</t>
        </r>
      </text>
    </comment>
    <comment ref="I146" authorId="0" shapeId="0" xr:uid="{00000000-0006-0000-0A00-000072010000}">
      <text>
        <r>
          <rPr>
            <b/>
            <sz val="9"/>
            <color indexed="81"/>
            <rFont val="Tahoma"/>
            <family val="2"/>
          </rPr>
          <t xml:space="preserve">Detention/retention has failed, but piping and catch basins are functional.  Replace detention  / retention system.
</t>
        </r>
      </text>
    </comment>
    <comment ref="K146" authorId="0" shapeId="0" xr:uid="{00000000-0006-0000-0A00-000073010000}">
      <text>
        <r>
          <rPr>
            <b/>
            <sz val="9"/>
            <color indexed="81"/>
            <rFont val="Tahoma"/>
            <family val="2"/>
          </rPr>
          <t>The entire underground system has failed and requires removal and replacement of all components.</t>
        </r>
      </text>
    </comment>
    <comment ref="M146" authorId="0" shapeId="0" xr:uid="{00000000-0006-0000-0A00-000074010000}">
      <text>
        <r>
          <rPr>
            <b/>
            <sz val="9"/>
            <color indexed="81"/>
            <rFont val="Tahoma"/>
            <family val="2"/>
          </rPr>
          <t>The entire underground system has failed and requires removal and replacement of all components</t>
        </r>
      </text>
    </comment>
    <comment ref="K147" authorId="0" shapeId="0" xr:uid="{00000000-0006-0000-0A00-000075010000}">
      <text>
        <r>
          <rPr>
            <b/>
            <sz val="9"/>
            <color indexed="81"/>
            <rFont val="Tahoma"/>
            <family val="2"/>
          </rPr>
          <t xml:space="preserve">A portion of the line has lost its structural integrity and requires replacement.
</t>
        </r>
      </text>
    </comment>
    <comment ref="M147" authorId="0" shapeId="0" xr:uid="{00000000-0006-0000-0A00-000076010000}">
      <text>
        <r>
          <rPr>
            <b/>
            <sz val="9"/>
            <color indexed="81"/>
            <rFont val="Tahoma"/>
            <family val="2"/>
          </rPr>
          <t xml:space="preserve">A portion of the line has lost its structural integrity and requires replacement
</t>
        </r>
      </text>
    </comment>
    <comment ref="K148" authorId="0" shapeId="0" xr:uid="{00000000-0006-0000-0A00-000077010000}">
      <text>
        <r>
          <rPr>
            <b/>
            <sz val="9"/>
            <color indexed="81"/>
            <rFont val="Tahoma"/>
            <family val="2"/>
          </rPr>
          <t xml:space="preserve">A portion of the line has lost its structural integrity and requires replacement.
</t>
        </r>
      </text>
    </comment>
    <comment ref="M148" authorId="0" shapeId="0" xr:uid="{00000000-0006-0000-0A00-000078010000}">
      <text>
        <r>
          <rPr>
            <b/>
            <sz val="9"/>
            <color indexed="81"/>
            <rFont val="Tahoma"/>
            <family val="2"/>
          </rPr>
          <t xml:space="preserve">A portion of the line has lost its structural integrity and requires replacement
</t>
        </r>
      </text>
    </comment>
    <comment ref="C149" authorId="0" shapeId="0" xr:uid="{00000000-0006-0000-0A00-000079010000}">
      <text>
        <r>
          <rPr>
            <b/>
            <sz val="9"/>
            <color indexed="81"/>
            <rFont val="Tahoma"/>
            <family val="2"/>
          </rPr>
          <t>Natural gas lines</t>
        </r>
      </text>
    </comment>
    <comment ref="K149" authorId="0" shapeId="0" xr:uid="{00000000-0006-0000-0A00-00007A010000}">
      <text>
        <r>
          <rPr>
            <b/>
            <sz val="9"/>
            <color indexed="81"/>
            <rFont val="Tahoma"/>
            <family val="2"/>
          </rPr>
          <t>A portion of the line has lost its structural integrity and requires replacement.</t>
        </r>
      </text>
    </comment>
    <comment ref="M149" authorId="0" shapeId="0" xr:uid="{00000000-0006-0000-0A00-00007B010000}">
      <text>
        <r>
          <rPr>
            <b/>
            <sz val="9"/>
            <color indexed="81"/>
            <rFont val="Tahoma"/>
            <family val="2"/>
          </rPr>
          <t>A portion of the line has lost its structural integrity and requires replacement</t>
        </r>
      </text>
    </comment>
    <comment ref="D152" authorId="0" shapeId="0" xr:uid="{00000000-0006-0000-0A00-00007C010000}">
      <text>
        <r>
          <rPr>
            <b/>
            <sz val="9"/>
            <color indexed="81"/>
            <rFont val="Tahoma"/>
            <family val="2"/>
          </rPr>
          <t>Assumes the private portion of the service lines typically underground after the meter or transformer.</t>
        </r>
      </text>
    </comment>
    <comment ref="I152" authorId="0" shapeId="0" xr:uid="{00000000-0006-0000-0A00-00007D010000}">
      <text>
        <r>
          <rPr>
            <b/>
            <sz val="9"/>
            <color indexed="81"/>
            <rFont val="Tahoma"/>
            <family val="2"/>
          </rPr>
          <t>The transformer no longer functions and is in need of replacement.</t>
        </r>
      </text>
    </comment>
    <comment ref="K152" authorId="0" shapeId="0" xr:uid="{00000000-0006-0000-0A00-00007E010000}">
      <text>
        <r>
          <rPr>
            <b/>
            <sz val="9"/>
            <color indexed="81"/>
            <rFont val="Tahoma"/>
            <family val="2"/>
          </rPr>
          <t>The service has failed and is beyond repair or is undersized requiring replacement of transformer and service lines.</t>
        </r>
      </text>
    </comment>
    <comment ref="M152" authorId="0" shapeId="0" xr:uid="{00000000-0006-0000-0A00-00007F010000}">
      <text>
        <r>
          <rPr>
            <b/>
            <sz val="9"/>
            <color indexed="81"/>
            <rFont val="Tahoma"/>
            <family val="2"/>
          </rPr>
          <t>The service has failed and is beyond repair or is undersized requiring replacement of transformer and service lines</t>
        </r>
      </text>
    </comment>
    <comment ref="E153" authorId="0" shapeId="0" xr:uid="{00000000-0006-0000-0A00-000080010000}">
      <text>
        <r>
          <rPr>
            <b/>
            <sz val="9"/>
            <color indexed="81"/>
            <rFont val="Tahoma"/>
            <family val="2"/>
          </rPr>
          <t>The generator needs to be tuned up.</t>
        </r>
      </text>
    </comment>
    <comment ref="G153" authorId="0" shapeId="0" xr:uid="{00000000-0006-0000-0A00-000081010000}">
      <text>
        <r>
          <rPr>
            <b/>
            <sz val="9"/>
            <color indexed="81"/>
            <rFont val="Tahoma"/>
            <family val="2"/>
          </rPr>
          <t>The valves or other engine parts need to be repaired or replaced and then a tune up.</t>
        </r>
      </text>
    </comment>
    <comment ref="I153" authorId="0" shapeId="0" xr:uid="{00000000-0006-0000-0A00-000082010000}">
      <text>
        <r>
          <rPr>
            <b/>
            <sz val="9"/>
            <color indexed="81"/>
            <rFont val="Tahoma"/>
            <family val="2"/>
          </rPr>
          <t>Generator is non-functional or under-sized.</t>
        </r>
      </text>
    </comment>
    <comment ref="K153" authorId="0" shapeId="0" xr:uid="{00000000-0006-0000-0A00-000083010000}">
      <text>
        <r>
          <rPr>
            <b/>
            <sz val="9"/>
            <color indexed="81"/>
            <rFont val="Tahoma"/>
            <family val="2"/>
          </rPr>
          <t>The system (generator, tank, services lines connected lighting system) is non-functional or under-sized.</t>
        </r>
      </text>
    </comment>
    <comment ref="M153" authorId="0" shapeId="0" xr:uid="{00000000-0006-0000-0A00-000084010000}">
      <text>
        <r>
          <rPr>
            <b/>
            <sz val="9"/>
            <color indexed="81"/>
            <rFont val="Tahoma"/>
            <family val="2"/>
          </rPr>
          <t>The system (generator, tank, services lines connected lighting system) is non-functional or under-sized</t>
        </r>
      </text>
    </comment>
    <comment ref="G154" authorId="0" shapeId="0" xr:uid="{00000000-0006-0000-0A00-000085010000}">
      <text>
        <r>
          <rPr>
            <b/>
            <sz val="9"/>
            <color indexed="81"/>
            <rFont val="Tahoma"/>
            <family val="2"/>
          </rPr>
          <t>The fixtures are nonfunctional and require replacement.</t>
        </r>
      </text>
    </comment>
    <comment ref="K154" authorId="0" shapeId="0" xr:uid="{00000000-0006-0000-0A00-000086010000}">
      <text>
        <r>
          <rPr>
            <b/>
            <sz val="9"/>
            <color indexed="81"/>
            <rFont val="Tahoma"/>
            <family val="2"/>
          </rPr>
          <t>The fixtures, supports, and underground wiring need to be replaced.</t>
        </r>
      </text>
    </comment>
    <comment ref="M154" authorId="0" shapeId="0" xr:uid="{00000000-0006-0000-0A00-000087010000}">
      <text>
        <r>
          <rPr>
            <b/>
            <sz val="9"/>
            <color indexed="81"/>
            <rFont val="Tahoma"/>
            <family val="2"/>
          </rPr>
          <t>The fixtures, supports, and underground wiring need to be replaced</t>
        </r>
      </text>
    </comment>
    <comment ref="C155" authorId="0" shapeId="0" xr:uid="{00000000-0006-0000-0A00-000088010000}">
      <text>
        <r>
          <rPr>
            <b/>
            <sz val="9"/>
            <color indexed="81"/>
            <rFont val="Tahoma"/>
            <family val="2"/>
          </rPr>
          <t>Assumes low voltage lines underground.</t>
        </r>
      </text>
    </comment>
    <comment ref="K155" authorId="0" shapeId="0" xr:uid="{00000000-0006-0000-0A00-000089010000}">
      <text>
        <r>
          <rPr>
            <b/>
            <sz val="9"/>
            <color indexed="81"/>
            <rFont val="Tahoma"/>
            <family val="2"/>
          </rPr>
          <t>Site cabling is inadequate or service is interrupted - replace cabling.</t>
        </r>
      </text>
    </comment>
    <comment ref="M155" authorId="0" shapeId="0" xr:uid="{00000000-0006-0000-0A00-00008A010000}">
      <text>
        <r>
          <rPr>
            <b/>
            <sz val="9"/>
            <color indexed="81"/>
            <rFont val="Tahoma"/>
            <family val="2"/>
          </rPr>
          <t>Site cabling is inadequate or service is interrupted - replace cabling</t>
        </r>
      </text>
    </comment>
  </commentList>
</comments>
</file>

<file path=xl/sharedStrings.xml><?xml version="1.0" encoding="utf-8"?>
<sst xmlns="http://schemas.openxmlformats.org/spreadsheetml/2006/main" count="2656" uniqueCount="894">
  <si>
    <t>Please ensure that you are interviewing the correct person to complete the checklists. For example, you may need to talk to the Internet Service Provider to complete the IT checklist.</t>
  </si>
  <si>
    <t>It is recommended that you complete the assessment on-site. Enter percentages and levels of action on-site after the walkthrough and before leaving the facility.</t>
  </si>
  <si>
    <t>Please create a different assessment Excel workbook for each building.</t>
  </si>
  <si>
    <t>Item</t>
  </si>
  <si>
    <t>Data</t>
  </si>
  <si>
    <t>Notes / Explanation</t>
  </si>
  <si>
    <t>District Name:</t>
  </si>
  <si>
    <t>Site Name:</t>
  </si>
  <si>
    <t>Typically the name that is used for the facility / campus</t>
  </si>
  <si>
    <t>Building Name:</t>
  </si>
  <si>
    <t>If only one building on site, refer to "main"</t>
  </si>
  <si>
    <t>Building ID:</t>
  </si>
  <si>
    <t>Building Type:</t>
  </si>
  <si>
    <t>Pull-down menu - feeds FCI calculation</t>
  </si>
  <si>
    <t>Physical Address of Building:</t>
  </si>
  <si>
    <t>Informational only - does not link</t>
  </si>
  <si>
    <t>Original Year of Building Completion:</t>
  </si>
  <si>
    <t>When was the original building completed and ready for use</t>
  </si>
  <si>
    <t>Primary Structure Type:</t>
  </si>
  <si>
    <t>Pull-down menu of primary building construction / structure types</t>
  </si>
  <si>
    <t>Secondary Structure Type:</t>
  </si>
  <si>
    <t>Pull-down menu of secondary building construction / structure types</t>
  </si>
  <si>
    <t>County:</t>
  </si>
  <si>
    <t>Pull-down menu of the 36 counties - sets location factor for budgets</t>
  </si>
  <si>
    <t>Gross Square Footage:</t>
  </si>
  <si>
    <t>Calculated from exterior face of walls (excluding eaves, outbuilding, porches, canopies, and similar)</t>
  </si>
  <si>
    <t>Site Acreage:</t>
  </si>
  <si>
    <t>District records</t>
  </si>
  <si>
    <t>Assessor Company:</t>
  </si>
  <si>
    <t>Assessor Name:</t>
  </si>
  <si>
    <t>For follow up questions</t>
  </si>
  <si>
    <t>Contact (Phone):</t>
  </si>
  <si>
    <t>Contact (E-Mail):</t>
  </si>
  <si>
    <t>Date of Assessment:</t>
  </si>
  <si>
    <t>W1 – Wood, Light Frame, Single Dwelling</t>
  </si>
  <si>
    <t>W1A – Wood, Light Frame, Multi-Unit</t>
  </si>
  <si>
    <t>W2 – Wood, Commercial and Industrial</t>
  </si>
  <si>
    <t>C1 – Concrete Moment Resisting Frame</t>
  </si>
  <si>
    <t>C2 – Concrete Shear Walls</t>
  </si>
  <si>
    <t>C3 – Concrete Frame with Unreinforced Masonry Infill Walls</t>
  </si>
  <si>
    <t>RM1 – Reinforced Masonry Bearing Walls With Wood or Metal Deck Diaphragm</t>
  </si>
  <si>
    <t>RM2 – Reinforced Masonry Bearing Walls With Precast Concrete Diaphragm</t>
  </si>
  <si>
    <t>URM – Unreinforced Masonry Bearing Walls</t>
  </si>
  <si>
    <t>S1 – Steel Moment Frame</t>
  </si>
  <si>
    <t>S2 – Steel Braced Frame</t>
  </si>
  <si>
    <t>S3 – Steel Light Frame</t>
  </si>
  <si>
    <t>S4 – Steel Frame with Case-In-Place Concrete Shear Walls</t>
  </si>
  <si>
    <t>S5 – Steel Frame with Unreinforced Masonry Infill Walls</t>
  </si>
  <si>
    <t>MH – Mobile Home</t>
  </si>
  <si>
    <t>OTH – Other</t>
  </si>
  <si>
    <t>PC1 – Tilt-Up Buildings</t>
  </si>
  <si>
    <t>PC2 – Precast concrete frame buildings</t>
  </si>
  <si>
    <t>A.    RENOVATIONS</t>
  </si>
  <si>
    <t>Renovation Number</t>
  </si>
  <si>
    <t>Date</t>
  </si>
  <si>
    <t>Secondary Structure Type 
(if applicable)</t>
  </si>
  <si>
    <t>Square Footage</t>
  </si>
  <si>
    <t>Usage</t>
  </si>
  <si>
    <t>none</t>
  </si>
  <si>
    <t>B.    ADDITIONS</t>
  </si>
  <si>
    <t>Addition Number</t>
  </si>
  <si>
    <t>C.    PORTABLE CLASSROOMS</t>
  </si>
  <si>
    <t>Portable Number</t>
  </si>
  <si>
    <t>Age of Portable</t>
  </si>
  <si>
    <t>Notes</t>
  </si>
  <si>
    <r>
      <t>REMINDER:  FILL OUT ALL INFORMATION ON '</t>
    </r>
    <r>
      <rPr>
        <b/>
        <i/>
        <u/>
        <sz val="11"/>
        <color rgb="FFFF0000"/>
        <rFont val="Calibri"/>
        <family val="2"/>
        <scheme val="minor"/>
      </rPr>
      <t>BASE INFORMATION SHEET</t>
    </r>
    <r>
      <rPr>
        <b/>
        <sz val="11"/>
        <color rgb="FFFF0000"/>
        <rFont val="Calibri"/>
        <family val="2"/>
        <scheme val="minor"/>
      </rPr>
      <t>' BEFORE ENTERING DATA ON THIS SHEET</t>
    </r>
  </si>
  <si>
    <t>An unused cell or system that should not receive direct user input</t>
  </si>
  <si>
    <t>An automatically populated cell from user input elsewhere in the file - do not overwrite</t>
  </si>
  <si>
    <t>Enter Voter Approved Bond Date and adjust the number of months for design and construction as needed</t>
  </si>
  <si>
    <t>Date of Estimate:</t>
  </si>
  <si>
    <t>Renovation Schedule</t>
  </si>
  <si>
    <t>Voter Approved Bond Date:</t>
  </si>
  <si>
    <t>Design Finish Date:</t>
  </si>
  <si>
    <t>months after bond</t>
  </si>
  <si>
    <t>Construction Start Date:</t>
  </si>
  <si>
    <t>Construction End Date:</t>
  </si>
  <si>
    <t>month construction period</t>
  </si>
  <si>
    <t>Replacement Schedule</t>
  </si>
  <si>
    <t>months after estimate</t>
  </si>
  <si>
    <t>LEVEL OF ACTION</t>
  </si>
  <si>
    <t>Level 1</t>
  </si>
  <si>
    <t>Level 2</t>
  </si>
  <si>
    <t>Level 3</t>
  </si>
  <si>
    <t>Type (as applicable)</t>
  </si>
  <si>
    <t>None</t>
  </si>
  <si>
    <t>Minor</t>
  </si>
  <si>
    <t>Moderate</t>
  </si>
  <si>
    <t>Major</t>
  </si>
  <si>
    <t>Replace as singular scope</t>
  </si>
  <si>
    <t>A    SUBSTRUCTURE</t>
  </si>
  <si>
    <t>A10 Foundations</t>
  </si>
  <si>
    <t>A1010 Standard Foundations</t>
  </si>
  <si>
    <t>Replace</t>
  </si>
  <si>
    <t>A1020 Special Foundations</t>
  </si>
  <si>
    <t>A1030 Slab on Grade</t>
  </si>
  <si>
    <t>A20 Basement Construction</t>
  </si>
  <si>
    <t>A2010 Basement Excavation</t>
  </si>
  <si>
    <t>NOT USED</t>
  </si>
  <si>
    <t>A2020 Basement Walls</t>
  </si>
  <si>
    <t>B    SHELL</t>
  </si>
  <si>
    <t>B10 Superstructure</t>
  </si>
  <si>
    <t>B1010 Floor Construction</t>
  </si>
  <si>
    <t>Wood</t>
  </si>
  <si>
    <t>Steel</t>
  </si>
  <si>
    <t>Concrete</t>
  </si>
  <si>
    <t>B1020 Roof Construction</t>
  </si>
  <si>
    <t>B20 Exterior Enclosure</t>
  </si>
  <si>
    <t>B2010 Exterior Walls</t>
  </si>
  <si>
    <t>Concrete Formed / Tilt</t>
  </si>
  <si>
    <t>Masonry</t>
  </si>
  <si>
    <t>Framed w/ Wood Siding</t>
  </si>
  <si>
    <t>Framed w/Metal Panel</t>
  </si>
  <si>
    <t>Framed w/Stucco</t>
  </si>
  <si>
    <t>Framed w/Masonry Veneer</t>
  </si>
  <si>
    <t>B2020 Exterior Windows</t>
  </si>
  <si>
    <t>Aluminum/Steel</t>
  </si>
  <si>
    <t>Clad</t>
  </si>
  <si>
    <t>Curtain Wall</t>
  </si>
  <si>
    <t>B2030 Exterior Doors</t>
  </si>
  <si>
    <t>Hollow Metal</t>
  </si>
  <si>
    <t>Storefront</t>
  </si>
  <si>
    <t>B30 Roofing</t>
  </si>
  <si>
    <t>B3010 Roof Coverings</t>
  </si>
  <si>
    <t>Asphalt Shingle</t>
  </si>
  <si>
    <t>Built-Up</t>
  </si>
  <si>
    <t>Single Ply</t>
  </si>
  <si>
    <t>Metal</t>
  </si>
  <si>
    <t>Concrete Tile</t>
  </si>
  <si>
    <t>B3020 Roof Openings</t>
  </si>
  <si>
    <t>Skylights</t>
  </si>
  <si>
    <t>By Building GSF</t>
  </si>
  <si>
    <t>Access Hatch</t>
  </si>
  <si>
    <t>Per hatch</t>
  </si>
  <si>
    <t>C    INTERIORS</t>
  </si>
  <si>
    <t>C10 Interior Construction</t>
  </si>
  <si>
    <t>C1010 Partitions</t>
  </si>
  <si>
    <t>Framed</t>
  </si>
  <si>
    <t>C1020 Interior Doors</t>
  </si>
  <si>
    <t>C1030 Fittings</t>
  </si>
  <si>
    <t>C20 Stairs</t>
  </si>
  <si>
    <t>C2010 Stair Construction</t>
  </si>
  <si>
    <t>Cost/Flight</t>
  </si>
  <si>
    <t>C2020 Stair Finishes</t>
  </si>
  <si>
    <t>Concrete Fill</t>
  </si>
  <si>
    <t>Resilient</t>
  </si>
  <si>
    <t>C30 Interior Finishes</t>
  </si>
  <si>
    <t>C3010 Wall Finishes</t>
  </si>
  <si>
    <t>Paint on Masonry</t>
  </si>
  <si>
    <t>Wallboard</t>
  </si>
  <si>
    <t>Wainscot</t>
  </si>
  <si>
    <t>Ceramic Tile</t>
  </si>
  <si>
    <t>C3020 Floor Finishes</t>
  </si>
  <si>
    <t>Carpet / Soft Surface</t>
  </si>
  <si>
    <t>Resilient Tile</t>
  </si>
  <si>
    <t>Resilient Sheet</t>
  </si>
  <si>
    <t>Polished Concrete</t>
  </si>
  <si>
    <t>Liquid Applied</t>
  </si>
  <si>
    <t>Wood Sports Floor</t>
  </si>
  <si>
    <t>C3030 Ceiling Finishes</t>
  </si>
  <si>
    <t>Lay-In Ceiling Tile</t>
  </si>
  <si>
    <t>Glued-Up Ceiling Tile</t>
  </si>
  <si>
    <t>Painted Structure</t>
  </si>
  <si>
    <t>D    SERVICES</t>
  </si>
  <si>
    <t>D10 Conveying</t>
  </si>
  <si>
    <t>D1010 Elevators &amp; Lifts</t>
  </si>
  <si>
    <t>D1020 Escalators &amp; Moving Walks</t>
  </si>
  <si>
    <t>D1090 Other Conveying Systems</t>
  </si>
  <si>
    <t>D20 Plumbing</t>
  </si>
  <si>
    <t>D2010 Plumbing Fixtures</t>
  </si>
  <si>
    <t xml:space="preserve">All (N) fixtures must meet ADA requirements by code. </t>
  </si>
  <si>
    <t>D2020 Domestic Water Distribution</t>
  </si>
  <si>
    <t>D2030 Sanitary Waste</t>
  </si>
  <si>
    <t>D2040 Rain Water Drainage</t>
  </si>
  <si>
    <t>D2090 Other Plumbing Systems</t>
  </si>
  <si>
    <t>D30 HVAC</t>
  </si>
  <si>
    <t>D3010 Energy Supply</t>
  </si>
  <si>
    <t>D3020 Heat Generating Systems</t>
  </si>
  <si>
    <t>Boiler</t>
  </si>
  <si>
    <t>Air Handler</t>
  </si>
  <si>
    <t>Furnace</t>
  </si>
  <si>
    <t>Heat Exchanger</t>
  </si>
  <si>
    <t>D3030 Cooling Generating Systems</t>
  </si>
  <si>
    <t>Component of air handler</t>
  </si>
  <si>
    <t>Stand alone chiller</t>
  </si>
  <si>
    <t>D3040 Distribution Systems</t>
  </si>
  <si>
    <t>Ductwork</t>
  </si>
  <si>
    <t>Hot water return &amp; supply</t>
  </si>
  <si>
    <t>D3050 Terminal &amp; Package Units</t>
  </si>
  <si>
    <t>Above ceiling VAV unit</t>
  </si>
  <si>
    <t>In-room ventilator unit</t>
  </si>
  <si>
    <t>In-room radiant unit</t>
  </si>
  <si>
    <t>D3060 Controls &amp; Instrumentation</t>
  </si>
  <si>
    <t>D3070 Systems Testing &amp; Balancing</t>
  </si>
  <si>
    <t>D3090 Other HVAC Systems &amp; Equipment</t>
  </si>
  <si>
    <t>D40 Fire Protection</t>
  </si>
  <si>
    <t>D4010 Sprinklers</t>
  </si>
  <si>
    <t>D4020 Standpipes</t>
  </si>
  <si>
    <t>D4030 Fire Protection Specialties</t>
  </si>
  <si>
    <t>D4090 Other Fire Protection Systems</t>
  </si>
  <si>
    <t>D50 Electrical</t>
  </si>
  <si>
    <t>D5010 Electrical Service &amp; Distribution</t>
  </si>
  <si>
    <t>D5020 Lighting and Branch Wiring</t>
  </si>
  <si>
    <t>D5030 Communications &amp; Security</t>
  </si>
  <si>
    <t>Voice / Data System</t>
  </si>
  <si>
    <t>Clock / Intercom System</t>
  </si>
  <si>
    <t>Closed Circuit Surveillance</t>
  </si>
  <si>
    <t>Access Control System</t>
  </si>
  <si>
    <t>Intrusion Alarm System</t>
  </si>
  <si>
    <t>Fire Alarm / Detection</t>
  </si>
  <si>
    <t>Lighting Control System</t>
  </si>
  <si>
    <t>D5090 Other Electrical Systems</t>
  </si>
  <si>
    <t>E   EQUIPMENT &amp; FURNISHINGS</t>
  </si>
  <si>
    <t>E10 Equipment</t>
  </si>
  <si>
    <t>E1010 Commercial Equipment</t>
  </si>
  <si>
    <t>Food Service</t>
  </si>
  <si>
    <t>Vocational</t>
  </si>
  <si>
    <t>E1020 Institutional Equipment</t>
  </si>
  <si>
    <t>Science</t>
  </si>
  <si>
    <t>Art</t>
  </si>
  <si>
    <t xml:space="preserve">Stage Performance </t>
  </si>
  <si>
    <t>Cost/SF of Stage Performance Area</t>
  </si>
  <si>
    <t>Restroom Accessories/Stalls</t>
  </si>
  <si>
    <t>E1030 Vehicular Equipment</t>
  </si>
  <si>
    <t>E1090 Other Equipment</t>
  </si>
  <si>
    <t>E20 Furnishings</t>
  </si>
  <si>
    <t>E2010 Fixed Furnishings</t>
  </si>
  <si>
    <t>E2020 Movable Furnishings</t>
  </si>
  <si>
    <t>F    SPECIAL CONSTRUCTION &amp; DEMOLITION - NOT USED</t>
  </si>
  <si>
    <t>G  BUILDING SITE WORK</t>
  </si>
  <si>
    <t>G10 Site Preparation</t>
  </si>
  <si>
    <t>G20 Site Improvements</t>
  </si>
  <si>
    <t>G2010 Roadways</t>
  </si>
  <si>
    <t>Cost/SF of surface area</t>
  </si>
  <si>
    <t>G2020 Parking Lots</t>
  </si>
  <si>
    <t>G2030 Pedestrian Paving</t>
  </si>
  <si>
    <t>G2040 Site Development</t>
  </si>
  <si>
    <t>Cost/LF of fencing</t>
  </si>
  <si>
    <t>G2050 Landscaping</t>
  </si>
  <si>
    <t>Cost/SF of irrigated area</t>
  </si>
  <si>
    <t>G30 Site Mechanical Utilities</t>
  </si>
  <si>
    <t>G3010 Water Supply</t>
  </si>
  <si>
    <t>Domestic</t>
  </si>
  <si>
    <t>Fire</t>
  </si>
  <si>
    <t>Enter LF of pipe in cell E154</t>
  </si>
  <si>
    <t>G3020 Sanitary Sewer</t>
  </si>
  <si>
    <t>G3030 Storm Sewer</t>
  </si>
  <si>
    <t>Enter SF of area to be drained</t>
  </si>
  <si>
    <t>G3040 Heating Distribution</t>
  </si>
  <si>
    <t>G3050 Cooling Distribution</t>
  </si>
  <si>
    <t>G3060 Fuel Distribution</t>
  </si>
  <si>
    <t>G3090 Other Site Mechanical Utilities</t>
  </si>
  <si>
    <t>G40 Site Electrical Utilities</t>
  </si>
  <si>
    <t>G4010 Electrical Distribution</t>
  </si>
  <si>
    <t>Service</t>
  </si>
  <si>
    <t>Generator</t>
  </si>
  <si>
    <t>G4020 Site Lighting</t>
  </si>
  <si>
    <t>G4030 Site Communications &amp; Security</t>
  </si>
  <si>
    <t>x</t>
  </si>
  <si>
    <t>G4090 Other Site Electrical Utilities</t>
  </si>
  <si>
    <t>G90 Other Site Construction</t>
  </si>
  <si>
    <t>OTHER</t>
  </si>
  <si>
    <t>Unit Budget</t>
  </si>
  <si>
    <t>Description of System</t>
  </si>
  <si>
    <t>Unit of Measure</t>
  </si>
  <si>
    <t>Quantity</t>
  </si>
  <si>
    <t>Extended</t>
  </si>
  <si>
    <t>Renovation Costs</t>
  </si>
  <si>
    <t>Physical Condition Budget Sub-Total</t>
  </si>
  <si>
    <t>Budgeted Development Costs</t>
  </si>
  <si>
    <t>Physical Condition Budget TOTAL</t>
  </si>
  <si>
    <t>Cost with Escalation to (construction mid point):</t>
  </si>
  <si>
    <t>Cost with Escalation to:</t>
  </si>
  <si>
    <t>Replacement Costs</t>
  </si>
  <si>
    <t>Replacement Budget</t>
  </si>
  <si>
    <t>Facility Condition Index (FCI)</t>
  </si>
  <si>
    <t>SCHOOL SAFETY ASSESSMENT</t>
  </si>
  <si>
    <t>YES</t>
  </si>
  <si>
    <t>NO</t>
  </si>
  <si>
    <t>N/A</t>
  </si>
  <si>
    <t>COMMENTS</t>
  </si>
  <si>
    <t>School grounds are fenced.</t>
  </si>
  <si>
    <t>Signs are posted for visitors to report to main office through a designated entrance.</t>
  </si>
  <si>
    <t>Shrubs and foliage are trimmed to allow for good line of sight. (3'-0"/8'- 0" rule)</t>
  </si>
  <si>
    <t>Bus loading and drop-off zones are clearly defined.</t>
  </si>
  <si>
    <t>There is a schedule for maintenance of:</t>
  </si>
  <si>
    <t>a.   Outside lights</t>
  </si>
  <si>
    <t>b.   Locks/Hardware</t>
  </si>
  <si>
    <t>c.   Storage Sheds</t>
  </si>
  <si>
    <t>d.   Windows</t>
  </si>
  <si>
    <t>e.   Other exterior buildings</t>
  </si>
  <si>
    <t>Parent drop-off and pick-up area is clearly defined.</t>
  </si>
  <si>
    <t>There is adequate lighting around the building.</t>
  </si>
  <si>
    <t>Lighting is provided at entrances and other points of possible intrusion.</t>
  </si>
  <si>
    <t>The school ground is free from trash or debris.</t>
  </si>
  <si>
    <t>The school is free of graffiti.</t>
  </si>
  <si>
    <t>Play areas are fenced.</t>
  </si>
  <si>
    <t>Visual surveillance of bicycle racks from main office is possible.</t>
  </si>
  <si>
    <t>Outside hardware has been removed from all doors except at points of entry.</t>
  </si>
  <si>
    <t>Ground floor windows:</t>
  </si>
  <si>
    <t>a.   have no broken panes;</t>
  </si>
  <si>
    <t>Basement windows are protected with grill or well cover.</t>
  </si>
  <si>
    <t>Doors are locked when classrooms are vacant.</t>
  </si>
  <si>
    <t>a.   Main office</t>
  </si>
  <si>
    <t>b.   Cafeteria</t>
  </si>
  <si>
    <t>e.   Science labs</t>
  </si>
  <si>
    <t>i.    Phone line access closet</t>
  </si>
  <si>
    <t>Unused areas of the school can be closed off during after school activities.</t>
  </si>
  <si>
    <t>There is two-way communication between the main office and:</t>
  </si>
  <si>
    <t>b.   Duty stations</t>
  </si>
  <si>
    <t>c.   Re-locatable classrooms</t>
  </si>
  <si>
    <t>d.   Staff and faculty outside building</t>
  </si>
  <si>
    <t>e.   Buses</t>
  </si>
  <si>
    <t>The main entrance is visible from the main office.</t>
  </si>
  <si>
    <t>ADA ASSESSMENT</t>
  </si>
  <si>
    <t>There is at least 1 route from site arrival points that does not require the use of stairs.</t>
  </si>
  <si>
    <t>There is at least 1 van accessible parking space among the accessible spaces.</t>
  </si>
  <si>
    <t>The slope of the accessible parking spaces and access aisles is no steeper than 1:48 in all directions.</t>
  </si>
  <si>
    <t>The access aisles adjoin an accessible route.</t>
  </si>
  <si>
    <t>Accessible spaces are identified with a sign that includes the International Symbol of Accessibility.</t>
  </si>
  <si>
    <t>There are signs reading "van accessible" at van accessible spaces.</t>
  </si>
  <si>
    <t>If the accessible route crosses a curb, there is a curb ramp.</t>
  </si>
  <si>
    <t>Ramps are sloped no greater than 1:12.</t>
  </si>
  <si>
    <t>The main entrance is accessible.</t>
  </si>
  <si>
    <t>If the main entrance is not accessible, there is an alternative accessible entrance.</t>
  </si>
  <si>
    <t>The alternative accessible entrance can be used independently and during the same hours as the main entrance.</t>
  </si>
  <si>
    <t>All inaccessible entrances have signs with the International Symbol of Accessibility indicating the location of the nearest accessible entrance.</t>
  </si>
  <si>
    <t>The door is equipped with hardware, including locks, that is operable with one hand and does not require tight grasping, pinching, or twisting of the wrist.</t>
  </si>
  <si>
    <t>The operable parts of the door hardware are no less than 34" and no greater than 48" above the floor or ground surface.</t>
  </si>
  <si>
    <t>In locker rooms, there is at least one room with a bench.</t>
  </si>
  <si>
    <t>At least one toilet room is accessible (either one for each sex or one unisex).</t>
  </si>
  <si>
    <t>There are signs with the International Symbol of Accessibility at inaccessible toilet rooms that give directions to accessible toilet rooms.</t>
  </si>
  <si>
    <t>There is a route to the accessible toilet room(s) that does not include stairs.</t>
  </si>
  <si>
    <t>The door can be opened easily (5 lbs. maximum force).</t>
  </si>
  <si>
    <t>Lighting controls are operable with one hand and without tight grasping, pinching, or twisting of the wrist.</t>
  </si>
  <si>
    <t>Mounted switches are no less than 34" and no greater than 48" above the floor or ground surface.</t>
  </si>
  <si>
    <t>INFORMATION TECHNOLOGY ASSESSMENT</t>
  </si>
  <si>
    <t>Wireless Coverage:</t>
  </si>
  <si>
    <t>b. Secure?</t>
  </si>
  <si>
    <t>c. Type:</t>
  </si>
  <si>
    <t>Building cabling:</t>
  </si>
  <si>
    <t>a. Fiber (to the desktop)</t>
  </si>
  <si>
    <t>b. CAT 6</t>
  </si>
  <si>
    <t>c. CAT 5 E</t>
  </si>
  <si>
    <t xml:space="preserve">d. CAT 5 </t>
  </si>
  <si>
    <t>Security:</t>
  </si>
  <si>
    <t>a. Access control</t>
  </si>
  <si>
    <t>b. Video Surveillance</t>
  </si>
  <si>
    <t>c. Central Communications Systems</t>
  </si>
  <si>
    <t>HARMFUL SUBSTANCES ASSESSMENT</t>
  </si>
  <si>
    <t>Lead</t>
  </si>
  <si>
    <t>Has your facility been assessed for lead? If so when?</t>
  </si>
  <si>
    <t>Is there lead in your facility?</t>
  </si>
  <si>
    <t>Is lead abatement included in your future bond plans?</t>
  </si>
  <si>
    <t>Asbestos</t>
  </si>
  <si>
    <t>Has your facility been assessed for asbestos? If so when?</t>
  </si>
  <si>
    <t>Is there asbestos in your facility?</t>
  </si>
  <si>
    <t>Is asbestos abatement included in your future bond plans?</t>
  </si>
  <si>
    <t>Mold</t>
  </si>
  <si>
    <t>Has your facility been assessed for mold? If so when?</t>
  </si>
  <si>
    <t>Is there mold in your facility?</t>
  </si>
  <si>
    <t>Is mold abatement included in your future bond plans?</t>
  </si>
  <si>
    <t>Water Quality</t>
  </si>
  <si>
    <t>Is there a water quality concern in your facility?</t>
  </si>
  <si>
    <t>Is water treatment included in your future bond plans?</t>
  </si>
  <si>
    <t>Has your facility been assessed for PCBs? If so when?</t>
  </si>
  <si>
    <t>Are there PCBs in your facility?</t>
  </si>
  <si>
    <t>Is PCB abatement included in your future bond plans?</t>
  </si>
  <si>
    <t>Radon</t>
  </si>
  <si>
    <t>INDOOR AIR QUALITY ASSESSMENT</t>
  </si>
  <si>
    <t>Is someone designated to develop and implement an indoor air quality management plan for your school district?</t>
  </si>
  <si>
    <t>Does your district have an indoor air quality management plan that includes steps for preventing and resolving indoor air quality problems?</t>
  </si>
  <si>
    <t>Are school buildings inspected once or twice each year for conditions that may lead to indoor air quality problems?</t>
  </si>
  <si>
    <t>Is a preventive maintenance schedule established and in operation for the heating, ventilation, and air conditioning (HVAC) system? Is the schedule in accordance with the manufacturer's recommendations or accepted practice for the HVAC system?</t>
  </si>
  <si>
    <t>Is the maintenance schedule updated to show all maintenance performed on the building systems?</t>
  </si>
  <si>
    <t>Does the maintenance schedule include the dates that the building systems maintenance was performed and the names of the persons or companies performing the work?</t>
  </si>
  <si>
    <t>Are maintenance schedules retained for at least three years?</t>
  </si>
  <si>
    <t>Are damaged or inoperable components of the HVAC system replaced or repaired as appropriate?</t>
  </si>
  <si>
    <t>Are reservoirs or parts of the HVAC system with standing water checked visually for microbial growth?</t>
  </si>
  <si>
    <t>Are microbial contaminants removed from ductwork, humidifiers, other HVAC and building system components, and from building surfaces such as carpeting and ceiling tiles when found during regular or emergency maintenance activities or visual inspection?</t>
  </si>
  <si>
    <t>Is general or local exhaust ventilation used where housekeeping and maintenance activities could reasonably be expected to result in exposure to hazardous substances above applicable exposure limits?</t>
  </si>
  <si>
    <t>Does the HVAC system have CO2 monitoring capability (demand control ventilation)?</t>
  </si>
  <si>
    <t>Are humidity levels maintained between 30% to 60% relative humidity?</t>
  </si>
  <si>
    <t>When a contaminant is identified in the make-up air supply, is the source of the contaminant eliminated, or are the make-up inlets or exhaust air outlets relocated to avoid entry of the contaminant into the air system?</t>
  </si>
  <si>
    <t>If buildings do not have mechanical ventilation, are windows, doors, vents, stacks, and other portals used for natural ventilation operating properly?</t>
  </si>
  <si>
    <t>State Assigned Inflation Factor</t>
  </si>
  <si>
    <t>Inflation to projected mid-point of Construction Period</t>
  </si>
  <si>
    <t>State Assigned Soft Development Factor</t>
  </si>
  <si>
    <t>Assuming design, direct-hire specialists (envelope, commissioning, cost estimating, etc.), state solar, permits, survey, geo, bond issuance, management, furnishings, and 15% contingency</t>
  </si>
  <si>
    <t>Yearly Escalation Beyond Dates Below</t>
  </si>
  <si>
    <t>Inflation Rate Per Annum for Projects commencing further than projected construction mid-point.</t>
  </si>
  <si>
    <t>Forwarded Unit Budget</t>
  </si>
  <si>
    <t>Cost Estimator Notes</t>
  </si>
  <si>
    <t xml:space="preserve"> </t>
  </si>
  <si>
    <t>Framed w/ Metal Panel</t>
  </si>
  <si>
    <t>Aluminum</t>
  </si>
  <si>
    <t>Per leaf</t>
  </si>
  <si>
    <t xml:space="preserve">Per leaf </t>
  </si>
  <si>
    <t>By Building GFA</t>
  </si>
  <si>
    <t>Per stop</t>
  </si>
  <si>
    <t>Cost/SF of building GFA</t>
  </si>
  <si>
    <t>.</t>
  </si>
  <si>
    <t>Stage Performance</t>
  </si>
  <si>
    <t>Cost/LF of pipe</t>
  </si>
  <si>
    <t>Cost/SF of area to be drained</t>
  </si>
  <si>
    <t>Cost/LF of HHW/Steam piping</t>
  </si>
  <si>
    <t>Cost/LF of CHW piping</t>
  </si>
  <si>
    <t>Cost/LF of gas piping</t>
  </si>
  <si>
    <t>Cost/occurrence</t>
  </si>
  <si>
    <t>Ability to enter one-off items for site specific scope</t>
  </si>
  <si>
    <t>Escalation Calculator</t>
  </si>
  <si>
    <t>Escalation Factor Summary</t>
  </si>
  <si>
    <t>Historical Cost Indices</t>
  </si>
  <si>
    <t>Turner Construction Quarterly Index</t>
  </si>
  <si>
    <t>Current Quarter:</t>
  </si>
  <si>
    <t>Source</t>
  </si>
  <si>
    <t>Instructions for Adding New Index Month</t>
  </si>
  <si>
    <t>18-Q1</t>
  </si>
  <si>
    <t>Escalation Indices for Estimate</t>
  </si>
  <si>
    <t>FRED Graph Observations</t>
  </si>
  <si>
    <t>1. Search PPI code for latest observations.</t>
  </si>
  <si>
    <t>18-Q2</t>
  </si>
  <si>
    <t>Estimate Milestone</t>
  </si>
  <si>
    <t>Quarter</t>
  </si>
  <si>
    <t>Factor</t>
  </si>
  <si>
    <t>Federal Reserve Economic Data</t>
  </si>
  <si>
    <t>2. Log new observations at bottom of 'Index Data'. Copy down 'Quarter' Column formula, ensure observation is in same date format.</t>
  </si>
  <si>
    <t>18-Q3</t>
  </si>
  <si>
    <t>Original PCA Unit Rates</t>
  </si>
  <si>
    <t>Link: https://fred.stlouisfed.org</t>
  </si>
  <si>
    <t>18-Q4</t>
  </si>
  <si>
    <t>Replacement Budget Rates</t>
  </si>
  <si>
    <t>Help: https://fredhelp.stlouisfed.org</t>
  </si>
  <si>
    <t>19-Q1</t>
  </si>
  <si>
    <t>Date of Estimate</t>
  </si>
  <si>
    <t>Economic Research Division</t>
  </si>
  <si>
    <t>19-Q2</t>
  </si>
  <si>
    <t>Bond Date</t>
  </si>
  <si>
    <t>Federal Reserve Bank of St. Louis</t>
  </si>
  <si>
    <t>3. Click into the 'Aggregated Quarterly Index Average' table (any field below the title). Go to the top toolbar and select 'Pivot Table' &gt; Refresh &gt; Refresh All.</t>
  </si>
  <si>
    <t>19-Q3</t>
  </si>
  <si>
    <t>Design Finish</t>
  </si>
  <si>
    <t>PCU236222236222</t>
  </si>
  <si>
    <t>19-Q4</t>
  </si>
  <si>
    <t>Renovation Construction Start Date</t>
  </si>
  <si>
    <t>Producer Price Index by Industry: New School Building Construction, Index Dec 2005=100, Monthly, Not Seasonally Adjusted</t>
  </si>
  <si>
    <t>20-Q1</t>
  </si>
  <si>
    <t>Renovation End Date</t>
  </si>
  <si>
    <t>20-Q2</t>
  </si>
  <si>
    <t>Renovation Midpoint</t>
  </si>
  <si>
    <t>Index Data</t>
  </si>
  <si>
    <t>Aggregated Quarterly Index Average</t>
  </si>
  <si>
    <t>Q1 Yearly Changes</t>
  </si>
  <si>
    <t>20-Q3</t>
  </si>
  <si>
    <t>Replacement Construction Midpoint</t>
  </si>
  <si>
    <t>Observation Date</t>
  </si>
  <si>
    <t>Average of PCU236222236222</t>
  </si>
  <si>
    <t>20-Q4</t>
  </si>
  <si>
    <t>Escalation Factors</t>
  </si>
  <si>
    <t>21-Q1</t>
  </si>
  <si>
    <t>Legend</t>
  </si>
  <si>
    <t>21-Q2</t>
  </si>
  <si>
    <t>21-Q3</t>
  </si>
  <si>
    <t xml:space="preserve">Projected Index Based on Quarterly Escalation of: </t>
  </si>
  <si>
    <t>21-Q4</t>
  </si>
  <si>
    <t>Escalation Factor</t>
  </si>
  <si>
    <t>Historical Index</t>
  </si>
  <si>
    <t>22-Q1</t>
  </si>
  <si>
    <t>22-Q2</t>
  </si>
  <si>
    <t>22-Q3</t>
  </si>
  <si>
    <t>22-Q4</t>
  </si>
  <si>
    <t>23-Q1</t>
  </si>
  <si>
    <t>23-Q2</t>
  </si>
  <si>
    <t>(blank)</t>
  </si>
  <si>
    <t>23-Q3</t>
  </si>
  <si>
    <t>23-Q4</t>
  </si>
  <si>
    <t>24-Q1</t>
  </si>
  <si>
    <t>24-Q2</t>
  </si>
  <si>
    <t>24-Q3</t>
  </si>
  <si>
    <t>24-Q4</t>
  </si>
  <si>
    <t>25-Q1</t>
  </si>
  <si>
    <t>25-Q2</t>
  </si>
  <si>
    <t>25-Q3</t>
  </si>
  <si>
    <t>25-Q4</t>
  </si>
  <si>
    <t>26-Q1</t>
  </si>
  <si>
    <t>26-Q2</t>
  </si>
  <si>
    <t>26-Q3</t>
  </si>
  <si>
    <t>26-Q4</t>
  </si>
  <si>
    <t>27-Q1</t>
  </si>
  <si>
    <t>27-Q2</t>
  </si>
  <si>
    <t>27-Q3</t>
  </si>
  <si>
    <t>27-Q4</t>
  </si>
  <si>
    <t>28-Q1</t>
  </si>
  <si>
    <t>28-Q2</t>
  </si>
  <si>
    <t>28-Q3</t>
  </si>
  <si>
    <t>28-Q4</t>
  </si>
  <si>
    <t>29-Q1</t>
  </si>
  <si>
    <t>29-Q2</t>
  </si>
  <si>
    <t>29-Q3</t>
  </si>
  <si>
    <t>29-Q4</t>
  </si>
  <si>
    <t>30-Q1</t>
  </si>
  <si>
    <t>30-Q2</t>
  </si>
  <si>
    <t>30-Q3</t>
  </si>
  <si>
    <t>30-Q4</t>
  </si>
  <si>
    <t>Budgeted Replacement Cost of Buildings by Type</t>
  </si>
  <si>
    <t>NOTE:</t>
  </si>
  <si>
    <t>Type</t>
  </si>
  <si>
    <t>Raw Budget / SF (as of Q1 2023)</t>
  </si>
  <si>
    <t>Developed Budget*</t>
  </si>
  <si>
    <t>Forwarded FCI Budget</t>
  </si>
  <si>
    <t>Delta</t>
  </si>
  <si>
    <t>Elementary School</t>
  </si>
  <si>
    <t>Middle School</t>
  </si>
  <si>
    <t>K-8 School</t>
  </si>
  <si>
    <t>High School</t>
  </si>
  <si>
    <t>Gymnasium Building</t>
  </si>
  <si>
    <t>Pool Building</t>
  </si>
  <si>
    <t>Vocational Building</t>
  </si>
  <si>
    <t>Administrative Building</t>
  </si>
  <si>
    <t>Maintenance Building</t>
  </si>
  <si>
    <t>Storage Building</t>
  </si>
  <si>
    <t>Warehouse</t>
  </si>
  <si>
    <t>Food Services Building</t>
  </si>
  <si>
    <t>Bus Shelter</t>
  </si>
  <si>
    <t>Bus Garage</t>
  </si>
  <si>
    <t>Athletic Grandstand</t>
  </si>
  <si>
    <t>Large Greenhouse</t>
  </si>
  <si>
    <t>Other Commercial</t>
  </si>
  <si>
    <t>FCI Reference</t>
  </si>
  <si>
    <t>*Developed Budget is based on State Assigned factor on PSA Cost Table Sheet</t>
  </si>
  <si>
    <t>**Inflation is to projected construction mid-point entered in the Physical Condition Assessment sheet.</t>
  </si>
  <si>
    <t>Note:</t>
  </si>
  <si>
    <t>Assumed raw budgets are extrapolated from RLB Cost Estimating Guide (escalated where appropriate), National Building Cost Manual, recent public bid results and in-house T&amp;T/CBRE Heery estimates and benchmarking.</t>
  </si>
  <si>
    <t>County Cost Factor for Physical Assessment Budget Calculation</t>
  </si>
  <si>
    <t>Counties</t>
  </si>
  <si>
    <t>Prevailing Wage Rate Regions</t>
  </si>
  <si>
    <t>Cost Factor</t>
  </si>
  <si>
    <t>Forwarded Factor</t>
  </si>
  <si>
    <t>Historic values</t>
  </si>
  <si>
    <t>Clatsop</t>
  </si>
  <si>
    <t>MEAN AVG SPLIT BETWEEN MULTNOMAH/POLK/LANE</t>
  </si>
  <si>
    <t>Columbia</t>
  </si>
  <si>
    <t>See above</t>
  </si>
  <si>
    <t>Tillamook</t>
  </si>
  <si>
    <t>Clackamas</t>
  </si>
  <si>
    <t>See below</t>
  </si>
  <si>
    <t>Multnomah</t>
  </si>
  <si>
    <t>Portland, per NATIONAL BUILDING COST MANUAL 2023</t>
  </si>
  <si>
    <t>Washington</t>
  </si>
  <si>
    <t>Marion</t>
  </si>
  <si>
    <t>Salem, per NATIONAL BUILDING COST MANUAL 2023</t>
  </si>
  <si>
    <t>Polk</t>
  </si>
  <si>
    <t>Yamhill</t>
  </si>
  <si>
    <t>Benton</t>
  </si>
  <si>
    <t>Lincoln</t>
  </si>
  <si>
    <t>Linn</t>
  </si>
  <si>
    <t>Lane</t>
  </si>
  <si>
    <t>Eugene, per NATIONAL BUILDING COST MANUAL 2023</t>
  </si>
  <si>
    <t>Douglas</t>
  </si>
  <si>
    <t>EXTRAPOLATED SAME AS ABOVE, ADJACENT COUNTY</t>
  </si>
  <si>
    <t>Coos</t>
  </si>
  <si>
    <t>Curry</t>
  </si>
  <si>
    <t>Jackson</t>
  </si>
  <si>
    <t>Josephine</t>
  </si>
  <si>
    <t>Grants pass, per NATIONAL BUILDING COST MANUAL 2023</t>
  </si>
  <si>
    <t>Hood River</t>
  </si>
  <si>
    <t>CARRIED SAME AS Clatsop/Columbia/Tillamook, same principle as previous entry</t>
  </si>
  <si>
    <t>Sherman</t>
  </si>
  <si>
    <t>Wasco</t>
  </si>
  <si>
    <t>Crook</t>
  </si>
  <si>
    <t>Deschutes</t>
  </si>
  <si>
    <t>Bend, per NATIONAL BUILDING COST MANUAL 2023</t>
  </si>
  <si>
    <t>Jefferson</t>
  </si>
  <si>
    <t>Klamath</t>
  </si>
  <si>
    <t>Lake</t>
  </si>
  <si>
    <t>Gilliam</t>
  </si>
  <si>
    <t>Grant</t>
  </si>
  <si>
    <t>Morrow</t>
  </si>
  <si>
    <t>Umatilla</t>
  </si>
  <si>
    <t>Pendleton, per NATIONAL BUILDING COST MANUAL 2023</t>
  </si>
  <si>
    <t>Wheeler</t>
  </si>
  <si>
    <t>Baker</t>
  </si>
  <si>
    <t>MEAN AVG SPLIT BETWEEN UMATILLA/MALHEUR</t>
  </si>
  <si>
    <t>Union</t>
  </si>
  <si>
    <t>Wallowa</t>
  </si>
  <si>
    <t>Harney</t>
  </si>
  <si>
    <t>Malheur</t>
  </si>
  <si>
    <t>Adrian, per NATIONAL BUILDING COST MANUAL 2023</t>
  </si>
  <si>
    <t>Selected Factor</t>
  </si>
  <si>
    <t>NOTES</t>
  </si>
  <si>
    <t>Regions established by the State of Oregon BOLI Office</t>
  </si>
  <si>
    <t>Relational rates between regions extrapolated from the National Building Cost Manual (2023)</t>
  </si>
  <si>
    <t>Adel SD 21</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</si>
  <si>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</si>
  <si>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</si>
  <si>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</si>
  <si>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</si>
  <si>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</si>
  <si>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</si>
  <si>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</si>
  <si>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</si>
  <si>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</si>
  <si>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</si>
  <si>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</si>
  <si>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</si>
  <si>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</si>
  <si>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</si>
  <si>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</si>
  <si>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</si>
  <si>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</si>
  <si>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</si>
  <si>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</si>
  <si>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</si>
  <si>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</si>
  <si>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</si>
  <si>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</si>
  <si>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</si>
  <si>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</si>
  <si>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</si>
  <si>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</si>
  <si>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</si>
  <si>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</si>
  <si>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Clatskanie SD 6J</t>
  </si>
  <si>
    <t>Colton SD 53</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</si>
  <si>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</si>
  <si>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</si>
  <si>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</si>
  <si>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</si>
  <si>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</si>
  <si>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</si>
  <si>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</si>
  <si>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</si>
  <si>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</si>
  <si>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</si>
  <si>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</si>
  <si>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</si>
  <si>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</si>
  <si>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</si>
  <si>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</si>
  <si>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</si>
  <si>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</si>
  <si>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</si>
  <si>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</si>
  <si>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</si>
  <si>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</si>
  <si>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</si>
  <si>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</si>
  <si>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</si>
  <si>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</si>
  <si>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</si>
  <si>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</si>
  <si>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</si>
  <si>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</si>
  <si>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</si>
  <si>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</si>
  <si>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</si>
  <si>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</si>
  <si>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</si>
  <si>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</si>
  <si>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</si>
  <si>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</si>
  <si>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</si>
  <si>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</si>
  <si>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</si>
  <si>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</si>
  <si>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</si>
  <si>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</si>
  <si>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</si>
  <si>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</si>
  <si>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</si>
  <si>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</si>
  <si>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</si>
  <si>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 County SD</t>
  </si>
  <si>
    <t>Huntington SD 16J</t>
  </si>
  <si>
    <t>Imbler SD 11</t>
  </si>
  <si>
    <t>Ione SD R2</t>
  </si>
  <si>
    <t>Jefferson County SD 509J</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</si>
  <si>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</si>
  <si>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</si>
  <si>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</si>
  <si>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</si>
  <si>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</si>
  <si>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</si>
  <si>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</si>
  <si>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</si>
  <si>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</si>
  <si>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</si>
  <si>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</si>
  <si>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</si>
  <si>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Oswego SD 7J</t>
  </si>
  <si>
    <t>Lebanon Community SD 9</t>
  </si>
  <si>
    <t>Lincoln County SD</t>
  </si>
  <si>
    <t>Long Creek SD 17</t>
  </si>
  <si>
    <t>Lowell SD 71</t>
  </si>
  <si>
    <t>Malheur County SD 51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</si>
  <si>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</si>
  <si>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</si>
  <si>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</si>
  <si>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</si>
  <si>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</si>
  <si>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</si>
  <si>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</si>
  <si>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</si>
  <si>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</si>
  <si>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</si>
  <si>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</si>
  <si>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</si>
  <si>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</si>
  <si>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Neah-Kah-Nie SD 56</t>
  </si>
  <si>
    <t>Newberg SD 29J</t>
  </si>
  <si>
    <t>North Bend SD 13</t>
  </si>
  <si>
    <t>North Clackamas SD 12</t>
  </si>
  <si>
    <t>North Douglas SD 22</t>
  </si>
  <si>
    <t>North Lake SD 14</t>
  </si>
  <si>
    <t>North Marion SD 15</t>
  </si>
  <si>
    <t>North Powder SD 8J</t>
  </si>
  <si>
    <t>North Santiam SD 29J</t>
  </si>
  <si>
    <t>North Wasco County SD 21</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</si>
  <si>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</si>
  <si>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</si>
  <si>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</si>
  <si>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</si>
  <si>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</si>
  <si>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</si>
  <si>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</si>
  <si>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</si>
  <si>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</si>
  <si>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</si>
  <si>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</si>
  <si>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</si>
  <si>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</si>
  <si>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</si>
  <si>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</si>
  <si>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</si>
  <si>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</si>
  <si>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</si>
  <si>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</si>
  <si>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</si>
  <si>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</si>
  <si>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</si>
  <si>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</si>
  <si>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</si>
  <si>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</si>
  <si>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</si>
  <si>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</si>
  <si>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</si>
  <si>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</si>
  <si>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</si>
  <si>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</si>
  <si>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</si>
  <si>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</si>
  <si>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</si>
  <si>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</si>
  <si>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</si>
  <si>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</si>
  <si>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</si>
  <si>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</si>
  <si>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</si>
  <si>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</si>
  <si>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</si>
  <si>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</si>
  <si>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</si>
  <si>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</si>
  <si>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</si>
  <si>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</si>
  <si>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</si>
  <si>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</si>
  <si>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</si>
  <si>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</si>
  <si>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</si>
  <si>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</si>
  <si>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</si>
  <si>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</si>
  <si>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</si>
  <si>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</si>
  <si>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</si>
  <si>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</si>
  <si>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</si>
  <si>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</si>
  <si>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</si>
  <si>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</si>
  <si>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</si>
  <si>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</si>
  <si>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</si>
  <si>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</si>
  <si>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</si>
  <si>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 Carlton SD 1</t>
  </si>
  <si>
    <t>Yoncalla SD 32</t>
  </si>
  <si>
    <r>
      <t xml:space="preserve">LEVEL OF ACTION </t>
    </r>
    <r>
      <rPr>
        <b/>
        <sz val="11"/>
        <color rgb="FFFF0000"/>
        <rFont val="Calibri"/>
        <family val="2"/>
        <scheme val="minor"/>
      </rPr>
      <t>(Select 'X' in drop down if applicable)</t>
    </r>
  </si>
  <si>
    <t>There is one clearly marked and designated entrance for visitors.</t>
  </si>
  <si>
    <t>Restricted areas are clearly marked.</t>
  </si>
  <si>
    <t>Shrubs near building have been trimmed "up" to allow view of bottom of building.</t>
  </si>
  <si>
    <t>Visual surveillance of parking lots from main office is possible.</t>
  </si>
  <si>
    <t>Parking lot is lighted properly and all lights are functioning.</t>
  </si>
  <si>
    <t>Playground equipment has tamper-proof fasteners.</t>
  </si>
  <si>
    <t>Accessible lenses are protected by some unbreakable material.</t>
  </si>
  <si>
    <t>Staff and visitor parking has been designated.</t>
  </si>
  <si>
    <t>High-risk areas are protected by high security locks and an alarm system:</t>
  </si>
  <si>
    <t>c.   Computer labs</t>
  </si>
  <si>
    <t>f.    Nurses office</t>
  </si>
  <si>
    <t>g.   Boiler room</t>
  </si>
  <si>
    <t>h.   Electrical rooms</t>
  </si>
  <si>
    <t>d.   Industrial arts rooms</t>
  </si>
  <si>
    <t>Klamath Falls, per NATIONAL BUILDING COST MANUAL 2023</t>
  </si>
  <si>
    <t>*The values below are escalated to the date of assessment</t>
  </si>
  <si>
    <t xml:space="preserve">These are building only costs and any site work should be added if required </t>
  </si>
  <si>
    <t>Inflated to Construction Midpoint Based on State Rate**</t>
  </si>
  <si>
    <t>Before completing the template it is best to do an informal interview with the individual in charge of the facilities. This is especially helpful when completing the checklists e.g., ADA, Harmful Substances, etc.</t>
  </si>
  <si>
    <t>Small, support outbuildings shall be assessed as "other" under the primary building assessment and not as their own building assessment.</t>
  </si>
  <si>
    <r>
      <t xml:space="preserve">Use the </t>
    </r>
    <r>
      <rPr>
        <b/>
        <u/>
        <sz val="11"/>
        <color rgb="FF0070C0"/>
        <rFont val="Calibri"/>
        <family val="2"/>
        <scheme val="minor"/>
      </rPr>
      <t>School Facilities Building Collection Building ID Number (BIN) Lookup Tool</t>
    </r>
    <r>
      <rPr>
        <b/>
        <sz val="11"/>
        <rFont val="Calibri"/>
        <family val="2"/>
        <scheme val="minor"/>
      </rPr>
      <t xml:space="preserve"> </t>
    </r>
    <r>
      <rPr>
        <sz val="11"/>
        <rFont val="Calibri"/>
        <family val="2"/>
        <scheme val="minor"/>
      </rPr>
      <t xml:space="preserve">for the eight (8) digit number assigned to the building. To use the tool, first download a copy of it by selecting File -&gt; Save As -&gt; Download a Copy. At the top of the Lookup Tool, enter the District ID which you can find on the Entity ID tab. </t>
    </r>
  </si>
  <si>
    <t>% of Building or Count</t>
  </si>
  <si>
    <t>% of System or Finish Affected</t>
  </si>
  <si>
    <t>Historical Index based on Bureau of labor Statistics PPI</t>
  </si>
  <si>
    <t>General Guidance on Using the Facility Assessment Template</t>
  </si>
  <si>
    <t>Date Placed 
on Site</t>
  </si>
  <si>
    <t>Primary 
Structure Type</t>
  </si>
  <si>
    <t>F   SPECIAL CONSTRUCTION &amp; DEMOLITION - NOT USED</t>
  </si>
  <si>
    <t>Automated 
Budget 
Estimate</t>
  </si>
  <si>
    <t>Replace as Part of Renovation</t>
  </si>
  <si>
    <t>Replace as Singular Scope</t>
  </si>
  <si>
    <t>Total Budget</t>
  </si>
  <si>
    <t>at design finish</t>
  </si>
  <si>
    <t xml:space="preserve">Default is </t>
  </si>
  <si>
    <t>*Escalation to projected construction mid point, per schedule entered</t>
  </si>
  <si>
    <t>*Escalation to projected construction mid point + 1 year</t>
  </si>
  <si>
    <t>*Escalation to projected construction mid point + 2 years</t>
  </si>
  <si>
    <t>Unit 
Budget</t>
  </si>
  <si>
    <t>Add to Extend</t>
  </si>
  <si>
    <t>a. 10,000 Mbps or greater</t>
  </si>
  <si>
    <t>b. 1,000 to 9,999 Mbps</t>
  </si>
  <si>
    <t>c. 100 to 999 Mbps</t>
  </si>
  <si>
    <t>d. 10 to 99 Mbps</t>
  </si>
  <si>
    <t>e. 1 to 9 Mbps</t>
  </si>
  <si>
    <t>Local area network connectivity "speed" at the individual building level:</t>
  </si>
  <si>
    <t>Connectivity "speed" to the Facility – measured by Megabytes per second (Mbps):</t>
  </si>
  <si>
    <t>a. Facility-wide</t>
  </si>
  <si>
    <t xml:space="preserve"> i. AC wireless router</t>
  </si>
  <si>
    <t xml:space="preserve"> ii. N wireless router</t>
  </si>
  <si>
    <t xml:space="preserve"> iii. A/B/G wireless router</t>
  </si>
  <si>
    <t>Has your facility been assessed for water quality (lead, etc.)? If so when?</t>
  </si>
  <si>
    <t>Polychlorinated Biphenyls (PCBs)</t>
  </si>
  <si>
    <t>Has your facility been tested for radon? If so when?</t>
  </si>
  <si>
    <t>Are there elevated levels of radon (above 4 pCi/L) in your facility?</t>
  </si>
  <si>
    <t>Is radon mitigation included in your future bond plans?</t>
  </si>
  <si>
    <t>Does the HVAC preventive maintenance schedule include checking and/or changing air filters and belts, lubricating equipment parts, checking the motors, and confirming that all equipment is in operating order?</t>
  </si>
  <si>
    <t>Are water leaks that could promote the growth of biological agents promptly repaired?</t>
  </si>
  <si>
    <t>Are damp or wet materials that could promote the growth of biological agents promptly dried, replaced, removed, or cleaned?</t>
  </si>
  <si>
    <t>If parking is provided for the public, there are an adequate number of accessible spaces provided (1 per 25).</t>
  </si>
  <si>
    <r>
      <t xml:space="preserve">For the template to accurately calculate information please complete the </t>
    </r>
    <r>
      <rPr>
        <i/>
        <sz val="11"/>
        <color theme="1"/>
        <rFont val="Calibri"/>
        <family val="2"/>
        <scheme val="minor"/>
      </rPr>
      <t>Base Information</t>
    </r>
    <r>
      <rPr>
        <sz val="11"/>
        <color theme="1"/>
        <rFont val="Calibri"/>
        <family val="2"/>
        <scheme val="minor"/>
      </rPr>
      <t xml:space="preserve"> tab. Cells highlighted in yellow are required as the rest of the template’s formulas will not calculate correctly without that information.</t>
    </r>
  </si>
  <si>
    <t>For the template to function properly do not change information on the READ ONLY tabs (worksheets e.g., "Building Type Budget-READ ONLY").</t>
  </si>
  <si>
    <t>Make sure you hover over the upper right-hand corner of cells to view comments.</t>
  </si>
  <si>
    <t>They determine the level of action. Pay attention to whether a comment says “and” or “or.”</t>
  </si>
  <si>
    <r>
      <t xml:space="preserve">Type a capital letter </t>
    </r>
    <r>
      <rPr>
        <b/>
        <sz val="11"/>
        <color theme="1"/>
        <rFont val="Calibri"/>
        <family val="2"/>
        <scheme val="minor"/>
      </rPr>
      <t>X</t>
    </r>
    <r>
      <rPr>
        <sz val="11"/>
        <color theme="1"/>
        <rFont val="Calibri"/>
        <family val="2"/>
        <scheme val="minor"/>
      </rPr>
      <t xml:space="preserve"> or select </t>
    </r>
    <r>
      <rPr>
        <b/>
        <sz val="11"/>
        <color theme="1"/>
        <rFont val="Calibri"/>
        <family val="2"/>
        <scheme val="minor"/>
      </rPr>
      <t xml:space="preserve">X </t>
    </r>
    <r>
      <rPr>
        <sz val="11"/>
        <color theme="1"/>
        <rFont val="Calibri"/>
        <family val="2"/>
        <scheme val="minor"/>
      </rPr>
      <t xml:space="preserve">from the drop-down menu to indicate the </t>
    </r>
    <r>
      <rPr>
        <b/>
        <sz val="11"/>
        <color theme="1"/>
        <rFont val="Calibri"/>
        <family val="2"/>
        <scheme val="minor"/>
      </rPr>
      <t>LEVEL OF ACTION</t>
    </r>
    <r>
      <rPr>
        <sz val="11"/>
        <color theme="1"/>
        <rFont val="Calibri"/>
        <family val="2"/>
        <scheme val="minor"/>
      </rPr>
      <t xml:space="preserve"> for a system that is present.</t>
    </r>
  </si>
  <si>
    <r>
      <t xml:space="preserve">To indicate a system is </t>
    </r>
    <r>
      <rPr>
        <u/>
        <sz val="11"/>
        <color theme="1"/>
        <rFont val="Calibri"/>
        <family val="2"/>
        <scheme val="minor"/>
      </rPr>
      <t>not present</t>
    </r>
    <r>
      <rPr>
        <sz val="11"/>
        <color theme="1"/>
        <rFont val="Calibri"/>
        <family val="2"/>
        <scheme val="minor"/>
      </rPr>
      <t xml:space="preserve">, enter the numeric value zero “0” in the </t>
    </r>
    <r>
      <rPr>
        <b/>
        <sz val="11"/>
        <color theme="1"/>
        <rFont val="Calibri"/>
        <family val="2"/>
        <scheme val="minor"/>
      </rPr>
      <t>% of Building or Count</t>
    </r>
    <r>
      <rPr>
        <sz val="11"/>
        <color theme="1"/>
        <rFont val="Calibri"/>
        <family val="2"/>
        <scheme val="minor"/>
      </rPr>
      <t xml:space="preserve"> column.  </t>
    </r>
  </si>
  <si>
    <r>
      <t xml:space="preserve">When you are using your expertise to override the built-in cost model document, note that decision in the </t>
    </r>
    <r>
      <rPr>
        <b/>
        <sz val="11"/>
        <color theme="1"/>
        <rFont val="Calibri"/>
        <family val="2"/>
        <scheme val="minor"/>
      </rPr>
      <t>Notes</t>
    </r>
    <r>
      <rPr>
        <sz val="11"/>
        <color theme="1"/>
        <rFont val="Calibri"/>
        <family val="2"/>
        <scheme val="minor"/>
      </rPr>
      <t xml:space="preserve"> column. Notes must be added so that the state and districts know why you are overriding the template. For example, a system has a key component that needs to be replaced but that replacement is not accurately described in the </t>
    </r>
    <r>
      <rPr>
        <b/>
        <sz val="11"/>
        <color theme="1"/>
        <rFont val="Calibri"/>
        <family val="2"/>
        <scheme val="minor"/>
      </rPr>
      <t>LEVEL OF ACTION</t>
    </r>
    <r>
      <rPr>
        <sz val="11"/>
        <color theme="1"/>
        <rFont val="Calibri"/>
        <family val="2"/>
        <scheme val="minor"/>
      </rPr>
      <t xml:space="preserve"> comments.</t>
    </r>
  </si>
  <si>
    <r>
      <t xml:space="preserve">If you have a system not found in the template then add it at the bottom of the </t>
    </r>
    <r>
      <rPr>
        <i/>
        <sz val="11"/>
        <color theme="1"/>
        <rFont val="Calibri"/>
        <family val="2"/>
        <scheme val="minor"/>
      </rPr>
      <t>Physical Condition Assessment</t>
    </r>
    <r>
      <rPr>
        <sz val="11"/>
        <color theme="1"/>
        <rFont val="Calibri"/>
        <family val="2"/>
        <scheme val="minor"/>
      </rPr>
      <t xml:space="preserve"> tab under </t>
    </r>
    <r>
      <rPr>
        <b/>
        <sz val="11"/>
        <color theme="1"/>
        <rFont val="Calibri"/>
        <family val="2"/>
        <scheme val="minor"/>
      </rPr>
      <t>OTHER</t>
    </r>
    <r>
      <rPr>
        <sz val="11"/>
        <color theme="1"/>
        <rFont val="Calibri"/>
        <family val="2"/>
        <scheme val="minor"/>
      </rPr>
      <t>.</t>
    </r>
  </si>
  <si>
    <r>
      <t xml:space="preserve">If you know that costs have changed, override the cost on the </t>
    </r>
    <r>
      <rPr>
        <i/>
        <sz val="11"/>
        <color theme="1"/>
        <rFont val="Calibri"/>
        <family val="2"/>
        <scheme val="minor"/>
      </rPr>
      <t>Physical Condition Assessment</t>
    </r>
    <r>
      <rPr>
        <sz val="11"/>
        <color theme="1"/>
        <rFont val="Calibri"/>
        <family val="2"/>
        <scheme val="minor"/>
      </rPr>
      <t xml:space="preserve"> tab ONLY and note it.</t>
    </r>
  </si>
  <si>
    <r>
      <t xml:space="preserve">Please note that while gross square footage is used in the </t>
    </r>
    <r>
      <rPr>
        <b/>
        <sz val="11"/>
        <color rgb="FF000000"/>
        <rFont val="Calibri"/>
        <family val="2"/>
        <scheme val="minor"/>
      </rPr>
      <t>Automated Budget Estimate</t>
    </r>
    <r>
      <rPr>
        <sz val="11"/>
        <color rgb="FF000000"/>
        <rFont val="Calibri"/>
        <family val="2"/>
        <scheme val="minor"/>
      </rPr>
      <t xml:space="preserve"> formula for </t>
    </r>
    <r>
      <rPr>
        <i/>
        <sz val="11"/>
        <color rgb="FF000000"/>
        <rFont val="Calibri"/>
        <family val="2"/>
        <scheme val="minor"/>
      </rPr>
      <t>most</t>
    </r>
    <r>
      <rPr>
        <sz val="11"/>
        <color rgb="FF000000"/>
        <rFont val="Calibri"/>
        <family val="2"/>
        <scheme val="minor"/>
      </rPr>
      <t xml:space="preserve"> building systems, some systems will use a different unit of measure. Be sure to check the notes in Columns C, D, and/or E that indicate whether to enter count, total linear feet, surface area, etc. For some systems in the </t>
    </r>
    <r>
      <rPr>
        <b/>
        <sz val="11"/>
        <color rgb="FF000000"/>
        <rFont val="Calibri"/>
        <family val="2"/>
        <scheme val="minor"/>
      </rPr>
      <t>% of Building or Count</t>
    </r>
    <r>
      <rPr>
        <sz val="11"/>
        <color rgb="FF000000"/>
        <rFont val="Calibri"/>
        <family val="2"/>
        <scheme val="minor"/>
      </rPr>
      <t xml:space="preserve"> column (Column E), you will enter the quantity or number of units as described rather than the % of the building's gross square footage. This applies to B2030 Exterior Doors, B3020 Roof Openings - Access Hatch, C1020 Interior Doors, C20 Stairs, D10 Conveying, E1020 Institutional Equipment, G20 Site Improvements, G30 Site Mechanical Utilities, and G4010 Electrical Distribution - Generator. </t>
    </r>
  </si>
  <si>
    <r>
      <t xml:space="preserve">The default for portables is to list them in the </t>
    </r>
    <r>
      <rPr>
        <i/>
        <sz val="11"/>
        <color theme="1"/>
        <rFont val="Calibri"/>
        <family val="2"/>
        <scheme val="minor"/>
      </rPr>
      <t>Renovations, Additions, &amp; Prtbls</t>
    </r>
    <r>
      <rPr>
        <sz val="11"/>
        <color theme="1"/>
        <rFont val="Calibri"/>
        <family val="2"/>
        <scheme val="minor"/>
      </rPr>
      <t xml:space="preserve"> tab. If a district requests a full assessment of their portable classrooms, please create a separate assessment Excel workbook for each building.</t>
    </r>
  </si>
  <si>
    <r>
      <t xml:space="preserve">If an ADA deficiency is listed in the </t>
    </r>
    <r>
      <rPr>
        <i/>
        <sz val="11"/>
        <color theme="1"/>
        <rFont val="Calibri"/>
        <family val="2"/>
        <scheme val="minor"/>
      </rPr>
      <t>Physical Condition Assessment</t>
    </r>
    <r>
      <rPr>
        <sz val="11"/>
        <color theme="1"/>
        <rFont val="Calibri"/>
        <family val="2"/>
        <scheme val="minor"/>
      </rPr>
      <t xml:space="preserve"> tab, then include that in the final costs. However, please do not add costs to the final amounts simply to bring the building into ADA compliance.</t>
    </r>
  </si>
  <si>
    <t>Enter LF of pipe in cell E155</t>
  </si>
  <si>
    <t>Enter LF of sewer lines in cell E156</t>
  </si>
  <si>
    <t>Enter LF of heating ducts in cell E158</t>
  </si>
  <si>
    <t>Enter LF of duct work in cell E159</t>
  </si>
  <si>
    <t>Enter LF of natural gas lines in cell E160</t>
  </si>
  <si>
    <t>Enter the actual date of the assessment - use m/d/yyyy format</t>
  </si>
  <si>
    <t>ID</t>
  </si>
  <si>
    <t>District Name</t>
  </si>
  <si>
    <t>Nestucca Valley SD 101</t>
  </si>
  <si>
    <t>Clackamas ESD</t>
  </si>
  <si>
    <t>Columbia Gorge ESD</t>
  </si>
  <si>
    <t>Douglas ESD</t>
  </si>
  <si>
    <t>Grant ESD</t>
  </si>
  <si>
    <t>Harney ESD Region XVII</t>
  </si>
  <si>
    <t>High Desert ESD</t>
  </si>
  <si>
    <t>InterMountain ESD</t>
  </si>
  <si>
    <t>Jefferson ESD</t>
  </si>
  <si>
    <t>Lake ESD</t>
  </si>
  <si>
    <t>Lane ESD</t>
  </si>
  <si>
    <t>Linn Benton Lincoln ESD</t>
  </si>
  <si>
    <t>Malheur ESD Region 14</t>
  </si>
  <si>
    <t>Multnomah ESD</t>
  </si>
  <si>
    <t>North Central ESD</t>
  </si>
  <si>
    <t>Northwest Regional ESD</t>
  </si>
  <si>
    <t>Region 18 ESD</t>
  </si>
  <si>
    <t>South Coast ESD</t>
  </si>
  <si>
    <t>Southern Oregon ESD</t>
  </si>
  <si>
    <t>Willamette ESD</t>
  </si>
  <si>
    <t>Pull-down menu of the 197 Districts and 19 ESDs (alphabetical order)</t>
  </si>
  <si>
    <t>Version: 11/15/2023</t>
  </si>
  <si>
    <t>b.   have locking hardware that is in working order.</t>
  </si>
  <si>
    <t>a.   Classrooms</t>
  </si>
  <si>
    <t>There is a central alarm system in the school. If yes, briefly describe in Comments.</t>
  </si>
  <si>
    <r>
      <t xml:space="preserve">When entering data in the </t>
    </r>
    <r>
      <rPr>
        <b/>
        <sz val="11"/>
        <color theme="1"/>
        <rFont val="Calibri"/>
        <family val="2"/>
        <scheme val="minor"/>
      </rPr>
      <t>% of System or Finish Affected</t>
    </r>
    <r>
      <rPr>
        <sz val="11"/>
        <color theme="1"/>
        <rFont val="Calibri"/>
        <family val="2"/>
        <scheme val="minor"/>
      </rPr>
      <t xml:space="preserve"> column (Column S), the data </t>
    </r>
    <r>
      <rPr>
        <b/>
        <sz val="11"/>
        <color rgb="FFFF0000"/>
        <rFont val="Calibri"/>
        <family val="2"/>
        <scheme val="minor"/>
      </rPr>
      <t>must be entered as a percentage of the system</t>
    </r>
    <r>
      <rPr>
        <sz val="11"/>
        <color theme="1"/>
        <rFont val="Calibri"/>
        <family val="2"/>
        <scheme val="minor"/>
      </rPr>
      <t xml:space="preserve">. For example, if resilient tile covers 50% of the building and 35% of it needs to be replaced, enter 35 in the </t>
    </r>
    <r>
      <rPr>
        <b/>
        <sz val="11"/>
        <color theme="1"/>
        <rFont val="Calibri"/>
        <family val="2"/>
        <scheme val="minor"/>
      </rPr>
      <t>% of System or Finish Affected</t>
    </r>
    <r>
      <rPr>
        <sz val="11"/>
        <color theme="1"/>
        <rFont val="Calibri"/>
        <family val="2"/>
        <scheme val="minor"/>
      </rPr>
      <t xml:space="preserve"> column. This is true even if the system uses a different unit of measure rather than the percentage of gross square feet. For example, if there are 40 wood doors and 10 need to be replaced, enter 25 in </t>
    </r>
    <r>
      <rPr>
        <b/>
        <sz val="11"/>
        <color theme="1"/>
        <rFont val="Calibri"/>
        <family val="2"/>
        <scheme val="minor"/>
      </rPr>
      <t xml:space="preserve">% of System or Finish Affected </t>
    </r>
    <r>
      <rPr>
        <sz val="11"/>
        <color theme="1"/>
        <rFont val="Calibri"/>
        <family val="2"/>
        <scheme val="minor"/>
      </rPr>
      <t>column (Column S).</t>
    </r>
  </si>
  <si>
    <t>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</si>
</sst>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quot; / SF&quot;"/>
    <numFmt numFmtId="166" formatCode="_(* #,##0_);_(* \(#,##0\);_(* &quot;-&quot;??_);_(@_)"/>
    <numFmt numFmtId="167" formatCode="0.0%"/>
    <numFmt numFmtId="168" formatCode="&quot;$&quot;#,##0.0"/>
    <numFmt numFmtId="169" formatCode="&quot;$&quot;#,##0.00"/>
    <numFmt numFmtId="170" formatCode="0.0000"/>
  </numFmts>
  <fonts count="35" x14ac:knownFonts="1">
    <font>
      <sz val="11"/>
      <color theme="1"/>
      <name val="Calibri"/>
      <family val="2"/>
      <scheme val="minor"/>
    </font>
    <font>
      <b/>
      <sz val="11"/>
      <color theme="1"/>
      <name val="Calibri"/>
      <family val="2"/>
      <scheme val="minor"/>
    </font>
    <font>
      <b/>
      <sz val="9"/>
      <color indexed="81"/>
      <name val="Tahoma"/>
      <family val="2"/>
    </font>
    <font>
      <sz val="11"/>
      <color theme="1"/>
      <name val="Calibri"/>
      <family val="2"/>
      <scheme val="minor"/>
    </font>
    <font>
      <sz val="11"/>
      <name val="Calibri"/>
      <family val="2"/>
      <scheme val="minor"/>
    </font>
    <font>
      <u/>
      <sz val="11"/>
      <color theme="1"/>
      <name val="Calibri"/>
      <family val="2"/>
      <scheme val="minor"/>
    </font>
    <font>
      <b/>
      <u/>
      <sz val="11"/>
      <color theme="1"/>
      <name val="Calibri"/>
      <family val="2"/>
      <scheme val="minor"/>
    </font>
    <font>
      <b/>
      <u/>
      <sz val="9"/>
      <color indexed="81"/>
      <name val="Tahoma"/>
      <family val="2"/>
    </font>
    <font>
      <b/>
      <sz val="11"/>
      <color rgb="FFFF0000"/>
      <name val="Calibri"/>
      <family val="2"/>
      <scheme val="minor"/>
    </font>
    <font>
      <b/>
      <i/>
      <u/>
      <sz val="11"/>
      <color rgb="FFFF0000"/>
      <name val="Calibri"/>
      <family val="2"/>
      <scheme val="minor"/>
    </font>
    <font>
      <sz val="10"/>
      <color rgb="FF000000"/>
      <name val="Times New Roman"/>
      <family val="1"/>
    </font>
    <font>
      <sz val="10"/>
      <color rgb="FF000000"/>
      <name val="Times New Roman"/>
      <family val="1"/>
    </font>
    <font>
      <sz val="11"/>
      <color rgb="FFFF0000"/>
      <name val="Calibri"/>
      <family val="2"/>
      <scheme val="minor"/>
    </font>
    <font>
      <u/>
      <sz val="11"/>
      <color theme="10"/>
      <name val="Calibri"/>
      <family val="2"/>
      <scheme val="minor"/>
    </font>
    <font>
      <b/>
      <sz val="14"/>
      <name val="Calibri"/>
      <family val="2"/>
      <scheme val="minor"/>
    </font>
    <font>
      <sz val="10"/>
      <color rgb="FF000000"/>
      <name val="Calibri"/>
      <family val="2"/>
      <scheme val="minor"/>
    </font>
    <font>
      <b/>
      <sz val="12"/>
      <name val="Calibri"/>
      <family val="2"/>
      <scheme val="minor"/>
    </font>
    <font>
      <sz val="12"/>
      <name val="Calibri"/>
      <family val="2"/>
      <scheme val="minor"/>
    </font>
    <font>
      <sz val="9"/>
      <color rgb="FF000000"/>
      <name val="Verdana"/>
      <family val="2"/>
    </font>
    <font>
      <b/>
      <sz val="9"/>
      <color rgb="FF000000"/>
      <name val="Tahoma"/>
      <family val="2"/>
    </font>
    <font>
      <i/>
      <sz val="11"/>
      <color theme="1"/>
      <name val="Calibri"/>
      <family val="2"/>
      <scheme val="minor"/>
    </font>
    <font>
      <b/>
      <sz val="10"/>
      <color theme="1"/>
      <name val="Calibri"/>
      <family val="2"/>
      <scheme val="minor"/>
    </font>
    <font>
      <b/>
      <sz val="11"/>
      <name val="Calibri"/>
      <family val="2"/>
      <scheme val="minor"/>
    </font>
    <font>
      <b/>
      <sz val="12"/>
      <color rgb="FFFFFFFF"/>
      <name val="Calibri"/>
      <family val="2"/>
      <scheme val="minor"/>
    </font>
    <font>
      <sz val="12"/>
      <color theme="1"/>
      <name val="Calibri"/>
      <family val="2"/>
      <scheme val="minor"/>
    </font>
    <font>
      <b/>
      <sz val="12"/>
      <color rgb="FF000000"/>
      <name val="Calibri"/>
      <family val="2"/>
      <scheme val="minor"/>
    </font>
    <font>
      <sz val="12"/>
      <color rgb="FF000000"/>
      <name val="Calibri"/>
      <family val="2"/>
      <scheme val="minor"/>
    </font>
    <font>
      <i/>
      <sz val="12"/>
      <color rgb="FF000000"/>
      <name val="Calibri"/>
      <family val="2"/>
      <scheme val="minor"/>
    </font>
    <font>
      <i/>
      <sz val="12"/>
      <color theme="1"/>
      <name val="Calibri"/>
      <family val="2"/>
      <scheme val="minor"/>
    </font>
    <font>
      <b/>
      <u/>
      <sz val="11"/>
      <color rgb="FF0070C0"/>
      <name val="Calibri"/>
      <family val="2"/>
      <scheme val="minor"/>
    </font>
    <font>
      <b/>
      <sz val="12"/>
      <color theme="1"/>
      <name val="Calibri"/>
      <family val="2"/>
      <scheme val="minor"/>
    </font>
    <font>
      <b/>
      <u/>
      <sz val="12"/>
      <color theme="1"/>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2CC"/>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0F8FA"/>
        <bgColor indexed="64"/>
      </patternFill>
    </fill>
    <fill>
      <patternFill patternType="solid">
        <fgColor rgb="FFAAD4F4"/>
        <bgColor indexed="64"/>
      </patternFill>
    </fill>
  </fills>
  <borders count="14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diagonal/>
    </border>
    <border>
      <left/>
      <right style="medium">
        <color indexed="64"/>
      </right>
      <top style="thin">
        <color rgb="FF000000"/>
      </top>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rgb="FF000000"/>
      </top>
      <bottom style="medium">
        <color indexed="64"/>
      </bottom>
      <diagonal/>
    </border>
    <border>
      <left style="medium">
        <color indexed="64"/>
      </left>
      <right style="thin">
        <color indexed="64"/>
      </right>
      <top style="thin">
        <color rgb="FF000000"/>
      </top>
      <bottom style="medium">
        <color indexed="64"/>
      </bottom>
      <diagonal/>
    </border>
    <border>
      <left style="medium">
        <color indexed="64"/>
      </left>
      <right style="thin">
        <color indexed="64"/>
      </right>
      <top style="thin">
        <color rgb="FF000000"/>
      </top>
      <bottom style="thin">
        <color rgb="FF000000"/>
      </bottom>
      <diagonal/>
    </border>
    <border>
      <left/>
      <right style="medium">
        <color indexed="64"/>
      </right>
      <top/>
      <bottom/>
      <diagonal/>
    </border>
    <border>
      <left/>
      <right style="thin">
        <color indexed="64"/>
      </right>
      <top/>
      <bottom style="thin">
        <color indexed="64"/>
      </bottom>
      <diagonal/>
    </border>
    <border>
      <left/>
      <right style="thin">
        <color rgb="FF000000"/>
      </right>
      <top/>
      <bottom style="thin">
        <color rgb="FF000000"/>
      </bottom>
      <diagonal/>
    </border>
    <border>
      <left/>
      <right style="medium">
        <color indexed="64"/>
      </right>
      <top/>
      <bottom style="thin">
        <color rgb="FF000000"/>
      </bottom>
      <diagonal/>
    </border>
    <border>
      <left/>
      <right style="thin">
        <color indexed="64"/>
      </right>
      <top/>
      <bottom/>
      <diagonal/>
    </border>
    <border>
      <left/>
      <right style="thin">
        <color rgb="FF000000"/>
      </right>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medium">
        <color rgb="FF000000"/>
      </bottom>
      <diagonal/>
    </border>
    <border>
      <left style="thin">
        <color rgb="FF000000"/>
      </left>
      <right/>
      <top/>
      <bottom style="thin">
        <color rgb="FF000000"/>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right style="thin">
        <color rgb="FF000000"/>
      </right>
      <top/>
      <bottom style="medium">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auto="1"/>
      </top>
      <bottom style="thin">
        <color rgb="FFD4D4D4"/>
      </bottom>
      <diagonal/>
    </border>
    <border>
      <left style="thin">
        <color rgb="FFD4D4D4"/>
      </left>
      <right style="thin">
        <color rgb="FFD4D4D4"/>
      </right>
      <top style="thin">
        <color rgb="FFD4D4D4"/>
      </top>
      <bottom style="thin">
        <color auto="1"/>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style="thin">
        <color rgb="FFD4D4D4"/>
      </right>
      <top/>
      <bottom style="thin">
        <color auto="1"/>
      </bottom>
      <diagonal/>
    </border>
    <border>
      <left style="thin">
        <color rgb="FFD4D4D4"/>
      </left>
      <right style="thin">
        <color rgb="FFD4D4D4"/>
      </right>
      <top style="thin">
        <color auto="1"/>
      </top>
      <bottom style="thin">
        <color auto="1"/>
      </bottom>
      <diagonal/>
    </border>
    <border>
      <left/>
      <right/>
      <top/>
      <bottom style="thin">
        <color rgb="FFD4D4D4"/>
      </bottom>
      <diagonal/>
    </border>
    <border>
      <left style="thin">
        <color rgb="FFD4D4D4"/>
      </left>
      <right/>
      <top style="thin">
        <color rgb="FFD4D4D4"/>
      </top>
      <bottom/>
      <diagonal/>
    </border>
    <border>
      <left/>
      <right/>
      <top style="thin">
        <color rgb="FFD4D4D4"/>
      </top>
      <bottom/>
      <diagonal/>
    </border>
    <border>
      <left style="thin">
        <color rgb="FFD4D4D4"/>
      </left>
      <right style="thin">
        <color theme="0"/>
      </right>
      <top style="thin">
        <color rgb="FFD4D4D4"/>
      </top>
      <bottom style="thin">
        <color rgb="FFD4D4D4"/>
      </bottom>
      <diagonal/>
    </border>
    <border>
      <left style="thin">
        <color theme="0"/>
      </left>
      <right style="thin">
        <color theme="0"/>
      </right>
      <top style="thin">
        <color rgb="FFD4D4D4"/>
      </top>
      <bottom style="thin">
        <color rgb="FFD4D4D4"/>
      </bottom>
      <diagonal/>
    </border>
    <border>
      <left style="thin">
        <color rgb="FFD4D4D4"/>
      </left>
      <right/>
      <top style="thin">
        <color indexed="64"/>
      </top>
      <bottom style="thin">
        <color rgb="FFD4D4D4"/>
      </bottom>
      <diagonal/>
    </border>
    <border>
      <left/>
      <right/>
      <top style="thin">
        <color indexed="64"/>
      </top>
      <bottom style="thin">
        <color rgb="FFD4D4D4"/>
      </bottom>
      <diagonal/>
    </border>
    <border>
      <left/>
      <right style="thin">
        <color rgb="FFD4D4D4"/>
      </right>
      <top style="thin">
        <color indexed="64"/>
      </top>
      <bottom style="thin">
        <color rgb="FFD4D4D4"/>
      </bottom>
      <diagonal/>
    </border>
    <border>
      <left/>
      <right style="thin">
        <color rgb="FFD4D4D4"/>
      </right>
      <top style="thin">
        <color rgb="FFD4D4D4"/>
      </top>
      <bottom style="thin">
        <color auto="1"/>
      </bottom>
      <diagonal/>
    </border>
    <border>
      <left/>
      <right/>
      <top style="thin">
        <color rgb="FFD4D4D4"/>
      </top>
      <bottom style="thin">
        <color auto="1"/>
      </bottom>
      <diagonal/>
    </border>
    <border>
      <left/>
      <right style="thin">
        <color rgb="FFD4D4D4"/>
      </right>
      <top/>
      <bottom/>
      <diagonal/>
    </border>
    <border>
      <left style="thin">
        <color rgb="FFD4D4D4"/>
      </left>
      <right style="medium">
        <color indexed="64"/>
      </right>
      <top style="thin">
        <color rgb="FFD4D4D4"/>
      </top>
      <bottom style="thin">
        <color rgb="FFD4D4D4"/>
      </bottom>
      <diagonal/>
    </border>
    <border>
      <left style="thin">
        <color rgb="FFD4D4D4"/>
      </left>
      <right style="thin">
        <color rgb="FFD4D4D4"/>
      </right>
      <top/>
      <bottom/>
      <diagonal/>
    </border>
    <border>
      <left style="thin">
        <color rgb="FFD4D4D4"/>
      </left>
      <right style="thin">
        <color rgb="FFD4D4D4"/>
      </right>
      <top/>
      <bottom style="thin">
        <color rgb="FFD4D4D4"/>
      </bottom>
      <diagonal/>
    </border>
    <border>
      <left style="medium">
        <color indexed="64"/>
      </left>
      <right style="medium">
        <color indexed="64"/>
      </right>
      <top style="thin">
        <color indexed="64"/>
      </top>
      <bottom style="thin">
        <color rgb="FFD4D4D4"/>
      </bottom>
      <diagonal/>
    </border>
    <border>
      <left style="medium">
        <color indexed="64"/>
      </left>
      <right style="medium">
        <color indexed="64"/>
      </right>
      <top style="thin">
        <color rgb="FFD4D4D4"/>
      </top>
      <bottom style="thin">
        <color rgb="FFD4D4D4"/>
      </bottom>
      <diagonal/>
    </border>
    <border>
      <left style="medium">
        <color indexed="64"/>
      </left>
      <right style="thin">
        <color rgb="FFD4D4D4"/>
      </right>
      <top style="thin">
        <color rgb="FFD4D4D4"/>
      </top>
      <bottom style="thin">
        <color indexed="64"/>
      </bottom>
      <diagonal/>
    </border>
    <border>
      <left style="thin">
        <color rgb="FFD4D4D4"/>
      </left>
      <right style="medium">
        <color indexed="64"/>
      </right>
      <top style="thin">
        <color rgb="FFD4D4D4"/>
      </top>
      <bottom style="thin">
        <color indexed="64"/>
      </bottom>
      <diagonal/>
    </border>
    <border>
      <left style="medium">
        <color indexed="64"/>
      </left>
      <right style="thin">
        <color rgb="FFD4D4D4"/>
      </right>
      <top/>
      <bottom style="thin">
        <color indexed="64"/>
      </bottom>
      <diagonal/>
    </border>
    <border>
      <left style="thin">
        <color rgb="FFD4D4D4"/>
      </left>
      <right style="medium">
        <color indexed="64"/>
      </right>
      <top/>
      <bottom style="thin">
        <color indexed="64"/>
      </bottom>
      <diagonal/>
    </border>
    <border>
      <left style="medium">
        <color indexed="64"/>
      </left>
      <right style="thin">
        <color rgb="FFD4D4D4"/>
      </right>
      <top/>
      <bottom style="medium">
        <color indexed="64"/>
      </bottom>
      <diagonal/>
    </border>
    <border>
      <left style="thin">
        <color rgb="FFD4D4D4"/>
      </left>
      <right style="thin">
        <color rgb="FFD4D4D4"/>
      </right>
      <top/>
      <bottom style="medium">
        <color indexed="64"/>
      </bottom>
      <diagonal/>
    </border>
    <border>
      <left style="thin">
        <color rgb="FFD4D4D4"/>
      </left>
      <right style="medium">
        <color indexed="64"/>
      </right>
      <top/>
      <bottom style="medium">
        <color indexed="64"/>
      </bottom>
      <diagonal/>
    </border>
    <border>
      <left style="thin">
        <color rgb="FFD4D4D4"/>
      </left>
      <right style="medium">
        <color indexed="64"/>
      </right>
      <top/>
      <bottom style="thin">
        <color rgb="FFD4D4D4"/>
      </bottom>
      <diagonal/>
    </border>
    <border>
      <left style="medium">
        <color indexed="64"/>
      </left>
      <right style="thin">
        <color rgb="FFD4D4D4"/>
      </right>
      <top style="thin">
        <color auto="1"/>
      </top>
      <bottom style="thin">
        <color indexed="64"/>
      </bottom>
      <diagonal/>
    </border>
    <border>
      <left style="thin">
        <color rgb="FFD4D4D4"/>
      </left>
      <right style="medium">
        <color indexed="64"/>
      </right>
      <top style="thin">
        <color auto="1"/>
      </top>
      <bottom style="thin">
        <color indexed="64"/>
      </bottom>
      <diagonal/>
    </border>
    <border>
      <left style="medium">
        <color indexed="64"/>
      </left>
      <right/>
      <top style="thin">
        <color indexed="64"/>
      </top>
      <bottom style="thin">
        <color rgb="FFD4D4D4"/>
      </bottom>
      <diagonal/>
    </border>
    <border>
      <left style="medium">
        <color indexed="64"/>
      </left>
      <right/>
      <top style="thin">
        <color rgb="FFD4D4D4"/>
      </top>
      <bottom style="thin">
        <color rgb="FFD4D4D4"/>
      </bottom>
      <diagonal/>
    </border>
    <border>
      <left style="medium">
        <color indexed="64"/>
      </left>
      <right style="medium">
        <color indexed="64"/>
      </right>
      <top style="thin">
        <color rgb="FFD4D4D4"/>
      </top>
      <bottom style="thin">
        <color indexed="64"/>
      </bottom>
      <diagonal/>
    </border>
    <border>
      <left style="medium">
        <color indexed="64"/>
      </left>
      <right style="thin">
        <color rgb="FFD4D4D4"/>
      </right>
      <top/>
      <bottom/>
      <diagonal/>
    </border>
    <border>
      <left style="thin">
        <color rgb="FFD4D4D4"/>
      </left>
      <right style="medium">
        <color indexed="64"/>
      </right>
      <top/>
      <bottom/>
      <diagonal/>
    </border>
    <border>
      <left/>
      <right style="thin">
        <color auto="1"/>
      </right>
      <top style="thin">
        <color rgb="FFD4D4D4"/>
      </top>
      <bottom style="thin">
        <color auto="1"/>
      </bottom>
      <diagonal/>
    </border>
    <border>
      <left/>
      <right style="thin">
        <color auto="1"/>
      </right>
      <top style="thin">
        <color rgb="FFD4D4D4"/>
      </top>
      <bottom style="thin">
        <color rgb="FFD4D4D4"/>
      </bottom>
      <diagonal/>
    </border>
    <border>
      <left/>
      <right style="thin">
        <color indexed="64"/>
      </right>
      <top style="medium">
        <color indexed="64"/>
      </top>
      <bottom style="thin">
        <color rgb="FFD4D4D4"/>
      </bottom>
      <diagonal/>
    </border>
    <border>
      <left style="medium">
        <color indexed="64"/>
      </left>
      <right/>
      <top style="thin">
        <color rgb="FFD4D4D4"/>
      </top>
      <bottom style="thin">
        <color indexed="64"/>
      </bottom>
      <diagonal/>
    </border>
    <border>
      <left style="thin">
        <color auto="1"/>
      </left>
      <right style="thin">
        <color auto="1"/>
      </right>
      <top/>
      <bottom/>
      <diagonal/>
    </border>
    <border>
      <left style="thin">
        <color auto="1"/>
      </left>
      <right style="thin">
        <color rgb="FFD4D4D4"/>
      </right>
      <top style="thin">
        <color auto="1"/>
      </top>
      <bottom style="thin">
        <color rgb="FFD4D4D4"/>
      </bottom>
      <diagonal/>
    </border>
    <border>
      <left style="thin">
        <color rgb="FFD4D4D4"/>
      </left>
      <right style="thin">
        <color auto="1"/>
      </right>
      <top style="thin">
        <color auto="1"/>
      </top>
      <bottom style="thin">
        <color rgb="FFD4D4D4"/>
      </bottom>
      <diagonal/>
    </border>
    <border>
      <left style="thin">
        <color auto="1"/>
      </left>
      <right style="thin">
        <color rgb="FFD4D4D4"/>
      </right>
      <top style="thin">
        <color rgb="FFD4D4D4"/>
      </top>
      <bottom style="thin">
        <color auto="1"/>
      </bottom>
      <diagonal/>
    </border>
    <border>
      <left style="thin">
        <color rgb="FFD4D4D4"/>
      </left>
      <right style="thin">
        <color auto="1"/>
      </right>
      <top style="thin">
        <color rgb="FFD4D4D4"/>
      </top>
      <bottom style="thin">
        <color auto="1"/>
      </bottom>
      <diagonal/>
    </border>
    <border>
      <left style="thin">
        <color auto="1"/>
      </left>
      <right style="thin">
        <color rgb="FFD4D4D4"/>
      </right>
      <top style="thin">
        <color auto="1"/>
      </top>
      <bottom style="thin">
        <color auto="1"/>
      </bottom>
      <diagonal/>
    </border>
    <border>
      <left style="thin">
        <color auto="1"/>
      </left>
      <right style="thin">
        <color rgb="FFD4D4D4"/>
      </right>
      <top style="thin">
        <color rgb="FFD4D4D4"/>
      </top>
      <bottom style="thin">
        <color rgb="FFD4D4D4"/>
      </bottom>
      <diagonal/>
    </border>
    <border>
      <left style="thin">
        <color rgb="FFD4D4D4"/>
      </left>
      <right style="thin">
        <color auto="1"/>
      </right>
      <top style="thin">
        <color auto="1"/>
      </top>
      <bottom style="thin">
        <color auto="1"/>
      </bottom>
      <diagonal/>
    </border>
    <border>
      <left/>
      <right style="thin">
        <color auto="1"/>
      </right>
      <top style="thin">
        <color auto="1"/>
      </top>
      <bottom style="thin">
        <color rgb="FFD4D4D4"/>
      </bottom>
      <diagonal/>
    </border>
    <border>
      <left style="thin">
        <color rgb="FFD4D4D4"/>
      </left>
      <right/>
      <top style="thin">
        <color rgb="FFD4D4D4"/>
      </top>
      <bottom style="thin">
        <color auto="1"/>
      </bottom>
      <diagonal/>
    </border>
    <border>
      <left style="thin">
        <color auto="1"/>
      </left>
      <right/>
      <top style="thin">
        <color auto="1"/>
      </top>
      <bottom style="thin">
        <color rgb="FFD4D4D4"/>
      </bottom>
      <diagonal/>
    </border>
    <border>
      <left style="thin">
        <color auto="1"/>
      </left>
      <right style="thin">
        <color rgb="FFD4D4D4"/>
      </right>
      <top style="thin">
        <color rgb="FFD4D4D4"/>
      </top>
      <bottom/>
      <diagonal/>
    </border>
    <border>
      <left style="thin">
        <color auto="1"/>
      </left>
      <right style="thin">
        <color rgb="FFD4D4D4"/>
      </right>
      <top/>
      <bottom style="thin">
        <color auto="1"/>
      </bottom>
      <diagonal/>
    </border>
    <border>
      <left style="thin">
        <color rgb="FFD4D4D4"/>
      </left>
      <right/>
      <top style="thin">
        <color auto="1"/>
      </top>
      <bottom/>
      <diagonal/>
    </border>
    <border>
      <left/>
      <right style="thin">
        <color auto="1"/>
      </right>
      <top style="thin">
        <color auto="1"/>
      </top>
      <bottom/>
      <diagonal/>
    </border>
    <border>
      <left style="thin">
        <color theme="0"/>
      </left>
      <right style="thin">
        <color auto="1"/>
      </right>
      <top style="thin">
        <color rgb="FFD4D4D4"/>
      </top>
      <bottom style="thin">
        <color rgb="FFD4D4D4"/>
      </bottom>
      <diagonal/>
    </border>
    <border>
      <left style="thin">
        <color theme="0"/>
      </left>
      <right style="thin">
        <color theme="0"/>
      </right>
      <top/>
      <bottom style="thin">
        <color rgb="FFD4D4D4"/>
      </bottom>
      <diagonal/>
    </border>
    <border>
      <left/>
      <right style="thin">
        <color auto="1"/>
      </right>
      <top style="thin">
        <color rgb="FFD4D4D4"/>
      </top>
      <bottom/>
      <diagonal/>
    </border>
    <border>
      <left style="thin">
        <color auto="1"/>
      </left>
      <right/>
      <top style="thin">
        <color rgb="FFD4D4D4"/>
      </top>
      <bottom style="thin">
        <color rgb="FFD4D4D4"/>
      </bottom>
      <diagonal/>
    </border>
    <border>
      <left style="thin">
        <color rgb="FFD4D4D4"/>
      </left>
      <right style="thin">
        <color auto="1"/>
      </right>
      <top/>
      <bottom style="thin">
        <color auto="1"/>
      </bottom>
      <diagonal/>
    </border>
    <border>
      <left style="thin">
        <color auto="1"/>
      </left>
      <right/>
      <top style="thin">
        <color rgb="FFD4D4D4"/>
      </top>
      <bottom style="thin">
        <color auto="1"/>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medium">
        <color indexed="64"/>
      </bottom>
      <diagonal/>
    </border>
    <border>
      <left/>
      <right style="thin">
        <color theme="0" tint="-0.34998626667073579"/>
      </right>
      <top/>
      <bottom style="medium">
        <color indexed="64"/>
      </bottom>
      <diagonal/>
    </border>
    <border>
      <left style="thin">
        <color theme="0" tint="-0.34998626667073579"/>
      </left>
      <right/>
      <top/>
      <bottom style="medium">
        <color indexed="64"/>
      </bottom>
      <diagonal/>
    </border>
    <border>
      <left/>
      <right style="thin">
        <color rgb="FFD4D4D4"/>
      </right>
      <top style="medium">
        <color indexed="64"/>
      </top>
      <bottom style="thin">
        <color rgb="FFD4D4D4"/>
      </bottom>
      <diagonal/>
    </border>
    <border>
      <left style="thin">
        <color rgb="FFD4D4D4"/>
      </left>
      <right/>
      <top style="medium">
        <color indexed="64"/>
      </top>
      <bottom style="thin">
        <color rgb="FFD4D4D4"/>
      </bottom>
      <diagonal/>
    </border>
    <border>
      <left/>
      <right style="thin">
        <color rgb="FFD4D4D4"/>
      </right>
      <top style="thin">
        <color rgb="FFD4D4D4"/>
      </top>
      <bottom/>
      <diagonal/>
    </border>
  </borders>
  <cellStyleXfs count="7">
    <xf numFmtId="0" fontId="0" fillId="0" borderId="0"/>
    <xf numFmtId="43" fontId="3" fillId="0" borderId="0" applyFont="0" applyFill="0" applyBorder="0" applyAlignment="0" applyProtection="0"/>
    <xf numFmtId="44" fontId="3" fillId="0" borderId="0" applyFont="0" applyFill="0" applyBorder="0" applyAlignment="0" applyProtection="0"/>
    <xf numFmtId="0" fontId="10" fillId="0" borderId="0"/>
    <xf numFmtId="0" fontId="11" fillId="0" borderId="0"/>
    <xf numFmtId="0" fontId="13" fillId="0" borderId="0" applyNumberFormat="0" applyFill="0" applyBorder="0" applyAlignment="0" applyProtection="0"/>
    <xf numFmtId="9" fontId="3" fillId="0" borderId="0" applyFont="0" applyFill="0" applyBorder="0" applyAlignment="0" applyProtection="0"/>
  </cellStyleXfs>
  <cellXfs count="507">
    <xf numFmtId="0" fontId="0" fillId="0" borderId="0" xfId="0"/>
    <xf numFmtId="0" fontId="0" fillId="0" borderId="0" xfId="0" applyAlignment="1">
      <alignment horizontal="center"/>
    </xf>
    <xf numFmtId="0" fontId="1" fillId="0" borderId="0" xfId="0" applyFont="1" applyAlignment="1">
      <alignment horizontal="centerContinuous"/>
    </xf>
    <xf numFmtId="0" fontId="0" fillId="0" borderId="1" xfId="0" applyBorder="1" applyAlignment="1">
      <alignment horizontal="center"/>
    </xf>
    <xf numFmtId="0" fontId="0" fillId="0" borderId="0" xfId="0" applyAlignment="1">
      <alignment horizontal="left"/>
    </xf>
    <xf numFmtId="0" fontId="0" fillId="0" borderId="1" xfId="0" applyBorder="1" applyAlignment="1">
      <alignment horizontal="left"/>
    </xf>
    <xf numFmtId="0" fontId="0" fillId="4" borderId="1" xfId="0" applyFill="1" applyBorder="1" applyAlignment="1">
      <alignment horizontal="center"/>
    </xf>
    <xf numFmtId="0" fontId="1" fillId="0" borderId="0" xfId="0" applyFont="1"/>
    <xf numFmtId="0" fontId="5" fillId="0" borderId="0" xfId="0" applyFont="1"/>
    <xf numFmtId="0" fontId="1" fillId="6" borderId="3" xfId="0" applyFont="1" applyFill="1" applyBorder="1"/>
    <xf numFmtId="0" fontId="1" fillId="6" borderId="3" xfId="0" applyFont="1" applyFill="1" applyBorder="1" applyAlignment="1">
      <alignment horizontal="center" wrapText="1"/>
    </xf>
    <xf numFmtId="0" fontId="1" fillId="6" borderId="3" xfId="0" applyFont="1" applyFill="1" applyBorder="1" applyAlignment="1">
      <alignment horizontal="center"/>
    </xf>
    <xf numFmtId="0" fontId="1" fillId="6" borderId="3" xfId="0" applyFont="1" applyFill="1" applyBorder="1" applyAlignment="1">
      <alignment horizontal="left"/>
    </xf>
    <xf numFmtId="0" fontId="0" fillId="7" borderId="0" xfId="0" applyFill="1"/>
    <xf numFmtId="0" fontId="1" fillId="5" borderId="0" xfId="0" applyFont="1" applyFill="1"/>
    <xf numFmtId="0" fontId="0" fillId="5" borderId="0" xfId="0" applyFill="1"/>
    <xf numFmtId="0" fontId="0" fillId="5" borderId="0" xfId="0" applyFill="1" applyAlignment="1">
      <alignment horizontal="left"/>
    </xf>
    <xf numFmtId="0" fontId="5" fillId="5" borderId="0" xfId="0" applyFont="1" applyFill="1"/>
    <xf numFmtId="0" fontId="1" fillId="6" borderId="5" xfId="0" applyFont="1" applyFill="1" applyBorder="1" applyAlignment="1">
      <alignment horizontal="centerContinuous"/>
    </xf>
    <xf numFmtId="0" fontId="1" fillId="0" borderId="0" xfId="0" applyFont="1" applyAlignment="1">
      <alignment horizontal="left"/>
    </xf>
    <xf numFmtId="0" fontId="0" fillId="0" borderId="3" xfId="0" applyBorder="1" applyAlignment="1">
      <alignment horizontal="left"/>
    </xf>
    <xf numFmtId="0" fontId="0" fillId="0" borderId="3" xfId="0" applyBorder="1"/>
    <xf numFmtId="0" fontId="0" fillId="0" borderId="0" xfId="0" applyAlignment="1">
      <alignment horizontal="right"/>
    </xf>
    <xf numFmtId="9" fontId="0" fillId="0" borderId="1" xfId="0" applyNumberFormat="1" applyBorder="1" applyAlignment="1">
      <alignment horizontal="center"/>
    </xf>
    <xf numFmtId="8" fontId="0" fillId="0" borderId="0" xfId="0" applyNumberFormat="1"/>
    <xf numFmtId="0" fontId="1" fillId="0" borderId="0" xfId="0" applyFont="1" applyAlignment="1">
      <alignment horizontal="right"/>
    </xf>
    <xf numFmtId="6" fontId="1" fillId="0" borderId="0" xfId="0" applyNumberFormat="1" applyFont="1"/>
    <xf numFmtId="164" fontId="0" fillId="0" borderId="0" xfId="0" applyNumberFormat="1"/>
    <xf numFmtId="0" fontId="0" fillId="6" borderId="12" xfId="0" applyFill="1" applyBorder="1" applyAlignment="1">
      <alignment horizontal="center" wrapText="1"/>
    </xf>
    <xf numFmtId="0" fontId="0" fillId="6" borderId="7" xfId="0" applyFill="1" applyBorder="1"/>
    <xf numFmtId="0" fontId="5" fillId="6" borderId="5" xfId="0" applyFont="1" applyFill="1" applyBorder="1"/>
    <xf numFmtId="0" fontId="5" fillId="6" borderId="8" xfId="0" applyFont="1" applyFill="1" applyBorder="1"/>
    <xf numFmtId="0" fontId="0" fillId="6" borderId="8" xfId="0" applyFill="1" applyBorder="1"/>
    <xf numFmtId="0" fontId="0" fillId="6" borderId="8" xfId="0" applyFill="1" applyBorder="1" applyAlignment="1">
      <alignment horizontal="center"/>
    </xf>
    <xf numFmtId="0" fontId="0" fillId="6" borderId="3" xfId="0" applyFill="1" applyBorder="1" applyAlignment="1">
      <alignment horizontal="center" wrapText="1"/>
    </xf>
    <xf numFmtId="0" fontId="5" fillId="0" borderId="0" xfId="0" applyFont="1" applyAlignment="1">
      <alignment horizontal="left"/>
    </xf>
    <xf numFmtId="165" fontId="0" fillId="0" borderId="3" xfId="0" applyNumberFormat="1" applyBorder="1" applyAlignment="1">
      <alignment horizontal="center"/>
    </xf>
    <xf numFmtId="0" fontId="5" fillId="0" borderId="0" xfId="0" applyFont="1" applyAlignment="1">
      <alignment horizontal="right"/>
    </xf>
    <xf numFmtId="9" fontId="0" fillId="4" borderId="1" xfId="0" applyNumberFormat="1" applyFill="1" applyBorder="1" applyAlignment="1">
      <alignment horizontal="center"/>
    </xf>
    <xf numFmtId="0" fontId="0" fillId="4" borderId="1" xfId="0" applyFill="1" applyBorder="1" applyAlignment="1">
      <alignment horizontal="left"/>
    </xf>
    <xf numFmtId="0" fontId="0" fillId="6" borderId="8" xfId="0" applyFill="1" applyBorder="1" applyAlignment="1">
      <alignment horizontal="left"/>
    </xf>
    <xf numFmtId="164" fontId="0" fillId="0" borderId="1" xfId="0" applyNumberFormat="1" applyBorder="1" applyAlignment="1">
      <alignment horizontal="center"/>
    </xf>
    <xf numFmtId="0" fontId="0" fillId="0" borderId="0" xfId="0" applyAlignment="1">
      <alignment horizontal="left" wrapText="1"/>
    </xf>
    <xf numFmtId="0" fontId="1" fillId="7" borderId="0" xfId="0" applyFont="1" applyFill="1" applyAlignment="1">
      <alignment horizontal="right"/>
    </xf>
    <xf numFmtId="167" fontId="1" fillId="0" borderId="0" xfId="0" applyNumberFormat="1" applyFont="1"/>
    <xf numFmtId="164" fontId="1" fillId="0" borderId="0" xfId="0" applyNumberFormat="1" applyFont="1"/>
    <xf numFmtId="169" fontId="0" fillId="0" borderId="0" xfId="0" applyNumberFormat="1" applyAlignment="1">
      <alignment horizontal="center"/>
    </xf>
    <xf numFmtId="169" fontId="1" fillId="6" borderId="7" xfId="0" applyNumberFormat="1" applyFont="1" applyFill="1" applyBorder="1" applyAlignment="1">
      <alignment horizontal="centerContinuous"/>
    </xf>
    <xf numFmtId="169" fontId="1" fillId="6" borderId="3" xfId="0" applyNumberFormat="1" applyFont="1" applyFill="1" applyBorder="1" applyAlignment="1">
      <alignment horizontal="center"/>
    </xf>
    <xf numFmtId="169" fontId="0" fillId="5" borderId="0" xfId="0" applyNumberFormat="1" applyFill="1" applyAlignment="1">
      <alignment horizontal="center"/>
    </xf>
    <xf numFmtId="169" fontId="0" fillId="0" borderId="1" xfId="0" applyNumberFormat="1" applyBorder="1" applyAlignment="1">
      <alignment horizontal="center"/>
    </xf>
    <xf numFmtId="169" fontId="0" fillId="4" borderId="1" xfId="0" applyNumberFormat="1" applyFill="1" applyBorder="1" applyAlignment="1">
      <alignment horizontal="center"/>
    </xf>
    <xf numFmtId="169" fontId="0" fillId="0" borderId="13" xfId="0" applyNumberFormat="1" applyBorder="1" applyAlignment="1">
      <alignment horizontal="center"/>
    </xf>
    <xf numFmtId="169" fontId="1" fillId="6" borderId="5" xfId="0" applyNumberFormat="1" applyFont="1" applyFill="1" applyBorder="1" applyAlignment="1">
      <alignment horizontal="centerContinuous"/>
    </xf>
    <xf numFmtId="8" fontId="1" fillId="6" borderId="3" xfId="0" applyNumberFormat="1" applyFont="1" applyFill="1" applyBorder="1" applyAlignment="1">
      <alignment horizontal="center" wrapText="1"/>
    </xf>
    <xf numFmtId="8" fontId="0" fillId="5" borderId="0" xfId="0" applyNumberFormat="1" applyFill="1"/>
    <xf numFmtId="8" fontId="4" fillId="7" borderId="6" xfId="0" applyNumberFormat="1" applyFont="1" applyFill="1" applyBorder="1" applyAlignment="1">
      <alignment horizontal="center"/>
    </xf>
    <xf numFmtId="8" fontId="0" fillId="0" borderId="0" xfId="0" applyNumberFormat="1" applyAlignment="1">
      <alignment horizontal="center"/>
    </xf>
    <xf numFmtId="8" fontId="0" fillId="5" borderId="0" xfId="0" applyNumberFormat="1" applyFill="1" applyAlignment="1">
      <alignment horizontal="center"/>
    </xf>
    <xf numFmtId="8" fontId="4" fillId="0" borderId="0" xfId="0" applyNumberFormat="1" applyFont="1" applyAlignment="1">
      <alignment horizontal="center"/>
    </xf>
    <xf numFmtId="169" fontId="0" fillId="0" borderId="1" xfId="0" applyNumberFormat="1" applyBorder="1" applyAlignment="1">
      <alignment horizontal="left"/>
    </xf>
    <xf numFmtId="169" fontId="0" fillId="0" borderId="3" xfId="0" applyNumberFormat="1" applyBorder="1" applyAlignment="1">
      <alignment horizontal="center"/>
    </xf>
    <xf numFmtId="0" fontId="0" fillId="2" borderId="0" xfId="0" applyFill="1" applyAlignment="1">
      <alignment horizontal="left"/>
    </xf>
    <xf numFmtId="0" fontId="0" fillId="2" borderId="0" xfId="0" applyFill="1"/>
    <xf numFmtId="0" fontId="1" fillId="6" borderId="3" xfId="0" applyFont="1" applyFill="1" applyBorder="1" applyAlignment="1">
      <alignment horizontal="left" wrapText="1"/>
    </xf>
    <xf numFmtId="44" fontId="0" fillId="0" borderId="1" xfId="2" applyFont="1" applyBorder="1" applyAlignment="1">
      <alignment horizontal="left" wrapText="1"/>
    </xf>
    <xf numFmtId="0" fontId="0" fillId="0" borderId="1" xfId="0" applyBorder="1" applyAlignment="1">
      <alignment horizontal="left" wrapText="1"/>
    </xf>
    <xf numFmtId="0" fontId="0" fillId="4" borderId="1" xfId="0" applyFill="1" applyBorder="1" applyAlignment="1">
      <alignment horizontal="left" wrapText="1"/>
    </xf>
    <xf numFmtId="168" fontId="0" fillId="0" borderId="0" xfId="0" applyNumberFormat="1" applyAlignment="1">
      <alignment horizontal="left" wrapText="1"/>
    </xf>
    <xf numFmtId="44" fontId="0" fillId="0" borderId="0" xfId="2" applyFont="1" applyAlignment="1">
      <alignment horizontal="left" wrapText="1"/>
    </xf>
    <xf numFmtId="4" fontId="0" fillId="7" borderId="0" xfId="0" applyNumberFormat="1" applyFill="1" applyAlignment="1">
      <alignment horizontal="center"/>
    </xf>
    <xf numFmtId="0" fontId="0" fillId="5" borderId="3" xfId="0" applyFill="1" applyBorder="1" applyAlignment="1">
      <alignment horizontal="left"/>
    </xf>
    <xf numFmtId="0" fontId="0" fillId="0" borderId="3" xfId="0" applyBorder="1" applyAlignment="1">
      <alignment horizontal="center"/>
    </xf>
    <xf numFmtId="0" fontId="12" fillId="0" borderId="0" xfId="0" applyFont="1"/>
    <xf numFmtId="0" fontId="0" fillId="0" borderId="0" xfId="0" applyAlignment="1">
      <alignment horizontal="center" vertical="center"/>
    </xf>
    <xf numFmtId="169" fontId="0" fillId="0" borderId="29" xfId="0" applyNumberFormat="1" applyBorder="1" applyAlignment="1">
      <alignment horizontal="center"/>
    </xf>
    <xf numFmtId="169" fontId="0" fillId="0" borderId="10" xfId="0" applyNumberFormat="1" applyBorder="1" applyAlignment="1">
      <alignment horizontal="center"/>
    </xf>
    <xf numFmtId="169" fontId="0" fillId="0" borderId="11" xfId="0" applyNumberFormat="1" applyBorder="1" applyAlignment="1">
      <alignment horizontal="center"/>
    </xf>
    <xf numFmtId="169" fontId="0" fillId="4" borderId="2" xfId="0" applyNumberFormat="1" applyFill="1" applyBorder="1" applyAlignment="1">
      <alignment horizontal="center"/>
    </xf>
    <xf numFmtId="0" fontId="15" fillId="0" borderId="0" xfId="3" applyFont="1" applyAlignment="1">
      <alignment horizontal="left" vertical="top"/>
    </xf>
    <xf numFmtId="0" fontId="15" fillId="0" borderId="3" xfId="3" applyFont="1" applyBorder="1" applyAlignment="1">
      <alignment horizontal="left" vertical="top" wrapText="1"/>
    </xf>
    <xf numFmtId="0" fontId="15" fillId="0" borderId="25" xfId="3" applyFont="1" applyBorder="1" applyAlignment="1">
      <alignment horizontal="left" vertical="top" wrapText="1"/>
    </xf>
    <xf numFmtId="0" fontId="15" fillId="0" borderId="0" xfId="3" applyFont="1" applyAlignment="1" applyProtection="1">
      <alignment horizontal="left" vertical="top"/>
      <protection locked="0"/>
    </xf>
    <xf numFmtId="0" fontId="15" fillId="0" borderId="27" xfId="3" applyFont="1" applyBorder="1" applyAlignment="1">
      <alignment horizontal="left" vertical="top" wrapText="1"/>
    </xf>
    <xf numFmtId="0" fontId="15" fillId="0" borderId="28" xfId="3" applyFont="1" applyBorder="1" applyAlignment="1">
      <alignment horizontal="left" vertical="top" wrapText="1"/>
    </xf>
    <xf numFmtId="0" fontId="3" fillId="0" borderId="0" xfId="0" applyFont="1"/>
    <xf numFmtId="0" fontId="15" fillId="0" borderId="3" xfId="3" applyFont="1" applyBorder="1" applyAlignment="1">
      <alignment horizontal="center" vertical="top" wrapText="1"/>
    </xf>
    <xf numFmtId="0" fontId="15" fillId="0" borderId="27" xfId="3" applyFont="1" applyBorder="1" applyAlignment="1">
      <alignment horizontal="center" vertical="top" wrapText="1"/>
    </xf>
    <xf numFmtId="0" fontId="16" fillId="0" borderId="21" xfId="3" applyFont="1" applyBorder="1" applyAlignment="1">
      <alignment horizontal="center" vertical="top" wrapText="1"/>
    </xf>
    <xf numFmtId="0" fontId="3" fillId="0" borderId="0" xfId="0" applyFont="1" applyAlignment="1">
      <alignment horizontal="left"/>
    </xf>
    <xf numFmtId="0" fontId="16" fillId="0" borderId="19" xfId="3" applyFont="1" applyBorder="1" applyAlignment="1">
      <alignment horizontal="center" vertical="top" wrapText="1"/>
    </xf>
    <xf numFmtId="0" fontId="15" fillId="0" borderId="0" xfId="3" applyFont="1" applyAlignment="1">
      <alignment horizontal="center" vertical="top"/>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6" borderId="7" xfId="0" applyFont="1" applyFill="1" applyBorder="1"/>
    <xf numFmtId="0" fontId="0" fillId="0" borderId="3" xfId="0" applyBorder="1" applyAlignment="1">
      <alignment horizontal="center" vertical="center"/>
    </xf>
    <xf numFmtId="0" fontId="0" fillId="0" borderId="0" xfId="0" applyAlignment="1">
      <alignment horizontal="left" indent="1"/>
    </xf>
    <xf numFmtId="0" fontId="0" fillId="0" borderId="0" xfId="0" applyAlignment="1">
      <alignment horizontal="left" vertical="top" wrapText="1"/>
    </xf>
    <xf numFmtId="0" fontId="0" fillId="3" borderId="4" xfId="0" applyFill="1" applyBorder="1" applyAlignment="1">
      <alignment horizontal="left"/>
    </xf>
    <xf numFmtId="0" fontId="0" fillId="3" borderId="5" xfId="0" applyFill="1" applyBorder="1" applyAlignment="1">
      <alignment horizontal="left"/>
    </xf>
    <xf numFmtId="0" fontId="1" fillId="0" borderId="0" xfId="0" applyFont="1" applyAlignment="1">
      <alignment horizontal="left" vertical="top"/>
    </xf>
    <xf numFmtId="0" fontId="0" fillId="0" borderId="1" xfId="0" applyBorder="1" applyAlignment="1">
      <alignment horizontal="left" vertical="top"/>
    </xf>
    <xf numFmtId="14" fontId="0" fillId="0" borderId="3" xfId="0" applyNumberFormat="1" applyBorder="1" applyAlignment="1">
      <alignment horizontal="center"/>
    </xf>
    <xf numFmtId="0" fontId="16" fillId="0" borderId="3" xfId="3" applyFont="1" applyBorder="1" applyAlignment="1">
      <alignment horizontal="center" vertical="top" wrapText="1"/>
    </xf>
    <xf numFmtId="0" fontId="17" fillId="0" borderId="18" xfId="3" applyFont="1" applyBorder="1" applyAlignment="1">
      <alignment horizontal="left" vertical="top" wrapText="1"/>
    </xf>
    <xf numFmtId="0" fontId="17" fillId="0" borderId="18" xfId="3" applyFont="1" applyBorder="1" applyAlignment="1">
      <alignment horizontal="left" vertical="top" wrapText="1" indent="2"/>
    </xf>
    <xf numFmtId="0" fontId="17" fillId="0" borderId="36" xfId="3" applyFont="1" applyBorder="1" applyAlignment="1">
      <alignment horizontal="left" vertical="top" wrapText="1"/>
    </xf>
    <xf numFmtId="0" fontId="17" fillId="0" borderId="38" xfId="3" applyFont="1" applyBorder="1" applyAlignment="1">
      <alignment horizontal="center" vertical="center" wrapText="1"/>
    </xf>
    <xf numFmtId="0" fontId="17" fillId="0" borderId="37" xfId="3" applyFont="1" applyBorder="1" applyAlignment="1">
      <alignment horizontal="center" vertical="center" wrapText="1"/>
    </xf>
    <xf numFmtId="0" fontId="17" fillId="0" borderId="24" xfId="3" applyFont="1" applyBorder="1" applyAlignment="1">
      <alignment horizontal="center" vertical="center" wrapText="1"/>
    </xf>
    <xf numFmtId="0" fontId="17" fillId="0" borderId="26" xfId="3" applyFont="1" applyBorder="1" applyAlignment="1">
      <alignment horizontal="center" vertical="center" wrapText="1"/>
    </xf>
    <xf numFmtId="0" fontId="16" fillId="0" borderId="41" xfId="3" applyFont="1" applyBorder="1" applyAlignment="1">
      <alignment horizontal="center" vertical="top" wrapText="1"/>
    </xf>
    <xf numFmtId="0" fontId="16" fillId="0" borderId="42" xfId="3" applyFont="1" applyBorder="1" applyAlignment="1">
      <alignment horizontal="center" vertical="top" wrapText="1"/>
    </xf>
    <xf numFmtId="0" fontId="15" fillId="0" borderId="39" xfId="3" applyFont="1" applyBorder="1" applyAlignment="1">
      <alignment vertical="top"/>
    </xf>
    <xf numFmtId="0" fontId="15" fillId="0" borderId="29" xfId="3" applyFont="1" applyBorder="1" applyAlignment="1">
      <alignment vertical="top"/>
    </xf>
    <xf numFmtId="0" fontId="15" fillId="0" borderId="0" xfId="3" applyFont="1" applyAlignment="1">
      <alignment vertical="top"/>
    </xf>
    <xf numFmtId="0" fontId="17" fillId="0" borderId="3" xfId="3" applyFont="1" applyBorder="1" applyAlignment="1">
      <alignment horizontal="left" vertical="top" wrapText="1" indent="2"/>
    </xf>
    <xf numFmtId="0" fontId="17" fillId="0" borderId="27" xfId="3" applyFont="1" applyBorder="1" applyAlignment="1">
      <alignment horizontal="left" vertical="top" wrapText="1" indent="2"/>
    </xf>
    <xf numFmtId="0" fontId="17" fillId="0" borderId="3" xfId="3" applyFont="1" applyBorder="1" applyAlignment="1">
      <alignment horizontal="left" vertical="top" wrapText="1"/>
    </xf>
    <xf numFmtId="0" fontId="17" fillId="0" borderId="27" xfId="3" applyFont="1" applyBorder="1" applyAlignment="1">
      <alignment horizontal="left" vertical="top" wrapText="1"/>
    </xf>
    <xf numFmtId="0" fontId="16" fillId="0" borderId="44" xfId="3" applyFont="1" applyBorder="1" applyAlignment="1">
      <alignment horizontal="center" vertical="top" wrapText="1"/>
    </xf>
    <xf numFmtId="0" fontId="16" fillId="0" borderId="39" xfId="3" applyFont="1" applyBorder="1" applyAlignment="1">
      <alignment horizontal="center" vertical="top" wrapText="1"/>
    </xf>
    <xf numFmtId="6" fontId="4" fillId="4" borderId="1" xfId="0" applyNumberFormat="1" applyFont="1" applyFill="1" applyBorder="1" applyAlignment="1">
      <alignment horizontal="center"/>
    </xf>
    <xf numFmtId="9" fontId="0" fillId="0" borderId="47" xfId="0" applyNumberFormat="1" applyBorder="1" applyAlignment="1">
      <alignment horizontal="center"/>
    </xf>
    <xf numFmtId="0" fontId="0" fillId="0" borderId="47" xfId="0" applyBorder="1" applyAlignment="1">
      <alignment horizontal="left" wrapText="1"/>
    </xf>
    <xf numFmtId="0" fontId="4" fillId="4" borderId="1" xfId="0" applyFont="1" applyFill="1" applyBorder="1" applyAlignment="1">
      <alignment horizontal="center"/>
    </xf>
    <xf numFmtId="0" fontId="4" fillId="4" borderId="48" xfId="0" applyFont="1" applyFill="1" applyBorder="1" applyAlignment="1">
      <alignment horizontal="center"/>
    </xf>
    <xf numFmtId="0" fontId="4" fillId="4" borderId="46" xfId="0" applyFont="1" applyFill="1" applyBorder="1" applyAlignment="1">
      <alignment horizontal="center"/>
    </xf>
    <xf numFmtId="0" fontId="18" fillId="0" borderId="0" xfId="0" applyFont="1"/>
    <xf numFmtId="169" fontId="0" fillId="0" borderId="0" xfId="0" applyNumberFormat="1"/>
    <xf numFmtId="14" fontId="0" fillId="0" borderId="0" xfId="0" applyNumberFormat="1"/>
    <xf numFmtId="14" fontId="0" fillId="0" borderId="0" xfId="0" applyNumberFormat="1" applyAlignment="1">
      <alignment horizontal="left"/>
    </xf>
    <xf numFmtId="0" fontId="0" fillId="3" borderId="0" xfId="0" applyFill="1" applyAlignment="1">
      <alignment horizontal="left"/>
    </xf>
    <xf numFmtId="14" fontId="0" fillId="0" borderId="0" xfId="0" applyNumberFormat="1" applyAlignment="1">
      <alignment horizontal="left" wrapText="1"/>
    </xf>
    <xf numFmtId="0" fontId="1" fillId="6" borderId="62" xfId="0" applyFont="1" applyFill="1" applyBorder="1"/>
    <xf numFmtId="0" fontId="1" fillId="6" borderId="62" xfId="0" applyFont="1" applyFill="1" applyBorder="1" applyAlignment="1">
      <alignment horizontal="centerContinuous"/>
    </xf>
    <xf numFmtId="0" fontId="0" fillId="6" borderId="62" xfId="0" applyFill="1" applyBorder="1" applyAlignment="1">
      <alignment horizontal="center"/>
    </xf>
    <xf numFmtId="0" fontId="8" fillId="2" borderId="0" xfId="0" applyFont="1" applyFill="1"/>
    <xf numFmtId="169" fontId="0" fillId="2" borderId="0" xfId="0" applyNumberFormat="1" applyFill="1" applyAlignment="1">
      <alignment horizontal="center"/>
    </xf>
    <xf numFmtId="8" fontId="0" fillId="2" borderId="0" xfId="0" applyNumberFormat="1" applyFill="1"/>
    <xf numFmtId="0" fontId="12" fillId="0" borderId="0" xfId="0" applyFont="1" applyAlignment="1">
      <alignment horizontal="left" wrapText="1"/>
    </xf>
    <xf numFmtId="0" fontId="8" fillId="0" borderId="0" xfId="0" applyFont="1"/>
    <xf numFmtId="166" fontId="0" fillId="0" borderId="0" xfId="1" applyNumberFormat="1" applyFont="1"/>
    <xf numFmtId="0" fontId="15" fillId="0" borderId="0" xfId="3" quotePrefix="1" applyFont="1" applyAlignment="1">
      <alignment horizontal="left" vertical="top"/>
    </xf>
    <xf numFmtId="166" fontId="0" fillId="0" borderId="0" xfId="1" applyNumberFormat="1" applyFont="1" applyFill="1"/>
    <xf numFmtId="9" fontId="0" fillId="0" borderId="0" xfId="0" applyNumberFormat="1" applyAlignment="1">
      <alignment horizontal="center"/>
    </xf>
    <xf numFmtId="0" fontId="0" fillId="0" borderId="0" xfId="0" applyAlignment="1">
      <alignment wrapText="1"/>
    </xf>
    <xf numFmtId="0" fontId="24" fillId="0" borderId="0" xfId="0" applyFont="1"/>
    <xf numFmtId="0" fontId="26" fillId="0" borderId="57" xfId="0" applyFont="1" applyBorder="1"/>
    <xf numFmtId="0" fontId="26" fillId="0" borderId="0" xfId="0" applyFont="1"/>
    <xf numFmtId="167" fontId="24" fillId="0" borderId="57" xfId="0" applyNumberFormat="1" applyFont="1" applyBorder="1"/>
    <xf numFmtId="0" fontId="27" fillId="0" borderId="57" xfId="0" applyFont="1" applyBorder="1"/>
    <xf numFmtId="0" fontId="17" fillId="0" borderId="53" xfId="0" applyFont="1" applyBorder="1"/>
    <xf numFmtId="0" fontId="24" fillId="0" borderId="58" xfId="0" applyFont="1" applyBorder="1" applyAlignment="1">
      <alignment horizontal="center"/>
    </xf>
    <xf numFmtId="0" fontId="24" fillId="0" borderId="57" xfId="0" applyFont="1" applyBorder="1"/>
    <xf numFmtId="2" fontId="24" fillId="0" borderId="0" xfId="0" applyNumberFormat="1" applyFont="1"/>
    <xf numFmtId="0" fontId="24" fillId="8" borderId="57" xfId="0" applyFont="1" applyFill="1" applyBorder="1"/>
    <xf numFmtId="0" fontId="24" fillId="2" borderId="57" xfId="0" applyFont="1" applyFill="1" applyBorder="1"/>
    <xf numFmtId="10" fontId="24" fillId="2" borderId="0" xfId="6" applyNumberFormat="1" applyFont="1" applyFill="1" applyBorder="1"/>
    <xf numFmtId="170" fontId="24" fillId="0" borderId="0" xfId="0" applyNumberFormat="1" applyFont="1"/>
    <xf numFmtId="0" fontId="24" fillId="0" borderId="0" xfId="0" applyFont="1" applyAlignment="1">
      <alignment horizontal="center"/>
    </xf>
    <xf numFmtId="0" fontId="24" fillId="0" borderId="61" xfId="0" applyFont="1" applyBorder="1"/>
    <xf numFmtId="0" fontId="24" fillId="0" borderId="3" xfId="0" applyFont="1" applyBorder="1" applyAlignment="1">
      <alignment horizontal="center"/>
    </xf>
    <xf numFmtId="0" fontId="25" fillId="0" borderId="0" xfId="0" applyFont="1" applyAlignment="1">
      <alignment horizontal="center"/>
    </xf>
    <xf numFmtId="0" fontId="27" fillId="0" borderId="0" xfId="0" applyFont="1" applyAlignment="1">
      <alignment horizontal="center"/>
    </xf>
    <xf numFmtId="0" fontId="17" fillId="0" borderId="0" xfId="0" applyFont="1"/>
    <xf numFmtId="14" fontId="26" fillId="2" borderId="0" xfId="0" applyNumberFormat="1" applyFont="1" applyFill="1" applyAlignment="1">
      <alignment horizontal="center"/>
    </xf>
    <xf numFmtId="0" fontId="26" fillId="0" borderId="0" xfId="0" applyFont="1" applyAlignment="1">
      <alignment horizontal="center"/>
    </xf>
    <xf numFmtId="2" fontId="26" fillId="0" borderId="0" xfId="0" applyNumberFormat="1" applyFont="1" applyAlignment="1">
      <alignment horizontal="center"/>
    </xf>
    <xf numFmtId="14" fontId="26" fillId="0" borderId="0" xfId="0" applyNumberFormat="1" applyFont="1" applyAlignment="1">
      <alignment horizontal="center"/>
    </xf>
    <xf numFmtId="0" fontId="24" fillId="8" borderId="0" xfId="0" applyFont="1" applyFill="1"/>
    <xf numFmtId="0" fontId="24" fillId="2" borderId="0" xfId="0" applyFont="1" applyFill="1"/>
    <xf numFmtId="0" fontId="24" fillId="5" borderId="3" xfId="0" applyFont="1" applyFill="1" applyBorder="1" applyAlignment="1">
      <alignment horizontal="left"/>
    </xf>
    <xf numFmtId="0" fontId="24" fillId="5" borderId="3" xfId="0" applyFont="1" applyFill="1" applyBorder="1" applyAlignment="1">
      <alignment horizontal="center"/>
    </xf>
    <xf numFmtId="2" fontId="24" fillId="5" borderId="3" xfId="0" applyNumberFormat="1" applyFont="1" applyFill="1" applyBorder="1" applyAlignment="1">
      <alignment horizontal="center"/>
    </xf>
    <xf numFmtId="2" fontId="24" fillId="5" borderId="7" xfId="0" applyNumberFormat="1" applyFont="1" applyFill="1" applyBorder="1" applyAlignment="1">
      <alignment horizontal="center"/>
    </xf>
    <xf numFmtId="0" fontId="26" fillId="0" borderId="49" xfId="0" applyFont="1" applyBorder="1" applyAlignment="1">
      <alignment wrapText="1"/>
    </xf>
    <xf numFmtId="0" fontId="24" fillId="0" borderId="3" xfId="0" applyFont="1" applyBorder="1" applyAlignment="1">
      <alignment horizontal="left"/>
    </xf>
    <xf numFmtId="2" fontId="24" fillId="0" borderId="3" xfId="0" applyNumberFormat="1" applyFont="1" applyBorder="1" applyAlignment="1">
      <alignment horizontal="center"/>
    </xf>
    <xf numFmtId="2" fontId="24" fillId="0" borderId="7" xfId="0" applyNumberFormat="1" applyFont="1" applyBorder="1" applyAlignment="1">
      <alignment horizontal="center"/>
    </xf>
    <xf numFmtId="0" fontId="24" fillId="7" borderId="0" xfId="0" applyFont="1" applyFill="1"/>
    <xf numFmtId="0" fontId="24" fillId="7" borderId="0" xfId="0" applyFont="1" applyFill="1" applyAlignment="1">
      <alignment horizontal="center"/>
    </xf>
    <xf numFmtId="0" fontId="30" fillId="7" borderId="0" xfId="0" applyFont="1" applyFill="1" applyAlignment="1">
      <alignment horizontal="right"/>
    </xf>
    <xf numFmtId="0" fontId="24" fillId="0" borderId="0" xfId="0" applyFont="1" applyAlignment="1">
      <alignment horizontal="left"/>
    </xf>
    <xf numFmtId="0" fontId="24" fillId="0" borderId="51" xfId="0" applyFont="1" applyBorder="1" applyAlignment="1">
      <alignment horizontal="center"/>
    </xf>
    <xf numFmtId="0" fontId="24" fillId="0" borderId="58" xfId="0" applyFont="1" applyBorder="1"/>
    <xf numFmtId="2" fontId="17" fillId="0" borderId="0" xfId="0" applyNumberFormat="1" applyFont="1" applyAlignment="1">
      <alignment horizontal="center"/>
    </xf>
    <xf numFmtId="2" fontId="24" fillId="0" borderId="58" xfId="0" applyNumberFormat="1" applyFont="1" applyBorder="1"/>
    <xf numFmtId="14" fontId="17" fillId="0" borderId="53" xfId="0" applyNumberFormat="1" applyFont="1" applyBorder="1" applyAlignment="1">
      <alignment horizontal="center"/>
    </xf>
    <xf numFmtId="14" fontId="17" fillId="0" borderId="65" xfId="0" applyNumberFormat="1" applyFont="1" applyBorder="1" applyAlignment="1">
      <alignment horizontal="center"/>
    </xf>
    <xf numFmtId="2" fontId="17" fillId="0" borderId="51" xfId="0" applyNumberFormat="1" applyFont="1" applyBorder="1" applyAlignment="1">
      <alignment horizontal="center"/>
    </xf>
    <xf numFmtId="0" fontId="24" fillId="0" borderId="66" xfId="0" applyFont="1" applyBorder="1" applyAlignment="1">
      <alignment horizontal="center"/>
    </xf>
    <xf numFmtId="0" fontId="24" fillId="0" borderId="64" xfId="0" applyFont="1" applyBorder="1" applyAlignment="1">
      <alignment horizontal="center"/>
    </xf>
    <xf numFmtId="0" fontId="24" fillId="0" borderId="21" xfId="0" applyFont="1" applyBorder="1" applyAlignment="1">
      <alignment horizontal="center"/>
    </xf>
    <xf numFmtId="0" fontId="24" fillId="0" borderId="67" xfId="0" applyFont="1" applyBorder="1" applyAlignment="1">
      <alignment horizontal="center"/>
    </xf>
    <xf numFmtId="0" fontId="26" fillId="0" borderId="44" xfId="0" applyFont="1" applyBorder="1" applyAlignment="1">
      <alignment horizontal="center"/>
    </xf>
    <xf numFmtId="0" fontId="26" fillId="0" borderId="68" xfId="0" applyFont="1" applyBorder="1" applyAlignment="1">
      <alignment horizontal="center"/>
    </xf>
    <xf numFmtId="0" fontId="17" fillId="0" borderId="64" xfId="0" applyFont="1" applyBorder="1" applyAlignment="1">
      <alignment horizontal="center"/>
    </xf>
    <xf numFmtId="0" fontId="17" fillId="0" borderId="18" xfId="0" applyFont="1" applyBorder="1" applyAlignment="1">
      <alignment horizontal="center"/>
    </xf>
    <xf numFmtId="0" fontId="24" fillId="0" borderId="57" xfId="0" applyFont="1" applyBorder="1" applyAlignment="1">
      <alignment horizontal="left"/>
    </xf>
    <xf numFmtId="9" fontId="24" fillId="0" borderId="57" xfId="0" applyNumberFormat="1" applyFont="1" applyBorder="1" applyAlignment="1">
      <alignment horizontal="left"/>
    </xf>
    <xf numFmtId="167" fontId="24" fillId="0" borderId="57" xfId="0" applyNumberFormat="1" applyFont="1" applyBorder="1" applyAlignment="1">
      <alignment horizontal="center"/>
    </xf>
    <xf numFmtId="0" fontId="24" fillId="0" borderId="57" xfId="0" applyFont="1" applyBorder="1" applyAlignment="1">
      <alignment horizontal="center"/>
    </xf>
    <xf numFmtId="9" fontId="24" fillId="0" borderId="57" xfId="0" applyNumberFormat="1" applyFont="1" applyBorder="1" applyAlignment="1">
      <alignment horizontal="center"/>
    </xf>
    <xf numFmtId="0" fontId="0" fillId="0" borderId="0" xfId="0" applyAlignment="1">
      <alignment vertical="top"/>
    </xf>
    <xf numFmtId="0" fontId="0" fillId="2" borderId="1" xfId="0" applyFill="1" applyBorder="1" applyAlignment="1">
      <alignment horizontal="left" vertical="top"/>
    </xf>
    <xf numFmtId="0" fontId="0" fillId="0" borderId="0" xfId="0" applyAlignment="1">
      <alignment horizontal="left" vertical="top"/>
    </xf>
    <xf numFmtId="0" fontId="0" fillId="0" borderId="10" xfId="0" applyBorder="1" applyAlignment="1">
      <alignment horizontal="left" vertical="top"/>
    </xf>
    <xf numFmtId="166" fontId="0" fillId="2" borderId="1" xfId="1" applyNumberFormat="1" applyFont="1" applyFill="1"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13" fillId="0" borderId="5" xfId="5" applyBorder="1" applyAlignment="1">
      <alignment horizontal="left" vertical="top"/>
    </xf>
    <xf numFmtId="0" fontId="1" fillId="0" borderId="0" xfId="0" applyFont="1" applyAlignment="1">
      <alignment horizontal="left" vertical="top" indent="2"/>
    </xf>
    <xf numFmtId="0" fontId="4" fillId="0" borderId="0" xfId="5" applyFont="1" applyAlignment="1">
      <alignment vertical="top" wrapText="1"/>
    </xf>
    <xf numFmtId="0" fontId="0" fillId="0" borderId="0" xfId="0" applyAlignment="1">
      <alignment vertical="top" wrapText="1"/>
    </xf>
    <xf numFmtId="0" fontId="0" fillId="0" borderId="0" xfId="0" applyAlignment="1">
      <alignment horizontal="right" vertical="top"/>
    </xf>
    <xf numFmtId="3" fontId="0" fillId="0" borderId="3" xfId="0" applyNumberFormat="1" applyBorder="1" applyAlignment="1">
      <alignment horizontal="center"/>
    </xf>
    <xf numFmtId="0" fontId="12" fillId="0" borderId="0" xfId="0" applyFont="1" applyAlignment="1">
      <alignment horizontal="center"/>
    </xf>
    <xf numFmtId="0" fontId="0" fillId="6" borderId="7" xfId="0" applyFill="1" applyBorder="1" applyAlignment="1">
      <alignment horizontal="center" wrapText="1"/>
    </xf>
    <xf numFmtId="6" fontId="1" fillId="0" borderId="0" xfId="0" applyNumberFormat="1" applyFont="1" applyAlignment="1">
      <alignment horizontal="center"/>
    </xf>
    <xf numFmtId="9" fontId="0" fillId="0" borderId="1" xfId="6" applyFont="1" applyBorder="1" applyAlignment="1">
      <alignment horizontal="center"/>
    </xf>
    <xf numFmtId="14" fontId="0" fillId="0" borderId="0" xfId="0" applyNumberFormat="1" applyAlignment="1">
      <alignment horizontal="center"/>
    </xf>
    <xf numFmtId="8" fontId="4" fillId="7" borderId="48" xfId="0" applyNumberFormat="1" applyFont="1" applyFill="1" applyBorder="1" applyAlignment="1">
      <alignment horizontal="center"/>
    </xf>
    <xf numFmtId="8" fontId="4" fillId="7" borderId="46" xfId="0" applyNumberFormat="1" applyFont="1" applyFill="1" applyBorder="1" applyAlignment="1">
      <alignment horizontal="center"/>
    </xf>
    <xf numFmtId="6" fontId="4" fillId="7" borderId="48" xfId="0" applyNumberFormat="1" applyFont="1" applyFill="1" applyBorder="1" applyAlignment="1">
      <alignment horizontal="center"/>
    </xf>
    <xf numFmtId="0" fontId="0" fillId="3" borderId="4" xfId="0" applyFill="1" applyBorder="1" applyAlignment="1">
      <alignment horizontal="left" wrapText="1"/>
    </xf>
    <xf numFmtId="0" fontId="24" fillId="5" borderId="69" xfId="0" applyFont="1" applyFill="1" applyBorder="1" applyAlignment="1">
      <alignment horizontal="left"/>
    </xf>
    <xf numFmtId="0" fontId="24" fillId="5" borderId="69" xfId="0" applyFont="1" applyFill="1" applyBorder="1" applyAlignment="1">
      <alignment horizontal="center"/>
    </xf>
    <xf numFmtId="2" fontId="24" fillId="5" borderId="69" xfId="0" applyNumberFormat="1" applyFont="1" applyFill="1" applyBorder="1" applyAlignment="1">
      <alignment horizontal="center"/>
    </xf>
    <xf numFmtId="2" fontId="24" fillId="5" borderId="70" xfId="0" applyNumberFormat="1" applyFont="1" applyFill="1" applyBorder="1" applyAlignment="1">
      <alignment horizontal="center"/>
    </xf>
    <xf numFmtId="0" fontId="26" fillId="0" borderId="71" xfId="0" applyFont="1" applyBorder="1" applyAlignment="1">
      <alignment wrapText="1"/>
    </xf>
    <xf numFmtId="0" fontId="31" fillId="3" borderId="3" xfId="0" applyFont="1" applyFill="1" applyBorder="1" applyAlignment="1">
      <alignment horizontal="left"/>
    </xf>
    <xf numFmtId="0" fontId="31" fillId="3" borderId="3" xfId="0" applyFont="1" applyFill="1" applyBorder="1" applyAlignment="1">
      <alignment horizontal="center" wrapText="1"/>
    </xf>
    <xf numFmtId="0" fontId="31" fillId="3" borderId="3" xfId="0" applyFont="1" applyFill="1" applyBorder="1"/>
    <xf numFmtId="0" fontId="24" fillId="0" borderId="3" xfId="0" applyFont="1" applyBorder="1"/>
    <xf numFmtId="0" fontId="31" fillId="3" borderId="3" xfId="0" applyFont="1" applyFill="1" applyBorder="1" applyAlignment="1">
      <alignment horizontal="left" wrapText="1"/>
    </xf>
    <xf numFmtId="2" fontId="30" fillId="7" borderId="0" xfId="0" applyNumberFormat="1" applyFont="1" applyFill="1" applyAlignment="1">
      <alignment horizontal="center"/>
    </xf>
    <xf numFmtId="2" fontId="1" fillId="7" borderId="0" xfId="0" applyNumberFormat="1" applyFont="1" applyFill="1" applyAlignment="1">
      <alignment horizontal="center"/>
    </xf>
    <xf numFmtId="0" fontId="6" fillId="3" borderId="3" xfId="0" applyFont="1" applyFill="1" applyBorder="1" applyAlignment="1">
      <alignment horizontal="left"/>
    </xf>
    <xf numFmtId="0" fontId="6" fillId="3" borderId="3" xfId="0" applyFont="1" applyFill="1" applyBorder="1" applyAlignment="1">
      <alignment horizontal="center" wrapText="1"/>
    </xf>
    <xf numFmtId="0" fontId="1" fillId="0" borderId="72" xfId="0" applyFont="1" applyBorder="1"/>
    <xf numFmtId="14" fontId="0" fillId="0" borderId="73" xfId="0" applyNumberFormat="1" applyBorder="1" applyAlignment="1">
      <alignment horizontal="center"/>
    </xf>
    <xf numFmtId="14" fontId="0" fillId="0" borderId="72" xfId="0" applyNumberFormat="1" applyBorder="1" applyAlignment="1">
      <alignment horizontal="center"/>
    </xf>
    <xf numFmtId="0" fontId="0" fillId="0" borderId="72" xfId="0" applyBorder="1" applyAlignment="1">
      <alignment horizontal="right"/>
    </xf>
    <xf numFmtId="0" fontId="0" fillId="0" borderId="76" xfId="0" applyBorder="1" applyAlignment="1">
      <alignment horizontal="left"/>
    </xf>
    <xf numFmtId="166" fontId="0" fillId="10" borderId="74" xfId="1" applyNumberFormat="1" applyFont="1" applyFill="1" applyBorder="1"/>
    <xf numFmtId="166" fontId="0" fillId="10" borderId="79" xfId="1" applyNumberFormat="1" applyFont="1" applyFill="1" applyBorder="1"/>
    <xf numFmtId="166" fontId="0" fillId="10" borderId="8" xfId="1" applyNumberFormat="1" applyFont="1" applyFill="1" applyBorder="1"/>
    <xf numFmtId="0" fontId="0" fillId="0" borderId="83" xfId="0" applyBorder="1" applyAlignment="1">
      <alignment horizontal="right"/>
    </xf>
    <xf numFmtId="0" fontId="0" fillId="5" borderId="89" xfId="0" applyFill="1" applyBorder="1"/>
    <xf numFmtId="0" fontId="0" fillId="5" borderId="89" xfId="0" applyFill="1" applyBorder="1" applyAlignment="1">
      <alignment horizontal="center"/>
    </xf>
    <xf numFmtId="0" fontId="0" fillId="5" borderId="89" xfId="0" applyFill="1" applyBorder="1" applyAlignment="1">
      <alignment horizontal="left"/>
    </xf>
    <xf numFmtId="0" fontId="0" fillId="5" borderId="76" xfId="0" applyFill="1" applyBorder="1"/>
    <xf numFmtId="0" fontId="0" fillId="5" borderId="76" xfId="0" applyFill="1" applyBorder="1" applyAlignment="1">
      <alignment horizontal="center"/>
    </xf>
    <xf numFmtId="0" fontId="0" fillId="5" borderId="76" xfId="0" applyFill="1" applyBorder="1" applyAlignment="1">
      <alignment horizontal="left"/>
    </xf>
    <xf numFmtId="0" fontId="0" fillId="0" borderId="72" xfId="0" applyBorder="1"/>
    <xf numFmtId="0" fontId="5" fillId="0" borderId="75" xfId="0" applyFont="1" applyBorder="1"/>
    <xf numFmtId="0" fontId="0" fillId="0" borderId="77" xfId="0" applyBorder="1"/>
    <xf numFmtId="9" fontId="0" fillId="0" borderId="76" xfId="0" applyNumberFormat="1" applyBorder="1" applyAlignment="1">
      <alignment horizontal="center"/>
    </xf>
    <xf numFmtId="0" fontId="0" fillId="0" borderId="76" xfId="0" applyBorder="1"/>
    <xf numFmtId="0" fontId="0" fillId="0" borderId="90" xfId="0" applyBorder="1" applyAlignment="1">
      <alignment horizontal="left" wrapText="1"/>
    </xf>
    <xf numFmtId="0" fontId="5" fillId="0" borderId="81" xfId="0" applyFont="1" applyBorder="1"/>
    <xf numFmtId="0" fontId="0" fillId="0" borderId="82" xfId="0" applyBorder="1"/>
    <xf numFmtId="0" fontId="1" fillId="0" borderId="75" xfId="0" applyFont="1" applyBorder="1"/>
    <xf numFmtId="0" fontId="0" fillId="0" borderId="76" xfId="0" applyBorder="1" applyAlignment="1">
      <alignment horizontal="center"/>
    </xf>
    <xf numFmtId="9" fontId="0" fillId="0" borderId="76" xfId="0" applyNumberFormat="1" applyBorder="1"/>
    <xf numFmtId="0" fontId="0" fillId="5" borderId="4" xfId="0" applyFill="1" applyBorder="1"/>
    <xf numFmtId="0" fontId="0" fillId="0" borderId="91" xfId="0" applyBorder="1"/>
    <xf numFmtId="6" fontId="1" fillId="0" borderId="72" xfId="0" applyNumberFormat="1" applyFont="1" applyBorder="1" applyAlignment="1">
      <alignment horizontal="center"/>
    </xf>
    <xf numFmtId="6" fontId="1" fillId="0" borderId="74" xfId="0" applyNumberFormat="1" applyFont="1" applyBorder="1" applyAlignment="1">
      <alignment horizontal="center"/>
    </xf>
    <xf numFmtId="168" fontId="0" fillId="0" borderId="0" xfId="0" applyNumberFormat="1"/>
    <xf numFmtId="14" fontId="21" fillId="0" borderId="72" xfId="0" applyNumberFormat="1" applyFont="1"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0" fillId="6" borderId="12" xfId="0" applyFill="1" applyBorder="1" applyAlignment="1">
      <alignment horizontal="left" wrapText="1"/>
    </xf>
    <xf numFmtId="6" fontId="4" fillId="3" borderId="96" xfId="0" applyNumberFormat="1" applyFont="1" applyFill="1" applyBorder="1" applyAlignment="1">
      <alignment horizontal="center"/>
    </xf>
    <xf numFmtId="6" fontId="4" fillId="3" borderId="74" xfId="0" applyNumberFormat="1" applyFont="1" applyFill="1" applyBorder="1" applyAlignment="1">
      <alignment horizontal="center"/>
    </xf>
    <xf numFmtId="6" fontId="4" fillId="3" borderId="97" xfId="0" applyNumberFormat="1" applyFont="1" applyFill="1" applyBorder="1" applyAlignment="1">
      <alignment horizontal="center"/>
    </xf>
    <xf numFmtId="6" fontId="4" fillId="3" borderId="98" xfId="0" applyNumberFormat="1" applyFont="1" applyFill="1" applyBorder="1" applyAlignment="1">
      <alignment horizontal="center"/>
    </xf>
    <xf numFmtId="6" fontId="4" fillId="3" borderId="78" xfId="0" applyNumberFormat="1" applyFont="1" applyFill="1" applyBorder="1" applyAlignment="1">
      <alignment horizontal="center"/>
    </xf>
    <xf numFmtId="6" fontId="4" fillId="3" borderId="99" xfId="0" applyNumberFormat="1" applyFont="1" applyFill="1" applyBorder="1" applyAlignment="1">
      <alignment horizontal="center"/>
    </xf>
    <xf numFmtId="6" fontId="4" fillId="3" borderId="100" xfId="0" applyNumberFormat="1" applyFont="1" applyFill="1" applyBorder="1" applyAlignment="1">
      <alignment horizontal="center"/>
    </xf>
    <xf numFmtId="6" fontId="4" fillId="3" borderId="101" xfId="0" applyNumberFormat="1" applyFont="1" applyFill="1" applyBorder="1" applyAlignment="1">
      <alignment horizontal="center"/>
    </xf>
    <xf numFmtId="6" fontId="4" fillId="3" borderId="102" xfId="0" applyNumberFormat="1" applyFont="1" applyFill="1" applyBorder="1" applyAlignment="1">
      <alignment horizontal="center"/>
    </xf>
    <xf numFmtId="164" fontId="0" fillId="3" borderId="79" xfId="0" applyNumberFormat="1" applyFill="1" applyBorder="1" applyAlignment="1">
      <alignment horizontal="center"/>
    </xf>
    <xf numFmtId="6" fontId="4" fillId="3" borderId="79" xfId="0" applyNumberFormat="1" applyFont="1" applyFill="1" applyBorder="1" applyAlignment="1">
      <alignment horizontal="center"/>
    </xf>
    <xf numFmtId="6" fontId="4" fillId="3" borderId="105" xfId="0" applyNumberFormat="1" applyFont="1" applyFill="1" applyBorder="1" applyAlignment="1">
      <alignment horizontal="center"/>
    </xf>
    <xf numFmtId="164" fontId="0" fillId="3" borderId="78" xfId="0" applyNumberFormat="1" applyFill="1" applyBorder="1" applyAlignment="1">
      <alignment horizontal="center"/>
    </xf>
    <xf numFmtId="0" fontId="0" fillId="0" borderId="106" xfId="0" applyBorder="1"/>
    <xf numFmtId="0" fontId="0" fillId="0" borderId="107" xfId="0" applyBorder="1"/>
    <xf numFmtId="0" fontId="0" fillId="0" borderId="108" xfId="0" applyBorder="1" applyAlignment="1">
      <alignment horizontal="center"/>
    </xf>
    <xf numFmtId="0" fontId="0" fillId="0" borderId="93" xfId="0" applyBorder="1"/>
    <xf numFmtId="0" fontId="0" fillId="0" borderId="103" xfId="0" applyBorder="1"/>
    <xf numFmtId="0" fontId="0" fillId="5" borderId="80" xfId="0" applyFill="1" applyBorder="1"/>
    <xf numFmtId="6" fontId="4" fillId="3" borderId="104" xfId="0" applyNumberFormat="1" applyFont="1" applyFill="1" applyBorder="1" applyAlignment="1">
      <alignment horizontal="center"/>
    </xf>
    <xf numFmtId="6" fontId="4" fillId="3" borderId="109" xfId="0" applyNumberFormat="1" applyFont="1" applyFill="1" applyBorder="1" applyAlignment="1">
      <alignment horizontal="center"/>
    </xf>
    <xf numFmtId="6" fontId="4" fillId="3" borderId="92" xfId="0" applyNumberFormat="1" applyFont="1" applyFill="1" applyBorder="1" applyAlignment="1">
      <alignment horizontal="center"/>
    </xf>
    <xf numFmtId="6" fontId="4" fillId="3" borderId="110" xfId="0" applyNumberFormat="1" applyFont="1" applyFill="1" applyBorder="1" applyAlignment="1">
      <alignment horizontal="center"/>
    </xf>
    <xf numFmtId="0" fontId="4" fillId="0" borderId="91" xfId="0" applyFont="1" applyBorder="1"/>
    <xf numFmtId="0" fontId="0" fillId="0" borderId="91" xfId="0" applyBorder="1" applyAlignment="1">
      <alignment horizontal="left"/>
    </xf>
    <xf numFmtId="0" fontId="0" fillId="0" borderId="43" xfId="0" applyBorder="1" applyAlignment="1">
      <alignment horizontal="left" wrapText="1"/>
    </xf>
    <xf numFmtId="0" fontId="0" fillId="5" borderId="111" xfId="0" applyFill="1" applyBorder="1" applyAlignment="1">
      <alignment horizontal="left" wrapText="1"/>
    </xf>
    <xf numFmtId="0" fontId="0" fillId="5" borderId="112" xfId="0" applyFill="1" applyBorder="1" applyAlignment="1">
      <alignment horizontal="left" wrapText="1"/>
    </xf>
    <xf numFmtId="0" fontId="0" fillId="0" borderId="112" xfId="0" applyBorder="1" applyAlignment="1">
      <alignment horizontal="left" wrapText="1"/>
    </xf>
    <xf numFmtId="0" fontId="0" fillId="5" borderId="113" xfId="0" applyFill="1" applyBorder="1" applyAlignment="1">
      <alignment horizontal="left" wrapText="1"/>
    </xf>
    <xf numFmtId="0" fontId="0" fillId="0" borderId="114" xfId="0" applyBorder="1"/>
    <xf numFmtId="0" fontId="1" fillId="0" borderId="3" xfId="0" applyFont="1" applyBorder="1" applyAlignment="1">
      <alignment horizontal="center" wrapText="1"/>
    </xf>
    <xf numFmtId="167" fontId="1" fillId="0" borderId="119" xfId="0" applyNumberFormat="1" applyFont="1" applyBorder="1" applyAlignment="1">
      <alignment horizontal="center"/>
    </xf>
    <xf numFmtId="0" fontId="1" fillId="0" borderId="74" xfId="0" applyFont="1" applyBorder="1"/>
    <xf numFmtId="14" fontId="21" fillId="0" borderId="74" xfId="0" applyNumberFormat="1" applyFont="1" applyBorder="1" applyAlignment="1">
      <alignment horizontal="center"/>
    </xf>
    <xf numFmtId="6" fontId="1" fillId="0" borderId="117" xfId="0" applyNumberFormat="1" applyFont="1" applyBorder="1" applyAlignment="1">
      <alignment horizontal="center"/>
    </xf>
    <xf numFmtId="6" fontId="1" fillId="0" borderId="119" xfId="0" applyNumberFormat="1" applyFont="1" applyBorder="1" applyAlignment="1">
      <alignment horizontal="center"/>
    </xf>
    <xf numFmtId="14" fontId="21" fillId="0" borderId="72" xfId="0" applyNumberFormat="1" applyFont="1" applyBorder="1" applyAlignment="1">
      <alignment horizontal="center" vertical="center"/>
    </xf>
    <xf numFmtId="6" fontId="1" fillId="0" borderId="72" xfId="0" applyNumberFormat="1" applyFont="1" applyBorder="1" applyAlignment="1">
      <alignment horizontal="center" vertical="center"/>
    </xf>
    <xf numFmtId="164" fontId="1" fillId="0" borderId="117" xfId="0" applyNumberFormat="1" applyFont="1" applyBorder="1" applyAlignment="1">
      <alignment horizontal="center" vertical="center"/>
    </xf>
    <xf numFmtId="0" fontId="0" fillId="4" borderId="126" xfId="0" applyFill="1" applyBorder="1" applyAlignment="1">
      <alignment horizontal="center"/>
    </xf>
    <xf numFmtId="0" fontId="0" fillId="3" borderId="127" xfId="0" applyFill="1" applyBorder="1" applyAlignment="1">
      <alignment horizontal="center"/>
    </xf>
    <xf numFmtId="166" fontId="0" fillId="10" borderId="120" xfId="1" applyNumberFormat="1" applyFont="1" applyFill="1" applyBorder="1"/>
    <xf numFmtId="0" fontId="1" fillId="0" borderId="73" xfId="0" applyFont="1" applyBorder="1"/>
    <xf numFmtId="14" fontId="0" fillId="10" borderId="79" xfId="0" applyNumberFormat="1" applyFill="1" applyBorder="1" applyAlignment="1">
      <alignment horizontal="center"/>
    </xf>
    <xf numFmtId="14" fontId="0" fillId="0" borderId="74" xfId="0" applyNumberFormat="1" applyBorder="1" applyAlignment="1">
      <alignment horizontal="center"/>
    </xf>
    <xf numFmtId="14" fontId="0" fillId="10" borderId="122" xfId="0" applyNumberFormat="1" applyFill="1" applyBorder="1" applyAlignment="1">
      <alignment horizontal="center"/>
    </xf>
    <xf numFmtId="0" fontId="0" fillId="0" borderId="73" xfId="0" applyBorder="1" applyAlignment="1">
      <alignment horizontal="right"/>
    </xf>
    <xf numFmtId="0" fontId="0" fillId="0" borderId="74" xfId="0" applyBorder="1" applyAlignment="1">
      <alignment horizontal="right"/>
    </xf>
    <xf numFmtId="0" fontId="0" fillId="3" borderId="122" xfId="0" applyFill="1" applyBorder="1" applyAlignment="1">
      <alignment horizontal="left"/>
    </xf>
    <xf numFmtId="0" fontId="0" fillId="3" borderId="134" xfId="0" applyFill="1" applyBorder="1" applyAlignment="1">
      <alignment horizontal="left"/>
    </xf>
    <xf numFmtId="14" fontId="0" fillId="3" borderId="122" xfId="0" applyNumberFormat="1" applyFill="1" applyBorder="1" applyAlignment="1">
      <alignment horizontal="left"/>
    </xf>
    <xf numFmtId="0" fontId="24" fillId="0" borderId="20" xfId="0" applyFont="1" applyBorder="1" applyAlignment="1">
      <alignment horizontal="center" vertical="center"/>
    </xf>
    <xf numFmtId="0" fontId="26" fillId="0" borderId="3" xfId="3" applyFont="1" applyBorder="1" applyAlignment="1">
      <alignment horizontal="left" vertical="top" wrapText="1"/>
    </xf>
    <xf numFmtId="0" fontId="26" fillId="0" borderId="25" xfId="3" applyFont="1" applyBorder="1" applyAlignment="1">
      <alignment horizontal="left" vertical="top" wrapText="1"/>
    </xf>
    <xf numFmtId="0" fontId="24" fillId="0" borderId="34" xfId="0" applyFont="1" applyBorder="1" applyAlignment="1">
      <alignment horizontal="center" vertical="center"/>
    </xf>
    <xf numFmtId="0" fontId="26" fillId="0" borderId="27" xfId="3" applyFont="1" applyBorder="1" applyAlignment="1">
      <alignment horizontal="left" vertical="top" wrapText="1"/>
    </xf>
    <xf numFmtId="0" fontId="26" fillId="0" borderId="28" xfId="3" applyFont="1" applyBorder="1" applyAlignment="1">
      <alignment horizontal="left" vertical="top" wrapText="1"/>
    </xf>
    <xf numFmtId="14" fontId="0" fillId="2" borderId="79" xfId="0" applyNumberFormat="1" applyFill="1" applyBorder="1" applyAlignment="1">
      <alignment horizontal="left" vertical="top"/>
    </xf>
    <xf numFmtId="0" fontId="15" fillId="11" borderId="5" xfId="3" applyFont="1" applyFill="1" applyBorder="1" applyAlignment="1">
      <alignment horizontal="center" vertical="top" wrapText="1"/>
    </xf>
    <xf numFmtId="0" fontId="15" fillId="11" borderId="63" xfId="3" applyFont="1" applyFill="1" applyBorder="1" applyAlignment="1">
      <alignment horizontal="left" vertical="top" wrapText="1"/>
    </xf>
    <xf numFmtId="0" fontId="16" fillId="12" borderId="40" xfId="3" applyFont="1" applyFill="1" applyBorder="1" applyAlignment="1">
      <alignment horizontal="left" vertical="top" wrapText="1"/>
    </xf>
    <xf numFmtId="0" fontId="17" fillId="3" borderId="24" xfId="3" applyFont="1" applyFill="1" applyBorder="1" applyAlignment="1">
      <alignment horizontal="center" vertical="center" wrapText="1"/>
    </xf>
    <xf numFmtId="0" fontId="17" fillId="3" borderId="18" xfId="3" applyFont="1" applyFill="1" applyBorder="1" applyAlignment="1">
      <alignment horizontal="left" vertical="top" wrapText="1" indent="2"/>
    </xf>
    <xf numFmtId="0" fontId="15" fillId="3" borderId="5" xfId="3" applyFont="1" applyFill="1" applyBorder="1" applyAlignment="1">
      <alignment horizontal="center" vertical="top" wrapText="1"/>
    </xf>
    <xf numFmtId="0" fontId="15" fillId="3" borderId="63" xfId="3" applyFont="1" applyFill="1" applyBorder="1" applyAlignment="1">
      <alignment horizontal="left" vertical="top" wrapText="1"/>
    </xf>
    <xf numFmtId="0" fontId="17" fillId="0" borderId="137" xfId="3" applyFont="1" applyBorder="1" applyAlignment="1">
      <alignment horizontal="left" vertical="top" wrapText="1" indent="2"/>
    </xf>
    <xf numFmtId="0" fontId="16" fillId="11" borderId="24" xfId="3" applyFont="1" applyFill="1" applyBorder="1" applyAlignment="1">
      <alignment horizontal="center" vertical="center" wrapText="1"/>
    </xf>
    <xf numFmtId="0" fontId="16" fillId="11" borderId="18" xfId="3" applyFont="1" applyFill="1" applyBorder="1" applyAlignment="1">
      <alignment horizontal="left" vertical="top" wrapText="1"/>
    </xf>
    <xf numFmtId="0" fontId="15" fillId="12" borderId="33" xfId="3" applyFont="1" applyFill="1" applyBorder="1" applyAlignment="1">
      <alignment horizontal="left" vertical="top"/>
    </xf>
    <xf numFmtId="0" fontId="17" fillId="0" borderId="138" xfId="3" applyFont="1" applyBorder="1" applyAlignment="1">
      <alignment horizontal="left" vertical="top" wrapText="1" indent="2"/>
    </xf>
    <xf numFmtId="0" fontId="17" fillId="0" borderId="137" xfId="3" applyFont="1" applyBorder="1" applyAlignment="1">
      <alignment horizontal="left" vertical="top" wrapText="1" indent="4"/>
    </xf>
    <xf numFmtId="0" fontId="24" fillId="3" borderId="20" xfId="0" applyFont="1" applyFill="1" applyBorder="1" applyAlignment="1">
      <alignment horizontal="center" vertical="center"/>
    </xf>
    <xf numFmtId="0" fontId="17" fillId="3" borderId="136" xfId="3" applyFont="1" applyFill="1" applyBorder="1" applyAlignment="1">
      <alignment horizontal="left" vertical="top" wrapText="1"/>
    </xf>
    <xf numFmtId="0" fontId="26" fillId="3" borderId="5" xfId="3" applyFont="1" applyFill="1" applyBorder="1" applyAlignment="1">
      <alignment horizontal="left" vertical="top" wrapText="1"/>
    </xf>
    <xf numFmtId="0" fontId="26" fillId="3" borderId="63" xfId="3" applyFont="1" applyFill="1" applyBorder="1" applyAlignment="1">
      <alignment horizontal="left" vertical="top" wrapText="1"/>
    </xf>
    <xf numFmtId="9" fontId="0" fillId="5" borderId="76" xfId="0" applyNumberFormat="1" applyFill="1" applyBorder="1"/>
    <xf numFmtId="3" fontId="0" fillId="13" borderId="1" xfId="0" applyNumberFormat="1" applyFill="1" applyBorder="1" applyAlignment="1">
      <alignment horizontal="center"/>
    </xf>
    <xf numFmtId="3" fontId="0" fillId="13" borderId="1" xfId="6" applyNumberFormat="1" applyFont="1" applyFill="1" applyBorder="1" applyAlignment="1">
      <alignment horizontal="center"/>
    </xf>
    <xf numFmtId="0" fontId="0" fillId="0" borderId="3" xfId="0" applyBorder="1" applyAlignment="1">
      <alignment vertical="center" wrapText="1"/>
    </xf>
    <xf numFmtId="0" fontId="1" fillId="14" borderId="139" xfId="0" applyFont="1" applyFill="1" applyBorder="1" applyAlignment="1">
      <alignment horizontal="center" vertical="center" wrapText="1"/>
    </xf>
    <xf numFmtId="0" fontId="1" fillId="14" borderId="140" xfId="0" applyFont="1" applyFill="1" applyBorder="1" applyAlignment="1">
      <alignment vertical="center" wrapText="1"/>
    </xf>
    <xf numFmtId="0" fontId="0" fillId="0" borderId="141" xfId="0" applyBorder="1" applyAlignment="1">
      <alignment horizontal="center"/>
    </xf>
    <xf numFmtId="0" fontId="0" fillId="0" borderId="142" xfId="0" applyBorder="1"/>
    <xf numFmtId="0" fontId="0" fillId="0" borderId="77" xfId="0" applyBorder="1" applyAlignment="1">
      <alignment horizontal="center"/>
    </xf>
    <xf numFmtId="0" fontId="0" fillId="0" borderId="75" xfId="0" applyBorder="1"/>
    <xf numFmtId="0" fontId="0" fillId="0" borderId="143" xfId="0" applyBorder="1" applyAlignment="1">
      <alignment horizontal="center"/>
    </xf>
    <xf numFmtId="0" fontId="0" fillId="0" borderId="81" xfId="0" applyBorder="1"/>
    <xf numFmtId="0" fontId="0" fillId="0" borderId="1" xfId="0" applyBorder="1" applyAlignment="1">
      <alignment horizontal="left" vertical="top" wrapText="1"/>
    </xf>
    <xf numFmtId="0" fontId="4" fillId="3" borderId="96" xfId="0" applyFont="1" applyFill="1" applyBorder="1" applyAlignment="1">
      <alignment horizontal="center"/>
    </xf>
    <xf numFmtId="0" fontId="0" fillId="2" borderId="3" xfId="0" applyFill="1" applyBorder="1" applyAlignment="1">
      <alignment vertical="center" wrapText="1"/>
    </xf>
    <xf numFmtId="0" fontId="4" fillId="3" borderId="98" xfId="0" applyFont="1" applyFill="1" applyBorder="1" applyAlignment="1">
      <alignment horizontal="center"/>
    </xf>
    <xf numFmtId="0" fontId="4" fillId="3" borderId="100" xfId="0" applyFont="1" applyFill="1" applyBorder="1" applyAlignment="1">
      <alignment horizontal="center"/>
    </xf>
    <xf numFmtId="0" fontId="14" fillId="0" borderId="7" xfId="0" applyFont="1" applyBorder="1" applyAlignment="1">
      <alignment horizontal="center" vertical="center" wrapText="1"/>
    </xf>
    <xf numFmtId="0" fontId="14" fillId="0" borderId="62" xfId="0" applyFont="1" applyBorder="1" applyAlignment="1">
      <alignment horizontal="center" vertical="center" wrapText="1"/>
    </xf>
    <xf numFmtId="0" fontId="1" fillId="5" borderId="7" xfId="0" applyFont="1" applyFill="1" applyBorder="1" applyAlignment="1">
      <alignment horizontal="left"/>
    </xf>
    <xf numFmtId="0" fontId="1" fillId="5" borderId="5" xfId="0" applyFont="1" applyFill="1" applyBorder="1" applyAlignment="1">
      <alignment horizontal="left"/>
    </xf>
    <xf numFmtId="0" fontId="1" fillId="5" borderId="62" xfId="0" applyFont="1" applyFill="1" applyBorder="1" applyAlignment="1">
      <alignment horizontal="left"/>
    </xf>
    <xf numFmtId="0" fontId="1" fillId="5" borderId="75" xfId="0" applyFont="1" applyFill="1" applyBorder="1" applyAlignment="1">
      <alignment horizontal="left"/>
    </xf>
    <xf numFmtId="0" fontId="1" fillId="5" borderId="76" xfId="0" applyFont="1" applyFill="1" applyBorder="1" applyAlignment="1">
      <alignment horizontal="left"/>
    </xf>
    <xf numFmtId="0" fontId="1" fillId="5" borderId="80" xfId="0" applyFont="1" applyFill="1" applyBorder="1" applyAlignment="1">
      <alignment horizontal="left"/>
    </xf>
    <xf numFmtId="168" fontId="0" fillId="0" borderId="85" xfId="0" applyNumberFormat="1" applyBorder="1" applyAlignment="1">
      <alignment horizontal="left" vertical="center"/>
    </xf>
    <xf numFmtId="168" fontId="0" fillId="0" borderId="86" xfId="0" applyNumberFormat="1" applyBorder="1" applyAlignment="1">
      <alignment horizontal="left" vertical="center"/>
    </xf>
    <xf numFmtId="168" fontId="0" fillId="0" borderId="123" xfId="0" applyNumberFormat="1" applyBorder="1" applyAlignment="1">
      <alignment horizontal="left" vertical="center"/>
    </xf>
    <xf numFmtId="168" fontId="0" fillId="0" borderId="75" xfId="0" applyNumberFormat="1" applyBorder="1" applyAlignment="1">
      <alignment horizontal="left"/>
    </xf>
    <xf numFmtId="168" fontId="0" fillId="0" borderId="76" xfId="0" applyNumberFormat="1" applyBorder="1" applyAlignment="1">
      <alignment horizontal="left"/>
    </xf>
    <xf numFmtId="168" fontId="0" fillId="0" borderId="112" xfId="0" applyNumberFormat="1"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1" fillId="0" borderId="116" xfId="0" applyFont="1" applyBorder="1" applyAlignment="1">
      <alignment horizontal="right" vertical="center"/>
    </xf>
    <xf numFmtId="0" fontId="1" fillId="0" borderId="73" xfId="0" applyFont="1" applyBorder="1" applyAlignment="1">
      <alignment horizontal="right" vertical="center"/>
    </xf>
    <xf numFmtId="168" fontId="0" fillId="0" borderId="124" xfId="0" applyNumberFormat="1" applyBorder="1" applyAlignment="1">
      <alignment horizontal="left"/>
    </xf>
    <xf numFmtId="168" fontId="0" fillId="0" borderId="89" xfId="0" applyNumberFormat="1" applyBorder="1" applyAlignment="1">
      <alignment horizontal="left"/>
    </xf>
    <xf numFmtId="168" fontId="0" fillId="0" borderId="111" xfId="0" applyNumberFormat="1" applyBorder="1" applyAlignment="1">
      <alignment horizontal="left"/>
    </xf>
    <xf numFmtId="0" fontId="1" fillId="0" borderId="121" xfId="0" applyFont="1" applyBorder="1" applyAlignment="1">
      <alignment horizontal="right"/>
    </xf>
    <xf numFmtId="0" fontId="1" fillId="0" borderId="72" xfId="0" applyFont="1" applyBorder="1" applyAlignment="1">
      <alignment horizontal="right"/>
    </xf>
    <xf numFmtId="0" fontId="1" fillId="0" borderId="116" xfId="0" applyFont="1" applyBorder="1" applyAlignment="1">
      <alignment horizontal="right"/>
    </xf>
    <xf numFmtId="0" fontId="1" fillId="0" borderId="73" xfId="0" applyFont="1" applyBorder="1" applyAlignment="1">
      <alignment horizontal="right"/>
    </xf>
    <xf numFmtId="0" fontId="1" fillId="0" borderId="118" xfId="0" applyFont="1" applyBorder="1" applyAlignment="1">
      <alignment horizontal="right"/>
    </xf>
    <xf numFmtId="0" fontId="1" fillId="0" borderId="74" xfId="0" applyFont="1" applyBorder="1" applyAlignment="1">
      <alignment horizontal="right"/>
    </xf>
    <xf numFmtId="0" fontId="8" fillId="2" borderId="125" xfId="0" applyFont="1" applyFill="1" applyBorder="1" applyAlignment="1">
      <alignment horizontal="left"/>
    </xf>
    <xf numFmtId="0" fontId="8" fillId="2" borderId="86" xfId="0" applyFont="1" applyFill="1" applyBorder="1" applyAlignment="1">
      <alignment horizontal="left"/>
    </xf>
    <xf numFmtId="0" fontId="8" fillId="2" borderId="123" xfId="0" applyFont="1" applyFill="1"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0" fillId="0" borderId="112" xfId="0" applyBorder="1" applyAlignment="1">
      <alignment horizontal="left"/>
    </xf>
    <xf numFmtId="0" fontId="0" fillId="0" borderId="124" xfId="0" applyBorder="1" applyAlignment="1">
      <alignment horizontal="left"/>
    </xf>
    <xf numFmtId="0" fontId="0" fillId="0" borderId="89" xfId="0" applyBorder="1" applyAlignment="1">
      <alignment horizontal="left"/>
    </xf>
    <xf numFmtId="0" fontId="0" fillId="0" borderId="111" xfId="0" applyBorder="1" applyAlignment="1">
      <alignment horizontal="left"/>
    </xf>
    <xf numFmtId="0" fontId="0" fillId="0" borderId="128" xfId="0" applyBorder="1" applyAlignment="1">
      <alignment horizontal="left"/>
    </xf>
    <xf numFmtId="0" fontId="0" fillId="0" borderId="8" xfId="0" applyBorder="1" applyAlignment="1">
      <alignment horizontal="left"/>
    </xf>
    <xf numFmtId="0" fontId="0" fillId="0" borderId="129" xfId="0" applyBorder="1" applyAlignment="1">
      <alignment horizontal="left"/>
    </xf>
    <xf numFmtId="0" fontId="0" fillId="0" borderId="85" xfId="0" applyBorder="1" applyAlignment="1">
      <alignment horizontal="left"/>
    </xf>
    <xf numFmtId="0" fontId="0" fillId="0" borderId="86" xfId="0" applyBorder="1" applyAlignment="1">
      <alignment horizontal="left"/>
    </xf>
    <xf numFmtId="0" fontId="0" fillId="0" borderId="123" xfId="0" applyBorder="1" applyAlignment="1">
      <alignment horizontal="left"/>
    </xf>
    <xf numFmtId="0" fontId="0" fillId="0" borderId="81" xfId="0" applyBorder="1" applyAlignment="1">
      <alignment horizontal="left"/>
    </xf>
    <xf numFmtId="0" fontId="0" fillId="0" borderId="82" xfId="0" applyBorder="1" applyAlignment="1">
      <alignment horizontal="left"/>
    </xf>
    <xf numFmtId="0" fontId="0" fillId="0" borderId="132" xfId="0" applyBorder="1" applyAlignment="1">
      <alignment horizontal="left"/>
    </xf>
    <xf numFmtId="0" fontId="0" fillId="0" borderId="131" xfId="1" applyNumberFormat="1" applyFont="1" applyBorder="1" applyAlignment="1">
      <alignment horizontal="left"/>
    </xf>
    <xf numFmtId="0" fontId="0" fillId="0" borderId="84" xfId="1" applyNumberFormat="1" applyFont="1" applyBorder="1" applyAlignment="1">
      <alignment horizontal="left"/>
    </xf>
    <xf numFmtId="0" fontId="0" fillId="0" borderId="130" xfId="1" applyNumberFormat="1" applyFont="1" applyBorder="1" applyAlignment="1">
      <alignment horizontal="left"/>
    </xf>
    <xf numFmtId="0" fontId="1" fillId="0" borderId="121" xfId="0" applyFont="1" applyBorder="1" applyAlignment="1">
      <alignment horizontal="right" wrapText="1"/>
    </xf>
    <xf numFmtId="0" fontId="1" fillId="0" borderId="72" xfId="0" applyFont="1" applyBorder="1" applyAlignment="1">
      <alignment horizontal="right" wrapText="1"/>
    </xf>
    <xf numFmtId="0" fontId="1" fillId="0" borderId="12" xfId="0" applyFont="1" applyBorder="1" applyAlignment="1">
      <alignment horizontal="center" vertical="center" wrapText="1"/>
    </xf>
    <xf numFmtId="0" fontId="1" fillId="0" borderId="115" xfId="0" applyFont="1" applyBorder="1" applyAlignment="1">
      <alignment horizontal="center" vertical="center" wrapText="1"/>
    </xf>
    <xf numFmtId="0" fontId="1" fillId="0" borderId="69" xfId="0" applyFont="1" applyBorder="1" applyAlignment="1">
      <alignment horizontal="center" vertical="center" wrapText="1"/>
    </xf>
    <xf numFmtId="0" fontId="1" fillId="6" borderId="7" xfId="0" applyFont="1" applyFill="1" applyBorder="1" applyAlignment="1">
      <alignment horizontal="center"/>
    </xf>
    <xf numFmtId="0" fontId="1" fillId="6" borderId="5" xfId="0" applyFont="1" applyFill="1" applyBorder="1" applyAlignment="1">
      <alignment horizontal="center"/>
    </xf>
    <xf numFmtId="0" fontId="1" fillId="6" borderId="62" xfId="0" applyFont="1" applyFill="1" applyBorder="1" applyAlignment="1">
      <alignment horizontal="center"/>
    </xf>
    <xf numFmtId="0" fontId="1" fillId="5" borderId="85" xfId="0" applyFont="1" applyFill="1" applyBorder="1" applyAlignment="1">
      <alignment horizontal="left"/>
    </xf>
    <xf numFmtId="0" fontId="1" fillId="5" borderId="86" xfId="0" applyFont="1" applyFill="1" applyBorder="1" applyAlignment="1">
      <alignment horizontal="left"/>
    </xf>
    <xf numFmtId="0" fontId="8" fillId="0" borderId="116"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118" xfId="0" applyFont="1" applyBorder="1" applyAlignment="1">
      <alignment horizontal="center" vertical="center" wrapText="1"/>
    </xf>
    <xf numFmtId="0" fontId="8" fillId="0" borderId="74" xfId="0" applyFont="1" applyBorder="1" applyAlignment="1">
      <alignment horizontal="center" vertical="center" wrapText="1"/>
    </xf>
    <xf numFmtId="0" fontId="1" fillId="0" borderId="125" xfId="0" applyFont="1" applyBorder="1"/>
    <xf numFmtId="0" fontId="1" fillId="0" borderId="87" xfId="0" applyFont="1" applyBorder="1"/>
    <xf numFmtId="0" fontId="1" fillId="0" borderId="133" xfId="0" applyFont="1" applyBorder="1"/>
    <xf numFmtId="0" fontId="1" fillId="0" borderId="77" xfId="0" applyFont="1" applyBorder="1"/>
    <xf numFmtId="0" fontId="1" fillId="0" borderId="135" xfId="0" applyFont="1" applyBorder="1"/>
    <xf numFmtId="0" fontId="1" fillId="0" borderId="88" xfId="0" applyFont="1" applyBorder="1"/>
    <xf numFmtId="0" fontId="15" fillId="0" borderId="17" xfId="3" applyFont="1" applyBorder="1" applyAlignment="1">
      <alignment horizontal="center" vertical="top" wrapText="1"/>
    </xf>
    <xf numFmtId="0" fontId="15" fillId="0" borderId="22" xfId="3" applyFont="1" applyBorder="1" applyAlignment="1">
      <alignment horizontal="center" vertical="top" wrapText="1"/>
    </xf>
    <xf numFmtId="0" fontId="15" fillId="0" borderId="23" xfId="3" applyFont="1" applyBorder="1" applyAlignment="1">
      <alignment horizontal="center" vertical="top" wrapText="1"/>
    </xf>
    <xf numFmtId="0" fontId="6" fillId="0" borderId="30" xfId="0" applyFont="1" applyBorder="1" applyAlignment="1">
      <alignment horizontal="right" indent="1"/>
    </xf>
    <xf numFmtId="0" fontId="6" fillId="0" borderId="9" xfId="0" applyFont="1" applyBorder="1" applyAlignment="1">
      <alignment horizontal="right" indent="1"/>
    </xf>
    <xf numFmtId="0" fontId="0" fillId="3" borderId="31" xfId="0" applyFill="1" applyBorder="1" applyAlignment="1">
      <alignment horizontal="left"/>
    </xf>
    <xf numFmtId="0" fontId="0" fillId="3" borderId="32" xfId="0" applyFill="1" applyBorder="1" applyAlignment="1">
      <alignment horizontal="left"/>
    </xf>
    <xf numFmtId="0" fontId="6" fillId="0" borderId="29" xfId="0" applyFont="1" applyBorder="1" applyAlignment="1">
      <alignment horizontal="right" indent="1"/>
    </xf>
    <xf numFmtId="0" fontId="6" fillId="0" borderId="0" xfId="0" applyFont="1" applyAlignment="1">
      <alignment horizontal="right" indent="1"/>
    </xf>
    <xf numFmtId="0" fontId="0" fillId="3" borderId="5" xfId="0" applyFill="1" applyBorder="1" applyAlignment="1">
      <alignment horizontal="left"/>
    </xf>
    <xf numFmtId="0" fontId="0" fillId="3" borderId="63" xfId="0" applyFill="1" applyBorder="1" applyAlignment="1">
      <alignment horizontal="left"/>
    </xf>
    <xf numFmtId="0" fontId="6" fillId="0" borderId="33" xfId="0" applyFont="1" applyBorder="1" applyAlignment="1">
      <alignment horizontal="right" indent="1"/>
    </xf>
    <xf numFmtId="0" fontId="6" fillId="0" borderId="4" xfId="0" applyFont="1" applyBorder="1" applyAlignment="1">
      <alignment horizontal="right" indent="1"/>
    </xf>
    <xf numFmtId="14" fontId="0" fillId="3" borderId="5" xfId="0" applyNumberFormat="1" applyFill="1" applyBorder="1" applyAlignment="1">
      <alignment horizontal="left"/>
    </xf>
    <xf numFmtId="0" fontId="14" fillId="0" borderId="14" xfId="3" applyFont="1" applyBorder="1" applyAlignment="1">
      <alignment horizontal="center" vertical="center"/>
    </xf>
    <xf numFmtId="0" fontId="14" fillId="0" borderId="15" xfId="3" applyFont="1" applyBorder="1" applyAlignment="1">
      <alignment horizontal="center" vertical="center"/>
    </xf>
    <xf numFmtId="0" fontId="14" fillId="0" borderId="16" xfId="3" applyFont="1" applyBorder="1" applyAlignment="1">
      <alignment horizontal="center" vertical="center"/>
    </xf>
    <xf numFmtId="0" fontId="15" fillId="0" borderId="29" xfId="3" applyFont="1" applyBorder="1" applyAlignment="1">
      <alignment horizontal="center" vertical="top"/>
    </xf>
    <xf numFmtId="0" fontId="15" fillId="0" borderId="0" xfId="3" applyFont="1" applyAlignment="1">
      <alignment horizontal="center" vertical="top"/>
    </xf>
    <xf numFmtId="0" fontId="15" fillId="0" borderId="39" xfId="3" applyFont="1" applyBorder="1" applyAlignment="1">
      <alignment horizontal="center" vertical="top"/>
    </xf>
    <xf numFmtId="0" fontId="15" fillId="0" borderId="35" xfId="3" applyFont="1" applyBorder="1" applyAlignment="1">
      <alignment horizontal="center" vertical="top"/>
    </xf>
    <xf numFmtId="0" fontId="15" fillId="0" borderId="5" xfId="3" applyFont="1" applyBorder="1" applyAlignment="1">
      <alignment horizontal="center" vertical="top"/>
    </xf>
    <xf numFmtId="0" fontId="15" fillId="0" borderId="63" xfId="3" applyFont="1" applyBorder="1" applyAlignment="1">
      <alignment horizontal="center" vertical="top"/>
    </xf>
    <xf numFmtId="0" fontId="14" fillId="0" borderId="45" xfId="3" applyFont="1" applyBorder="1" applyAlignment="1">
      <alignment horizontal="center" vertical="center"/>
    </xf>
    <xf numFmtId="0" fontId="14" fillId="0" borderId="31" xfId="3" applyFont="1" applyBorder="1" applyAlignment="1">
      <alignment horizontal="center" vertical="center"/>
    </xf>
    <xf numFmtId="0" fontId="14" fillId="0" borderId="32" xfId="3" applyFont="1" applyBorder="1" applyAlignment="1">
      <alignment horizontal="center" vertical="center"/>
    </xf>
    <xf numFmtId="0" fontId="15" fillId="0" borderId="17" xfId="3" applyFont="1" applyBorder="1" applyAlignment="1">
      <alignment horizontal="center" vertical="top"/>
    </xf>
    <xf numFmtId="0" fontId="15" fillId="0" borderId="22" xfId="3" applyFont="1" applyBorder="1" applyAlignment="1">
      <alignment horizontal="center" vertical="top"/>
    </xf>
    <xf numFmtId="0" fontId="15" fillId="0" borderId="23" xfId="3" applyFont="1" applyBorder="1" applyAlignment="1">
      <alignment horizontal="center" vertical="top"/>
    </xf>
    <xf numFmtId="0" fontId="1" fillId="0" borderId="0" xfId="0" applyFont="1" applyAlignment="1">
      <alignment horizontal="left"/>
    </xf>
    <xf numFmtId="0" fontId="0" fillId="0" borderId="0" xfId="0" applyAlignment="1">
      <alignment horizontal="right"/>
    </xf>
    <xf numFmtId="0" fontId="1" fillId="0" borderId="0" xfId="0" applyFont="1" applyAlignment="1">
      <alignment horizontal="right"/>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30" fillId="0" borderId="0" xfId="0" applyFont="1" applyAlignment="1">
      <alignment horizontal="left"/>
    </xf>
    <xf numFmtId="2" fontId="24" fillId="2" borderId="0" xfId="0" applyNumberFormat="1" applyFont="1" applyFill="1" applyAlignment="1">
      <alignment horizontal="center" vertical="center"/>
    </xf>
    <xf numFmtId="0" fontId="25" fillId="0" borderId="57" xfId="0" applyFont="1" applyBorder="1" applyAlignment="1">
      <alignment horizontal="center"/>
    </xf>
    <xf numFmtId="0" fontId="25" fillId="0" borderId="0" xfId="0" applyFont="1" applyAlignment="1">
      <alignment horizontal="center"/>
    </xf>
    <xf numFmtId="0" fontId="24" fillId="0" borderId="52" xfId="0" applyFont="1" applyBorder="1" applyAlignment="1">
      <alignment horizontal="center"/>
    </xf>
    <xf numFmtId="0" fontId="24" fillId="0" borderId="59" xfId="0" applyFont="1" applyBorder="1" applyAlignment="1">
      <alignment horizontal="center"/>
    </xf>
    <xf numFmtId="0" fontId="24" fillId="0" borderId="53" xfId="0" applyFont="1" applyBorder="1" applyAlignment="1">
      <alignment horizontal="left"/>
    </xf>
    <xf numFmtId="0" fontId="24" fillId="0" borderId="58" xfId="0" applyFont="1" applyBorder="1" applyAlignment="1">
      <alignment horizontal="left"/>
    </xf>
    <xf numFmtId="0" fontId="17" fillId="0" borderId="53" xfId="0" applyFont="1" applyBorder="1"/>
    <xf numFmtId="0" fontId="17" fillId="0" borderId="0" xfId="0" applyFont="1"/>
    <xf numFmtId="0" fontId="25" fillId="0" borderId="53" xfId="0" applyFont="1" applyBorder="1" applyAlignment="1">
      <alignment horizontal="center"/>
    </xf>
    <xf numFmtId="0" fontId="25" fillId="0" borderId="58" xfId="0" applyFont="1" applyBorder="1" applyAlignment="1">
      <alignment horizontal="center"/>
    </xf>
    <xf numFmtId="0" fontId="28" fillId="0" borderId="0" xfId="0" applyFont="1" applyAlignment="1">
      <alignment horizontal="center"/>
    </xf>
    <xf numFmtId="0" fontId="23" fillId="9" borderId="54" xfId="0" applyFont="1" applyFill="1" applyBorder="1" applyAlignment="1">
      <alignment horizontal="center"/>
    </xf>
    <xf numFmtId="0" fontId="23" fillId="9" borderId="55" xfId="0" applyFont="1" applyFill="1" applyBorder="1" applyAlignment="1">
      <alignment horizontal="center"/>
    </xf>
    <xf numFmtId="0" fontId="23" fillId="9" borderId="56" xfId="0" applyFont="1" applyFill="1" applyBorder="1" applyAlignment="1">
      <alignment horizontal="center"/>
    </xf>
    <xf numFmtId="0" fontId="17" fillId="0" borderId="53" xfId="0" applyFont="1" applyBorder="1" applyAlignment="1">
      <alignment horizontal="left" wrapText="1"/>
    </xf>
    <xf numFmtId="0" fontId="17" fillId="0" borderId="0" xfId="0" applyFont="1" applyAlignment="1">
      <alignment horizontal="left" wrapText="1"/>
    </xf>
    <xf numFmtId="0" fontId="24" fillId="0" borderId="50" xfId="0" applyFont="1" applyBorder="1" applyAlignment="1">
      <alignment horizontal="center"/>
    </xf>
    <xf numFmtId="0" fontId="24" fillId="0" borderId="64" xfId="0" applyFont="1" applyBorder="1" applyAlignment="1">
      <alignment horizontal="center"/>
    </xf>
    <xf numFmtId="0" fontId="24" fillId="0" borderId="18" xfId="0" applyFont="1" applyBorder="1" applyAlignment="1">
      <alignment horizontal="center"/>
    </xf>
    <xf numFmtId="0" fontId="24" fillId="0" borderId="21" xfId="0" applyFont="1" applyBorder="1" applyAlignment="1">
      <alignment horizontal="center"/>
    </xf>
    <xf numFmtId="0" fontId="24" fillId="0" borderId="67" xfId="0" applyFont="1" applyBorder="1" applyAlignment="1">
      <alignment horizontal="center"/>
    </xf>
    <xf numFmtId="0" fontId="24" fillId="0" borderId="53" xfId="0" applyFont="1" applyBorder="1" applyAlignment="1">
      <alignment horizontal="left" vertical="center" wrapText="1"/>
    </xf>
    <xf numFmtId="0" fontId="24" fillId="0" borderId="58" xfId="0" applyFont="1" applyBorder="1" applyAlignment="1">
      <alignment horizontal="left" vertical="center" wrapText="1"/>
    </xf>
    <xf numFmtId="0" fontId="24" fillId="0" borderId="53" xfId="0" applyFont="1" applyBorder="1" applyAlignment="1">
      <alignment horizontal="center"/>
    </xf>
    <xf numFmtId="0" fontId="24" fillId="0" borderId="58" xfId="0" applyFont="1" applyBorder="1" applyAlignment="1">
      <alignment horizontal="center"/>
    </xf>
    <xf numFmtId="0" fontId="26" fillId="0" borderId="60" xfId="0" applyFont="1" applyBorder="1" applyAlignment="1">
      <alignment horizontal="center"/>
    </xf>
    <xf numFmtId="0" fontId="26" fillId="0" borderId="50" xfId="0" applyFont="1" applyBorder="1" applyAlignment="1">
      <alignment horizontal="center"/>
    </xf>
    <xf numFmtId="0" fontId="26" fillId="0" borderId="41" xfId="0" applyFont="1" applyBorder="1" applyAlignment="1">
      <alignment horizontal="center"/>
    </xf>
    <xf numFmtId="0" fontId="24" fillId="0" borderId="0" xfId="0" applyFont="1" applyAlignment="1">
      <alignment horizontal="center"/>
    </xf>
    <xf numFmtId="0" fontId="28" fillId="0" borderId="57" xfId="0" applyFont="1" applyBorder="1" applyAlignment="1">
      <alignment horizontal="center"/>
    </xf>
  </cellXfs>
  <cellStyles count="7">
    <cellStyle name="Comma" xfId="1" builtinId="3"/>
    <cellStyle name="Currency" xfId="2" builtinId="4"/>
    <cellStyle name="Hyperlink" xfId="5" builtinId="8"/>
    <cellStyle name="Normal" xfId="0" builtinId="0"/>
    <cellStyle name="Normal 2" xfId="3" xr:uid="{00000000-0005-0000-0000-000004000000}"/>
    <cellStyle name="Normal 3" xfId="4" xr:uid="{00000000-0005-0000-0000-000005000000}"/>
    <cellStyle name="Percent" xfId="6" builtinId="5"/>
  </cellStyles>
  <dxfs count="8">
    <dxf>
      <font>
        <color rgb="FFD9D9D9"/>
      </font>
    </dxf>
    <dxf>
      <fill>
        <patternFill>
          <bgColor theme="9" tint="0.79998168889431442"/>
        </patternFill>
      </fill>
    </dxf>
    <dxf>
      <font>
        <b/>
        <i val="0"/>
      </font>
    </dxf>
    <dxf>
      <alignment horizontal="general" vertical="bottom" textRotation="0" wrapText="0" indent="0" justifyLastLine="0" shrinkToFit="0" readingOrder="0"/>
      <border diagonalUp="0" diagonalDown="0">
        <left style="thin">
          <color rgb="FFD4D4D4"/>
        </left>
        <right/>
        <top style="thin">
          <color rgb="FFD4D4D4"/>
        </top>
        <bottom style="thin">
          <color rgb="FFD4D4D4"/>
        </bottom>
      </border>
    </dxf>
    <dxf>
      <alignment horizontal="center" vertical="bottom" textRotation="0" wrapText="0"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border>
        <bottom style="medium">
          <color indexed="64"/>
        </bottom>
      </border>
    </dxf>
    <dxf>
      <border diagonalUp="0" diagonalDown="0">
        <left style="thin">
          <color theme="0" tint="-0.34998626667073579"/>
        </left>
        <right style="thin">
          <color theme="0" tint="-0.34998626667073579"/>
        </right>
        <top/>
        <bottom/>
        <vertical style="thin">
          <color theme="0" tint="-0.34998626667073579"/>
        </vertical>
        <horizontal/>
      </border>
    </dxf>
  </dxfs>
  <tableStyles count="0" defaultTableStyle="TableStyleMedium2" defaultPivotStyle="PivotStyleLight16"/>
  <colors>
    <mruColors>
      <color rgb="FFF0F8FA"/>
      <color rgb="FFE5F2FB"/>
      <color rgb="FFD4D4D4"/>
      <color rgb="FFC9E3F7"/>
      <color rgb="FFAAD4F4"/>
      <color rgb="FF1A75B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5F31D0-1B15-4EF1-861D-11F97EAF755C}" name="DistrictIDs" displayName="DistrictIDs" ref="A1:B217" totalsRowShown="0" headerRowDxfId="7" headerRowBorderDxfId="6" tableBorderDxfId="5">
  <autoFilter ref="A1:B217" xr:uid="{8C5F31D0-1B15-4EF1-861D-11F97EAF755C}">
    <filterColumn colId="0" hiddenButton="1"/>
    <filterColumn colId="1" hiddenButton="1"/>
  </autoFilter>
  <sortState xmlns:xlrd2="http://schemas.microsoft.com/office/spreadsheetml/2017/richdata2" ref="A2:B217">
    <sortCondition ref="B2:B217"/>
  </sortState>
  <tableColumns count="2">
    <tableColumn id="1" xr3:uid="{6E480D4F-E14E-4CBA-9FB2-6AB0DA9BF922}" name="ID" dataDxfId="4"/>
    <tableColumn id="2" xr3:uid="{2DD605D0-8ABF-444C-A04E-5D7A85769FA4}" name="District Name" dataDxfId="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fredhelp.stlouisfed.org/" TargetMode="External"/><Relationship Id="rId1" Type="http://schemas.openxmlformats.org/officeDocument/2006/relationships/hyperlink" Target="https://fred.stlouisfed.org/"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demail-my.sharepoint.com/:x:/g/personal/solarios_ode_oregon_gov/EWE4_g_3woJHo6XziDE-TQQBtkyc2mpW1yqNil8LpXq-tQ"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9E3F7"/>
    <pageSetUpPr fitToPage="1"/>
  </sheetPr>
  <dimension ref="A1:C18"/>
  <sheetViews>
    <sheetView showGridLines="0" showRowColHeaders="0" tabSelected="1" zoomScaleNormal="100" workbookViewId="0">
      <selection sqref="A1:B1"/>
    </sheetView>
  </sheetViews>
  <sheetFormatPr defaultColWidth="8.85546875" defaultRowHeight="15" x14ac:dyDescent="0.25"/>
  <cols>
    <col min="1" max="1" width="4.5703125" style="74" customWidth="1"/>
    <col min="2" max="2" width="84.42578125" style="146" customWidth="1"/>
  </cols>
  <sheetData>
    <row r="1" spans="1:3" ht="18.75" x14ac:dyDescent="0.25">
      <c r="A1" s="369" t="s">
        <v>812</v>
      </c>
      <c r="B1" s="370"/>
    </row>
    <row r="2" spans="1:3" ht="45" x14ac:dyDescent="0.25">
      <c r="A2" s="95">
        <v>1</v>
      </c>
      <c r="B2" s="355" t="s">
        <v>806</v>
      </c>
    </row>
    <row r="3" spans="1:3" ht="30" x14ac:dyDescent="0.25">
      <c r="A3" s="95">
        <v>2</v>
      </c>
      <c r="B3" s="355" t="s">
        <v>0</v>
      </c>
    </row>
    <row r="4" spans="1:3" ht="30" x14ac:dyDescent="0.25">
      <c r="A4" s="95">
        <v>3</v>
      </c>
      <c r="B4" s="355" t="s">
        <v>1</v>
      </c>
    </row>
    <row r="5" spans="1:3" ht="45" x14ac:dyDescent="0.25">
      <c r="A5" s="95">
        <v>4</v>
      </c>
      <c r="B5" s="366" t="s">
        <v>847</v>
      </c>
    </row>
    <row r="6" spans="1:3" ht="30" x14ac:dyDescent="0.25">
      <c r="A6" s="95">
        <v>5</v>
      </c>
      <c r="B6" s="355" t="s">
        <v>848</v>
      </c>
    </row>
    <row r="7" spans="1:3" x14ac:dyDescent="0.25">
      <c r="A7" s="95">
        <v>6</v>
      </c>
      <c r="B7" s="355" t="s">
        <v>849</v>
      </c>
    </row>
    <row r="8" spans="1:3" x14ac:dyDescent="0.25">
      <c r="A8" s="95">
        <v>7</v>
      </c>
      <c r="B8" s="355" t="s">
        <v>850</v>
      </c>
    </row>
    <row r="9" spans="1:3" ht="30" x14ac:dyDescent="0.25">
      <c r="A9" s="95">
        <v>8</v>
      </c>
      <c r="B9" s="355" t="s">
        <v>851</v>
      </c>
    </row>
    <row r="10" spans="1:3" ht="30" x14ac:dyDescent="0.25">
      <c r="A10" s="95">
        <v>9</v>
      </c>
      <c r="B10" s="355" t="s">
        <v>852</v>
      </c>
    </row>
    <row r="11" spans="1:3" ht="90" x14ac:dyDescent="0.25">
      <c r="A11" s="95">
        <v>10</v>
      </c>
      <c r="B11" s="355" t="s">
        <v>892</v>
      </c>
    </row>
    <row r="12" spans="1:3" ht="61.5" customHeight="1" x14ac:dyDescent="0.25">
      <c r="A12" s="95">
        <v>11</v>
      </c>
      <c r="B12" s="355" t="s">
        <v>853</v>
      </c>
    </row>
    <row r="13" spans="1:3" ht="30" x14ac:dyDescent="0.25">
      <c r="A13" s="95">
        <v>12</v>
      </c>
      <c r="B13" s="355" t="s">
        <v>854</v>
      </c>
    </row>
    <row r="14" spans="1:3" ht="30" x14ac:dyDescent="0.25">
      <c r="A14" s="95">
        <v>13</v>
      </c>
      <c r="B14" s="355" t="s">
        <v>855</v>
      </c>
      <c r="C14" s="73"/>
    </row>
    <row r="15" spans="1:3" ht="123" customHeight="1" x14ac:dyDescent="0.25">
      <c r="A15" s="95">
        <v>14</v>
      </c>
      <c r="B15" s="355" t="s">
        <v>856</v>
      </c>
    </row>
    <row r="16" spans="1:3" x14ac:dyDescent="0.25">
      <c r="A16" s="95">
        <v>15</v>
      </c>
      <c r="B16" s="355" t="s">
        <v>2</v>
      </c>
    </row>
    <row r="17" spans="1:2" ht="45" x14ac:dyDescent="0.25">
      <c r="A17" s="95">
        <v>16</v>
      </c>
      <c r="B17" s="355" t="s">
        <v>857</v>
      </c>
    </row>
    <row r="18" spans="1:2" ht="45" x14ac:dyDescent="0.25">
      <c r="A18" s="95">
        <v>17</v>
      </c>
      <c r="B18" s="355" t="s">
        <v>858</v>
      </c>
    </row>
  </sheetData>
  <sheetProtection sheet="1" objects="1" scenarios="1"/>
  <mergeCells count="1">
    <mergeCell ref="A1:B1"/>
  </mergeCells>
  <printOptions horizontalCentered="1"/>
  <pageMargins left="0.7" right="0.7" top="0.75" bottom="0.75" header="0.3" footer="0.3"/>
  <pageSetup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9E3F7"/>
    <pageSetUpPr fitToPage="1"/>
  </sheetPr>
  <dimension ref="A1:G27"/>
  <sheetViews>
    <sheetView showGridLines="0" zoomScaleNormal="100" zoomScaleSheetLayoutView="40" zoomScalePageLayoutView="55" workbookViewId="0">
      <selection activeCell="A6" sqref="A6:F6"/>
    </sheetView>
  </sheetViews>
  <sheetFormatPr defaultColWidth="9.140625" defaultRowHeight="12.75" x14ac:dyDescent="0.25"/>
  <cols>
    <col min="1" max="1" width="4.5703125" style="79" customWidth="1"/>
    <col min="2" max="2" width="79.42578125" style="79" customWidth="1"/>
    <col min="3" max="5" width="4.7109375" style="79" customWidth="1"/>
    <col min="6" max="6" width="23.7109375" style="79" customWidth="1"/>
    <col min="7" max="16384" width="9.140625" style="79"/>
  </cols>
  <sheetData>
    <row r="1" spans="1:7" s="85" customFormat="1" ht="15" x14ac:dyDescent="0.25">
      <c r="A1" s="443" t="s">
        <v>6</v>
      </c>
      <c r="B1" s="444"/>
      <c r="C1" s="445" t="str">
        <f>IF('Base Information'!$B$3="","(autofill)",'Base Information'!$B$3)</f>
        <v>(autofill)</v>
      </c>
      <c r="D1" s="445" t="str">
        <f>IF('Base Information'!$B$3="","(autofill)",'Base Information'!$B$3)</f>
        <v>(autofill)</v>
      </c>
      <c r="E1" s="445" t="str">
        <f>IF('Base Information'!$B$3="","(autofill)",'Base Information'!$B$3)</f>
        <v>(autofill)</v>
      </c>
      <c r="F1" s="446" t="str">
        <f>IF('Base Information'!$B$3="","(autofill)",'Base Information'!$B$3)</f>
        <v>(autofill)</v>
      </c>
    </row>
    <row r="2" spans="1:7" s="85" customFormat="1" ht="15" x14ac:dyDescent="0.25">
      <c r="A2" s="447" t="s">
        <v>7</v>
      </c>
      <c r="B2" s="448"/>
      <c r="C2" s="449" t="str">
        <f>IF('Base Information'!$B$5="","(autofill)",'Base Information'!$B$5)</f>
        <v>(autofill)</v>
      </c>
      <c r="D2" s="449" t="str">
        <f>IF('Base Information'!$B$5="","(autofill)",'Base Information'!$B$5)</f>
        <v>(autofill)</v>
      </c>
      <c r="E2" s="449" t="str">
        <f>IF('Base Information'!$B$5="","(autofill)",'Base Information'!$B$5)</f>
        <v>(autofill)</v>
      </c>
      <c r="F2" s="450" t="str">
        <f>IF('Base Information'!$B$5="","(autofill)",'Base Information'!$B$5)</f>
        <v>(autofill)</v>
      </c>
    </row>
    <row r="3" spans="1:7" s="85" customFormat="1" ht="15" x14ac:dyDescent="0.25">
      <c r="A3" s="447" t="s">
        <v>9</v>
      </c>
      <c r="B3" s="448"/>
      <c r="C3" s="449" t="str">
        <f>IF('Base Information'!$B$7="","(autofill)",'Base Information'!$B$7)</f>
        <v>(autofill)</v>
      </c>
      <c r="D3" s="449" t="str">
        <f>IF('Base Information'!$B$7="","(autofill)",'Base Information'!$B$7)</f>
        <v>(autofill)</v>
      </c>
      <c r="E3" s="449" t="str">
        <f>IF('Base Information'!$B$7="","(autofill)",'Base Information'!$B$7)</f>
        <v>(autofill)</v>
      </c>
      <c r="F3" s="450" t="str">
        <f>IF('Base Information'!$B$7="","(autofill)",'Base Information'!$B$7)</f>
        <v>(autofill)</v>
      </c>
    </row>
    <row r="4" spans="1:7" s="85" customFormat="1" ht="15" x14ac:dyDescent="0.25">
      <c r="A4" s="447" t="s">
        <v>11</v>
      </c>
      <c r="B4" s="448"/>
      <c r="C4" s="449" t="str">
        <f>IF('Base Information'!$B$9="","(autofill)",'Base Information'!$B$9)</f>
        <v>(autofill)</v>
      </c>
      <c r="D4" s="449" t="str">
        <f>IF('Base Information'!$B$9="","(autofill)",'Base Information'!$B$9)</f>
        <v>(autofill)</v>
      </c>
      <c r="E4" s="449" t="str">
        <f>IF('Base Information'!$B$9="","(autofill)",'Base Information'!$B$9)</f>
        <v>(autofill)</v>
      </c>
      <c r="F4" s="450" t="str">
        <f>IF('Base Information'!$B$9="","(autofill)",'Base Information'!$B$9)</f>
        <v>(autofill)</v>
      </c>
    </row>
    <row r="5" spans="1:7" s="85" customFormat="1" ht="15.75" thickBot="1" x14ac:dyDescent="0.3">
      <c r="A5" s="451" t="s">
        <v>33</v>
      </c>
      <c r="B5" s="452"/>
      <c r="C5" s="453" t="str">
        <f>IF('Base Information'!$B$32="0/0/0000","(autofill)",'Base Information'!$B$32)</f>
        <v>(autofill)</v>
      </c>
      <c r="D5" s="449" t="str">
        <f>IF('Base Information'!$B$32="","(autofill)",'Base Information'!$B$32)</f>
        <v>0/0/0000</v>
      </c>
      <c r="E5" s="449" t="str">
        <f>IF('Base Information'!$B$32="","(autofill)",'Base Information'!$B$32)</f>
        <v>0/0/0000</v>
      </c>
      <c r="F5" s="450" t="str">
        <f>IF('Base Information'!$B$32="","(autofill)",'Base Information'!$B$32)</f>
        <v>0/0/0000</v>
      </c>
      <c r="G5" s="143"/>
    </row>
    <row r="6" spans="1:7" ht="21.95" customHeight="1" x14ac:dyDescent="0.25">
      <c r="A6" s="463" t="s">
        <v>368</v>
      </c>
      <c r="B6" s="464"/>
      <c r="C6" s="464"/>
      <c r="D6" s="464"/>
      <c r="E6" s="464"/>
      <c r="F6" s="465"/>
    </row>
    <row r="7" spans="1:7" ht="3" customHeight="1" x14ac:dyDescent="0.25">
      <c r="A7" s="460"/>
      <c r="B7" s="461"/>
      <c r="C7" s="461"/>
      <c r="D7" s="461"/>
      <c r="E7" s="461"/>
      <c r="F7" s="462"/>
    </row>
    <row r="8" spans="1:7" ht="17.25" customHeight="1" x14ac:dyDescent="0.25">
      <c r="A8" s="345"/>
      <c r="B8" s="337"/>
      <c r="C8" s="120" t="s">
        <v>276</v>
      </c>
      <c r="D8" s="120" t="s">
        <v>277</v>
      </c>
      <c r="E8" s="120" t="s">
        <v>278</v>
      </c>
      <c r="F8" s="121" t="s">
        <v>279</v>
      </c>
    </row>
    <row r="9" spans="1:7" ht="3" customHeight="1" x14ac:dyDescent="0.25">
      <c r="A9" s="460"/>
      <c r="B9" s="461"/>
      <c r="C9" s="461"/>
      <c r="D9" s="461"/>
      <c r="E9" s="461"/>
      <c r="F9" s="462"/>
    </row>
    <row r="10" spans="1:7" ht="31.5" customHeight="1" x14ac:dyDescent="0.25">
      <c r="A10" s="109">
        <v>1</v>
      </c>
      <c r="B10" s="118" t="s">
        <v>369</v>
      </c>
      <c r="C10" s="80"/>
      <c r="D10" s="80"/>
      <c r="E10" s="80"/>
      <c r="F10" s="81"/>
    </row>
    <row r="11" spans="1:7" ht="32.1" customHeight="1" x14ac:dyDescent="0.25">
      <c r="A11" s="109">
        <v>2</v>
      </c>
      <c r="B11" s="118" t="s">
        <v>370</v>
      </c>
      <c r="C11" s="80"/>
      <c r="D11" s="80"/>
      <c r="E11" s="80"/>
      <c r="F11" s="81"/>
    </row>
    <row r="12" spans="1:7" ht="32.1" customHeight="1" x14ac:dyDescent="0.25">
      <c r="A12" s="109">
        <v>3</v>
      </c>
      <c r="B12" s="118" t="s">
        <v>371</v>
      </c>
      <c r="C12" s="80"/>
      <c r="D12" s="80"/>
      <c r="E12" s="80"/>
      <c r="F12" s="81"/>
    </row>
    <row r="13" spans="1:7" ht="49.35" customHeight="1" x14ac:dyDescent="0.25">
      <c r="A13" s="109">
        <v>4</v>
      </c>
      <c r="B13" s="118" t="s">
        <v>372</v>
      </c>
      <c r="C13" s="80"/>
      <c r="D13" s="80"/>
      <c r="E13" s="80"/>
      <c r="F13" s="81"/>
    </row>
    <row r="14" spans="1:7" ht="49.35" customHeight="1" x14ac:dyDescent="0.25">
      <c r="A14" s="109">
        <v>5</v>
      </c>
      <c r="B14" s="118" t="s">
        <v>843</v>
      </c>
      <c r="C14" s="80"/>
      <c r="D14" s="80"/>
      <c r="E14" s="80"/>
      <c r="F14" s="81"/>
    </row>
    <row r="15" spans="1:7" ht="32.1" customHeight="1" x14ac:dyDescent="0.25">
      <c r="A15" s="109">
        <v>6</v>
      </c>
      <c r="B15" s="118" t="s">
        <v>373</v>
      </c>
      <c r="C15" s="80"/>
      <c r="D15" s="80"/>
      <c r="E15" s="80"/>
      <c r="F15" s="81"/>
    </row>
    <row r="16" spans="1:7" ht="49.35" customHeight="1" x14ac:dyDescent="0.25">
      <c r="A16" s="109">
        <v>7</v>
      </c>
      <c r="B16" s="118" t="s">
        <v>374</v>
      </c>
      <c r="C16" s="80"/>
      <c r="D16" s="80"/>
      <c r="E16" s="80"/>
      <c r="F16" s="81"/>
    </row>
    <row r="17" spans="1:6" ht="17.25" customHeight="1" x14ac:dyDescent="0.25">
      <c r="A17" s="109">
        <v>8</v>
      </c>
      <c r="B17" s="118" t="s">
        <v>375</v>
      </c>
      <c r="C17" s="80"/>
      <c r="D17" s="80"/>
      <c r="E17" s="80"/>
      <c r="F17" s="81"/>
    </row>
    <row r="18" spans="1:6" ht="32.1" customHeight="1" x14ac:dyDescent="0.25">
      <c r="A18" s="109">
        <v>9</v>
      </c>
      <c r="B18" s="118" t="s">
        <v>376</v>
      </c>
      <c r="C18" s="80"/>
      <c r="D18" s="80"/>
      <c r="E18" s="80"/>
      <c r="F18" s="81"/>
    </row>
    <row r="19" spans="1:6" ht="32.1" customHeight="1" x14ac:dyDescent="0.25">
      <c r="A19" s="109">
        <v>10</v>
      </c>
      <c r="B19" s="118" t="s">
        <v>377</v>
      </c>
      <c r="C19" s="80"/>
      <c r="D19" s="80"/>
      <c r="E19" s="80"/>
      <c r="F19" s="81"/>
    </row>
    <row r="20" spans="1:6" ht="17.25" customHeight="1" x14ac:dyDescent="0.25">
      <c r="A20" s="109">
        <v>11</v>
      </c>
      <c r="B20" s="118" t="s">
        <v>844</v>
      </c>
      <c r="C20" s="80"/>
      <c r="D20" s="80"/>
      <c r="E20" s="80"/>
      <c r="F20" s="81"/>
    </row>
    <row r="21" spans="1:6" ht="32.1" customHeight="1" x14ac:dyDescent="0.25">
      <c r="A21" s="109">
        <v>12</v>
      </c>
      <c r="B21" s="118" t="s">
        <v>845</v>
      </c>
      <c r="C21" s="80"/>
      <c r="D21" s="80"/>
      <c r="E21" s="80"/>
      <c r="F21" s="81"/>
    </row>
    <row r="22" spans="1:6" ht="63" x14ac:dyDescent="0.25">
      <c r="A22" s="109">
        <v>13</v>
      </c>
      <c r="B22" s="118" t="s">
        <v>378</v>
      </c>
      <c r="C22" s="80"/>
      <c r="D22" s="80"/>
      <c r="E22" s="80"/>
      <c r="F22" s="81"/>
    </row>
    <row r="23" spans="1:6" ht="49.35" customHeight="1" x14ac:dyDescent="0.25">
      <c r="A23" s="109">
        <v>14</v>
      </c>
      <c r="B23" s="118" t="s">
        <v>379</v>
      </c>
      <c r="C23" s="80"/>
      <c r="D23" s="80"/>
      <c r="E23" s="80"/>
      <c r="F23" s="81"/>
    </row>
    <row r="24" spans="1:6" ht="32.1" customHeight="1" x14ac:dyDescent="0.25">
      <c r="A24" s="109">
        <v>15</v>
      </c>
      <c r="B24" s="118" t="s">
        <v>380</v>
      </c>
      <c r="C24" s="80"/>
      <c r="D24" s="80"/>
      <c r="E24" s="80"/>
      <c r="F24" s="81"/>
    </row>
    <row r="25" spans="1:6" ht="17.25" customHeight="1" x14ac:dyDescent="0.25">
      <c r="A25" s="109">
        <v>16</v>
      </c>
      <c r="B25" s="118" t="s">
        <v>381</v>
      </c>
      <c r="C25" s="80"/>
      <c r="D25" s="80"/>
      <c r="E25" s="80"/>
      <c r="F25" s="81"/>
    </row>
    <row r="26" spans="1:6" ht="49.35" customHeight="1" x14ac:dyDescent="0.25">
      <c r="A26" s="109">
        <v>17</v>
      </c>
      <c r="B26" s="118" t="s">
        <v>382</v>
      </c>
      <c r="C26" s="80"/>
      <c r="D26" s="80"/>
      <c r="E26" s="80"/>
      <c r="F26" s="81"/>
    </row>
    <row r="27" spans="1:6" ht="32.1" customHeight="1" thickBot="1" x14ac:dyDescent="0.3">
      <c r="A27" s="110">
        <v>18</v>
      </c>
      <c r="B27" s="119" t="s">
        <v>383</v>
      </c>
      <c r="C27" s="83"/>
      <c r="D27" s="83"/>
      <c r="E27" s="83"/>
      <c r="F27" s="84"/>
    </row>
  </sheetData>
  <mergeCells count="13">
    <mergeCell ref="A7:F7"/>
    <mergeCell ref="A9:F9"/>
    <mergeCell ref="A1:B1"/>
    <mergeCell ref="C1:F1"/>
    <mergeCell ref="A2:B2"/>
    <mergeCell ref="C2:F2"/>
    <mergeCell ref="A3:B3"/>
    <mergeCell ref="C3:F3"/>
    <mergeCell ref="A4:B4"/>
    <mergeCell ref="C4:F4"/>
    <mergeCell ref="A5:B5"/>
    <mergeCell ref="C5:F5"/>
    <mergeCell ref="A6:F6"/>
  </mergeCells>
  <pageMargins left="0.7" right="0.7" top="0.75" bottom="0.75" header="0.3" footer="0.3"/>
  <pageSetup scale="73"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pageSetUpPr fitToPage="1"/>
  </sheetPr>
  <dimension ref="A1:R160"/>
  <sheetViews>
    <sheetView zoomScaleNormal="100" workbookViewId="0">
      <selection sqref="A1:B1"/>
    </sheetView>
  </sheetViews>
  <sheetFormatPr defaultColWidth="8.85546875" defaultRowHeight="15" x14ac:dyDescent="0.25"/>
  <cols>
    <col min="1" max="2" width="7.7109375" customWidth="1"/>
    <col min="3" max="3" width="38.28515625" customWidth="1"/>
    <col min="4" max="4" width="27.42578125" customWidth="1"/>
    <col min="5" max="5" width="10.85546875" style="46" customWidth="1"/>
    <col min="6" max="6" width="9.140625" style="4"/>
    <col min="7" max="7" width="11" style="46" customWidth="1"/>
    <col min="8" max="8" width="10.7109375" style="4" customWidth="1"/>
    <col min="9" max="9" width="11.85546875" style="46" customWidth="1"/>
    <col min="10" max="10" width="9.140625" style="4"/>
    <col min="11" max="11" width="12.85546875" style="46" customWidth="1"/>
    <col min="12" max="12" width="11" style="4" customWidth="1"/>
    <col min="13" max="13" width="10.85546875" style="24" hidden="1" customWidth="1"/>
    <col min="14" max="14" width="10.140625" style="4" hidden="1" customWidth="1"/>
    <col min="15" max="15" width="11.7109375" customWidth="1"/>
    <col min="16" max="16" width="35.140625" customWidth="1"/>
  </cols>
  <sheetData>
    <row r="1" spans="1:16" x14ac:dyDescent="0.25">
      <c r="A1" s="469" t="s">
        <v>6</v>
      </c>
      <c r="B1" s="469"/>
      <c r="C1" s="98">
        <f>'Base Information'!B3</f>
        <v>0</v>
      </c>
      <c r="D1" s="470" t="s">
        <v>384</v>
      </c>
      <c r="E1" s="470"/>
      <c r="F1" s="470"/>
      <c r="G1" s="70" t="e">
        <f>'Escalation Calcs - READ ONLY'!D13/'Escalation Calcs - READ ONLY'!D8</f>
        <v>#VALUE!</v>
      </c>
      <c r="H1" s="473" t="s">
        <v>385</v>
      </c>
      <c r="I1" s="473"/>
      <c r="J1" s="473"/>
      <c r="K1" s="473"/>
      <c r="L1" s="473"/>
      <c r="M1" s="473"/>
      <c r="N1" s="473"/>
      <c r="O1" s="473"/>
      <c r="P1" s="473"/>
    </row>
    <row r="2" spans="1:16" ht="30" customHeight="1" x14ac:dyDescent="0.25">
      <c r="A2" s="469" t="s">
        <v>7</v>
      </c>
      <c r="B2" s="469"/>
      <c r="C2" s="226">
        <f>'Base Information'!B5</f>
        <v>0</v>
      </c>
      <c r="D2" s="470" t="s">
        <v>386</v>
      </c>
      <c r="E2" s="470"/>
      <c r="F2" s="470"/>
      <c r="G2" s="70">
        <v>1.38</v>
      </c>
      <c r="H2" s="473" t="s">
        <v>387</v>
      </c>
      <c r="I2" s="473"/>
      <c r="J2" s="473"/>
      <c r="K2" s="473"/>
      <c r="L2" s="473"/>
      <c r="M2" s="473"/>
      <c r="N2" s="473"/>
      <c r="O2" s="473"/>
      <c r="P2" s="473"/>
    </row>
    <row r="3" spans="1:16" x14ac:dyDescent="0.25">
      <c r="A3" s="469" t="s">
        <v>9</v>
      </c>
      <c r="B3" s="469"/>
      <c r="C3" s="99">
        <f>'Base Information'!B7</f>
        <v>0</v>
      </c>
      <c r="D3" s="471" t="s">
        <v>388</v>
      </c>
      <c r="E3" s="471"/>
      <c r="F3" s="471"/>
      <c r="G3" s="70">
        <f>('Escalation Calcs - READ ONLY'!C18*4)+1</f>
        <v>1.05</v>
      </c>
      <c r="H3" s="472" t="s">
        <v>389</v>
      </c>
      <c r="I3" s="472"/>
      <c r="J3" s="472"/>
      <c r="K3" s="472"/>
      <c r="L3" s="472"/>
      <c r="M3" s="472"/>
      <c r="N3" s="472"/>
      <c r="O3" s="472"/>
      <c r="P3" s="472"/>
    </row>
    <row r="4" spans="1:16" x14ac:dyDescent="0.25">
      <c r="A4" s="469" t="s">
        <v>11</v>
      </c>
      <c r="B4" s="469"/>
      <c r="C4" s="132">
        <f>'Base Information'!B9</f>
        <v>0</v>
      </c>
      <c r="E4" s="133"/>
      <c r="J4" s="131"/>
    </row>
    <row r="6" spans="1:16" x14ac:dyDescent="0.25">
      <c r="C6" t="s">
        <v>803</v>
      </c>
      <c r="E6" s="47" t="s">
        <v>79</v>
      </c>
      <c r="F6" s="18"/>
      <c r="G6" s="53"/>
      <c r="H6" s="18"/>
      <c r="I6" s="53"/>
      <c r="J6" s="18"/>
      <c r="K6" s="53"/>
      <c r="L6" s="135"/>
    </row>
    <row r="7" spans="1:16" ht="49.5" customHeight="1" x14ac:dyDescent="0.25">
      <c r="A7" s="9" t="s">
        <v>80</v>
      </c>
      <c r="B7" s="9" t="s">
        <v>81</v>
      </c>
      <c r="C7" s="9" t="s">
        <v>82</v>
      </c>
      <c r="D7" s="64" t="s">
        <v>83</v>
      </c>
      <c r="E7" s="48"/>
      <c r="F7" s="12" t="s">
        <v>85</v>
      </c>
      <c r="G7" s="48"/>
      <c r="H7" s="12" t="s">
        <v>86</v>
      </c>
      <c r="I7" s="48"/>
      <c r="J7" s="12" t="s">
        <v>87</v>
      </c>
      <c r="K7" s="48"/>
      <c r="L7" s="64" t="s">
        <v>817</v>
      </c>
      <c r="M7" s="48"/>
      <c r="N7" s="10" t="s">
        <v>88</v>
      </c>
      <c r="O7" s="54" t="s">
        <v>390</v>
      </c>
      <c r="P7" s="12" t="s">
        <v>391</v>
      </c>
    </row>
    <row r="8" spans="1:16" x14ac:dyDescent="0.25">
      <c r="A8" s="14" t="s">
        <v>89</v>
      </c>
      <c r="B8" s="15"/>
      <c r="C8" s="15"/>
      <c r="D8" s="15"/>
      <c r="E8" s="49"/>
      <c r="F8" s="16"/>
      <c r="G8" s="49"/>
      <c r="H8" s="16"/>
      <c r="I8" s="49"/>
      <c r="J8" s="16"/>
      <c r="K8" s="49"/>
      <c r="L8" s="16"/>
      <c r="M8" s="49"/>
      <c r="N8" s="16"/>
      <c r="O8" s="55"/>
      <c r="P8" s="16"/>
    </row>
    <row r="9" spans="1:16" ht="15.75" thickBot="1" x14ac:dyDescent="0.3">
      <c r="A9" s="7"/>
      <c r="B9" s="8" t="s">
        <v>90</v>
      </c>
      <c r="M9" s="46"/>
      <c r="O9" s="24"/>
      <c r="P9" s="4"/>
    </row>
    <row r="10" spans="1:16" ht="15.75" thickBot="1" x14ac:dyDescent="0.3">
      <c r="A10" s="7"/>
      <c r="B10" s="8"/>
      <c r="C10" t="s">
        <v>91</v>
      </c>
      <c r="E10" s="50" t="e">
        <f>0.5*('Escalation Calcs - READ ONLY'!D8/'Escalation Calcs - READ ONLY'!D6)</f>
        <v>#VALUE!</v>
      </c>
      <c r="F10" s="4" t="s">
        <v>85</v>
      </c>
      <c r="G10" s="51"/>
      <c r="H10" s="4" t="s">
        <v>86</v>
      </c>
      <c r="I10" s="50" t="e">
        <f>27.68*('Escalation Calcs - READ ONLY'!D8/'Escalation Calcs - READ ONLY'!D6)</f>
        <v>#VALUE!</v>
      </c>
      <c r="J10" s="4" t="s">
        <v>87</v>
      </c>
      <c r="K10" s="51"/>
      <c r="L10" s="4" t="s">
        <v>92</v>
      </c>
      <c r="M10" s="51"/>
      <c r="N10" s="4" t="s">
        <v>92</v>
      </c>
      <c r="O10" s="223">
        <f>SUMIF('Physical Condition Assessment'!I21:O21,"X",'PCA Cost Tables - READ ONLY'!E10:K10)</f>
        <v>0</v>
      </c>
      <c r="P10" s="5"/>
    </row>
    <row r="11" spans="1:16" ht="15.75" thickBot="1" x14ac:dyDescent="0.3">
      <c r="A11" s="7"/>
      <c r="B11" s="8"/>
      <c r="C11" t="s">
        <v>93</v>
      </c>
      <c r="E11" s="50" t="e">
        <f>0.5*('Escalation Calcs - READ ONLY'!D8/'Escalation Calcs - READ ONLY'!D6)</f>
        <v>#VALUE!</v>
      </c>
      <c r="F11" s="4" t="s">
        <v>85</v>
      </c>
      <c r="G11" s="51"/>
      <c r="H11" s="4" t="s">
        <v>86</v>
      </c>
      <c r="I11" s="50" t="e">
        <f>35.28*('Escalation Calcs - READ ONLY'!D8/'Escalation Calcs - READ ONLY'!D6)</f>
        <v>#VALUE!</v>
      </c>
      <c r="J11" s="4" t="s">
        <v>87</v>
      </c>
      <c r="K11" s="51"/>
      <c r="L11" s="4" t="s">
        <v>92</v>
      </c>
      <c r="M11" s="51"/>
      <c r="N11" s="4" t="s">
        <v>92</v>
      </c>
      <c r="O11" s="56">
        <f>SUMIF('Physical Condition Assessment'!I22:O22,"X",'PCA Cost Tables - READ ONLY'!E11:K11)</f>
        <v>0</v>
      </c>
      <c r="P11" s="5"/>
    </row>
    <row r="12" spans="1:16" ht="15.75" thickBot="1" x14ac:dyDescent="0.3">
      <c r="A12" s="7"/>
      <c r="B12" s="8"/>
      <c r="C12" t="s">
        <v>94</v>
      </c>
      <c r="E12" s="51"/>
      <c r="F12" s="4" t="s">
        <v>85</v>
      </c>
      <c r="G12" s="50" t="e">
        <f>2.13*('Escalation Calcs - READ ONLY'!D8/'Escalation Calcs - READ ONLY'!D6)</f>
        <v>#VALUE!</v>
      </c>
      <c r="H12" s="4" t="s">
        <v>86</v>
      </c>
      <c r="I12" s="50" t="e">
        <f>26.5*('Escalation Calcs - READ ONLY'!D8/'Escalation Calcs - READ ONLY'!D6)</f>
        <v>#VALUE!</v>
      </c>
      <c r="J12" s="4" t="s">
        <v>87</v>
      </c>
      <c r="K12" s="51"/>
      <c r="L12" s="4" t="s">
        <v>92</v>
      </c>
      <c r="M12" s="51"/>
      <c r="N12" s="4" t="s">
        <v>92</v>
      </c>
      <c r="O12" s="224">
        <f>SUMIF('Physical Condition Assessment'!I23:O23,"X",'PCA Cost Tables - READ ONLY'!E12:K12)</f>
        <v>0</v>
      </c>
      <c r="P12" s="5"/>
    </row>
    <row r="13" spans="1:16" ht="15.75" thickBot="1" x14ac:dyDescent="0.3">
      <c r="A13" s="7"/>
      <c r="B13" s="8" t="s">
        <v>95</v>
      </c>
      <c r="D13" t="s">
        <v>392</v>
      </c>
      <c r="E13" s="75"/>
      <c r="I13" s="76"/>
      <c r="M13" s="46"/>
      <c r="O13" s="57"/>
      <c r="P13" s="4"/>
    </row>
    <row r="14" spans="1:16" ht="15.75" thickBot="1" x14ac:dyDescent="0.3">
      <c r="A14" s="7"/>
      <c r="B14" s="8"/>
      <c r="C14" t="s">
        <v>96</v>
      </c>
      <c r="D14" t="s">
        <v>97</v>
      </c>
      <c r="E14" s="51"/>
      <c r="F14" s="4" t="s">
        <v>85</v>
      </c>
      <c r="G14" s="51"/>
      <c r="H14" s="4" t="s">
        <v>86</v>
      </c>
      <c r="I14" s="51"/>
      <c r="J14" s="4" t="s">
        <v>87</v>
      </c>
      <c r="K14" s="51"/>
      <c r="L14" s="4" t="s">
        <v>92</v>
      </c>
      <c r="M14" s="51"/>
      <c r="N14" s="4" t="s">
        <v>92</v>
      </c>
      <c r="O14" s="223">
        <f>SUMIF('Physical Condition Assessment'!I25:O25,"X",'PCA Cost Tables - READ ONLY'!E14:K14)</f>
        <v>0</v>
      </c>
      <c r="P14" s="39"/>
    </row>
    <row r="15" spans="1:16" ht="15.75" thickBot="1" x14ac:dyDescent="0.3">
      <c r="A15" s="7"/>
      <c r="B15" s="8"/>
      <c r="C15" t="s">
        <v>98</v>
      </c>
      <c r="E15" s="50" t="e">
        <f>0.67*('Escalation Calcs - READ ONLY'!D8/'Escalation Calcs - READ ONLY'!D6)</f>
        <v>#VALUE!</v>
      </c>
      <c r="F15" s="4" t="s">
        <v>85</v>
      </c>
      <c r="G15" s="50" t="e">
        <f>2.13*('Escalation Calcs - READ ONLY'!D8/'Escalation Calcs - READ ONLY'!D6)</f>
        <v>#VALUE!</v>
      </c>
      <c r="H15" s="4" t="s">
        <v>86</v>
      </c>
      <c r="I15" s="50" t="e">
        <f>8.96*('Escalation Calcs - READ ONLY'!D8/'Escalation Calcs - READ ONLY'!D6)</f>
        <v>#VALUE!</v>
      </c>
      <c r="J15" s="4" t="s">
        <v>87</v>
      </c>
      <c r="K15" s="51"/>
      <c r="L15" s="4" t="s">
        <v>92</v>
      </c>
      <c r="M15" s="51"/>
      <c r="N15" s="4" t="s">
        <v>92</v>
      </c>
      <c r="O15" s="224">
        <f>SUMIF('Physical Condition Assessment'!I26:O26,"X",'PCA Cost Tables - READ ONLY'!E15:K15)</f>
        <v>0</v>
      </c>
      <c r="P15" s="5"/>
    </row>
    <row r="16" spans="1:16" x14ac:dyDescent="0.25">
      <c r="A16" s="14" t="s">
        <v>99</v>
      </c>
      <c r="B16" s="17"/>
      <c r="C16" s="15"/>
      <c r="D16" s="15"/>
      <c r="E16" s="49"/>
      <c r="F16" s="16"/>
      <c r="G16" s="49"/>
      <c r="H16" s="16"/>
      <c r="I16" s="49"/>
      <c r="J16" s="16"/>
      <c r="K16" s="49"/>
      <c r="L16" s="16"/>
      <c r="M16" s="49"/>
      <c r="N16" s="16"/>
      <c r="O16" s="58"/>
      <c r="P16" s="16"/>
    </row>
    <row r="17" spans="1:18" ht="15.75" thickBot="1" x14ac:dyDescent="0.3">
      <c r="A17" s="7"/>
      <c r="B17" s="8" t="s">
        <v>100</v>
      </c>
      <c r="M17" s="46"/>
      <c r="O17" s="57"/>
      <c r="P17" s="4"/>
    </row>
    <row r="18" spans="1:18" ht="15.75" thickBot="1" x14ac:dyDescent="0.3">
      <c r="A18" s="7"/>
      <c r="B18" s="8"/>
      <c r="C18" t="s">
        <v>101</v>
      </c>
      <c r="D18" s="4" t="s">
        <v>102</v>
      </c>
      <c r="E18" s="51"/>
      <c r="F18" s="4" t="s">
        <v>85</v>
      </c>
      <c r="G18" s="50" t="e">
        <f>6.72*('Escalation Calcs - READ ONLY'!D8/'Escalation Calcs - READ ONLY'!D6)</f>
        <v>#VALUE!</v>
      </c>
      <c r="H18" s="4" t="s">
        <v>86</v>
      </c>
      <c r="I18" s="51"/>
      <c r="J18" s="4" t="s">
        <v>87</v>
      </c>
      <c r="K18" s="50" t="e">
        <f>43*('Escalation Calcs - READ ONLY'!D8/'Escalation Calcs - READ ONLY'!D6)</f>
        <v>#VALUE!</v>
      </c>
      <c r="L18" s="4" t="s">
        <v>92</v>
      </c>
      <c r="M18" s="50">
        <v>113</v>
      </c>
      <c r="N18" s="4" t="s">
        <v>92</v>
      </c>
      <c r="O18" s="223">
        <f>SUMIF('Physical Condition Assessment'!I29:O29,"X",'PCA Cost Tables - READ ONLY'!E18:K18)</f>
        <v>0</v>
      </c>
      <c r="P18" s="5"/>
    </row>
    <row r="19" spans="1:18" ht="15.75" thickBot="1" x14ac:dyDescent="0.3">
      <c r="A19" s="7"/>
      <c r="B19" s="8"/>
      <c r="D19" s="4" t="s">
        <v>103</v>
      </c>
      <c r="E19" s="51"/>
      <c r="F19" s="4" t="s">
        <v>85</v>
      </c>
      <c r="G19" s="50" t="e">
        <f>8.85*('Escalation Calcs - READ ONLY'!D8/'Escalation Calcs - READ ONLY'!D6)</f>
        <v>#VALUE!</v>
      </c>
      <c r="H19" s="4" t="s">
        <v>86</v>
      </c>
      <c r="I19" s="51"/>
      <c r="J19" s="4" t="s">
        <v>87</v>
      </c>
      <c r="K19" s="50" t="e">
        <f>47*('Escalation Calcs - READ ONLY'!D8/'Escalation Calcs - READ ONLY'!D6)</f>
        <v>#VALUE!</v>
      </c>
      <c r="L19" s="4" t="s">
        <v>92</v>
      </c>
      <c r="M19" s="50">
        <v>117</v>
      </c>
      <c r="N19" s="4" t="s">
        <v>92</v>
      </c>
      <c r="O19" s="56">
        <f>SUMIF('Physical Condition Assessment'!I30:O30,"X",'PCA Cost Tables - READ ONLY'!E19:K19)</f>
        <v>0</v>
      </c>
      <c r="P19" s="5"/>
    </row>
    <row r="20" spans="1:18" ht="15.75" thickBot="1" x14ac:dyDescent="0.3">
      <c r="A20" s="7"/>
      <c r="B20" s="8"/>
      <c r="D20" s="4" t="s">
        <v>104</v>
      </c>
      <c r="E20" s="51"/>
      <c r="F20" s="4" t="s">
        <v>85</v>
      </c>
      <c r="G20" s="50" t="e">
        <f>14*('Escalation Calcs - READ ONLY'!D8/'Escalation Calcs - READ ONLY'!D6)</f>
        <v>#VALUE!</v>
      </c>
      <c r="H20" s="4" t="s">
        <v>86</v>
      </c>
      <c r="I20" s="51"/>
      <c r="J20" s="4" t="s">
        <v>87</v>
      </c>
      <c r="K20" s="50" t="e">
        <f>53*('Escalation Calcs - READ ONLY'!D8/'Escalation Calcs - READ ONLY'!D6)</f>
        <v>#VALUE!</v>
      </c>
      <c r="L20" s="4" t="s">
        <v>92</v>
      </c>
      <c r="M20" s="50">
        <v>123</v>
      </c>
      <c r="N20" s="4" t="s">
        <v>92</v>
      </c>
      <c r="O20" s="56">
        <f>SUMIF('Physical Condition Assessment'!I31:O31,"X",'PCA Cost Tables - READ ONLY'!E20:K20)</f>
        <v>0</v>
      </c>
      <c r="P20" s="5"/>
    </row>
    <row r="21" spans="1:18" ht="15.75" thickBot="1" x14ac:dyDescent="0.3">
      <c r="A21" s="7"/>
      <c r="B21" s="8"/>
      <c r="C21" t="s">
        <v>105</v>
      </c>
      <c r="D21" s="4" t="s">
        <v>102</v>
      </c>
      <c r="E21" s="51"/>
      <c r="F21" s="4" t="s">
        <v>85</v>
      </c>
      <c r="G21" s="51"/>
      <c r="H21" s="4" t="s">
        <v>86</v>
      </c>
      <c r="I21" s="50" t="e">
        <f>7.62*('Escalation Calcs - READ ONLY'!D8/'Escalation Calcs - READ ONLY'!D6)</f>
        <v>#VALUE!</v>
      </c>
      <c r="J21" s="4" t="s">
        <v>87</v>
      </c>
      <c r="K21" s="50" t="e">
        <f>33*('Escalation Calcs - READ ONLY'!D8/'Escalation Calcs - READ ONLY'!D6)</f>
        <v>#VALUE!</v>
      </c>
      <c r="L21" s="4" t="s">
        <v>92</v>
      </c>
      <c r="M21" s="50">
        <v>88</v>
      </c>
      <c r="N21" s="4" t="s">
        <v>92</v>
      </c>
      <c r="O21" s="56">
        <f>SUMIF('Physical Condition Assessment'!I32:O32,"X",'PCA Cost Tables - READ ONLY'!E21:K21)</f>
        <v>0</v>
      </c>
      <c r="P21" s="5"/>
    </row>
    <row r="22" spans="1:18" ht="15.75" thickBot="1" x14ac:dyDescent="0.3">
      <c r="A22" s="7"/>
      <c r="B22" s="8"/>
      <c r="D22" s="4" t="s">
        <v>103</v>
      </c>
      <c r="E22" s="51"/>
      <c r="F22" s="4" t="s">
        <v>85</v>
      </c>
      <c r="G22" s="51"/>
      <c r="H22" s="4" t="s">
        <v>86</v>
      </c>
      <c r="I22" s="50" t="e">
        <f>9.41*('Escalation Calcs - READ ONLY'!D8/'Escalation Calcs - READ ONLY'!D6)</f>
        <v>#VALUE!</v>
      </c>
      <c r="J22" s="4" t="s">
        <v>87</v>
      </c>
      <c r="K22" s="50" t="e">
        <f>37*('Escalation Calcs - READ ONLY'!D8/'Escalation Calcs - READ ONLY'!D6)</f>
        <v>#VALUE!</v>
      </c>
      <c r="L22" s="4" t="s">
        <v>92</v>
      </c>
      <c r="M22" s="50">
        <v>92</v>
      </c>
      <c r="N22" s="4" t="s">
        <v>92</v>
      </c>
      <c r="O22" s="56">
        <f>SUMIF('Physical Condition Assessment'!I33:O33,"X",'PCA Cost Tables - READ ONLY'!E22:K22)</f>
        <v>0</v>
      </c>
      <c r="P22" s="5"/>
    </row>
    <row r="23" spans="1:18" ht="15.75" thickBot="1" x14ac:dyDescent="0.3">
      <c r="A23" s="7"/>
      <c r="B23" s="8"/>
      <c r="D23" s="4" t="s">
        <v>104</v>
      </c>
      <c r="E23" s="51"/>
      <c r="F23" s="4" t="s">
        <v>85</v>
      </c>
      <c r="G23" s="51"/>
      <c r="H23" s="4" t="s">
        <v>86</v>
      </c>
      <c r="I23" s="50" t="e">
        <f>15.68*('Escalation Calcs - READ ONLY'!D8/'Escalation Calcs - READ ONLY'!D6)</f>
        <v>#VALUE!</v>
      </c>
      <c r="J23" s="4" t="s">
        <v>87</v>
      </c>
      <c r="K23" s="50" t="e">
        <f>43*('Escalation Calcs - READ ONLY'!D8/'Escalation Calcs - READ ONLY'!D6)</f>
        <v>#VALUE!</v>
      </c>
      <c r="L23" s="4" t="s">
        <v>92</v>
      </c>
      <c r="M23" s="50">
        <v>99</v>
      </c>
      <c r="N23" s="4" t="s">
        <v>92</v>
      </c>
      <c r="O23" s="224">
        <f>SUMIF('Physical Condition Assessment'!I34:O34,"X",'PCA Cost Tables - READ ONLY'!E23:K23)</f>
        <v>0</v>
      </c>
      <c r="P23" s="5"/>
    </row>
    <row r="24" spans="1:18" ht="15.75" thickBot="1" x14ac:dyDescent="0.3">
      <c r="A24" s="7"/>
      <c r="B24" s="8" t="s">
        <v>106</v>
      </c>
      <c r="I24" s="76"/>
      <c r="M24" s="46"/>
      <c r="O24" s="57"/>
      <c r="P24" s="4"/>
    </row>
    <row r="25" spans="1:18" ht="15.75" thickBot="1" x14ac:dyDescent="0.3">
      <c r="A25" s="7"/>
      <c r="B25" s="8"/>
      <c r="C25" t="s">
        <v>107</v>
      </c>
      <c r="D25" s="4" t="s">
        <v>108</v>
      </c>
      <c r="E25" s="51"/>
      <c r="F25" s="4" t="s">
        <v>85</v>
      </c>
      <c r="G25" s="50" t="e">
        <f>3.25*('Escalation Calcs - READ ONLY'!D8/'Escalation Calcs - READ ONLY'!D6)</f>
        <v>#VALUE!</v>
      </c>
      <c r="H25" s="4" t="s">
        <v>86</v>
      </c>
      <c r="I25" s="50" t="e">
        <f>4.7*('Escalation Calcs - READ ONLY'!D8/'Escalation Calcs - READ ONLY'!D6)</f>
        <v>#VALUE!</v>
      </c>
      <c r="J25" s="4" t="s">
        <v>87</v>
      </c>
      <c r="K25" s="51"/>
      <c r="L25" s="4" t="s">
        <v>92</v>
      </c>
      <c r="M25" s="51"/>
      <c r="N25" s="4" t="s">
        <v>92</v>
      </c>
      <c r="O25" s="223">
        <f>SUMIF('Physical Condition Assessment'!I36:O36,"X",'PCA Cost Tables - READ ONLY'!E25:K25)</f>
        <v>0</v>
      </c>
      <c r="P25" s="5"/>
      <c r="R25" s="129"/>
    </row>
    <row r="26" spans="1:18" ht="15.75" thickBot="1" x14ac:dyDescent="0.3">
      <c r="A26" s="7"/>
      <c r="B26" s="8"/>
      <c r="D26" s="4" t="s">
        <v>109</v>
      </c>
      <c r="E26" s="51"/>
      <c r="F26" s="4" t="s">
        <v>85</v>
      </c>
      <c r="G26" s="50" t="e">
        <f>3.25*('Escalation Calcs - READ ONLY'!D8/'Escalation Calcs - READ ONLY'!D6)</f>
        <v>#VALUE!</v>
      </c>
      <c r="H26" s="4" t="s">
        <v>86</v>
      </c>
      <c r="I26" s="50" t="e">
        <f>6.72*('Escalation Calcs - READ ONLY'!D8/'Escalation Calcs - READ ONLY'!D6)</f>
        <v>#VALUE!</v>
      </c>
      <c r="J26" s="4" t="s">
        <v>87</v>
      </c>
      <c r="K26" s="50" t="e">
        <f>32.73*('Escalation Calcs - READ ONLY'!D8/'Escalation Calcs - READ ONLY'!D6)</f>
        <v>#VALUE!</v>
      </c>
      <c r="L26" s="4" t="s">
        <v>92</v>
      </c>
      <c r="M26" s="50">
        <v>37.729999999999997</v>
      </c>
      <c r="N26" s="4" t="s">
        <v>92</v>
      </c>
      <c r="O26" s="56">
        <f>SUMIF('Physical Condition Assessment'!I37:O37,"X",'PCA Cost Tables - READ ONLY'!E26:K26)</f>
        <v>0</v>
      </c>
      <c r="P26" s="5"/>
    </row>
    <row r="27" spans="1:18" ht="15.75" thickBot="1" x14ac:dyDescent="0.3">
      <c r="A27" s="7"/>
      <c r="B27" s="8"/>
      <c r="D27" s="4" t="s">
        <v>110</v>
      </c>
      <c r="E27" s="51"/>
      <c r="F27" s="4" t="s">
        <v>85</v>
      </c>
      <c r="G27" s="50" t="e">
        <f>3.07*('Escalation Calcs - READ ONLY'!D8/'Escalation Calcs - READ ONLY'!D6)</f>
        <v>#VALUE!</v>
      </c>
      <c r="H27" s="4" t="s">
        <v>86</v>
      </c>
      <c r="I27" s="50" t="e">
        <f>5.82*('Escalation Calcs - READ ONLY'!D8/'Escalation Calcs - READ ONLY'!D6)</f>
        <v>#VALUE!</v>
      </c>
      <c r="J27" s="4" t="s">
        <v>87</v>
      </c>
      <c r="K27" s="50" t="e">
        <f>40*('Escalation Calcs - READ ONLY'!D8/'Escalation Calcs - READ ONLY'!D6)</f>
        <v>#VALUE!</v>
      </c>
      <c r="L27" s="4" t="s">
        <v>92</v>
      </c>
      <c r="M27" s="50">
        <v>30.51</v>
      </c>
      <c r="N27" s="4" t="s">
        <v>92</v>
      </c>
      <c r="O27" s="56">
        <f>SUMIF('Physical Condition Assessment'!I38:O38,"X",'PCA Cost Tables - READ ONLY'!E27:K27)</f>
        <v>0</v>
      </c>
      <c r="P27" s="5"/>
    </row>
    <row r="28" spans="1:18" ht="15.75" thickBot="1" x14ac:dyDescent="0.3">
      <c r="A28" s="7"/>
      <c r="B28" s="8"/>
      <c r="D28" s="4" t="s">
        <v>393</v>
      </c>
      <c r="E28" s="51"/>
      <c r="F28" s="4" t="s">
        <v>85</v>
      </c>
      <c r="G28" s="50" t="e">
        <f>3.57*('Escalation Calcs - READ ONLY'!D8/'Escalation Calcs - READ ONLY'!D6)</f>
        <v>#VALUE!</v>
      </c>
      <c r="H28" s="4" t="s">
        <v>86</v>
      </c>
      <c r="I28" s="50" t="e">
        <f>6.82*('Escalation Calcs - READ ONLY'!D8/'Escalation Calcs - READ ONLY'!D6)</f>
        <v>#VALUE!</v>
      </c>
      <c r="J28" s="4" t="s">
        <v>87</v>
      </c>
      <c r="K28" s="50" t="e">
        <f>45*('Escalation Calcs - READ ONLY'!D8/'Escalation Calcs - READ ONLY'!D6)</f>
        <v>#VALUE!</v>
      </c>
      <c r="L28" s="4" t="s">
        <v>92</v>
      </c>
      <c r="M28" s="50">
        <v>35.51</v>
      </c>
      <c r="N28" s="4" t="s">
        <v>92</v>
      </c>
      <c r="O28" s="56">
        <f>SUMIF('Physical Condition Assessment'!I39:O39,"X",'PCA Cost Tables - READ ONLY'!E28:K28)</f>
        <v>0</v>
      </c>
      <c r="P28" s="5"/>
    </row>
    <row r="29" spans="1:18" ht="15.75" thickBot="1" x14ac:dyDescent="0.3">
      <c r="A29" s="7"/>
      <c r="B29" s="8"/>
      <c r="D29" s="4" t="s">
        <v>112</v>
      </c>
      <c r="E29" s="51"/>
      <c r="F29" s="4" t="s">
        <v>85</v>
      </c>
      <c r="G29" s="50" t="e">
        <f>3.07*('Escalation Calcs - READ ONLY'!D8/'Escalation Calcs - READ ONLY'!D6)</f>
        <v>#VALUE!</v>
      </c>
      <c r="H29" s="4" t="s">
        <v>86</v>
      </c>
      <c r="I29" s="50" t="e">
        <f>5.82*('Escalation Calcs - READ ONLY'!D8/'Escalation Calcs - READ ONLY'!D6)</f>
        <v>#VALUE!</v>
      </c>
      <c r="J29" s="4" t="s">
        <v>87</v>
      </c>
      <c r="K29" s="50" t="e">
        <f>50*('Escalation Calcs - READ ONLY'!D8/'Escalation Calcs - READ ONLY'!D6)</f>
        <v>#VALUE!</v>
      </c>
      <c r="L29" s="4" t="s">
        <v>92</v>
      </c>
      <c r="M29" s="50">
        <v>35.69</v>
      </c>
      <c r="N29" s="4" t="s">
        <v>92</v>
      </c>
      <c r="O29" s="56">
        <f>SUMIF('Physical Condition Assessment'!I40:O40,"X",'PCA Cost Tables - READ ONLY'!E29:K29)</f>
        <v>0</v>
      </c>
      <c r="P29" s="5"/>
    </row>
    <row r="30" spans="1:18" ht="15.75" thickBot="1" x14ac:dyDescent="0.3">
      <c r="A30" s="7"/>
      <c r="B30" s="8"/>
      <c r="D30" s="4" t="s">
        <v>113</v>
      </c>
      <c r="E30" s="51"/>
      <c r="F30" s="4" t="s">
        <v>85</v>
      </c>
      <c r="G30" s="50" t="e">
        <f>2.46*('Escalation Calcs - READ ONLY'!D8/'Escalation Calcs - READ ONLY'!D6)</f>
        <v>#VALUE!</v>
      </c>
      <c r="H30" s="4" t="s">
        <v>86</v>
      </c>
      <c r="I30" s="50" t="e">
        <f>4.48*('Escalation Calcs - READ ONLY'!D8/'Escalation Calcs - READ ONLY'!D6)</f>
        <v>#VALUE!</v>
      </c>
      <c r="J30" s="4" t="s">
        <v>87</v>
      </c>
      <c r="K30" s="50" t="e">
        <f>50*('Escalation Calcs - READ ONLY'!D8/'Escalation Calcs - READ ONLY'!D6)</f>
        <v>#VALUE!</v>
      </c>
      <c r="L30" s="4" t="s">
        <v>92</v>
      </c>
      <c r="M30" s="50">
        <v>43.61</v>
      </c>
      <c r="N30" s="4" t="s">
        <v>92</v>
      </c>
      <c r="O30" s="56">
        <f>SUMIF('Physical Condition Assessment'!I41:O41,"X",'PCA Cost Tables - READ ONLY'!E30:K30)</f>
        <v>0</v>
      </c>
      <c r="P30" s="5"/>
    </row>
    <row r="31" spans="1:18" ht="15.75" thickBot="1" x14ac:dyDescent="0.3">
      <c r="A31" s="7"/>
      <c r="B31" s="8"/>
      <c r="C31" t="s">
        <v>114</v>
      </c>
      <c r="D31" s="4" t="s">
        <v>102</v>
      </c>
      <c r="E31" s="51"/>
      <c r="F31" s="4" t="s">
        <v>85</v>
      </c>
      <c r="G31" s="50" t="e">
        <f>2.69*('Escalation Calcs - READ ONLY'!D8/'Escalation Calcs - READ ONLY'!D6)</f>
        <v>#VALUE!</v>
      </c>
      <c r="H31" s="4" t="s">
        <v>86</v>
      </c>
      <c r="I31" s="50" t="e">
        <f>4.82*('Escalation Calcs - READ ONLY'!D8/'Escalation Calcs - READ ONLY'!D6)</f>
        <v>#VALUE!</v>
      </c>
      <c r="J31" s="4" t="s">
        <v>87</v>
      </c>
      <c r="K31" s="50" t="e">
        <f>70*('Escalation Calcs - READ ONLY'!D8/'Escalation Calcs - READ ONLY'!D6)</f>
        <v>#VALUE!</v>
      </c>
      <c r="L31" s="4" t="s">
        <v>92</v>
      </c>
      <c r="M31" s="50">
        <v>11.3</v>
      </c>
      <c r="N31" s="4" t="s">
        <v>92</v>
      </c>
      <c r="O31" s="56">
        <f>SUMIF('Physical Condition Assessment'!I42:O42,"X",'PCA Cost Tables - READ ONLY'!E31:K31)</f>
        <v>0</v>
      </c>
      <c r="P31" s="5"/>
    </row>
    <row r="32" spans="1:18" ht="15.75" thickBot="1" x14ac:dyDescent="0.3">
      <c r="A32" s="7"/>
      <c r="B32" s="8"/>
      <c r="D32" s="4" t="s">
        <v>394</v>
      </c>
      <c r="E32" s="51"/>
      <c r="F32" s="4" t="s">
        <v>85</v>
      </c>
      <c r="G32" s="50" t="e">
        <f>2.69*('Escalation Calcs - READ ONLY'!D8/'Escalation Calcs - READ ONLY'!D6)</f>
        <v>#VALUE!</v>
      </c>
      <c r="H32" s="4" t="s">
        <v>86</v>
      </c>
      <c r="I32" s="50" t="e">
        <f>3.81*('Escalation Calcs - READ ONLY'!D8/'Escalation Calcs - READ ONLY'!D6)</f>
        <v>#VALUE!</v>
      </c>
      <c r="J32" s="4" t="s">
        <v>87</v>
      </c>
      <c r="K32" s="50" t="e">
        <f>100*('Escalation Calcs - READ ONLY'!D8/'Escalation Calcs - READ ONLY'!D6)</f>
        <v>#VALUE!</v>
      </c>
      <c r="L32" s="4" t="s">
        <v>92</v>
      </c>
      <c r="M32" s="50">
        <v>12</v>
      </c>
      <c r="N32" s="4" t="s">
        <v>92</v>
      </c>
      <c r="O32" s="56">
        <f>SUMIF('Physical Condition Assessment'!I43:O43,"X",'PCA Cost Tables - READ ONLY'!E32:K32)</f>
        <v>0</v>
      </c>
      <c r="P32" s="5"/>
    </row>
    <row r="33" spans="1:18" ht="15.75" thickBot="1" x14ac:dyDescent="0.3">
      <c r="A33" s="7"/>
      <c r="B33" s="8"/>
      <c r="D33" s="4" t="s">
        <v>116</v>
      </c>
      <c r="E33" s="51"/>
      <c r="F33" s="4" t="s">
        <v>85</v>
      </c>
      <c r="G33" s="50" t="e">
        <f>2.69*('Escalation Calcs - READ ONLY'!D8/'Escalation Calcs - READ ONLY'!D6)</f>
        <v>#VALUE!</v>
      </c>
      <c r="H33" s="4" t="s">
        <v>86</v>
      </c>
      <c r="I33" s="50" t="e">
        <f>4.14*('Escalation Calcs - READ ONLY'!D8/'Escalation Calcs - READ ONLY'!D6)</f>
        <v>#VALUE!</v>
      </c>
      <c r="J33" s="4" t="s">
        <v>87</v>
      </c>
      <c r="K33" s="50" t="e">
        <f>100*('Escalation Calcs - READ ONLY'!D8/'Escalation Calcs - READ ONLY'!D6)</f>
        <v>#VALUE!</v>
      </c>
      <c r="L33" s="4" t="s">
        <v>92</v>
      </c>
      <c r="M33" s="50">
        <v>11.5</v>
      </c>
      <c r="N33" s="4" t="s">
        <v>92</v>
      </c>
      <c r="O33" s="56">
        <f>SUMIF('Physical Condition Assessment'!I44:O44,"X",'PCA Cost Tables - READ ONLY'!E33:K33)</f>
        <v>0</v>
      </c>
      <c r="P33" s="5"/>
    </row>
    <row r="34" spans="1:18" ht="15.75" thickBot="1" x14ac:dyDescent="0.3">
      <c r="A34" s="7"/>
      <c r="B34" s="8"/>
      <c r="D34" s="4" t="s">
        <v>117</v>
      </c>
      <c r="E34" s="51"/>
      <c r="F34" s="4" t="s">
        <v>85</v>
      </c>
      <c r="G34" s="50" t="e">
        <f>1.68*('Escalation Calcs - READ ONLY'!D8/'Escalation Calcs - READ ONLY'!D6)</f>
        <v>#VALUE!</v>
      </c>
      <c r="H34" s="4" t="s">
        <v>86</v>
      </c>
      <c r="I34" s="50" t="e">
        <f>3.02*('Escalation Calcs - READ ONLY'!D8/'Escalation Calcs - READ ONLY'!D6)</f>
        <v>#VALUE!</v>
      </c>
      <c r="J34" s="4" t="s">
        <v>87</v>
      </c>
      <c r="K34" s="50" t="e">
        <f>125*('Escalation Calcs - READ ONLY'!D8/'Escalation Calcs - READ ONLY'!D6)</f>
        <v>#VALUE!</v>
      </c>
      <c r="L34" s="4" t="s">
        <v>92</v>
      </c>
      <c r="M34" s="50">
        <v>30</v>
      </c>
      <c r="N34" s="4" t="s">
        <v>92</v>
      </c>
      <c r="O34" s="56">
        <f>SUMIF('Physical Condition Assessment'!I45:O45,"X",'PCA Cost Tables - READ ONLY'!E34:K34)</f>
        <v>0</v>
      </c>
      <c r="P34" s="5"/>
    </row>
    <row r="35" spans="1:18" ht="15.75" thickBot="1" x14ac:dyDescent="0.3">
      <c r="A35" s="7"/>
      <c r="B35" s="8"/>
      <c r="C35" t="s">
        <v>118</v>
      </c>
      <c r="D35" s="4" t="s">
        <v>102</v>
      </c>
      <c r="E35" s="51"/>
      <c r="F35" s="4" t="s">
        <v>85</v>
      </c>
      <c r="G35" s="50" t="e">
        <f>1000*('Escalation Calcs - READ ONLY'!D8/'Escalation Calcs - READ ONLY'!D6)</f>
        <v>#VALUE!</v>
      </c>
      <c r="H35" s="4" t="s">
        <v>86</v>
      </c>
      <c r="I35" s="50" t="e">
        <f>1500*('Escalation Calcs - READ ONLY'!D8/'Escalation Calcs - READ ONLY'!D6)</f>
        <v>#VALUE!</v>
      </c>
      <c r="J35" s="4" t="s">
        <v>87</v>
      </c>
      <c r="K35" s="50" t="e">
        <f>2000*('Escalation Calcs - READ ONLY'!D8/'Escalation Calcs - READ ONLY'!D6)</f>
        <v>#VALUE!</v>
      </c>
      <c r="L35" s="4" t="s">
        <v>92</v>
      </c>
      <c r="M35" s="50">
        <v>2000</v>
      </c>
      <c r="N35" s="4" t="s">
        <v>92</v>
      </c>
      <c r="O35" s="56">
        <f>SUMIF('Physical Condition Assessment'!I46:O46,"X",'PCA Cost Tables - READ ONLY'!E35:K35)</f>
        <v>0</v>
      </c>
      <c r="P35" s="5" t="s">
        <v>395</v>
      </c>
    </row>
    <row r="36" spans="1:18" ht="15.75" thickBot="1" x14ac:dyDescent="0.3">
      <c r="A36" s="7"/>
      <c r="B36" s="8"/>
      <c r="D36" s="4" t="s">
        <v>119</v>
      </c>
      <c r="E36" s="51"/>
      <c r="F36" s="4" t="s">
        <v>85</v>
      </c>
      <c r="G36" s="50" t="e">
        <f>1000*('Escalation Calcs - READ ONLY'!D8/'Escalation Calcs - READ ONLY'!D6)</f>
        <v>#VALUE!</v>
      </c>
      <c r="H36" s="4" t="s">
        <v>86</v>
      </c>
      <c r="I36" s="50" t="e">
        <f>1300*('Escalation Calcs - READ ONLY'!D8/'Escalation Calcs - READ ONLY'!D6)</f>
        <v>#VALUE!</v>
      </c>
      <c r="J36" s="4" t="s">
        <v>87</v>
      </c>
      <c r="K36" s="50" t="e">
        <f>1800*('Escalation Calcs - READ ONLY'!D8/'Escalation Calcs - READ ONLY'!D6)</f>
        <v>#VALUE!</v>
      </c>
      <c r="L36" s="4" t="s">
        <v>92</v>
      </c>
      <c r="M36" s="50">
        <v>1800</v>
      </c>
      <c r="N36" s="4" t="s">
        <v>92</v>
      </c>
      <c r="O36" s="56">
        <f>SUMIF('Physical Condition Assessment'!I47:O47,"X",'PCA Cost Tables - READ ONLY'!E36:K36)</f>
        <v>0</v>
      </c>
      <c r="P36" s="5" t="s">
        <v>395</v>
      </c>
    </row>
    <row r="37" spans="1:18" ht="15.75" thickBot="1" x14ac:dyDescent="0.3">
      <c r="A37" s="7"/>
      <c r="B37" s="8"/>
      <c r="D37" s="4" t="s">
        <v>120</v>
      </c>
      <c r="E37" s="51"/>
      <c r="F37" s="4" t="s">
        <v>85</v>
      </c>
      <c r="G37" s="50" t="e">
        <f>1200*('Escalation Calcs - READ ONLY'!D8/'Escalation Calcs - READ ONLY'!D6)</f>
        <v>#VALUE!</v>
      </c>
      <c r="H37" s="4" t="s">
        <v>86</v>
      </c>
      <c r="I37" s="50" t="e">
        <f>2400*('Escalation Calcs - READ ONLY'!D8/'Escalation Calcs - READ ONLY'!D6)</f>
        <v>#VALUE!</v>
      </c>
      <c r="J37" s="4" t="s">
        <v>87</v>
      </c>
      <c r="K37" s="50" t="e">
        <f>3000*('Escalation Calcs - READ ONLY'!D8/'Escalation Calcs - READ ONLY'!D6)</f>
        <v>#VALUE!</v>
      </c>
      <c r="L37" s="4" t="s">
        <v>92</v>
      </c>
      <c r="M37" s="50">
        <v>3000</v>
      </c>
      <c r="N37" s="4" t="s">
        <v>92</v>
      </c>
      <c r="O37" s="224">
        <f>SUMIF('Physical Condition Assessment'!I48:O48,"X",'PCA Cost Tables - READ ONLY'!E37:K37)</f>
        <v>0</v>
      </c>
      <c r="P37" s="5" t="s">
        <v>396</v>
      </c>
    </row>
    <row r="38" spans="1:18" ht="15.75" thickBot="1" x14ac:dyDescent="0.3">
      <c r="A38" s="7"/>
      <c r="B38" s="8" t="s">
        <v>121</v>
      </c>
      <c r="I38" s="76"/>
      <c r="M38" s="46"/>
      <c r="O38" s="57"/>
      <c r="P38" s="4"/>
    </row>
    <row r="39" spans="1:18" ht="15.75" thickBot="1" x14ac:dyDescent="0.3">
      <c r="A39" s="7"/>
      <c r="B39" s="8"/>
      <c r="C39" t="s">
        <v>122</v>
      </c>
      <c r="D39" t="s">
        <v>123</v>
      </c>
      <c r="E39" s="50" t="e">
        <f>1.35*('Escalation Calcs - READ ONLY'!D8/'Escalation Calcs - READ ONLY'!D6)</f>
        <v>#VALUE!</v>
      </c>
      <c r="F39" s="4" t="s">
        <v>85</v>
      </c>
      <c r="G39" s="50" t="e">
        <f>3.81*('Escalation Calcs - READ ONLY'!$D$8/'Escalation Calcs - READ ONLY'!$D$6)</f>
        <v>#VALUE!</v>
      </c>
      <c r="H39" s="4" t="s">
        <v>86</v>
      </c>
      <c r="I39" s="50" t="e">
        <f>10.75*('Escalation Calcs - READ ONLY'!$D$8/'Escalation Calcs - READ ONLY'!$D$6)</f>
        <v>#VALUE!</v>
      </c>
      <c r="J39" s="4" t="s">
        <v>87</v>
      </c>
      <c r="K39" s="50" t="e">
        <f>15*('Escalation Calcs - READ ONLY'!$D$8/'Escalation Calcs - READ ONLY'!$D$6)</f>
        <v>#VALUE!</v>
      </c>
      <c r="L39" s="4" t="s">
        <v>92</v>
      </c>
      <c r="M39" s="50">
        <v>15</v>
      </c>
      <c r="N39" s="4" t="s">
        <v>92</v>
      </c>
      <c r="O39" s="223">
        <f>SUMIF('Physical Condition Assessment'!I50:O50,"X",'PCA Cost Tables - READ ONLY'!E39:K39)</f>
        <v>0</v>
      </c>
      <c r="P39" s="5"/>
      <c r="R39" s="129"/>
    </row>
    <row r="40" spans="1:18" ht="15.75" thickBot="1" x14ac:dyDescent="0.3">
      <c r="A40" s="7"/>
      <c r="B40" s="8"/>
      <c r="D40" t="s">
        <v>124</v>
      </c>
      <c r="E40" s="50" t="e">
        <f>1.57*('Escalation Calcs - READ ONLY'!D8/'Escalation Calcs - READ ONLY'!D6)</f>
        <v>#VALUE!</v>
      </c>
      <c r="F40" s="4" t="s">
        <v>85</v>
      </c>
      <c r="G40" s="50" t="e">
        <f>3.98*('Escalation Calcs - READ ONLY'!$D$8/'Escalation Calcs - READ ONLY'!$D$6)</f>
        <v>#VALUE!</v>
      </c>
      <c r="H40" s="4" t="s">
        <v>86</v>
      </c>
      <c r="I40" s="50" t="e">
        <f>11.76*('Escalation Calcs - READ ONLY'!$D$8/'Escalation Calcs - READ ONLY'!$D$6)</f>
        <v>#VALUE!</v>
      </c>
      <c r="J40" s="4" t="s">
        <v>87</v>
      </c>
      <c r="K40" s="50" t="e">
        <f>26*('Escalation Calcs - READ ONLY'!$D$8/'Escalation Calcs - READ ONLY'!$D$6)</f>
        <v>#VALUE!</v>
      </c>
      <c r="L40" s="4" t="s">
        <v>92</v>
      </c>
      <c r="M40" s="50">
        <v>26</v>
      </c>
      <c r="N40" s="4" t="s">
        <v>92</v>
      </c>
      <c r="O40" s="56">
        <f>SUMIF('Physical Condition Assessment'!I51:O51,"X",'PCA Cost Tables - READ ONLY'!E40:K40)</f>
        <v>0</v>
      </c>
      <c r="P40" s="5"/>
      <c r="R40" s="129"/>
    </row>
    <row r="41" spans="1:18" ht="15.75" thickBot="1" x14ac:dyDescent="0.3">
      <c r="A41" s="7"/>
      <c r="B41" s="8"/>
      <c r="D41" t="s">
        <v>125</v>
      </c>
      <c r="E41" s="50" t="e">
        <f>2.35*('Escalation Calcs - READ ONLY'!D8/'Escalation Calcs - READ ONLY'!D6)</f>
        <v>#VALUE!</v>
      </c>
      <c r="F41" s="4" t="s">
        <v>85</v>
      </c>
      <c r="G41" s="50" t="e">
        <f>4.26*('Escalation Calcs - READ ONLY'!$D$8/'Escalation Calcs - READ ONLY'!$D$6)</f>
        <v>#VALUE!</v>
      </c>
      <c r="H41" s="4" t="s">
        <v>86</v>
      </c>
      <c r="I41" s="50" t="e">
        <f>11.31*('Escalation Calcs - READ ONLY'!$D$8/'Escalation Calcs - READ ONLY'!$D$6)</f>
        <v>#VALUE!</v>
      </c>
      <c r="J41" s="4" t="s">
        <v>87</v>
      </c>
      <c r="K41" s="50" t="e">
        <f>24*('Escalation Calcs - READ ONLY'!$D$8/'Escalation Calcs - READ ONLY'!$D$6)</f>
        <v>#VALUE!</v>
      </c>
      <c r="L41" s="4" t="s">
        <v>92</v>
      </c>
      <c r="M41" s="50">
        <v>24</v>
      </c>
      <c r="N41" s="4" t="s">
        <v>92</v>
      </c>
      <c r="O41" s="56">
        <f>SUMIF('Physical Condition Assessment'!I52:O52,"X",'PCA Cost Tables - READ ONLY'!E41:K41)</f>
        <v>0</v>
      </c>
      <c r="P41" s="5"/>
      <c r="R41" s="129"/>
    </row>
    <row r="42" spans="1:18" ht="15.75" thickBot="1" x14ac:dyDescent="0.3">
      <c r="A42" s="7"/>
      <c r="B42" s="8"/>
      <c r="D42" t="s">
        <v>126</v>
      </c>
      <c r="E42" s="51"/>
      <c r="F42" s="4" t="s">
        <v>85</v>
      </c>
      <c r="G42" s="50" t="e">
        <f>5.38*('Escalation Calcs - READ ONLY'!$D$8/'Escalation Calcs - READ ONLY'!$D$6)</f>
        <v>#VALUE!</v>
      </c>
      <c r="H42" s="4" t="s">
        <v>86</v>
      </c>
      <c r="I42" s="51"/>
      <c r="J42" s="4" t="s">
        <v>87</v>
      </c>
      <c r="K42" s="50" t="e">
        <f>75*('Escalation Calcs - READ ONLY'!$D$8/'Escalation Calcs - READ ONLY'!$D$6)</f>
        <v>#VALUE!</v>
      </c>
      <c r="L42" s="4" t="s">
        <v>92</v>
      </c>
      <c r="M42" s="50">
        <v>32</v>
      </c>
      <c r="N42" s="4" t="s">
        <v>92</v>
      </c>
      <c r="O42" s="56">
        <f>SUMIF('Physical Condition Assessment'!I53:O53,"X",'PCA Cost Tables - READ ONLY'!E42:K42)</f>
        <v>0</v>
      </c>
      <c r="P42" s="5"/>
      <c r="R42" s="129"/>
    </row>
    <row r="43" spans="1:18" ht="15.75" thickBot="1" x14ac:dyDescent="0.3">
      <c r="A43" s="7"/>
      <c r="B43" s="8"/>
      <c r="D43" t="s">
        <v>127</v>
      </c>
      <c r="E43" s="51"/>
      <c r="F43" s="4" t="s">
        <v>85</v>
      </c>
      <c r="G43" s="50" t="e">
        <f>5.88*('Escalation Calcs - READ ONLY'!$D$8/'Escalation Calcs - READ ONLY'!$D$6)</f>
        <v>#VALUE!</v>
      </c>
      <c r="H43" s="4" t="s">
        <v>86</v>
      </c>
      <c r="I43" s="51"/>
      <c r="J43" s="4" t="s">
        <v>87</v>
      </c>
      <c r="K43" s="50" t="e">
        <f>40*('Escalation Calcs - READ ONLY'!$D$8/'Escalation Calcs - READ ONLY'!$D$6)</f>
        <v>#VALUE!</v>
      </c>
      <c r="L43" s="4" t="s">
        <v>92</v>
      </c>
      <c r="M43" s="50">
        <v>34</v>
      </c>
      <c r="N43" s="4" t="s">
        <v>92</v>
      </c>
      <c r="O43" s="56">
        <f>SUMIF('Physical Condition Assessment'!I54:O54,"X",'PCA Cost Tables - READ ONLY'!E43:K43)</f>
        <v>0</v>
      </c>
      <c r="P43" s="5"/>
      <c r="R43" s="129"/>
    </row>
    <row r="44" spans="1:18" ht="15.75" thickBot="1" x14ac:dyDescent="0.3">
      <c r="A44" s="7"/>
      <c r="B44" s="8"/>
      <c r="C44" t="s">
        <v>128</v>
      </c>
      <c r="D44" t="s">
        <v>129</v>
      </c>
      <c r="E44" s="51"/>
      <c r="F44" s="4" t="s">
        <v>85</v>
      </c>
      <c r="G44" s="50" t="e">
        <f>0.1*('Escalation Calcs - READ ONLY'!$D$8/'Escalation Calcs - READ ONLY'!$D$6)</f>
        <v>#VALUE!</v>
      </c>
      <c r="H44" s="4" t="s">
        <v>86</v>
      </c>
      <c r="I44" s="51"/>
      <c r="J44" s="4" t="s">
        <v>87</v>
      </c>
      <c r="K44" s="50" t="e">
        <f>2*('Escalation Calcs - READ ONLY'!$D$8/'Escalation Calcs - READ ONLY'!$D$6)</f>
        <v>#VALUE!</v>
      </c>
      <c r="L44" s="4" t="s">
        <v>92</v>
      </c>
      <c r="M44" s="50">
        <v>4.78</v>
      </c>
      <c r="N44" s="4" t="s">
        <v>92</v>
      </c>
      <c r="O44" s="56">
        <f>SUMIF('Physical Condition Assessment'!I55:O55,"X",'PCA Cost Tables - READ ONLY'!E44:K44)</f>
        <v>0</v>
      </c>
      <c r="P44" s="5" t="s">
        <v>397</v>
      </c>
      <c r="R44" s="129"/>
    </row>
    <row r="45" spans="1:18" ht="15.75" thickBot="1" x14ac:dyDescent="0.3">
      <c r="A45" s="7"/>
      <c r="B45" s="8"/>
      <c r="D45" t="s">
        <v>131</v>
      </c>
      <c r="E45" s="51"/>
      <c r="F45" s="4" t="s">
        <v>85</v>
      </c>
      <c r="G45" s="51"/>
      <c r="H45" s="4" t="s">
        <v>86</v>
      </c>
      <c r="I45" s="51"/>
      <c r="J45" s="4" t="s">
        <v>87</v>
      </c>
      <c r="K45" s="50" t="e">
        <f>3500*('Escalation Calcs - READ ONLY'!$D$8/'Escalation Calcs - READ ONLY'!$D$6)</f>
        <v>#VALUE!</v>
      </c>
      <c r="L45" s="4" t="s">
        <v>92</v>
      </c>
      <c r="M45" s="50">
        <v>0.33</v>
      </c>
      <c r="N45" s="4" t="s">
        <v>92</v>
      </c>
      <c r="O45" s="224">
        <f>SUMIF('Physical Condition Assessment'!I56:O56,"X",'PCA Cost Tables - READ ONLY'!E45:K45)</f>
        <v>0</v>
      </c>
      <c r="P45" s="5" t="s">
        <v>132</v>
      </c>
    </row>
    <row r="46" spans="1:18" x14ac:dyDescent="0.25">
      <c r="A46" s="14" t="s">
        <v>133</v>
      </c>
      <c r="B46" s="17"/>
      <c r="C46" s="15"/>
      <c r="D46" s="15"/>
      <c r="E46" s="49"/>
      <c r="F46" s="16"/>
      <c r="G46" s="49"/>
      <c r="H46" s="16"/>
      <c r="I46" s="49"/>
      <c r="J46" s="16"/>
      <c r="K46" s="49"/>
      <c r="L46" s="16"/>
      <c r="M46" s="49"/>
      <c r="N46" s="16"/>
      <c r="O46" s="55"/>
      <c r="P46" s="16"/>
    </row>
    <row r="47" spans="1:18" ht="15.75" thickBot="1" x14ac:dyDescent="0.3">
      <c r="A47" s="7"/>
      <c r="B47" s="8" t="s">
        <v>134</v>
      </c>
      <c r="M47" s="46"/>
      <c r="O47" s="24"/>
      <c r="P47" s="4"/>
    </row>
    <row r="48" spans="1:18" ht="15.75" thickBot="1" x14ac:dyDescent="0.3">
      <c r="A48" s="7"/>
      <c r="B48" s="8"/>
      <c r="C48" t="s">
        <v>135</v>
      </c>
      <c r="D48" t="s">
        <v>136</v>
      </c>
      <c r="E48" s="51"/>
      <c r="F48" s="4" t="s">
        <v>85</v>
      </c>
      <c r="G48" s="51"/>
      <c r="H48" s="4" t="s">
        <v>86</v>
      </c>
      <c r="I48" s="51"/>
      <c r="J48" s="4" t="s">
        <v>87</v>
      </c>
      <c r="K48" s="50" t="e">
        <f>15.68*('Escalation Calcs - READ ONLY'!$D$8/'Escalation Calcs - READ ONLY'!$D$6)</f>
        <v>#VALUE!</v>
      </c>
      <c r="L48" s="4" t="s">
        <v>92</v>
      </c>
      <c r="M48" s="50">
        <v>50.68</v>
      </c>
      <c r="N48" s="4" t="s">
        <v>92</v>
      </c>
      <c r="O48" s="223">
        <f>SUMIF('Physical Condition Assessment'!I59:O59,"X",'PCA Cost Tables - READ ONLY'!E48:K48)</f>
        <v>0</v>
      </c>
      <c r="P48" s="5"/>
    </row>
    <row r="49" spans="1:18" ht="15.75" thickBot="1" x14ac:dyDescent="0.3">
      <c r="A49" s="7"/>
      <c r="B49" s="8"/>
      <c r="D49" t="s">
        <v>109</v>
      </c>
      <c r="E49" s="51"/>
      <c r="F49" s="4" t="s">
        <v>85</v>
      </c>
      <c r="G49" s="51"/>
      <c r="H49" s="4" t="s">
        <v>86</v>
      </c>
      <c r="I49" s="50" t="e">
        <f>6.94*('Escalation Calcs - READ ONLY'!$D$8/'Escalation Calcs - READ ONLY'!$D$6)</f>
        <v>#VALUE!</v>
      </c>
      <c r="J49" s="4" t="s">
        <v>87</v>
      </c>
      <c r="K49" s="50" t="e">
        <f>29.18*('Escalation Calcs - READ ONLY'!$D$8/'Escalation Calcs - READ ONLY'!$D$6)</f>
        <v>#VALUE!</v>
      </c>
      <c r="L49" s="4" t="s">
        <v>92</v>
      </c>
      <c r="M49" s="50">
        <v>64.180000000000007</v>
      </c>
      <c r="N49" s="4" t="s">
        <v>92</v>
      </c>
      <c r="O49" s="56">
        <f>SUMIF('Physical Condition Assessment'!I60:O60,"X",'PCA Cost Tables - READ ONLY'!E49:K49)</f>
        <v>0</v>
      </c>
      <c r="P49" s="5"/>
    </row>
    <row r="50" spans="1:18" ht="15.75" thickBot="1" x14ac:dyDescent="0.3">
      <c r="A50" s="7"/>
      <c r="B50" s="8"/>
      <c r="C50" t="s">
        <v>137</v>
      </c>
      <c r="D50" t="s">
        <v>102</v>
      </c>
      <c r="E50" s="51"/>
      <c r="F50" s="4" t="s">
        <v>85</v>
      </c>
      <c r="G50" s="50" t="e">
        <f>800*('Escalation Calcs - READ ONLY'!$D$8/'Escalation Calcs - READ ONLY'!$D$6)</f>
        <v>#VALUE!</v>
      </c>
      <c r="H50" s="4" t="s">
        <v>86</v>
      </c>
      <c r="I50" s="50" t="e">
        <f>1300*('Escalation Calcs - READ ONLY'!$D$8/'Escalation Calcs - READ ONLY'!$D$6)</f>
        <v>#VALUE!</v>
      </c>
      <c r="J50" s="4" t="s">
        <v>87</v>
      </c>
      <c r="K50" s="50" t="e">
        <f>1800*('Escalation Calcs - READ ONLY'!$D$8/'Escalation Calcs - READ ONLY'!$D$6)</f>
        <v>#VALUE!</v>
      </c>
      <c r="L50" s="4" t="s">
        <v>92</v>
      </c>
      <c r="M50" s="50">
        <v>1800</v>
      </c>
      <c r="N50" s="4" t="s">
        <v>92</v>
      </c>
      <c r="O50" s="56">
        <f>SUMIF('Physical Condition Assessment'!I61:O61,"X",'PCA Cost Tables - READ ONLY'!E50:K50)</f>
        <v>0</v>
      </c>
      <c r="P50" s="5" t="s">
        <v>395</v>
      </c>
    </row>
    <row r="51" spans="1:18" ht="15.75" thickBot="1" x14ac:dyDescent="0.3">
      <c r="A51" s="7"/>
      <c r="B51" s="8"/>
      <c r="D51" t="s">
        <v>119</v>
      </c>
      <c r="E51" s="51"/>
      <c r="F51" s="4" t="s">
        <v>85</v>
      </c>
      <c r="G51" s="50" t="e">
        <f>800*('Escalation Calcs - READ ONLY'!$D$8/'Escalation Calcs - READ ONLY'!$D$6)</f>
        <v>#VALUE!</v>
      </c>
      <c r="H51" s="4" t="s">
        <v>86</v>
      </c>
      <c r="I51" s="50" t="e">
        <f>1100*('Escalation Calcs - READ ONLY'!$D$8/'Escalation Calcs - READ ONLY'!$D$6)</f>
        <v>#VALUE!</v>
      </c>
      <c r="J51" s="4" t="s">
        <v>87</v>
      </c>
      <c r="K51" s="50" t="e">
        <f>1600*('Escalation Calcs - READ ONLY'!$D$8/'Escalation Calcs - READ ONLY'!$D$6)</f>
        <v>#VALUE!</v>
      </c>
      <c r="L51" s="4" t="s">
        <v>92</v>
      </c>
      <c r="M51" s="50">
        <v>1600</v>
      </c>
      <c r="N51" s="4" t="s">
        <v>92</v>
      </c>
      <c r="O51" s="56">
        <f>SUMIF('Physical Condition Assessment'!I62:O62,"X",'PCA Cost Tables - READ ONLY'!E51:K51)</f>
        <v>0</v>
      </c>
      <c r="P51" s="5" t="s">
        <v>396</v>
      </c>
    </row>
    <row r="52" spans="1:18" ht="15.75" thickBot="1" x14ac:dyDescent="0.3">
      <c r="A52" s="7"/>
      <c r="B52" s="8"/>
      <c r="C52" t="s">
        <v>138</v>
      </c>
      <c r="D52" t="s">
        <v>97</v>
      </c>
      <c r="E52" s="51"/>
      <c r="F52" s="4" t="s">
        <v>85</v>
      </c>
      <c r="G52" s="51"/>
      <c r="H52" s="4" t="s">
        <v>86</v>
      </c>
      <c r="I52" s="51"/>
      <c r="J52" s="4" t="s">
        <v>87</v>
      </c>
      <c r="K52" s="51"/>
      <c r="L52" s="4" t="s">
        <v>92</v>
      </c>
      <c r="M52" s="51"/>
      <c r="N52" s="4" t="s">
        <v>92</v>
      </c>
      <c r="O52" s="224">
        <f>SUMIF('Physical Condition Assessment'!I63:O63,"X",'PCA Cost Tables - READ ONLY'!E52:K52)</f>
        <v>0</v>
      </c>
      <c r="P52" s="39"/>
    </row>
    <row r="53" spans="1:18" ht="15.75" thickBot="1" x14ac:dyDescent="0.3">
      <c r="A53" s="7"/>
      <c r="B53" s="8" t="s">
        <v>139</v>
      </c>
      <c r="I53" s="76"/>
      <c r="M53" s="46"/>
      <c r="O53" s="24"/>
      <c r="P53" s="4"/>
    </row>
    <row r="54" spans="1:18" ht="15.75" thickBot="1" x14ac:dyDescent="0.3">
      <c r="A54" s="7"/>
      <c r="B54" s="8"/>
      <c r="C54" t="s">
        <v>140</v>
      </c>
      <c r="D54" t="s">
        <v>102</v>
      </c>
      <c r="E54" s="51"/>
      <c r="F54" s="4" t="s">
        <v>85</v>
      </c>
      <c r="G54" s="51"/>
      <c r="H54" s="4" t="s">
        <v>86</v>
      </c>
      <c r="I54" s="50" t="e">
        <f>5000*('Escalation Calcs - READ ONLY'!$D$8/'Escalation Calcs - READ ONLY'!$D$6)</f>
        <v>#VALUE!</v>
      </c>
      <c r="J54" s="4" t="s">
        <v>87</v>
      </c>
      <c r="K54" s="50" t="e">
        <f>25000*('Escalation Calcs - READ ONLY'!$D$8/'Escalation Calcs - READ ONLY'!$D$6)</f>
        <v>#VALUE!</v>
      </c>
      <c r="L54" s="4" t="s">
        <v>92</v>
      </c>
      <c r="M54" s="50">
        <v>2.34</v>
      </c>
      <c r="N54" s="4" t="s">
        <v>92</v>
      </c>
      <c r="O54" s="223">
        <f>SUMIF('Physical Condition Assessment'!I65:O65,"X",'PCA Cost Tables - READ ONLY'!E54:K54)</f>
        <v>0</v>
      </c>
      <c r="P54" s="5" t="s">
        <v>141</v>
      </c>
    </row>
    <row r="55" spans="1:18" ht="15.75" thickBot="1" x14ac:dyDescent="0.3">
      <c r="A55" s="7"/>
      <c r="B55" s="8"/>
      <c r="D55" t="s">
        <v>126</v>
      </c>
      <c r="E55" s="50" t="e">
        <f>1500*('Escalation Calcs - READ ONLY'!$D$8/'Escalation Calcs - READ ONLY'!$D$6)</f>
        <v>#VALUE!</v>
      </c>
      <c r="F55" s="4" t="s">
        <v>85</v>
      </c>
      <c r="G55" s="51"/>
      <c r="H55" s="4" t="s">
        <v>86</v>
      </c>
      <c r="I55" s="50" t="e">
        <f>5000*('Escalation Calcs - READ ONLY'!$D$8/'Escalation Calcs - READ ONLY'!$D$6)</f>
        <v>#VALUE!</v>
      </c>
      <c r="J55" s="4" t="s">
        <v>87</v>
      </c>
      <c r="K55" s="50" t="e">
        <f>30000*('Escalation Calcs - READ ONLY'!$D$8/'Escalation Calcs - READ ONLY'!$D$6)</f>
        <v>#VALUE!</v>
      </c>
      <c r="L55" s="4" t="s">
        <v>92</v>
      </c>
      <c r="M55" s="50">
        <v>2.4</v>
      </c>
      <c r="N55" s="4" t="s">
        <v>92</v>
      </c>
      <c r="O55" s="56">
        <f>SUMIF('Physical Condition Assessment'!I66:O66,"X",'PCA Cost Tables - READ ONLY'!E55:K55)</f>
        <v>0</v>
      </c>
      <c r="P55" s="5" t="s">
        <v>141</v>
      </c>
    </row>
    <row r="56" spans="1:18" ht="15.75" thickBot="1" x14ac:dyDescent="0.3">
      <c r="A56" s="7"/>
      <c r="B56" s="8"/>
      <c r="D56" t="s">
        <v>104</v>
      </c>
      <c r="E56" s="51"/>
      <c r="F56" s="4" t="s">
        <v>85</v>
      </c>
      <c r="G56" s="51"/>
      <c r="H56" s="4" t="s">
        <v>86</v>
      </c>
      <c r="I56" s="50" t="e">
        <f>7500*('Escalation Calcs - READ ONLY'!$D$8/'Escalation Calcs - READ ONLY'!$D$6)</f>
        <v>#VALUE!</v>
      </c>
      <c r="J56" s="4" t="s">
        <v>87</v>
      </c>
      <c r="K56" s="50" t="e">
        <f>35000*('Escalation Calcs - READ ONLY'!$D$8/'Escalation Calcs - READ ONLY'!$D$6)</f>
        <v>#VALUE!</v>
      </c>
      <c r="L56" s="4" t="s">
        <v>92</v>
      </c>
      <c r="M56" s="50">
        <v>4.92</v>
      </c>
      <c r="N56" s="4" t="s">
        <v>92</v>
      </c>
      <c r="O56" s="56">
        <f>SUMIF('Physical Condition Assessment'!I67:O67,"X",'PCA Cost Tables - READ ONLY'!E56:K56)</f>
        <v>0</v>
      </c>
      <c r="P56" s="5" t="s">
        <v>141</v>
      </c>
    </row>
    <row r="57" spans="1:18" ht="15.75" thickBot="1" x14ac:dyDescent="0.3">
      <c r="A57" s="7"/>
      <c r="B57" s="8"/>
      <c r="C57" t="s">
        <v>142</v>
      </c>
      <c r="D57" t="s">
        <v>143</v>
      </c>
      <c r="E57" s="50" t="e">
        <f>1000*('Escalation Calcs - READ ONLY'!$D$8/'Escalation Calcs - READ ONLY'!$D$6)</f>
        <v>#VALUE!</v>
      </c>
      <c r="F57" s="4" t="s">
        <v>85</v>
      </c>
      <c r="G57" s="51"/>
      <c r="H57" s="4" t="s">
        <v>86</v>
      </c>
      <c r="I57" s="51"/>
      <c r="J57" s="4" t="s">
        <v>87</v>
      </c>
      <c r="K57" s="50" t="e">
        <f>5000*('Escalation Calcs - READ ONLY'!$D$8/'Escalation Calcs - READ ONLY'!$D$6)</f>
        <v>#VALUE!</v>
      </c>
      <c r="L57" s="4" t="s">
        <v>92</v>
      </c>
      <c r="M57" s="50">
        <v>1.96</v>
      </c>
      <c r="N57" s="4" t="s">
        <v>92</v>
      </c>
      <c r="O57" s="56">
        <f>SUMIF('Physical Condition Assessment'!I68:O68,"X",'PCA Cost Tables - READ ONLY'!E57:K57)</f>
        <v>0</v>
      </c>
      <c r="P57" s="5" t="s">
        <v>141</v>
      </c>
    </row>
    <row r="58" spans="1:18" ht="15.75" thickBot="1" x14ac:dyDescent="0.3">
      <c r="A58" s="7"/>
      <c r="B58" s="8"/>
      <c r="D58" t="s">
        <v>144</v>
      </c>
      <c r="E58" s="51"/>
      <c r="F58" s="4" t="s">
        <v>85</v>
      </c>
      <c r="G58" s="51"/>
      <c r="H58" s="4" t="s">
        <v>86</v>
      </c>
      <c r="I58" s="51"/>
      <c r="J58" s="4" t="s">
        <v>87</v>
      </c>
      <c r="K58" s="50" t="e">
        <f>2500*('Escalation Calcs - READ ONLY'!$D$8/'Escalation Calcs - READ ONLY'!$D$6)</f>
        <v>#VALUE!</v>
      </c>
      <c r="L58" s="4" t="s">
        <v>92</v>
      </c>
      <c r="M58" s="50">
        <v>1.5</v>
      </c>
      <c r="N58" s="4" t="s">
        <v>92</v>
      </c>
      <c r="O58" s="224">
        <f>SUMIF('Physical Condition Assessment'!I69:O69,"X",'PCA Cost Tables - READ ONLY'!E58:K58)</f>
        <v>0</v>
      </c>
      <c r="P58" s="5" t="s">
        <v>141</v>
      </c>
    </row>
    <row r="59" spans="1:18" ht="15.75" thickBot="1" x14ac:dyDescent="0.3">
      <c r="A59" s="7"/>
      <c r="B59" s="8" t="s">
        <v>145</v>
      </c>
      <c r="I59" s="76"/>
      <c r="M59" s="46"/>
      <c r="O59" s="24"/>
      <c r="P59" s="4"/>
    </row>
    <row r="60" spans="1:18" ht="15.75" thickBot="1" x14ac:dyDescent="0.3">
      <c r="A60" s="7"/>
      <c r="B60" s="8"/>
      <c r="C60" t="s">
        <v>146</v>
      </c>
      <c r="D60" t="s">
        <v>147</v>
      </c>
      <c r="E60" s="50" t="e">
        <f>2.24*('Escalation Calcs - READ ONLY'!$D$8/'Escalation Calcs - READ ONLY'!$D$6)</f>
        <v>#VALUE!</v>
      </c>
      <c r="F60" s="4" t="s">
        <v>85</v>
      </c>
      <c r="G60" s="51"/>
      <c r="H60" s="4" t="s">
        <v>86</v>
      </c>
      <c r="I60" s="51"/>
      <c r="J60" s="4" t="s">
        <v>87</v>
      </c>
      <c r="K60" s="50" t="e">
        <f>4.37*('Escalation Calcs - READ ONLY'!$D$8/'Escalation Calcs - READ ONLY'!$D$6)</f>
        <v>#VALUE!</v>
      </c>
      <c r="L60" s="4" t="s">
        <v>92</v>
      </c>
      <c r="M60" s="50">
        <v>5.37</v>
      </c>
      <c r="N60" s="4" t="s">
        <v>92</v>
      </c>
      <c r="O60" s="223">
        <f>SUMIF('Physical Condition Assessment'!I71:O71,"X",'PCA Cost Tables - READ ONLY'!E60:K60)</f>
        <v>0</v>
      </c>
      <c r="P60" s="5"/>
      <c r="R60" s="129"/>
    </row>
    <row r="61" spans="1:18" ht="15.75" thickBot="1" x14ac:dyDescent="0.3">
      <c r="A61" s="7"/>
      <c r="B61" s="8"/>
      <c r="D61" t="s">
        <v>148</v>
      </c>
      <c r="E61" s="50" t="e">
        <f>2.02*('Escalation Calcs - READ ONLY'!$D$8/'Escalation Calcs - READ ONLY'!$D$6)</f>
        <v>#VALUE!</v>
      </c>
      <c r="F61" s="4" t="s">
        <v>85</v>
      </c>
      <c r="G61" s="50" t="e">
        <f>2.46*('Escalation Calcs - READ ONLY'!$D$8/'Escalation Calcs - READ ONLY'!$D$6)</f>
        <v>#VALUE!</v>
      </c>
      <c r="H61" s="4" t="s">
        <v>86</v>
      </c>
      <c r="I61" s="51"/>
      <c r="J61" s="4" t="s">
        <v>87</v>
      </c>
      <c r="K61" s="50" t="e">
        <f>15*('Escalation Calcs - READ ONLY'!$D$8/'Escalation Calcs - READ ONLY'!$D$6)</f>
        <v>#VALUE!</v>
      </c>
      <c r="L61" s="4" t="s">
        <v>92</v>
      </c>
      <c r="M61" s="50">
        <v>9.06</v>
      </c>
      <c r="N61" s="4" t="s">
        <v>92</v>
      </c>
      <c r="O61" s="56">
        <f>SUMIF('Physical Condition Assessment'!I72:O72,"X",'PCA Cost Tables - READ ONLY'!E61:K61)</f>
        <v>0</v>
      </c>
      <c r="P61" s="5"/>
      <c r="R61" s="129"/>
    </row>
    <row r="62" spans="1:18" ht="15.75" thickBot="1" x14ac:dyDescent="0.3">
      <c r="A62" s="7"/>
      <c r="B62" s="8"/>
      <c r="D62" t="s">
        <v>149</v>
      </c>
      <c r="E62" s="50" t="e">
        <f>2.02*('Escalation Calcs - READ ONLY'!$D$8/'Escalation Calcs - READ ONLY'!$D$6)</f>
        <v>#VALUE!</v>
      </c>
      <c r="F62" s="4" t="s">
        <v>85</v>
      </c>
      <c r="G62" s="51"/>
      <c r="H62" s="4" t="s">
        <v>86</v>
      </c>
      <c r="I62" s="51"/>
      <c r="J62" s="4" t="s">
        <v>87</v>
      </c>
      <c r="K62" s="50" t="e">
        <f>20*('Escalation Calcs - READ ONLY'!$D$8/'Escalation Calcs - READ ONLY'!$D$6)</f>
        <v>#VALUE!</v>
      </c>
      <c r="L62" s="4" t="s">
        <v>92</v>
      </c>
      <c r="M62" s="50">
        <v>2.34</v>
      </c>
      <c r="N62" s="4" t="s">
        <v>92</v>
      </c>
      <c r="O62" s="56">
        <f>SUMIF('Physical Condition Assessment'!I73:O73,"X",'PCA Cost Tables - READ ONLY'!E62:K62)</f>
        <v>0</v>
      </c>
      <c r="P62" s="5"/>
      <c r="R62" s="129"/>
    </row>
    <row r="63" spans="1:18" ht="15.75" thickBot="1" x14ac:dyDescent="0.3">
      <c r="A63" s="7"/>
      <c r="B63" s="8"/>
      <c r="D63" t="s">
        <v>150</v>
      </c>
      <c r="E63" s="50" t="e">
        <f>0.9*('Escalation Calcs - READ ONLY'!$D$8/'Escalation Calcs - READ ONLY'!$D$6)</f>
        <v>#VALUE!</v>
      </c>
      <c r="F63" s="4" t="s">
        <v>85</v>
      </c>
      <c r="G63" s="51"/>
      <c r="H63" s="4" t="s">
        <v>86</v>
      </c>
      <c r="I63" s="51"/>
      <c r="J63" s="4" t="s">
        <v>87</v>
      </c>
      <c r="K63" s="50" t="e">
        <f>25.14*('Escalation Calcs - READ ONLY'!$D$8/'Escalation Calcs - READ ONLY'!$D$6)</f>
        <v>#VALUE!</v>
      </c>
      <c r="L63" s="4" t="s">
        <v>92</v>
      </c>
      <c r="M63" s="50">
        <v>3.43</v>
      </c>
      <c r="N63" s="4" t="s">
        <v>92</v>
      </c>
      <c r="O63" s="56">
        <f>SUMIF('Physical Condition Assessment'!I74:O74,"X",'PCA Cost Tables - READ ONLY'!E63:K63)</f>
        <v>0</v>
      </c>
      <c r="P63" s="5"/>
      <c r="R63" s="129"/>
    </row>
    <row r="64" spans="1:18" ht="15.75" thickBot="1" x14ac:dyDescent="0.3">
      <c r="A64" s="7"/>
      <c r="B64" s="8"/>
      <c r="C64" t="s">
        <v>151</v>
      </c>
      <c r="D64" t="s">
        <v>152</v>
      </c>
      <c r="E64" s="51"/>
      <c r="F64" s="4" t="s">
        <v>85</v>
      </c>
      <c r="G64" s="51"/>
      <c r="H64" s="4" t="s">
        <v>86</v>
      </c>
      <c r="I64" s="51"/>
      <c r="J64" s="4" t="s">
        <v>87</v>
      </c>
      <c r="K64" s="50" t="e">
        <f>6.68*('Escalation Calcs - READ ONLY'!$D$8/'Escalation Calcs - READ ONLY'!$D$6)</f>
        <v>#VALUE!</v>
      </c>
      <c r="L64" s="4" t="s">
        <v>92</v>
      </c>
      <c r="M64" s="50">
        <v>8.68</v>
      </c>
      <c r="N64" s="4" t="s">
        <v>92</v>
      </c>
      <c r="O64" s="56">
        <f>SUMIF('Physical Condition Assessment'!I75:O75,"X",'PCA Cost Tables - READ ONLY'!E64:K64)</f>
        <v>0</v>
      </c>
      <c r="P64" s="5"/>
      <c r="R64" s="129"/>
    </row>
    <row r="65" spans="1:18" ht="15.75" thickBot="1" x14ac:dyDescent="0.3">
      <c r="A65" s="7"/>
      <c r="B65" s="8"/>
      <c r="D65" t="s">
        <v>153</v>
      </c>
      <c r="E65" s="50" t="e">
        <f>1.01*('Escalation Calcs - READ ONLY'!$D$8/'Escalation Calcs - READ ONLY'!$D$6)</f>
        <v>#VALUE!</v>
      </c>
      <c r="F65" s="4" t="s">
        <v>85</v>
      </c>
      <c r="G65" s="51"/>
      <c r="H65" s="4" t="s">
        <v>86</v>
      </c>
      <c r="I65" s="50" t="e">
        <f>4.76*('Escalation Calcs - READ ONLY'!$D$8/'Escalation Calcs - READ ONLY'!$D$6)</f>
        <v>#VALUE!</v>
      </c>
      <c r="J65" s="4" t="s">
        <v>87</v>
      </c>
      <c r="K65" s="50" t="e">
        <f>6.8*('Escalation Calcs - READ ONLY'!$D$8/'Escalation Calcs - READ ONLY'!$D$6)</f>
        <v>#VALUE!</v>
      </c>
      <c r="L65" s="4" t="s">
        <v>92</v>
      </c>
      <c r="M65" s="50">
        <v>8.8000000000000007</v>
      </c>
      <c r="N65" s="4" t="s">
        <v>92</v>
      </c>
      <c r="O65" s="56">
        <f>SUMIF('Physical Condition Assessment'!I76:O76,"X",'PCA Cost Tables - READ ONLY'!E65:K65)</f>
        <v>0</v>
      </c>
      <c r="P65" s="5"/>
      <c r="R65" s="129"/>
    </row>
    <row r="66" spans="1:18" ht="15.75" thickBot="1" x14ac:dyDescent="0.3">
      <c r="A66" s="7"/>
      <c r="B66" s="8"/>
      <c r="D66" t="s">
        <v>154</v>
      </c>
      <c r="E66" s="51"/>
      <c r="F66" s="4" t="s">
        <v>85</v>
      </c>
      <c r="G66" s="51"/>
      <c r="H66" s="4" t="s">
        <v>86</v>
      </c>
      <c r="I66" s="51"/>
      <c r="J66" s="4" t="s">
        <v>87</v>
      </c>
      <c r="K66" s="50" t="e">
        <f>12*('Escalation Calcs - READ ONLY'!$D$8/'Escalation Calcs - READ ONLY'!$D$6)</f>
        <v>#VALUE!</v>
      </c>
      <c r="L66" s="4" t="s">
        <v>92</v>
      </c>
      <c r="M66" s="50">
        <v>14</v>
      </c>
      <c r="N66" s="4" t="s">
        <v>92</v>
      </c>
      <c r="O66" s="56">
        <f>SUMIF('Physical Condition Assessment'!I77:O77,"X",'PCA Cost Tables - READ ONLY'!E66:K66)</f>
        <v>0</v>
      </c>
      <c r="P66" s="5"/>
      <c r="R66" s="129"/>
    </row>
    <row r="67" spans="1:18" ht="15.75" thickBot="1" x14ac:dyDescent="0.3">
      <c r="A67" s="7"/>
      <c r="B67" s="8"/>
      <c r="D67" t="s">
        <v>155</v>
      </c>
      <c r="E67" s="50" t="e">
        <f>2.02*('Escalation Calcs - READ ONLY'!$D$8/'Escalation Calcs - READ ONLY'!$D$6)</f>
        <v>#VALUE!</v>
      </c>
      <c r="F67" s="4" t="s">
        <v>85</v>
      </c>
      <c r="G67" s="51"/>
      <c r="H67" s="4" t="s">
        <v>86</v>
      </c>
      <c r="I67" s="51"/>
      <c r="J67" s="4" t="s">
        <v>87</v>
      </c>
      <c r="K67" s="50" t="e">
        <f>14*('Escalation Calcs - READ ONLY'!$D$8/'Escalation Calcs - READ ONLY'!$D$6)</f>
        <v>#VALUE!</v>
      </c>
      <c r="L67" s="4" t="s">
        <v>92</v>
      </c>
      <c r="M67" s="50">
        <v>11</v>
      </c>
      <c r="N67" s="4" t="s">
        <v>92</v>
      </c>
      <c r="O67" s="56">
        <f>SUMIF('Physical Condition Assessment'!I78:O78,"X",'PCA Cost Tables - READ ONLY'!E67:K67)</f>
        <v>0</v>
      </c>
      <c r="P67" s="5"/>
      <c r="R67" s="129"/>
    </row>
    <row r="68" spans="1:18" ht="15.75" thickBot="1" x14ac:dyDescent="0.3">
      <c r="A68" s="7"/>
      <c r="B68" s="8"/>
      <c r="D68" t="s">
        <v>150</v>
      </c>
      <c r="E68" s="50" t="e">
        <f>3.81*('Escalation Calcs - READ ONLY'!$D$8/'Escalation Calcs - READ ONLY'!$D$6)</f>
        <v>#VALUE!</v>
      </c>
      <c r="F68" s="4" t="s">
        <v>85</v>
      </c>
      <c r="G68" s="51"/>
      <c r="H68" s="4" t="s">
        <v>86</v>
      </c>
      <c r="I68" s="51"/>
      <c r="J68" s="4" t="s">
        <v>87</v>
      </c>
      <c r="K68" s="50" t="e">
        <f>25.14*('Escalation Calcs - READ ONLY'!$D$8/'Escalation Calcs - READ ONLY'!$D$6)</f>
        <v>#VALUE!</v>
      </c>
      <c r="L68" s="4" t="s">
        <v>92</v>
      </c>
      <c r="M68" s="50">
        <v>27.14</v>
      </c>
      <c r="N68" s="4" t="s">
        <v>92</v>
      </c>
      <c r="O68" s="56">
        <f>SUMIF('Physical Condition Assessment'!I79:O79,"X",'PCA Cost Tables - READ ONLY'!E68:K68)</f>
        <v>0</v>
      </c>
      <c r="P68" s="5"/>
      <c r="R68" s="129"/>
    </row>
    <row r="69" spans="1:18" ht="15.75" thickBot="1" x14ac:dyDescent="0.3">
      <c r="A69" s="7"/>
      <c r="B69" s="8"/>
      <c r="D69" t="s">
        <v>156</v>
      </c>
      <c r="E69" s="51"/>
      <c r="F69" s="4" t="s">
        <v>85</v>
      </c>
      <c r="G69" s="51"/>
      <c r="H69" s="4" t="s">
        <v>86</v>
      </c>
      <c r="I69" s="51"/>
      <c r="J69" s="4" t="s">
        <v>87</v>
      </c>
      <c r="K69" s="50" t="e">
        <f>14.11*('Escalation Calcs - READ ONLY'!$D$8/'Escalation Calcs - READ ONLY'!$D$6)</f>
        <v>#VALUE!</v>
      </c>
      <c r="L69" s="4" t="s">
        <v>92</v>
      </c>
      <c r="M69" s="50">
        <v>16.11</v>
      </c>
      <c r="N69" s="4" t="s">
        <v>92</v>
      </c>
      <c r="O69" s="56">
        <f>SUMIF('Physical Condition Assessment'!I80:O80,"X",'PCA Cost Tables - READ ONLY'!E69:K69)</f>
        <v>0</v>
      </c>
      <c r="P69" s="5"/>
      <c r="R69" s="129"/>
    </row>
    <row r="70" spans="1:18" ht="15.75" thickBot="1" x14ac:dyDescent="0.3">
      <c r="A70" s="7"/>
      <c r="B70" s="8"/>
      <c r="D70" t="s">
        <v>157</v>
      </c>
      <c r="E70" s="51"/>
      <c r="F70" s="4" t="s">
        <v>85</v>
      </c>
      <c r="G70" s="50" t="e">
        <f>7*('Escalation Calcs - READ ONLY'!$D$8/'Escalation Calcs - READ ONLY'!$D$6)</f>
        <v>#VALUE!</v>
      </c>
      <c r="H70" s="4" t="s">
        <v>86</v>
      </c>
      <c r="I70" s="51"/>
      <c r="J70" s="4" t="s">
        <v>87</v>
      </c>
      <c r="K70" s="50" t="e">
        <f>25*('Escalation Calcs - READ ONLY'!$D$8/'Escalation Calcs - READ ONLY'!$D$6)</f>
        <v>#VALUE!</v>
      </c>
      <c r="L70" s="4" t="s">
        <v>92</v>
      </c>
      <c r="M70" s="50">
        <v>20</v>
      </c>
      <c r="N70" s="4" t="s">
        <v>92</v>
      </c>
      <c r="O70" s="56">
        <f>SUMIF('Physical Condition Assessment'!I81:O81,"X",'PCA Cost Tables - READ ONLY'!E70:K70)</f>
        <v>0</v>
      </c>
      <c r="P70" s="5"/>
      <c r="R70" s="129"/>
    </row>
    <row r="71" spans="1:18" ht="15.75" thickBot="1" x14ac:dyDescent="0.3">
      <c r="A71" s="7"/>
      <c r="B71" s="8"/>
      <c r="C71" t="s">
        <v>158</v>
      </c>
      <c r="D71" t="s">
        <v>148</v>
      </c>
      <c r="E71" s="50" t="e">
        <f>3.14*('Escalation Calcs - READ ONLY'!$D$8/'Escalation Calcs - READ ONLY'!$D$6)</f>
        <v>#VALUE!</v>
      </c>
      <c r="F71" s="4" t="s">
        <v>85</v>
      </c>
      <c r="G71" s="50" t="e">
        <f>7*('Escalation Calcs - READ ONLY'!$D$8/'Escalation Calcs - READ ONLY'!$D$6)</f>
        <v>#VALUE!</v>
      </c>
      <c r="H71" s="4" t="s">
        <v>86</v>
      </c>
      <c r="I71" s="51"/>
      <c r="J71" s="4" t="s">
        <v>87</v>
      </c>
      <c r="K71" s="50" t="e">
        <f>15*('Escalation Calcs - READ ONLY'!$D$8/'Escalation Calcs - READ ONLY'!$D$6)</f>
        <v>#VALUE!</v>
      </c>
      <c r="L71" s="4" t="s">
        <v>92</v>
      </c>
      <c r="M71" s="50">
        <v>14</v>
      </c>
      <c r="N71" s="4" t="s">
        <v>92</v>
      </c>
      <c r="O71" s="56">
        <f>SUMIF('Physical Condition Assessment'!I82:O82,"X",'PCA Cost Tables - READ ONLY'!E71:K71)</f>
        <v>0</v>
      </c>
      <c r="P71" s="5"/>
      <c r="R71" s="129"/>
    </row>
    <row r="72" spans="1:18" ht="15.75" thickBot="1" x14ac:dyDescent="0.3">
      <c r="A72" s="7"/>
      <c r="B72" s="8"/>
      <c r="D72" t="s">
        <v>159</v>
      </c>
      <c r="E72" s="50" t="e">
        <f>1*('Escalation Calcs - READ ONLY'!$D$8/'Escalation Calcs - READ ONLY'!$D$6)</f>
        <v>#VALUE!</v>
      </c>
      <c r="F72" s="4" t="s">
        <v>85</v>
      </c>
      <c r="G72" s="50" t="e">
        <f>1.39*('Escalation Calcs - READ ONLY'!$D$8/'Escalation Calcs - READ ONLY'!$D$6)</f>
        <v>#VALUE!</v>
      </c>
      <c r="H72" s="4" t="s">
        <v>86</v>
      </c>
      <c r="I72" s="51"/>
      <c r="J72" s="4" t="s">
        <v>87</v>
      </c>
      <c r="K72" s="50" t="e">
        <f>11*('Escalation Calcs - READ ONLY'!$D$8/'Escalation Calcs - READ ONLY'!$D$6)</f>
        <v>#VALUE!</v>
      </c>
      <c r="L72" s="4" t="s">
        <v>92</v>
      </c>
      <c r="M72" s="50">
        <v>10</v>
      </c>
      <c r="N72" s="4" t="s">
        <v>92</v>
      </c>
      <c r="O72" s="56">
        <f>SUMIF('Physical Condition Assessment'!I83:O83,"X",'PCA Cost Tables - READ ONLY'!E72:K72)</f>
        <v>0</v>
      </c>
      <c r="P72" s="5"/>
      <c r="R72" s="129"/>
    </row>
    <row r="73" spans="1:18" ht="15.75" thickBot="1" x14ac:dyDescent="0.3">
      <c r="A73" s="7"/>
      <c r="B73" s="8"/>
      <c r="D73" t="s">
        <v>160</v>
      </c>
      <c r="E73" s="50" t="e">
        <f>0.65*('Escalation Calcs - READ ONLY'!$D$8/'Escalation Calcs - READ ONLY'!$D$6)</f>
        <v>#VALUE!</v>
      </c>
      <c r="F73" s="4" t="s">
        <v>85</v>
      </c>
      <c r="G73" s="51"/>
      <c r="H73" s="4" t="s">
        <v>86</v>
      </c>
      <c r="I73" s="51"/>
      <c r="J73" s="4" t="s">
        <v>87</v>
      </c>
      <c r="K73" s="50" t="e">
        <f>7*('Escalation Calcs - READ ONLY'!$D$8/'Escalation Calcs - READ ONLY'!$D$6)</f>
        <v>#VALUE!</v>
      </c>
      <c r="L73" s="4" t="s">
        <v>92</v>
      </c>
      <c r="M73" s="50">
        <v>6.74</v>
      </c>
      <c r="N73" s="4" t="s">
        <v>92</v>
      </c>
      <c r="O73" s="56">
        <f>SUMIF('Physical Condition Assessment'!I84:O84,"X",'PCA Cost Tables - READ ONLY'!E73:K73)</f>
        <v>0</v>
      </c>
      <c r="P73" s="5"/>
      <c r="R73" s="129"/>
    </row>
    <row r="74" spans="1:18" ht="15.75" thickBot="1" x14ac:dyDescent="0.3">
      <c r="A74" s="7"/>
      <c r="B74" s="8"/>
      <c r="D74" t="s">
        <v>161</v>
      </c>
      <c r="E74" s="51"/>
      <c r="F74" s="4" t="s">
        <v>85</v>
      </c>
      <c r="G74" s="51"/>
      <c r="H74" s="4" t="s">
        <v>86</v>
      </c>
      <c r="I74" s="51"/>
      <c r="J74" s="4" t="s">
        <v>87</v>
      </c>
      <c r="K74" s="50" t="e">
        <f>3.21*('Escalation Calcs - READ ONLY'!$D$8/'Escalation Calcs - READ ONLY'!$D$6)</f>
        <v>#VALUE!</v>
      </c>
      <c r="L74" s="4" t="s">
        <v>92</v>
      </c>
      <c r="M74" s="50">
        <v>5.21</v>
      </c>
      <c r="N74" s="4" t="s">
        <v>92</v>
      </c>
      <c r="O74" s="224">
        <f>SUMIF('Physical Condition Assessment'!I85:O85,"X",'PCA Cost Tables - READ ONLY'!E74:K74)</f>
        <v>0</v>
      </c>
      <c r="P74" s="5"/>
      <c r="R74" s="129"/>
    </row>
    <row r="75" spans="1:18" x14ac:dyDescent="0.25">
      <c r="A75" s="14" t="s">
        <v>162</v>
      </c>
      <c r="B75" s="17"/>
      <c r="C75" s="15"/>
      <c r="D75" s="15"/>
      <c r="E75" s="49"/>
      <c r="F75" s="16"/>
      <c r="G75" s="49"/>
      <c r="H75" s="16"/>
      <c r="I75" s="49"/>
      <c r="J75" s="16"/>
      <c r="K75" s="49"/>
      <c r="L75" s="16"/>
      <c r="M75" s="49"/>
      <c r="N75" s="16"/>
      <c r="O75" s="55"/>
      <c r="P75" s="16"/>
    </row>
    <row r="76" spans="1:18" ht="15.75" thickBot="1" x14ac:dyDescent="0.3">
      <c r="A76" s="7"/>
      <c r="B76" s="8" t="s">
        <v>163</v>
      </c>
      <c r="M76" s="46"/>
      <c r="O76" s="24"/>
      <c r="P76" s="4"/>
    </row>
    <row r="77" spans="1:18" ht="15.75" thickBot="1" x14ac:dyDescent="0.3">
      <c r="A77" s="7"/>
      <c r="B77" s="8"/>
      <c r="C77" t="s">
        <v>164</v>
      </c>
      <c r="E77" s="41" t="e">
        <f>4738*('Escalation Calcs - READ ONLY'!$D$8/'Escalation Calcs - READ ONLY'!$D$6)</f>
        <v>#VALUE!</v>
      </c>
      <c r="F77" s="4" t="s">
        <v>85</v>
      </c>
      <c r="G77" s="41" t="e">
        <f>7616*('Escalation Calcs - READ ONLY'!$D$8/'Escalation Calcs - READ ONLY'!$D$6)</f>
        <v>#VALUE!</v>
      </c>
      <c r="H77" s="4" t="s">
        <v>86</v>
      </c>
      <c r="I77" s="41" t="e">
        <f>14280*('Escalation Calcs - READ ONLY'!$D$8/'Escalation Calcs - READ ONLY'!$D$6)</f>
        <v>#VALUE!</v>
      </c>
      <c r="J77" s="4" t="s">
        <v>87</v>
      </c>
      <c r="K77" s="41" t="e">
        <f>51408*('Escalation Calcs - READ ONLY'!$D$8/'Escalation Calcs - READ ONLY'!$D$6)</f>
        <v>#VALUE!</v>
      </c>
      <c r="L77" s="4" t="s">
        <v>92</v>
      </c>
      <c r="M77" s="41">
        <v>60000</v>
      </c>
      <c r="N77" s="4" t="s">
        <v>92</v>
      </c>
      <c r="O77" s="225">
        <f>SUMIF('Physical Condition Assessment'!I88:O88,"X",'PCA Cost Tables - READ ONLY'!E77:K77)</f>
        <v>0</v>
      </c>
      <c r="P77" s="5" t="s">
        <v>398</v>
      </c>
    </row>
    <row r="78" spans="1:18" ht="15.75" thickBot="1" x14ac:dyDescent="0.3">
      <c r="A78" s="7"/>
      <c r="B78" s="8"/>
      <c r="C78" t="s">
        <v>165</v>
      </c>
      <c r="E78" s="51"/>
      <c r="F78" s="4" t="s">
        <v>85</v>
      </c>
      <c r="G78" s="41" t="e">
        <f>9632*('Escalation Calcs - READ ONLY'!$D$8/'Escalation Calcs - READ ONLY'!$D$6)</f>
        <v>#VALUE!</v>
      </c>
      <c r="H78" s="4" t="s">
        <v>86</v>
      </c>
      <c r="I78" s="51"/>
      <c r="J78" s="4" t="s">
        <v>87</v>
      </c>
      <c r="K78" s="41" t="e">
        <f>103040*('Escalation Calcs - READ ONLY'!$D$8/'Escalation Calcs - READ ONLY'!$D$6)</f>
        <v>#VALUE!</v>
      </c>
      <c r="L78" s="4" t="s">
        <v>92</v>
      </c>
      <c r="M78" s="41">
        <v>120000</v>
      </c>
      <c r="N78" s="4" t="s">
        <v>92</v>
      </c>
      <c r="O78" s="56">
        <f>SUMIF('Physical Condition Assessment'!I89:O89,"X",'PCA Cost Tables - READ ONLY'!E78:K78)</f>
        <v>0</v>
      </c>
      <c r="P78" s="5"/>
    </row>
    <row r="79" spans="1:18" ht="15.75" thickBot="1" x14ac:dyDescent="0.3">
      <c r="A79" s="7"/>
      <c r="B79" s="8"/>
      <c r="C79" t="s">
        <v>166</v>
      </c>
      <c r="E79" s="51"/>
      <c r="F79" s="4" t="s">
        <v>85</v>
      </c>
      <c r="G79" s="41" t="e">
        <f>3808*('Escalation Calcs - READ ONLY'!$D$8/'Escalation Calcs - READ ONLY'!$D$6)</f>
        <v>#VALUE!</v>
      </c>
      <c r="H79" s="4" t="s">
        <v>86</v>
      </c>
      <c r="I79" s="51"/>
      <c r="J79" s="4" t="s">
        <v>87</v>
      </c>
      <c r="K79" s="41" t="e">
        <f>25000*('Escalation Calcs - READ ONLY'!$D$8/'Escalation Calcs - READ ONLY'!$D$6)</f>
        <v>#VALUE!</v>
      </c>
      <c r="L79" s="4" t="s">
        <v>92</v>
      </c>
      <c r="M79" s="41">
        <v>30000</v>
      </c>
      <c r="N79" s="4" t="s">
        <v>92</v>
      </c>
      <c r="O79" s="224">
        <f>SUMIF('Physical Condition Assessment'!I90:O90,"X",'PCA Cost Tables - READ ONLY'!E79:K79)</f>
        <v>0</v>
      </c>
      <c r="P79" s="5"/>
    </row>
    <row r="80" spans="1:18" ht="15.75" thickBot="1" x14ac:dyDescent="0.3">
      <c r="A80" s="7"/>
      <c r="B80" s="8" t="s">
        <v>167</v>
      </c>
      <c r="M80" s="46"/>
      <c r="O80" s="24"/>
      <c r="P80" s="4"/>
    </row>
    <row r="81" spans="1:16" ht="15.75" thickBot="1" x14ac:dyDescent="0.3">
      <c r="A81" s="7"/>
      <c r="B81" s="8"/>
      <c r="C81" t="s">
        <v>168</v>
      </c>
      <c r="E81" s="51"/>
      <c r="F81" s="4" t="s">
        <v>85</v>
      </c>
      <c r="G81" s="50" t="e">
        <f>1.4*('Escalation Calcs - READ ONLY'!$D$8/'Escalation Calcs - READ ONLY'!$D$6)</f>
        <v>#VALUE!</v>
      </c>
      <c r="H81" s="4" t="s">
        <v>86</v>
      </c>
      <c r="I81" s="51"/>
      <c r="J81" s="4" t="s">
        <v>87</v>
      </c>
      <c r="K81" s="50" t="e">
        <f>11*('Escalation Calcs - READ ONLY'!$D$8/'Escalation Calcs - READ ONLY'!$D$6)</f>
        <v>#VALUE!</v>
      </c>
      <c r="L81" s="4" t="s">
        <v>92</v>
      </c>
      <c r="M81" s="50">
        <v>75.38</v>
      </c>
      <c r="N81" s="4" t="s">
        <v>92</v>
      </c>
      <c r="O81" s="223">
        <f>SUMIF('Physical Condition Assessment'!I92:O92,"X",'PCA Cost Tables - READ ONLY'!E81:K81)</f>
        <v>0</v>
      </c>
      <c r="P81" s="5" t="s">
        <v>399</v>
      </c>
    </row>
    <row r="82" spans="1:16" ht="15.75" thickBot="1" x14ac:dyDescent="0.3">
      <c r="A82" s="7"/>
      <c r="B82" s="8"/>
      <c r="C82" t="s">
        <v>170</v>
      </c>
      <c r="E82" s="50" t="e">
        <f>1.23*('Escalation Calcs - READ ONLY'!$D$8/'Escalation Calcs - READ ONLY'!$D$6)</f>
        <v>#VALUE!</v>
      </c>
      <c r="F82" s="4" t="s">
        <v>85</v>
      </c>
      <c r="G82" s="50" t="e">
        <f>1.68*('Escalation Calcs - READ ONLY'!$D$8/'Escalation Calcs - READ ONLY'!$D$6)</f>
        <v>#VALUE!</v>
      </c>
      <c r="H82" s="4" t="s">
        <v>86</v>
      </c>
      <c r="I82" s="51"/>
      <c r="J82" s="4" t="s">
        <v>87</v>
      </c>
      <c r="K82" s="50" t="e">
        <f>7.28*('Escalation Calcs - READ ONLY'!$D$8/'Escalation Calcs - READ ONLY'!$D$6)</f>
        <v>#VALUE!</v>
      </c>
      <c r="L82" s="4" t="s">
        <v>92</v>
      </c>
      <c r="M82" s="50">
        <v>77.38</v>
      </c>
      <c r="N82" s="4" t="s">
        <v>92</v>
      </c>
      <c r="O82" s="56">
        <f>SUMIF('Physical Condition Assessment'!I93:O93,"X",'PCA Cost Tables - READ ONLY'!E82:K82)</f>
        <v>0</v>
      </c>
      <c r="P82" s="5"/>
    </row>
    <row r="83" spans="1:16" ht="15.75" thickBot="1" x14ac:dyDescent="0.3">
      <c r="A83" s="7"/>
      <c r="B83" s="8"/>
      <c r="C83" t="s">
        <v>171</v>
      </c>
      <c r="E83" s="50" t="e">
        <f>1.57*('Escalation Calcs - READ ONLY'!$D$8/'Escalation Calcs - READ ONLY'!$D$6)</f>
        <v>#VALUE!</v>
      </c>
      <c r="F83" s="4" t="s">
        <v>85</v>
      </c>
      <c r="G83" s="51"/>
      <c r="H83" s="4" t="s">
        <v>86</v>
      </c>
      <c r="I83" s="77"/>
      <c r="J83" s="4" t="s">
        <v>87</v>
      </c>
      <c r="K83" s="50" t="e">
        <f>2.07*('Escalation Calcs - READ ONLY'!$D$8/'Escalation Calcs - READ ONLY'!$D$6)</f>
        <v>#VALUE!</v>
      </c>
      <c r="L83" s="4" t="s">
        <v>92</v>
      </c>
      <c r="M83" s="50">
        <v>72.069999999999993</v>
      </c>
      <c r="N83" s="4" t="s">
        <v>92</v>
      </c>
      <c r="O83" s="56">
        <f>SUMIF('Physical Condition Assessment'!I94:O94,"X",'PCA Cost Tables - READ ONLY'!E83:K83)</f>
        <v>0</v>
      </c>
      <c r="P83" s="5"/>
    </row>
    <row r="84" spans="1:16" ht="15.75" thickBot="1" x14ac:dyDescent="0.3">
      <c r="A84" s="7"/>
      <c r="B84" s="8"/>
      <c r="C84" t="s">
        <v>172</v>
      </c>
      <c r="E84" s="51"/>
      <c r="F84" s="4" t="s">
        <v>85</v>
      </c>
      <c r="G84" s="50" t="e">
        <f>1.01*('Escalation Calcs - READ ONLY'!$D$8/'Escalation Calcs - READ ONLY'!$D$6)</f>
        <v>#VALUE!</v>
      </c>
      <c r="H84" s="4" t="s">
        <v>86</v>
      </c>
      <c r="I84" s="51"/>
      <c r="J84" s="4" t="s">
        <v>87</v>
      </c>
      <c r="K84" s="50" t="e">
        <f>2.35*('Escalation Calcs - READ ONLY'!$D$8/'Escalation Calcs - READ ONLY'!$D$6)</f>
        <v>#VALUE!</v>
      </c>
      <c r="L84" s="4" t="s">
        <v>92</v>
      </c>
      <c r="M84" s="50">
        <v>72.349999999999994</v>
      </c>
      <c r="N84" s="4" t="s">
        <v>92</v>
      </c>
      <c r="O84" s="56">
        <f>SUMIF('Physical Condition Assessment'!I95:O95,"X",'PCA Cost Tables - READ ONLY'!E84:K84)</f>
        <v>0</v>
      </c>
      <c r="P84" s="5"/>
    </row>
    <row r="85" spans="1:16" ht="15.75" thickBot="1" x14ac:dyDescent="0.3">
      <c r="A85" s="7"/>
      <c r="B85" s="8"/>
      <c r="C85" t="s">
        <v>173</v>
      </c>
      <c r="D85" t="s">
        <v>97</v>
      </c>
      <c r="E85" s="51"/>
      <c r="F85" s="4" t="s">
        <v>85</v>
      </c>
      <c r="G85" s="51"/>
      <c r="H85" s="4" t="s">
        <v>86</v>
      </c>
      <c r="I85" s="51"/>
      <c r="J85" s="4" t="s">
        <v>87</v>
      </c>
      <c r="K85" s="51"/>
      <c r="L85" s="4" t="s">
        <v>92</v>
      </c>
      <c r="M85" s="51"/>
      <c r="N85" s="4" t="s">
        <v>92</v>
      </c>
      <c r="O85" s="224">
        <f>SUMIF('Physical Condition Assessment'!I96:O96,"X",'PCA Cost Tables - READ ONLY'!E85:K85)</f>
        <v>0</v>
      </c>
      <c r="P85" s="39"/>
    </row>
    <row r="86" spans="1:16" ht="15.75" thickBot="1" x14ac:dyDescent="0.3">
      <c r="A86" s="7"/>
      <c r="B86" s="8" t="s">
        <v>174</v>
      </c>
      <c r="I86" s="76"/>
      <c r="M86" s="46"/>
      <c r="O86" s="24"/>
      <c r="P86" s="4"/>
    </row>
    <row r="87" spans="1:16" ht="15.75" thickBot="1" x14ac:dyDescent="0.3">
      <c r="A87" s="7"/>
      <c r="B87" s="8"/>
      <c r="C87" t="s">
        <v>175</v>
      </c>
      <c r="E87" s="50" t="e">
        <f>1.23*('Escalation Calcs - READ ONLY'!$D$8/'Escalation Calcs - READ ONLY'!$D$6)</f>
        <v>#VALUE!</v>
      </c>
      <c r="F87" s="4" t="s">
        <v>85</v>
      </c>
      <c r="G87" s="51"/>
      <c r="H87" s="4" t="s">
        <v>86</v>
      </c>
      <c r="I87" s="51"/>
      <c r="J87" s="4" t="s">
        <v>87</v>
      </c>
      <c r="K87" s="50" t="e">
        <f>2.74*('Escalation Calcs - READ ONLY'!$D$8/'Escalation Calcs - READ ONLY'!$D$6)</f>
        <v>#VALUE!</v>
      </c>
      <c r="L87" s="4" t="s">
        <v>92</v>
      </c>
      <c r="M87" s="50">
        <v>12.74</v>
      </c>
      <c r="N87" s="4" t="s">
        <v>92</v>
      </c>
      <c r="O87" s="223">
        <f>SUMIF('Physical Condition Assessment'!I98:O98,"X",'PCA Cost Tables - READ ONLY'!E87:K87)</f>
        <v>0</v>
      </c>
      <c r="P87" s="5" t="s">
        <v>399</v>
      </c>
    </row>
    <row r="88" spans="1:16" ht="15.75" thickBot="1" x14ac:dyDescent="0.3">
      <c r="A88" s="7"/>
      <c r="B88" s="8"/>
      <c r="C88" t="s">
        <v>176</v>
      </c>
      <c r="D88" t="s">
        <v>177</v>
      </c>
      <c r="E88" s="50" t="e">
        <f>2.02*('Escalation Calcs - READ ONLY'!$D$8/'Escalation Calcs - READ ONLY'!$D$6)</f>
        <v>#VALUE!</v>
      </c>
      <c r="F88" s="4" t="s">
        <v>85</v>
      </c>
      <c r="G88" s="50" t="e">
        <f>2.58*('Escalation Calcs - READ ONLY'!$D$8/'Escalation Calcs - READ ONLY'!$D$6)</f>
        <v>#VALUE!</v>
      </c>
      <c r="H88" s="4" t="s">
        <v>86</v>
      </c>
      <c r="I88" s="50" t="e">
        <f>5.15*('Escalation Calcs - READ ONLY'!$D$8/'Escalation Calcs - READ ONLY'!$D$6)</f>
        <v>#VALUE!</v>
      </c>
      <c r="J88" s="4" t="s">
        <v>87</v>
      </c>
      <c r="K88" s="50" t="e">
        <f>11*('Escalation Calcs - READ ONLY'!$D$8/'Escalation Calcs - READ ONLY'!$D$6)</f>
        <v>#VALUE!</v>
      </c>
      <c r="L88" s="4" t="s">
        <v>92</v>
      </c>
      <c r="M88" s="50">
        <v>9.52</v>
      </c>
      <c r="N88" s="4" t="s">
        <v>92</v>
      </c>
      <c r="O88" s="56">
        <f>SUMIF('Physical Condition Assessment'!I99:O99,"X",'PCA Cost Tables - READ ONLY'!E88:K88)</f>
        <v>0</v>
      </c>
      <c r="P88" s="5" t="s">
        <v>399</v>
      </c>
    </row>
    <row r="89" spans="1:16" ht="15.75" thickBot="1" x14ac:dyDescent="0.3">
      <c r="A89" s="7"/>
      <c r="B89" s="8"/>
      <c r="D89" t="s">
        <v>178</v>
      </c>
      <c r="E89" s="51"/>
      <c r="F89" s="4" t="s">
        <v>85</v>
      </c>
      <c r="G89" s="51"/>
      <c r="H89" s="4" t="s">
        <v>86</v>
      </c>
      <c r="I89" s="50" t="e">
        <f>2.41*('Escalation Calcs - READ ONLY'!$D$8/'Escalation Calcs - READ ONLY'!$D$6)</f>
        <v>#VALUE!</v>
      </c>
      <c r="J89" s="4" t="s">
        <v>87</v>
      </c>
      <c r="K89" s="50" t="e">
        <f>5.82*('Escalation Calcs - READ ONLY'!$D$8/'Escalation Calcs - READ ONLY'!$D$6)</f>
        <v>#VALUE!</v>
      </c>
      <c r="L89" s="4" t="s">
        <v>92</v>
      </c>
      <c r="M89" s="50">
        <v>5.82</v>
      </c>
      <c r="N89" s="4" t="s">
        <v>92</v>
      </c>
      <c r="O89" s="56">
        <f>SUMIF('Physical Condition Assessment'!I100:O100,"X",'PCA Cost Tables - READ ONLY'!E89:K89)</f>
        <v>0</v>
      </c>
      <c r="P89" s="5" t="s">
        <v>399</v>
      </c>
    </row>
    <row r="90" spans="1:16" ht="15.75" thickBot="1" x14ac:dyDescent="0.3">
      <c r="A90" s="7"/>
      <c r="B90" s="8"/>
      <c r="D90" t="s">
        <v>179</v>
      </c>
      <c r="E90" s="51"/>
      <c r="F90" s="4" t="s">
        <v>85</v>
      </c>
      <c r="G90" s="50" t="e">
        <f>1.34*('Escalation Calcs - READ ONLY'!$D$8/'Escalation Calcs - READ ONLY'!$D$6)</f>
        <v>#VALUE!</v>
      </c>
      <c r="H90" s="4" t="s">
        <v>86</v>
      </c>
      <c r="I90" s="50" t="e">
        <f>2.46*('Escalation Calcs - READ ONLY'!$D$8/'Escalation Calcs - READ ONLY'!$D$6)</f>
        <v>#VALUE!</v>
      </c>
      <c r="J90" s="4" t="s">
        <v>87</v>
      </c>
      <c r="K90" s="50" t="e">
        <f>4.26*('Escalation Calcs - READ ONLY'!$D$8/'Escalation Calcs - READ ONLY'!$D$6)</f>
        <v>#VALUE!</v>
      </c>
      <c r="L90" s="4" t="s">
        <v>92</v>
      </c>
      <c r="M90" s="50">
        <v>4.26</v>
      </c>
      <c r="N90" s="4" t="s">
        <v>92</v>
      </c>
      <c r="O90" s="56">
        <f>SUMIF('Physical Condition Assessment'!I101:O101,"X",'PCA Cost Tables - READ ONLY'!E90:K90)</f>
        <v>0</v>
      </c>
      <c r="P90" s="5" t="s">
        <v>399</v>
      </c>
    </row>
    <row r="91" spans="1:16" ht="15.75" thickBot="1" x14ac:dyDescent="0.3">
      <c r="A91" s="7"/>
      <c r="B91" s="8"/>
      <c r="D91" t="s">
        <v>180</v>
      </c>
      <c r="E91" s="51"/>
      <c r="F91" s="4" t="s">
        <v>85</v>
      </c>
      <c r="G91" s="50" t="e">
        <f>0.56*('Escalation Calcs - READ ONLY'!$D$8/'Escalation Calcs - READ ONLY'!$D$6)</f>
        <v>#VALUE!</v>
      </c>
      <c r="H91" s="4" t="s">
        <v>86</v>
      </c>
      <c r="I91" s="50" t="e">
        <f>1.01*('Escalation Calcs - READ ONLY'!$D$8/'Escalation Calcs - READ ONLY'!$D$6)</f>
        <v>#VALUE!</v>
      </c>
      <c r="J91" s="4" t="s">
        <v>87</v>
      </c>
      <c r="K91" s="50" t="e">
        <f>2.02*('Escalation Calcs - READ ONLY'!$D$8/'Escalation Calcs - READ ONLY'!$D$6)</f>
        <v>#VALUE!</v>
      </c>
      <c r="L91" s="4" t="s">
        <v>92</v>
      </c>
      <c r="M91" s="50">
        <v>2.02</v>
      </c>
      <c r="N91" s="4" t="s">
        <v>92</v>
      </c>
      <c r="O91" s="56">
        <f>SUMIF('Physical Condition Assessment'!I102:O102,"X",'PCA Cost Tables - READ ONLY'!E91:K91)</f>
        <v>0</v>
      </c>
      <c r="P91" s="5" t="s">
        <v>399</v>
      </c>
    </row>
    <row r="92" spans="1:16" ht="15.75" thickBot="1" x14ac:dyDescent="0.3">
      <c r="A92" s="7"/>
      <c r="B92" s="8"/>
      <c r="C92" t="s">
        <v>181</v>
      </c>
      <c r="D92" t="s">
        <v>182</v>
      </c>
      <c r="E92" s="51"/>
      <c r="F92" s="4" t="s">
        <v>85</v>
      </c>
      <c r="G92" s="51"/>
      <c r="H92" s="4" t="s">
        <v>86</v>
      </c>
      <c r="I92" s="50" t="e">
        <f>2.41*('Escalation Calcs - READ ONLY'!$D$8/'Escalation Calcs - READ ONLY'!$D$6)</f>
        <v>#VALUE!</v>
      </c>
      <c r="J92" s="4" t="s">
        <v>87</v>
      </c>
      <c r="K92" s="50" t="e">
        <f>3.86*('Escalation Calcs - READ ONLY'!$D$8/'Escalation Calcs - READ ONLY'!$D$6)</f>
        <v>#VALUE!</v>
      </c>
      <c r="L92" s="4" t="s">
        <v>92</v>
      </c>
      <c r="M92" s="50">
        <v>3.86</v>
      </c>
      <c r="N92" s="4" t="s">
        <v>92</v>
      </c>
      <c r="O92" s="56">
        <f>SUMIF('Physical Condition Assessment'!I103:O103,"X",'PCA Cost Tables - READ ONLY'!E92:K92)</f>
        <v>0</v>
      </c>
      <c r="P92" s="5" t="s">
        <v>399</v>
      </c>
    </row>
    <row r="93" spans="1:16" ht="15.75" thickBot="1" x14ac:dyDescent="0.3">
      <c r="A93" s="7"/>
      <c r="B93" s="8"/>
      <c r="D93" t="s">
        <v>183</v>
      </c>
      <c r="E93" s="51"/>
      <c r="F93" s="4" t="s">
        <v>85</v>
      </c>
      <c r="G93" s="51"/>
      <c r="H93" s="4" t="s">
        <v>86</v>
      </c>
      <c r="I93" s="51"/>
      <c r="J93" s="4" t="s">
        <v>87</v>
      </c>
      <c r="K93" s="50" t="e">
        <f>5.54*('Escalation Calcs - READ ONLY'!$D$8/'Escalation Calcs - READ ONLY'!$D$6)</f>
        <v>#VALUE!</v>
      </c>
      <c r="L93" s="4" t="s">
        <v>92</v>
      </c>
      <c r="M93" s="50">
        <v>5.54</v>
      </c>
      <c r="N93" s="4" t="s">
        <v>92</v>
      </c>
      <c r="O93" s="56">
        <f>SUMIF('Physical Condition Assessment'!I104:O104,"X",'PCA Cost Tables - READ ONLY'!E93:K93)</f>
        <v>0</v>
      </c>
      <c r="P93" s="5" t="s">
        <v>399</v>
      </c>
    </row>
    <row r="94" spans="1:16" ht="15.75" thickBot="1" x14ac:dyDescent="0.3">
      <c r="A94" s="7"/>
      <c r="B94" s="8"/>
      <c r="C94" t="s">
        <v>184</v>
      </c>
      <c r="D94" t="s">
        <v>185</v>
      </c>
      <c r="E94" s="51"/>
      <c r="F94" s="4" t="s">
        <v>85</v>
      </c>
      <c r="G94" s="50" t="e">
        <f>1.79*('Escalation Calcs - READ ONLY'!$D$8/'Escalation Calcs - READ ONLY'!$D$6)</f>
        <v>#VALUE!</v>
      </c>
      <c r="H94" s="4" t="s">
        <v>86</v>
      </c>
      <c r="I94" s="50" t="e">
        <f>2.13*('Escalation Calcs - READ ONLY'!$D$8/'Escalation Calcs - READ ONLY'!$D$6)</f>
        <v>#VALUE!</v>
      </c>
      <c r="J94" s="4" t="s">
        <v>87</v>
      </c>
      <c r="K94" s="50" t="e">
        <f>5.15*('Escalation Calcs - READ ONLY'!$D$8/'Escalation Calcs - READ ONLY'!$D$6)</f>
        <v>#VALUE!</v>
      </c>
      <c r="L94" s="4" t="s">
        <v>92</v>
      </c>
      <c r="M94" s="50">
        <v>35.15</v>
      </c>
      <c r="N94" s="4" t="s">
        <v>92</v>
      </c>
      <c r="O94" s="56">
        <f>SUMIF('Physical Condition Assessment'!I105:O105,"X",'PCA Cost Tables - READ ONLY'!E94:K94)</f>
        <v>0</v>
      </c>
      <c r="P94" s="5" t="s">
        <v>399</v>
      </c>
    </row>
    <row r="95" spans="1:16" ht="15.75" thickBot="1" x14ac:dyDescent="0.3">
      <c r="A95" s="7"/>
      <c r="B95" s="8"/>
      <c r="D95" t="s">
        <v>186</v>
      </c>
      <c r="E95" s="50" t="e">
        <f>1.23*('Escalation Calcs - READ ONLY'!$D$8/'Escalation Calcs - READ ONLY'!$D$6)</f>
        <v>#VALUE!</v>
      </c>
      <c r="F95" s="4" t="s">
        <v>85</v>
      </c>
      <c r="G95" s="50" t="e">
        <f>1.68*('Escalation Calcs - READ ONLY'!$D$8/'Escalation Calcs - READ ONLY'!$D$6)</f>
        <v>#VALUE!</v>
      </c>
      <c r="H95" s="4" t="s">
        <v>86</v>
      </c>
      <c r="I95" s="51"/>
      <c r="J95" s="4" t="s">
        <v>87</v>
      </c>
      <c r="K95" s="50" t="e">
        <f>8.57*('Escalation Calcs - READ ONLY'!$D$8/'Escalation Calcs - READ ONLY'!$D$6)</f>
        <v>#VALUE!</v>
      </c>
      <c r="L95" s="4" t="s">
        <v>92</v>
      </c>
      <c r="M95" s="50">
        <v>35.15</v>
      </c>
      <c r="N95" s="4" t="s">
        <v>92</v>
      </c>
      <c r="O95" s="56">
        <f>SUMIF('Physical Condition Assessment'!I106:O106,"X",'PCA Cost Tables - READ ONLY'!E95:K95)</f>
        <v>0</v>
      </c>
      <c r="P95" s="5" t="s">
        <v>399</v>
      </c>
    </row>
    <row r="96" spans="1:16" ht="15.75" thickBot="1" x14ac:dyDescent="0.3">
      <c r="A96" s="7"/>
      <c r="B96" s="8"/>
      <c r="C96" t="s">
        <v>187</v>
      </c>
      <c r="D96" t="s">
        <v>188</v>
      </c>
      <c r="E96" s="51" t="s">
        <v>400</v>
      </c>
      <c r="F96" s="4" t="s">
        <v>85</v>
      </c>
      <c r="G96" s="51"/>
      <c r="H96" s="4" t="s">
        <v>86</v>
      </c>
      <c r="I96" s="51"/>
      <c r="J96" s="4" t="s">
        <v>87</v>
      </c>
      <c r="K96" s="50" t="e">
        <f>4.03*('Escalation Calcs - READ ONLY'!$D$8/'Escalation Calcs - READ ONLY'!$D$6)</f>
        <v>#VALUE!</v>
      </c>
      <c r="L96" s="4" t="s">
        <v>92</v>
      </c>
      <c r="M96" s="50">
        <v>16.03</v>
      </c>
      <c r="N96" s="4" t="s">
        <v>92</v>
      </c>
      <c r="O96" s="56">
        <f>SUMIF('Physical Condition Assessment'!I107:O107,"X",'PCA Cost Tables - READ ONLY'!E96:K96)</f>
        <v>0</v>
      </c>
      <c r="P96" s="5" t="s">
        <v>399</v>
      </c>
    </row>
    <row r="97" spans="1:16" ht="15.75" thickBot="1" x14ac:dyDescent="0.3">
      <c r="A97" s="7"/>
      <c r="B97" s="8"/>
      <c r="D97" t="s">
        <v>189</v>
      </c>
      <c r="E97" s="51"/>
      <c r="F97" s="4" t="s">
        <v>85</v>
      </c>
      <c r="G97" s="50" t="e">
        <f>5.38*('Escalation Calcs - READ ONLY'!$D$8/'Escalation Calcs - READ ONLY'!$D$6)</f>
        <v>#VALUE!</v>
      </c>
      <c r="H97" s="4" t="s">
        <v>86</v>
      </c>
      <c r="I97" s="51"/>
      <c r="J97" s="4" t="s">
        <v>87</v>
      </c>
      <c r="K97" s="50" t="e">
        <f>15.96*('Escalation Calcs - READ ONLY'!$D$8/'Escalation Calcs - READ ONLY'!$D$6)</f>
        <v>#VALUE!</v>
      </c>
      <c r="L97" s="4" t="s">
        <v>92</v>
      </c>
      <c r="M97" s="50">
        <v>27.96</v>
      </c>
      <c r="N97" s="4" t="s">
        <v>92</v>
      </c>
      <c r="O97" s="56">
        <f>SUMIF('Physical Condition Assessment'!I108:O108,"X",'PCA Cost Tables - READ ONLY'!E97:K97)</f>
        <v>0</v>
      </c>
      <c r="P97" s="5" t="s">
        <v>399</v>
      </c>
    </row>
    <row r="98" spans="1:16" ht="15.75" thickBot="1" x14ac:dyDescent="0.3">
      <c r="A98" s="7"/>
      <c r="B98" s="8"/>
      <c r="D98" t="s">
        <v>190</v>
      </c>
      <c r="E98" s="50" t="e">
        <f>1.23*('Escalation Calcs - READ ONLY'!$D$8/'Escalation Calcs - READ ONLY'!$D$6)</f>
        <v>#VALUE!</v>
      </c>
      <c r="F98" s="4" t="s">
        <v>85</v>
      </c>
      <c r="G98" s="51"/>
      <c r="H98" s="4" t="s">
        <v>86</v>
      </c>
      <c r="I98" s="51"/>
      <c r="J98" s="4" t="s">
        <v>87</v>
      </c>
      <c r="K98" s="50" t="e">
        <f>3.14*('Escalation Calcs - READ ONLY'!$D$8/'Escalation Calcs - READ ONLY'!$D$6)</f>
        <v>#VALUE!</v>
      </c>
      <c r="L98" s="4" t="s">
        <v>92</v>
      </c>
      <c r="M98" s="50">
        <v>15.14</v>
      </c>
      <c r="N98" s="4" t="s">
        <v>92</v>
      </c>
      <c r="O98" s="56">
        <f>SUMIF('Physical Condition Assessment'!I109:O109,"X",'PCA Cost Tables - READ ONLY'!E98:K98)</f>
        <v>0</v>
      </c>
      <c r="P98" s="5" t="s">
        <v>399</v>
      </c>
    </row>
    <row r="99" spans="1:16" ht="15.75" thickBot="1" x14ac:dyDescent="0.3">
      <c r="A99" s="7"/>
      <c r="B99" s="8"/>
      <c r="C99" t="s">
        <v>191</v>
      </c>
      <c r="E99" s="51"/>
      <c r="F99" s="4" t="s">
        <v>85</v>
      </c>
      <c r="G99" s="51"/>
      <c r="H99" s="4" t="s">
        <v>86</v>
      </c>
      <c r="I99" s="50" t="e">
        <f>0.56*('Escalation Calcs - READ ONLY'!$D$8/'Escalation Calcs - READ ONLY'!$D$6)</f>
        <v>#VALUE!</v>
      </c>
      <c r="J99" s="4" t="s">
        <v>87</v>
      </c>
      <c r="K99" s="50" t="e">
        <f>2.69*('Escalation Calcs - READ ONLY'!$D$8/'Escalation Calcs - READ ONLY'!$D$6)</f>
        <v>#VALUE!</v>
      </c>
      <c r="L99" s="4" t="s">
        <v>92</v>
      </c>
      <c r="M99" s="50">
        <v>14.69</v>
      </c>
      <c r="N99" s="4" t="s">
        <v>92</v>
      </c>
      <c r="O99" s="56">
        <f>SUMIF('Physical Condition Assessment'!I110:O110,"X",'PCA Cost Tables - READ ONLY'!E99:K99)</f>
        <v>0</v>
      </c>
      <c r="P99" s="5" t="s">
        <v>399</v>
      </c>
    </row>
    <row r="100" spans="1:16" ht="15.75" thickBot="1" x14ac:dyDescent="0.3">
      <c r="A100" s="7"/>
      <c r="B100" s="8"/>
      <c r="C100" t="s">
        <v>192</v>
      </c>
      <c r="E100" s="51"/>
      <c r="F100" s="4" t="s">
        <v>85</v>
      </c>
      <c r="G100" s="51"/>
      <c r="H100" s="4" t="s">
        <v>86</v>
      </c>
      <c r="I100" s="51"/>
      <c r="J100" s="4" t="s">
        <v>87</v>
      </c>
      <c r="K100" s="50" t="e">
        <f>1.46*('Escalation Calcs - READ ONLY'!$D$8/'Escalation Calcs - READ ONLY'!$D$6)</f>
        <v>#VALUE!</v>
      </c>
      <c r="L100" s="4" t="s">
        <v>92</v>
      </c>
      <c r="M100" s="50">
        <v>1.46</v>
      </c>
      <c r="N100" s="4" t="s">
        <v>92</v>
      </c>
      <c r="O100" s="56">
        <f>SUMIF('Physical Condition Assessment'!I111:O111,"X",'PCA Cost Tables - READ ONLY'!E100:K100)</f>
        <v>0</v>
      </c>
      <c r="P100" s="5" t="s">
        <v>399</v>
      </c>
    </row>
    <row r="101" spans="1:16" ht="15.75" thickBot="1" x14ac:dyDescent="0.3">
      <c r="A101" s="7"/>
      <c r="B101" s="8"/>
      <c r="C101" t="s">
        <v>193</v>
      </c>
      <c r="D101" t="s">
        <v>97</v>
      </c>
      <c r="E101" s="51"/>
      <c r="F101" s="4" t="s">
        <v>85</v>
      </c>
      <c r="G101" s="51"/>
      <c r="H101" s="4" t="s">
        <v>86</v>
      </c>
      <c r="I101" s="51"/>
      <c r="J101" s="4" t="s">
        <v>87</v>
      </c>
      <c r="K101" s="51"/>
      <c r="L101" s="4" t="s">
        <v>92</v>
      </c>
      <c r="M101" s="51"/>
      <c r="N101" s="4" t="s">
        <v>92</v>
      </c>
      <c r="O101" s="224">
        <f>SUMIF('Physical Condition Assessment'!I112:O112,"X",'PCA Cost Tables - READ ONLY'!E101:K101)</f>
        <v>0</v>
      </c>
      <c r="P101" s="39"/>
    </row>
    <row r="102" spans="1:16" ht="15.75" thickBot="1" x14ac:dyDescent="0.3">
      <c r="A102" s="7"/>
      <c r="B102" s="8" t="s">
        <v>194</v>
      </c>
      <c r="I102" s="76"/>
      <c r="M102" s="46"/>
      <c r="O102" s="24"/>
      <c r="P102" s="4"/>
    </row>
    <row r="103" spans="1:16" ht="15.75" thickBot="1" x14ac:dyDescent="0.3">
      <c r="A103" s="7"/>
      <c r="B103" s="8"/>
      <c r="C103" t="s">
        <v>195</v>
      </c>
      <c r="E103" s="51"/>
      <c r="F103" s="4" t="s">
        <v>85</v>
      </c>
      <c r="G103" s="50" t="e">
        <f>1.01*('Escalation Calcs - READ ONLY'!$D$8/'Escalation Calcs - READ ONLY'!$D$6)</f>
        <v>#VALUE!</v>
      </c>
      <c r="H103" s="4" t="s">
        <v>86</v>
      </c>
      <c r="I103" s="78"/>
      <c r="J103" s="4" t="s">
        <v>87</v>
      </c>
      <c r="K103" s="50" t="e">
        <f>5*('Escalation Calcs - READ ONLY'!$D$8/'Escalation Calcs - READ ONLY'!$D$6)</f>
        <v>#VALUE!</v>
      </c>
      <c r="L103" s="4" t="s">
        <v>92</v>
      </c>
      <c r="M103" s="50">
        <v>18.64</v>
      </c>
      <c r="N103" s="4" t="s">
        <v>92</v>
      </c>
      <c r="O103" s="223">
        <f>SUMIF('Physical Condition Assessment'!I114:O114,"X",'PCA Cost Tables - READ ONLY'!E103:K103)</f>
        <v>0</v>
      </c>
      <c r="P103" s="5"/>
    </row>
    <row r="104" spans="1:16" ht="15.75" thickBot="1" x14ac:dyDescent="0.3">
      <c r="A104" s="7"/>
      <c r="B104" s="8"/>
      <c r="C104" t="s">
        <v>196</v>
      </c>
      <c r="E104" s="51"/>
      <c r="F104" s="4" t="s">
        <v>85</v>
      </c>
      <c r="G104" s="50" t="e">
        <f>1.38*('Escalation Calcs - READ ONLY'!$D$8/'Escalation Calcs - READ ONLY'!$D$6)</f>
        <v>#VALUE!</v>
      </c>
      <c r="H104" s="4" t="s">
        <v>86</v>
      </c>
      <c r="I104" s="78"/>
      <c r="J104" s="4" t="s">
        <v>87</v>
      </c>
      <c r="K104" s="50" t="e">
        <f>2.24*('Escalation Calcs - READ ONLY'!$D$8/'Escalation Calcs - READ ONLY'!$D$6)</f>
        <v>#VALUE!</v>
      </c>
      <c r="L104" s="4" t="s">
        <v>92</v>
      </c>
      <c r="M104" s="50">
        <v>10.24</v>
      </c>
      <c r="N104" s="4" t="s">
        <v>92</v>
      </c>
      <c r="O104" s="56">
        <f>SUMIF('Physical Condition Assessment'!I115:O115,"X",'PCA Cost Tables - READ ONLY'!E104:K104)</f>
        <v>0</v>
      </c>
      <c r="P104" s="5"/>
    </row>
    <row r="105" spans="1:16" ht="15.75" thickBot="1" x14ac:dyDescent="0.3">
      <c r="A105" s="7"/>
      <c r="B105" s="8"/>
      <c r="C105" t="s">
        <v>197</v>
      </c>
      <c r="E105" s="51"/>
      <c r="F105" s="4" t="s">
        <v>85</v>
      </c>
      <c r="G105" s="50" t="e">
        <f>8.81*('Escalation Calcs - READ ONLY'!$D$8/'Escalation Calcs - READ ONLY'!$D$6)</f>
        <v>#VALUE!</v>
      </c>
      <c r="H105" s="4" t="s">
        <v>86</v>
      </c>
      <c r="I105" s="78"/>
      <c r="J105" s="4" t="s">
        <v>87</v>
      </c>
      <c r="K105" s="50" t="e">
        <f>33.15*('Escalation Calcs - READ ONLY'!$D$8/'Escalation Calcs - READ ONLY'!$D$6)</f>
        <v>#VALUE!</v>
      </c>
      <c r="L105" s="4" t="s">
        <v>92</v>
      </c>
      <c r="M105" s="50">
        <v>48.15</v>
      </c>
      <c r="N105" s="4" t="s">
        <v>92</v>
      </c>
      <c r="O105" s="56">
        <f>SUMIF('Physical Condition Assessment'!I116:O116,"X",'PCA Cost Tables - READ ONLY'!E105:K105)</f>
        <v>0</v>
      </c>
      <c r="P105" s="5"/>
    </row>
    <row r="106" spans="1:16" ht="15.75" thickBot="1" x14ac:dyDescent="0.3">
      <c r="A106" s="7"/>
      <c r="B106" s="8"/>
      <c r="C106" t="s">
        <v>198</v>
      </c>
      <c r="D106" t="s">
        <v>97</v>
      </c>
      <c r="E106" s="51"/>
      <c r="F106" s="4" t="s">
        <v>85</v>
      </c>
      <c r="G106" s="51"/>
      <c r="H106" s="4" t="s">
        <v>86</v>
      </c>
      <c r="I106" s="78"/>
      <c r="J106" s="4" t="s">
        <v>87</v>
      </c>
      <c r="K106" s="51"/>
      <c r="L106" s="4" t="s">
        <v>92</v>
      </c>
      <c r="M106" s="51"/>
      <c r="N106" s="4" t="s">
        <v>92</v>
      </c>
      <c r="O106" s="224">
        <f>SUMIF('Physical Condition Assessment'!I117:O117,"X",'PCA Cost Tables - READ ONLY'!E106:K106)</f>
        <v>0</v>
      </c>
      <c r="P106" s="39"/>
    </row>
    <row r="107" spans="1:16" ht="15.75" thickBot="1" x14ac:dyDescent="0.3">
      <c r="A107" s="7"/>
      <c r="B107" s="8" t="s">
        <v>199</v>
      </c>
      <c r="I107" s="76"/>
      <c r="M107" s="46"/>
      <c r="O107" s="24"/>
      <c r="P107" s="4"/>
    </row>
    <row r="108" spans="1:16" ht="15.75" thickBot="1" x14ac:dyDescent="0.3">
      <c r="A108" s="7"/>
      <c r="B108" s="8"/>
      <c r="C108" t="s">
        <v>200</v>
      </c>
      <c r="E108" s="51"/>
      <c r="F108" s="4" t="s">
        <v>85</v>
      </c>
      <c r="G108" s="50" t="e">
        <f>3.58*('Escalation Calcs - READ ONLY'!$D$8/'Escalation Calcs - READ ONLY'!$D$6)</f>
        <v>#VALUE!</v>
      </c>
      <c r="H108" s="4" t="s">
        <v>86</v>
      </c>
      <c r="I108" s="50" t="e">
        <f>6.27*('Escalation Calcs - READ ONLY'!$D$8/'Escalation Calcs - READ ONLY'!$D$6)</f>
        <v>#VALUE!</v>
      </c>
      <c r="J108" s="4" t="s">
        <v>87</v>
      </c>
      <c r="K108" s="50" t="e">
        <f>11*('Escalation Calcs - READ ONLY'!$D$8/'Escalation Calcs - READ ONLY'!$D$6)</f>
        <v>#VALUE!</v>
      </c>
      <c r="L108" s="4" t="s">
        <v>92</v>
      </c>
      <c r="M108" s="50">
        <v>18.11</v>
      </c>
      <c r="N108" s="4" t="s">
        <v>92</v>
      </c>
      <c r="O108" s="223">
        <f>SUMIF('Physical Condition Assessment'!I119:O119,"X",'PCA Cost Tables - READ ONLY'!E108:K108)</f>
        <v>0</v>
      </c>
      <c r="P108" s="5"/>
    </row>
    <row r="109" spans="1:16" ht="15.75" thickBot="1" x14ac:dyDescent="0.3">
      <c r="A109" s="7"/>
      <c r="B109" s="8"/>
      <c r="C109" t="s">
        <v>201</v>
      </c>
      <c r="E109" s="51"/>
      <c r="F109" s="4" t="s">
        <v>85</v>
      </c>
      <c r="G109" s="51"/>
      <c r="H109" s="4" t="s">
        <v>86</v>
      </c>
      <c r="I109" s="50" t="e">
        <f>5.49*('Escalation Calcs - READ ONLY'!$D$8/'Escalation Calcs - READ ONLY'!$D$6)</f>
        <v>#VALUE!</v>
      </c>
      <c r="J109" s="4" t="s">
        <v>87</v>
      </c>
      <c r="K109" s="50" t="e">
        <f>18*('Escalation Calcs - READ ONLY'!$D$8/'Escalation Calcs - READ ONLY'!$D$6)</f>
        <v>#VALUE!</v>
      </c>
      <c r="L109" s="4" t="s">
        <v>92</v>
      </c>
      <c r="M109" s="50">
        <v>37.950000000000003</v>
      </c>
      <c r="N109" s="4" t="s">
        <v>92</v>
      </c>
      <c r="O109" s="56">
        <f>SUMIF('Physical Condition Assessment'!I120:O120,"X",'PCA Cost Tables - READ ONLY'!E109:K109)</f>
        <v>0</v>
      </c>
      <c r="P109" s="5"/>
    </row>
    <row r="110" spans="1:16" ht="15.75" thickBot="1" x14ac:dyDescent="0.3">
      <c r="A110" s="7"/>
      <c r="B110" s="8"/>
      <c r="C110" t="s">
        <v>202</v>
      </c>
      <c r="D110" t="s">
        <v>203</v>
      </c>
      <c r="E110" s="51"/>
      <c r="F110" s="4" t="s">
        <v>85</v>
      </c>
      <c r="G110" s="50" t="e">
        <f>0.35*('Escalation Calcs - READ ONLY'!$D$8/'Escalation Calcs - READ ONLY'!$D$6)</f>
        <v>#VALUE!</v>
      </c>
      <c r="H110" s="4" t="s">
        <v>86</v>
      </c>
      <c r="I110" s="50" t="e">
        <f>0.73*('Escalation Calcs - READ ONLY'!$D$8/'Escalation Calcs - READ ONLY'!$D$6)</f>
        <v>#VALUE!</v>
      </c>
      <c r="J110" s="4" t="s">
        <v>87</v>
      </c>
      <c r="K110" s="50" t="e">
        <f>5*('Escalation Calcs - READ ONLY'!$D$8/'Escalation Calcs - READ ONLY'!$D$6)</f>
        <v>#VALUE!</v>
      </c>
      <c r="L110" s="4" t="s">
        <v>92</v>
      </c>
      <c r="M110" s="50">
        <v>18.64</v>
      </c>
      <c r="N110" s="4" t="s">
        <v>92</v>
      </c>
      <c r="O110" s="56">
        <f>SUMIF('Physical Condition Assessment'!I121:O121,"X",'PCA Cost Tables - READ ONLY'!E110:K110)</f>
        <v>0</v>
      </c>
      <c r="P110" s="5"/>
    </row>
    <row r="111" spans="1:16" ht="15.75" thickBot="1" x14ac:dyDescent="0.3">
      <c r="A111" s="7"/>
      <c r="B111" s="8"/>
      <c r="D111" t="s">
        <v>204</v>
      </c>
      <c r="E111" s="51"/>
      <c r="F111" s="4" t="s">
        <v>85</v>
      </c>
      <c r="G111" s="50" t="e">
        <f>0.12*('Escalation Calcs - READ ONLY'!$D$8/'Escalation Calcs - READ ONLY'!$D$6)</f>
        <v>#VALUE!</v>
      </c>
      <c r="H111" s="4" t="s">
        <v>86</v>
      </c>
      <c r="I111" s="50" t="e">
        <f>0.28*('Escalation Calcs - READ ONLY'!$D$8/'Escalation Calcs - READ ONLY'!$D$6)</f>
        <v>#VALUE!</v>
      </c>
      <c r="J111" s="4" t="s">
        <v>87</v>
      </c>
      <c r="K111" s="50" t="e">
        <f>1.5*('Escalation Calcs - READ ONLY'!$D$8/'Escalation Calcs - READ ONLY'!$D$6)</f>
        <v>#VALUE!</v>
      </c>
      <c r="L111" s="4" t="s">
        <v>92</v>
      </c>
      <c r="M111" s="50">
        <v>2</v>
      </c>
      <c r="N111" s="4" t="s">
        <v>92</v>
      </c>
      <c r="O111" s="56">
        <f>SUMIF('Physical Condition Assessment'!I122:O122,"X",'PCA Cost Tables - READ ONLY'!E111:K111)</f>
        <v>0</v>
      </c>
      <c r="P111" s="5"/>
    </row>
    <row r="112" spans="1:16" ht="15.75" thickBot="1" x14ac:dyDescent="0.3">
      <c r="A112" s="7"/>
      <c r="B112" s="8"/>
      <c r="D112" t="s">
        <v>205</v>
      </c>
      <c r="E112" s="51"/>
      <c r="F112" s="4" t="s">
        <v>85</v>
      </c>
      <c r="G112" s="50" t="e">
        <f>0.16*('Escalation Calcs - READ ONLY'!$D$8/'Escalation Calcs - READ ONLY'!$D$6)</f>
        <v>#VALUE!</v>
      </c>
      <c r="H112" s="4" t="s">
        <v>86</v>
      </c>
      <c r="I112" s="50" t="e">
        <f>0.34*('Escalation Calcs - READ ONLY'!$D$8/'Escalation Calcs - READ ONLY'!$D$6)</f>
        <v>#VALUE!</v>
      </c>
      <c r="J112" s="4" t="s">
        <v>87</v>
      </c>
      <c r="K112" s="50" t="e">
        <f>1.5*('Escalation Calcs - READ ONLY'!$D$8/'Escalation Calcs - READ ONLY'!$D$6)</f>
        <v>#VALUE!</v>
      </c>
      <c r="L112" s="4" t="s">
        <v>92</v>
      </c>
      <c r="M112" s="50">
        <v>2.23</v>
      </c>
      <c r="N112" s="4" t="s">
        <v>92</v>
      </c>
      <c r="O112" s="56">
        <f>SUMIF('Physical Condition Assessment'!I123:O123,"X",'PCA Cost Tables - READ ONLY'!E112:K112)</f>
        <v>0</v>
      </c>
      <c r="P112" s="5"/>
    </row>
    <row r="113" spans="1:16" ht="15.75" thickBot="1" x14ac:dyDescent="0.3">
      <c r="A113" s="7"/>
      <c r="B113" s="8"/>
      <c r="D113" t="s">
        <v>206</v>
      </c>
      <c r="E113" s="51"/>
      <c r="F113" s="4" t="s">
        <v>85</v>
      </c>
      <c r="G113" s="50" t="e">
        <f>0.11*('Escalation Calcs - READ ONLY'!$D$8/'Escalation Calcs - READ ONLY'!$D$6)</f>
        <v>#VALUE!</v>
      </c>
      <c r="H113" s="4" t="s">
        <v>86</v>
      </c>
      <c r="I113" s="50" t="e">
        <f>0.25*('Escalation Calcs - READ ONLY'!$D$8/'Escalation Calcs - READ ONLY'!$D$6)</f>
        <v>#VALUE!</v>
      </c>
      <c r="J113" s="4" t="s">
        <v>87</v>
      </c>
      <c r="K113" s="50" t="e">
        <f>1.5*('Escalation Calcs - READ ONLY'!$D$8/'Escalation Calcs - READ ONLY'!$D$6)</f>
        <v>#VALUE!</v>
      </c>
      <c r="L113" s="4" t="s">
        <v>92</v>
      </c>
      <c r="M113" s="50">
        <v>2</v>
      </c>
      <c r="N113" s="4" t="s">
        <v>92</v>
      </c>
      <c r="O113" s="56">
        <f>SUMIF('Physical Condition Assessment'!I124:O124,"X",'PCA Cost Tables - READ ONLY'!E113:K113)</f>
        <v>0</v>
      </c>
      <c r="P113" s="5"/>
    </row>
    <row r="114" spans="1:16" ht="15.75" thickBot="1" x14ac:dyDescent="0.3">
      <c r="A114" s="7"/>
      <c r="B114" s="8"/>
      <c r="D114" t="s">
        <v>207</v>
      </c>
      <c r="E114" s="51"/>
      <c r="F114" s="4" t="s">
        <v>85</v>
      </c>
      <c r="G114" s="50" t="e">
        <f>0.07*('Escalation Calcs - READ ONLY'!$D$8/'Escalation Calcs - READ ONLY'!$D$6)</f>
        <v>#VALUE!</v>
      </c>
      <c r="H114" s="4" t="s">
        <v>86</v>
      </c>
      <c r="I114" s="50" t="e">
        <f>0.16*('Escalation Calcs - READ ONLY'!$D$8/'Escalation Calcs - READ ONLY'!$D$6)</f>
        <v>#VALUE!</v>
      </c>
      <c r="J114" s="4" t="s">
        <v>87</v>
      </c>
      <c r="K114" s="50" t="e">
        <f>1.5*('Escalation Calcs - READ ONLY'!$D$8/'Escalation Calcs - READ ONLY'!$D$6)</f>
        <v>#VALUE!</v>
      </c>
      <c r="L114" s="4" t="s">
        <v>92</v>
      </c>
      <c r="M114" s="50">
        <v>1.5</v>
      </c>
      <c r="N114" s="4" t="s">
        <v>92</v>
      </c>
      <c r="O114" s="56">
        <f>SUMIF('Physical Condition Assessment'!I125:O125,"X",'PCA Cost Tables - READ ONLY'!E114:K114)</f>
        <v>0</v>
      </c>
      <c r="P114" s="5"/>
    </row>
    <row r="115" spans="1:16" ht="15.75" thickBot="1" x14ac:dyDescent="0.3">
      <c r="A115" s="7"/>
      <c r="B115" s="8"/>
      <c r="D115" t="s">
        <v>208</v>
      </c>
      <c r="E115" s="51"/>
      <c r="F115" s="4" t="s">
        <v>85</v>
      </c>
      <c r="G115" s="50" t="e">
        <f>0.22*('Escalation Calcs - READ ONLY'!$D$8/'Escalation Calcs - READ ONLY'!$D$6)</f>
        <v>#VALUE!</v>
      </c>
      <c r="H115" s="4" t="s">
        <v>86</v>
      </c>
      <c r="I115" s="50" t="e">
        <f>0.47*('Escalation Calcs - READ ONLY'!$D$8/'Escalation Calcs - READ ONLY'!$D$6)</f>
        <v>#VALUE!</v>
      </c>
      <c r="J115" s="4" t="s">
        <v>87</v>
      </c>
      <c r="K115" s="50" t="e">
        <f>2.5*('Escalation Calcs - READ ONLY'!$D$8/'Escalation Calcs - READ ONLY'!$D$6)</f>
        <v>#VALUE!</v>
      </c>
      <c r="L115" s="4" t="s">
        <v>92</v>
      </c>
      <c r="M115" s="50">
        <v>4.25</v>
      </c>
      <c r="N115" s="4" t="s">
        <v>92</v>
      </c>
      <c r="O115" s="56">
        <f>SUMIF('Physical Condition Assessment'!I126:O126,"X",'PCA Cost Tables - READ ONLY'!E115:K115)</f>
        <v>0</v>
      </c>
      <c r="P115" s="60"/>
    </row>
    <row r="116" spans="1:16" ht="15.75" thickBot="1" x14ac:dyDescent="0.3">
      <c r="A116" s="7"/>
      <c r="B116" s="8"/>
      <c r="D116" t="s">
        <v>209</v>
      </c>
      <c r="E116" s="50" t="e">
        <f>0.11*('Escalation Calcs - READ ONLY'!$D$8/'Escalation Calcs - READ ONLY'!$D$6)</f>
        <v>#VALUE!</v>
      </c>
      <c r="F116" s="4" t="s">
        <v>85</v>
      </c>
      <c r="G116" s="51"/>
      <c r="H116" s="4" t="s">
        <v>86</v>
      </c>
      <c r="I116" s="50" t="e">
        <f>0.25*('Escalation Calcs - READ ONLY'!$D$8/'Escalation Calcs - READ ONLY'!$D$6)</f>
        <v>#VALUE!</v>
      </c>
      <c r="J116" s="4" t="s">
        <v>87</v>
      </c>
      <c r="K116" s="50" t="e">
        <f>10*('Escalation Calcs - READ ONLY'!$D$8/'Escalation Calcs - READ ONLY'!$D$6)</f>
        <v>#VALUE!</v>
      </c>
      <c r="L116" s="4" t="s">
        <v>92</v>
      </c>
      <c r="M116" s="50">
        <v>1.6</v>
      </c>
      <c r="N116" s="4" t="s">
        <v>92</v>
      </c>
      <c r="O116" s="56">
        <f>SUMIF('Physical Condition Assessment'!I127:O127,"X",'PCA Cost Tables - READ ONLY'!E116:K116)</f>
        <v>0</v>
      </c>
      <c r="P116" s="5"/>
    </row>
    <row r="117" spans="1:16" ht="15.75" thickBot="1" x14ac:dyDescent="0.3">
      <c r="A117" s="7"/>
      <c r="B117" s="8"/>
      <c r="C117" t="s">
        <v>210</v>
      </c>
      <c r="D117" t="s">
        <v>97</v>
      </c>
      <c r="E117" s="51"/>
      <c r="F117" s="4" t="s">
        <v>85</v>
      </c>
      <c r="G117" s="51"/>
      <c r="H117" s="4" t="s">
        <v>86</v>
      </c>
      <c r="I117" s="51"/>
      <c r="J117" s="4" t="s">
        <v>87</v>
      </c>
      <c r="K117" s="51"/>
      <c r="L117" s="4" t="s">
        <v>92</v>
      </c>
      <c r="M117" s="51"/>
      <c r="N117" s="4" t="s">
        <v>92</v>
      </c>
      <c r="O117" s="224">
        <f>SUMIF('Physical Condition Assessment'!I128:O128,"X",'PCA Cost Tables - READ ONLY'!E117:K117)</f>
        <v>0</v>
      </c>
      <c r="P117" s="39"/>
    </row>
    <row r="118" spans="1:16" x14ac:dyDescent="0.25">
      <c r="A118" s="7"/>
      <c r="B118" s="8"/>
      <c r="M118" s="46"/>
      <c r="O118" s="59"/>
      <c r="P118" s="4"/>
    </row>
    <row r="119" spans="1:16" x14ac:dyDescent="0.25">
      <c r="A119" s="14" t="s">
        <v>211</v>
      </c>
      <c r="B119" s="17"/>
      <c r="C119" s="15"/>
      <c r="D119" s="15"/>
      <c r="E119" s="49"/>
      <c r="F119" s="16"/>
      <c r="G119" s="49"/>
      <c r="H119" s="16"/>
      <c r="I119" s="49"/>
      <c r="J119" s="16"/>
      <c r="K119" s="49"/>
      <c r="L119" s="16"/>
      <c r="M119" s="49"/>
      <c r="N119" s="16"/>
      <c r="O119" s="55"/>
      <c r="P119" s="16"/>
    </row>
    <row r="120" spans="1:16" ht="15.75" thickBot="1" x14ac:dyDescent="0.3">
      <c r="A120" s="7"/>
      <c r="B120" s="8" t="s">
        <v>212</v>
      </c>
      <c r="M120" s="46"/>
      <c r="O120" s="24"/>
      <c r="P120" s="4"/>
    </row>
    <row r="121" spans="1:16" ht="15.75" thickBot="1" x14ac:dyDescent="0.3">
      <c r="A121" s="7"/>
      <c r="B121" s="8"/>
      <c r="C121" t="s">
        <v>213</v>
      </c>
      <c r="D121" t="s">
        <v>214</v>
      </c>
      <c r="E121" s="50" t="e">
        <f>0.45*('Escalation Calcs - READ ONLY'!$D$8/'Escalation Calcs - READ ONLY'!$D$6)</f>
        <v>#VALUE!</v>
      </c>
      <c r="F121" s="4" t="s">
        <v>85</v>
      </c>
      <c r="G121" s="50" t="e">
        <f>0.73*('Escalation Calcs - READ ONLY'!$D$8/'Escalation Calcs - READ ONLY'!$D$6)</f>
        <v>#VALUE!</v>
      </c>
      <c r="H121" s="4" t="s">
        <v>86</v>
      </c>
      <c r="I121" s="50" t="e">
        <f>0.9*('Escalation Calcs - READ ONLY'!$D$8/'Escalation Calcs - READ ONLY'!$D$6)</f>
        <v>#VALUE!</v>
      </c>
      <c r="J121" s="4" t="s">
        <v>87</v>
      </c>
      <c r="K121" s="50" t="e">
        <f>2.35*('Escalation Calcs - READ ONLY'!$D$8/'Escalation Calcs - READ ONLY'!$D$6)</f>
        <v>#VALUE!</v>
      </c>
      <c r="L121" s="4" t="s">
        <v>92</v>
      </c>
      <c r="M121" s="50">
        <v>2.85</v>
      </c>
      <c r="N121" s="4" t="s">
        <v>92</v>
      </c>
      <c r="O121" s="223">
        <f>SUMIF('Physical Condition Assessment'!I132:O132,"X",'PCA Cost Tables - READ ONLY'!E121:K121)</f>
        <v>0</v>
      </c>
      <c r="P121" s="5"/>
    </row>
    <row r="122" spans="1:16" ht="15.75" thickBot="1" x14ac:dyDescent="0.3">
      <c r="A122" s="7"/>
      <c r="B122" s="8"/>
      <c r="D122" t="s">
        <v>215</v>
      </c>
      <c r="E122" s="50" t="e">
        <f>0.45*('Escalation Calcs - READ ONLY'!$D$8/'Escalation Calcs - READ ONLY'!$D$6)</f>
        <v>#VALUE!</v>
      </c>
      <c r="F122" s="4" t="s">
        <v>85</v>
      </c>
      <c r="G122" s="51"/>
      <c r="H122" s="4" t="s">
        <v>86</v>
      </c>
      <c r="I122" s="50" t="e">
        <f>0.92*('Escalation Calcs - READ ONLY'!$D$8/'Escalation Calcs - READ ONLY'!$D$6)</f>
        <v>#VALUE!</v>
      </c>
      <c r="J122" s="4" t="s">
        <v>87</v>
      </c>
      <c r="K122" s="50" t="e">
        <f>2.16*('Escalation Calcs - READ ONLY'!$D$8/'Escalation Calcs - READ ONLY'!$D$6)</f>
        <v>#VALUE!</v>
      </c>
      <c r="L122" s="4" t="s">
        <v>92</v>
      </c>
      <c r="M122" s="50">
        <v>2.66</v>
      </c>
      <c r="N122" s="4" t="s">
        <v>92</v>
      </c>
      <c r="O122" s="56">
        <f>SUMIF('Physical Condition Assessment'!I133:O133,"X",'PCA Cost Tables - READ ONLY'!E122:K122)</f>
        <v>0</v>
      </c>
      <c r="P122" s="5"/>
    </row>
    <row r="123" spans="1:16" ht="15.75" thickBot="1" x14ac:dyDescent="0.3">
      <c r="A123" s="7"/>
      <c r="B123" s="8"/>
      <c r="C123" t="s">
        <v>216</v>
      </c>
      <c r="D123" t="s">
        <v>217</v>
      </c>
      <c r="E123" s="51"/>
      <c r="F123" s="4" t="s">
        <v>85</v>
      </c>
      <c r="G123" s="50" t="e">
        <f>1.46*('Escalation Calcs - READ ONLY'!$D$8/'Escalation Calcs - READ ONLY'!$D$6)</f>
        <v>#VALUE!</v>
      </c>
      <c r="H123" s="4" t="s">
        <v>86</v>
      </c>
      <c r="I123" s="50" t="e">
        <f>1.81*('Escalation Calcs - READ ONLY'!$D$8/'Escalation Calcs - READ ONLY'!$D$6)</f>
        <v>#VALUE!</v>
      </c>
      <c r="J123" s="4" t="s">
        <v>87</v>
      </c>
      <c r="K123" s="50" t="e">
        <f>3.96*('Escalation Calcs - READ ONLY'!$D$8/'Escalation Calcs - READ ONLY'!$D$6)</f>
        <v>#VALUE!</v>
      </c>
      <c r="L123" s="4" t="s">
        <v>92</v>
      </c>
      <c r="M123" s="50">
        <v>4.46</v>
      </c>
      <c r="N123" s="4" t="s">
        <v>92</v>
      </c>
      <c r="O123" s="56">
        <f>SUMIF('Physical Condition Assessment'!I134:O134,"X",'PCA Cost Tables - READ ONLY'!E123:K123)</f>
        <v>0</v>
      </c>
      <c r="P123" s="5"/>
    </row>
    <row r="124" spans="1:16" ht="15.75" thickBot="1" x14ac:dyDescent="0.3">
      <c r="A124" s="7"/>
      <c r="B124" s="8"/>
      <c r="D124" t="s">
        <v>218</v>
      </c>
      <c r="E124" s="51"/>
      <c r="F124" s="4" t="s">
        <v>85</v>
      </c>
      <c r="G124" s="50" t="e">
        <f>1.57*('Escalation Calcs - READ ONLY'!$D$8/'Escalation Calcs - READ ONLY'!$D$6)</f>
        <v>#VALUE!</v>
      </c>
      <c r="H124" s="4" t="s">
        <v>86</v>
      </c>
      <c r="I124" s="50" t="e">
        <f>1.68*('Escalation Calcs - READ ONLY'!$D$8/'Escalation Calcs - READ ONLY'!$D$6)</f>
        <v>#VALUE!</v>
      </c>
      <c r="J124" s="4" t="s">
        <v>87</v>
      </c>
      <c r="K124" s="50" t="e">
        <f>3.81*('Escalation Calcs - READ ONLY'!$D$8/'Escalation Calcs - READ ONLY'!$D$6)</f>
        <v>#VALUE!</v>
      </c>
      <c r="L124" s="4" t="s">
        <v>92</v>
      </c>
      <c r="M124" s="50">
        <v>4.3099999999999996</v>
      </c>
      <c r="N124" s="4" t="s">
        <v>92</v>
      </c>
      <c r="O124" s="56">
        <f>SUMIF('Physical Condition Assessment'!I135:O135,"X",'PCA Cost Tables - READ ONLY'!E124:K124)</f>
        <v>0</v>
      </c>
      <c r="P124" s="5"/>
    </row>
    <row r="125" spans="1:16" ht="15.75" thickBot="1" x14ac:dyDescent="0.3">
      <c r="A125" s="7"/>
      <c r="B125" s="8"/>
      <c r="D125" t="s">
        <v>401</v>
      </c>
      <c r="E125" s="51"/>
      <c r="F125" s="4" t="s">
        <v>85</v>
      </c>
      <c r="G125" s="41" t="e">
        <f>25*('Escalation Calcs - READ ONLY'!$D$8/'Escalation Calcs - READ ONLY'!$D$6)</f>
        <v>#VALUE!</v>
      </c>
      <c r="H125" s="4" t="s">
        <v>86</v>
      </c>
      <c r="I125" s="41" t="e">
        <f>50*('Escalation Calcs - READ ONLY'!$D$8/'Escalation Calcs - READ ONLY'!$D$6)</f>
        <v>#VALUE!</v>
      </c>
      <c r="J125" s="4" t="s">
        <v>87</v>
      </c>
      <c r="K125" s="41" t="e">
        <f>110*('Escalation Calcs - READ ONLY'!$D$8/'Escalation Calcs - READ ONLY'!$D$6)</f>
        <v>#VALUE!</v>
      </c>
      <c r="L125" s="4" t="s">
        <v>92</v>
      </c>
      <c r="M125" s="41">
        <v>35000</v>
      </c>
      <c r="N125" s="4" t="s">
        <v>92</v>
      </c>
      <c r="O125" s="56">
        <f>SUMIF('Physical Condition Assessment'!I136:O136,"X",'PCA Cost Tables - READ ONLY'!E125:K125)</f>
        <v>0</v>
      </c>
      <c r="P125" s="5" t="s">
        <v>220</v>
      </c>
    </row>
    <row r="126" spans="1:16" ht="15.75" thickBot="1" x14ac:dyDescent="0.3">
      <c r="A126" s="7"/>
      <c r="B126" s="8"/>
      <c r="D126" t="s">
        <v>221</v>
      </c>
      <c r="E126" s="50" t="e">
        <f>0.22*('Escalation Calcs - READ ONLY'!$D$8/'Escalation Calcs - READ ONLY'!$D$6)</f>
        <v>#VALUE!</v>
      </c>
      <c r="F126" s="4" t="s">
        <v>85</v>
      </c>
      <c r="G126" s="50" t="e">
        <f>1.27*('Escalation Calcs - READ ONLY'!$D$8/'Escalation Calcs - READ ONLY'!$D$6)</f>
        <v>#VALUE!</v>
      </c>
      <c r="H126" s="4" t="s">
        <v>86</v>
      </c>
      <c r="I126" s="50" t="e">
        <f>0.39*('Escalation Calcs - READ ONLY'!$D$8/'Escalation Calcs - READ ONLY'!$D$6)</f>
        <v>#VALUE!</v>
      </c>
      <c r="J126" s="4" t="s">
        <v>87</v>
      </c>
      <c r="K126" s="50" t="e">
        <f>1.98*('Escalation Calcs - READ ONLY'!$D$8/'Escalation Calcs - READ ONLY'!$D$6)</f>
        <v>#VALUE!</v>
      </c>
      <c r="L126" s="4" t="s">
        <v>92</v>
      </c>
      <c r="M126" s="50">
        <v>1.48</v>
      </c>
      <c r="N126" s="4" t="s">
        <v>92</v>
      </c>
      <c r="O126" s="56">
        <f>SUMIF('Physical Condition Assessment'!I137:O137,"X",'PCA Cost Tables - READ ONLY'!E126:K126)</f>
        <v>0</v>
      </c>
      <c r="P126" s="5"/>
    </row>
    <row r="127" spans="1:16" ht="15.75" thickBot="1" x14ac:dyDescent="0.3">
      <c r="A127" s="7"/>
      <c r="B127" s="8"/>
      <c r="C127" t="s">
        <v>222</v>
      </c>
      <c r="D127" t="s">
        <v>97</v>
      </c>
      <c r="E127" s="51"/>
      <c r="F127" s="4" t="s">
        <v>85</v>
      </c>
      <c r="G127" s="51"/>
      <c r="H127" s="4" t="s">
        <v>86</v>
      </c>
      <c r="I127" s="51"/>
      <c r="J127" s="4" t="s">
        <v>87</v>
      </c>
      <c r="K127" s="51"/>
      <c r="L127" s="4" t="s">
        <v>92</v>
      </c>
      <c r="M127" s="51"/>
      <c r="N127" s="4" t="s">
        <v>92</v>
      </c>
      <c r="O127" s="56">
        <f>SUMIF('Physical Condition Assessment'!I138:O138,"X",'PCA Cost Tables - READ ONLY'!E127:K127)</f>
        <v>0</v>
      </c>
      <c r="P127" s="39"/>
    </row>
    <row r="128" spans="1:16" ht="15.75" thickBot="1" x14ac:dyDescent="0.3">
      <c r="A128" s="7"/>
      <c r="B128" s="8"/>
      <c r="C128" t="s">
        <v>223</v>
      </c>
      <c r="D128" t="s">
        <v>97</v>
      </c>
      <c r="E128" s="51"/>
      <c r="F128" s="4" t="s">
        <v>85</v>
      </c>
      <c r="G128" s="51"/>
      <c r="H128" s="4" t="s">
        <v>86</v>
      </c>
      <c r="I128" s="51"/>
      <c r="J128" s="4" t="s">
        <v>87</v>
      </c>
      <c r="K128" s="51"/>
      <c r="L128" s="4" t="s">
        <v>92</v>
      </c>
      <c r="M128" s="51"/>
      <c r="N128" s="4" t="s">
        <v>92</v>
      </c>
      <c r="O128" s="224">
        <f>SUMIF('Physical Condition Assessment'!I139:O139,"X",'PCA Cost Tables - READ ONLY'!E128:K128)</f>
        <v>0</v>
      </c>
      <c r="P128" s="39"/>
    </row>
    <row r="129" spans="1:16" ht="15.75" thickBot="1" x14ac:dyDescent="0.3">
      <c r="A129" s="7"/>
      <c r="B129" s="8" t="s">
        <v>224</v>
      </c>
      <c r="I129" s="76"/>
      <c r="M129" s="46"/>
      <c r="O129" s="24"/>
      <c r="P129" s="4"/>
    </row>
    <row r="130" spans="1:16" ht="15.75" thickBot="1" x14ac:dyDescent="0.3">
      <c r="A130" s="7"/>
      <c r="B130" s="8"/>
      <c r="C130" t="s">
        <v>225</v>
      </c>
      <c r="E130" s="50" t="e">
        <f>1.39*('Escalation Calcs - READ ONLY'!$D$8/'Escalation Calcs - READ ONLY'!$D$6)</f>
        <v>#VALUE!</v>
      </c>
      <c r="F130" s="4" t="s">
        <v>85</v>
      </c>
      <c r="G130" s="50" t="e">
        <f>2.35*('Escalation Calcs - READ ONLY'!$D$8/'Escalation Calcs - READ ONLY'!$D$6)</f>
        <v>#VALUE!</v>
      </c>
      <c r="H130" s="4" t="s">
        <v>86</v>
      </c>
      <c r="I130" s="50" t="e">
        <f>3.74*('Escalation Calcs - READ ONLY'!$D$8/'Escalation Calcs - READ ONLY'!$D$6)</f>
        <v>#VALUE!</v>
      </c>
      <c r="J130" s="4" t="s">
        <v>87</v>
      </c>
      <c r="K130" s="50" t="e">
        <f>9.32*('Escalation Calcs - READ ONLY'!$D$8/'Escalation Calcs - READ ONLY'!$D$6)</f>
        <v>#VALUE!</v>
      </c>
      <c r="L130" s="4" t="s">
        <v>92</v>
      </c>
      <c r="M130" s="50">
        <v>16.32</v>
      </c>
      <c r="N130" s="4" t="s">
        <v>92</v>
      </c>
      <c r="O130" s="223">
        <f>SUMIF('Physical Condition Assessment'!I141:O141,"X",'PCA Cost Tables - READ ONLY'!E130:K130)</f>
        <v>0</v>
      </c>
      <c r="P130" s="5"/>
    </row>
    <row r="131" spans="1:16" ht="15.75" thickBot="1" x14ac:dyDescent="0.3">
      <c r="A131" s="7"/>
      <c r="B131" s="8"/>
      <c r="C131" t="s">
        <v>226</v>
      </c>
      <c r="E131" s="51"/>
      <c r="F131" s="4" t="s">
        <v>85</v>
      </c>
      <c r="G131" s="51"/>
      <c r="H131" s="4" t="s">
        <v>86</v>
      </c>
      <c r="I131" s="51"/>
      <c r="J131" s="4" t="s">
        <v>87</v>
      </c>
      <c r="K131" s="50" t="e">
        <f>24*('Escalation Calcs - READ ONLY'!$D$8/'Escalation Calcs - READ ONLY'!$D$6)</f>
        <v>#VALUE!</v>
      </c>
      <c r="L131" s="4" t="s">
        <v>92</v>
      </c>
      <c r="M131" s="50">
        <v>24</v>
      </c>
      <c r="N131" s="4" t="s">
        <v>92</v>
      </c>
      <c r="O131" s="224">
        <f>SUMIF('Physical Condition Assessment'!I142:O142,"X",'PCA Cost Tables - READ ONLY'!E131:K131)</f>
        <v>0</v>
      </c>
      <c r="P131" s="60"/>
    </row>
    <row r="132" spans="1:16" x14ac:dyDescent="0.25">
      <c r="A132" s="14" t="s">
        <v>227</v>
      </c>
      <c r="B132" s="17"/>
      <c r="C132" s="15"/>
      <c r="D132" s="15"/>
      <c r="E132" s="49"/>
      <c r="F132" s="16"/>
      <c r="G132" s="49"/>
      <c r="H132" s="16"/>
      <c r="I132" s="49"/>
      <c r="J132" s="16"/>
      <c r="K132" s="49"/>
      <c r="L132" s="16"/>
      <c r="M132" s="49"/>
      <c r="N132" s="16"/>
      <c r="O132" s="55"/>
      <c r="P132" s="16"/>
    </row>
    <row r="133" spans="1:16" x14ac:dyDescent="0.25">
      <c r="A133" s="7"/>
      <c r="M133" s="46"/>
      <c r="O133" s="24"/>
      <c r="P133" s="4"/>
    </row>
    <row r="134" spans="1:16" x14ac:dyDescent="0.25">
      <c r="A134" s="14" t="s">
        <v>228</v>
      </c>
      <c r="B134" s="15"/>
      <c r="C134" s="15"/>
      <c r="D134" s="15"/>
      <c r="E134" s="49"/>
      <c r="F134" s="16"/>
      <c r="G134" s="49"/>
      <c r="H134" s="16"/>
      <c r="I134" s="49"/>
      <c r="J134" s="16"/>
      <c r="K134" s="49"/>
      <c r="L134" s="16"/>
      <c r="M134" s="49"/>
      <c r="N134" s="16"/>
      <c r="O134" s="55"/>
      <c r="P134" s="16"/>
    </row>
    <row r="135" spans="1:16" x14ac:dyDescent="0.25">
      <c r="B135" s="8" t="s">
        <v>229</v>
      </c>
      <c r="D135" t="s">
        <v>97</v>
      </c>
      <c r="M135" s="46"/>
      <c r="O135" s="24"/>
      <c r="P135" s="4"/>
    </row>
    <row r="136" spans="1:16" ht="15.75" thickBot="1" x14ac:dyDescent="0.3">
      <c r="B136" s="8" t="s">
        <v>230</v>
      </c>
      <c r="E136" s="52"/>
      <c r="G136" s="52"/>
      <c r="I136" s="52"/>
      <c r="K136" s="52"/>
      <c r="M136" s="52"/>
      <c r="O136" s="59"/>
      <c r="P136" s="4"/>
    </row>
    <row r="137" spans="1:16" ht="15.75" thickBot="1" x14ac:dyDescent="0.3">
      <c r="B137" s="8"/>
      <c r="C137" t="s">
        <v>231</v>
      </c>
      <c r="E137" s="50" t="e">
        <f>1.57*('Escalation Calcs - READ ONLY'!$D$8/'Escalation Calcs - READ ONLY'!$D$6)</f>
        <v>#VALUE!</v>
      </c>
      <c r="F137" s="4" t="s">
        <v>85</v>
      </c>
      <c r="G137" s="51"/>
      <c r="H137" s="4" t="s">
        <v>86</v>
      </c>
      <c r="I137" s="50" t="e">
        <f>10*('Escalation Calcs - READ ONLY'!$D$8/'Escalation Calcs - READ ONLY'!$D$6)</f>
        <v>#VALUE!</v>
      </c>
      <c r="J137" s="4" t="s">
        <v>87</v>
      </c>
      <c r="K137" s="50" t="e">
        <f>15*('Escalation Calcs - READ ONLY'!$D$8/'Escalation Calcs - READ ONLY'!$D$6)</f>
        <v>#VALUE!</v>
      </c>
      <c r="L137" s="4" t="s">
        <v>92</v>
      </c>
      <c r="M137" s="50">
        <v>8</v>
      </c>
      <c r="N137" s="4" t="s">
        <v>92</v>
      </c>
      <c r="O137" s="223">
        <f>SUMIF('Physical Condition Assessment'!I148:O148,"X",'PCA Cost Tables - READ ONLY'!E137:K137)</f>
        <v>0</v>
      </c>
      <c r="P137" s="5" t="s">
        <v>232</v>
      </c>
    </row>
    <row r="138" spans="1:16" ht="15.75" thickBot="1" x14ac:dyDescent="0.3">
      <c r="B138" s="8"/>
      <c r="C138" t="s">
        <v>233</v>
      </c>
      <c r="E138" s="50" t="e">
        <f>1.57*('Escalation Calcs - READ ONLY'!$D$8/'Escalation Calcs - READ ONLY'!$D$6)</f>
        <v>#VALUE!</v>
      </c>
      <c r="F138" s="4" t="s">
        <v>85</v>
      </c>
      <c r="G138" s="51"/>
      <c r="H138" s="4" t="s">
        <v>86</v>
      </c>
      <c r="I138" s="50" t="e">
        <f>10*('Escalation Calcs - READ ONLY'!$D$8/'Escalation Calcs - READ ONLY'!$D$6)</f>
        <v>#VALUE!</v>
      </c>
      <c r="J138" s="4" t="s">
        <v>87</v>
      </c>
      <c r="K138" s="50" t="e">
        <f>15*('Escalation Calcs - READ ONLY'!$D$8/'Escalation Calcs - READ ONLY'!$D$6)</f>
        <v>#VALUE!</v>
      </c>
      <c r="L138" s="4" t="s">
        <v>92</v>
      </c>
      <c r="M138" s="50">
        <v>8</v>
      </c>
      <c r="N138" s="4" t="s">
        <v>92</v>
      </c>
      <c r="O138" s="56">
        <f>SUMIF('Physical Condition Assessment'!I149:O149,"X",'PCA Cost Tables - READ ONLY'!E138:K138)</f>
        <v>0</v>
      </c>
      <c r="P138" s="5" t="s">
        <v>232</v>
      </c>
    </row>
    <row r="139" spans="1:16" ht="15.75" thickBot="1" x14ac:dyDescent="0.3">
      <c r="B139" s="8"/>
      <c r="C139" t="s">
        <v>234</v>
      </c>
      <c r="E139" s="51"/>
      <c r="F139" s="4" t="s">
        <v>85</v>
      </c>
      <c r="G139" s="51"/>
      <c r="H139" s="4" t="s">
        <v>86</v>
      </c>
      <c r="I139" s="50" t="e">
        <f>10*('Escalation Calcs - READ ONLY'!$D$8/'Escalation Calcs - READ ONLY'!$D$6)</f>
        <v>#VALUE!</v>
      </c>
      <c r="J139" s="4" t="s">
        <v>87</v>
      </c>
      <c r="K139" s="50" t="e">
        <f>11*('Escalation Calcs - READ ONLY'!$D$8/'Escalation Calcs - READ ONLY'!$D$6)</f>
        <v>#VALUE!</v>
      </c>
      <c r="L139" s="4" t="s">
        <v>92</v>
      </c>
      <c r="M139" s="50">
        <v>11</v>
      </c>
      <c r="N139" s="4" t="s">
        <v>92</v>
      </c>
      <c r="O139" s="56">
        <f>SUMIF('Physical Condition Assessment'!I150:O150,"X",'PCA Cost Tables - READ ONLY'!E139:K139)</f>
        <v>0</v>
      </c>
      <c r="P139" s="5" t="s">
        <v>232</v>
      </c>
    </row>
    <row r="140" spans="1:16" ht="15.75" thickBot="1" x14ac:dyDescent="0.3">
      <c r="B140" s="8"/>
      <c r="C140" t="s">
        <v>235</v>
      </c>
      <c r="E140" s="51"/>
      <c r="F140" s="4" t="s">
        <v>85</v>
      </c>
      <c r="G140" s="51"/>
      <c r="H140" s="4" t="s">
        <v>86</v>
      </c>
      <c r="I140" s="50" t="e">
        <f>10*('Escalation Calcs - READ ONLY'!$D$8/'Escalation Calcs - READ ONLY'!$D$6)</f>
        <v>#VALUE!</v>
      </c>
      <c r="J140" s="4" t="s">
        <v>87</v>
      </c>
      <c r="K140" s="50" t="e">
        <f>35*('Escalation Calcs - READ ONLY'!$D$8/'Escalation Calcs - READ ONLY'!$D$6)</f>
        <v>#VALUE!</v>
      </c>
      <c r="L140" s="4" t="s">
        <v>92</v>
      </c>
      <c r="M140" s="50">
        <v>35</v>
      </c>
      <c r="N140" s="4" t="s">
        <v>92</v>
      </c>
      <c r="O140" s="56">
        <f>SUMIF('Physical Condition Assessment'!I151:O151,"X",'PCA Cost Tables - READ ONLY'!E140:K140)</f>
        <v>0</v>
      </c>
      <c r="P140" s="5" t="s">
        <v>236</v>
      </c>
    </row>
    <row r="141" spans="1:16" ht="15.75" thickBot="1" x14ac:dyDescent="0.3">
      <c r="C141" t="s">
        <v>237</v>
      </c>
      <c r="E141" s="51"/>
      <c r="F141" s="4" t="s">
        <v>85</v>
      </c>
      <c r="G141" s="51"/>
      <c r="H141" s="4" t="s">
        <v>86</v>
      </c>
      <c r="I141" s="51"/>
      <c r="J141" s="4" t="s">
        <v>87</v>
      </c>
      <c r="K141" s="50" t="e">
        <f>2.5*('Escalation Calcs - READ ONLY'!$D$8/'Escalation Calcs - READ ONLY'!$D$6)</f>
        <v>#VALUE!</v>
      </c>
      <c r="L141" s="4" t="s">
        <v>92</v>
      </c>
      <c r="M141" s="50">
        <v>2.5</v>
      </c>
      <c r="N141" s="4" t="s">
        <v>92</v>
      </c>
      <c r="O141" s="224">
        <f>SUMIF('Physical Condition Assessment'!I152:O152,"X",'PCA Cost Tables - READ ONLY'!E141:K141)</f>
        <v>0</v>
      </c>
      <c r="P141" s="5" t="s">
        <v>238</v>
      </c>
    </row>
    <row r="142" spans="1:16" ht="15.75" thickBot="1" x14ac:dyDescent="0.3">
      <c r="B142" s="8" t="s">
        <v>239</v>
      </c>
      <c r="I142" s="76"/>
      <c r="M142" s="46"/>
      <c r="O142" s="24"/>
      <c r="P142" s="4"/>
    </row>
    <row r="143" spans="1:16" ht="15.75" thickBot="1" x14ac:dyDescent="0.3">
      <c r="C143" t="s">
        <v>240</v>
      </c>
      <c r="D143" t="s">
        <v>241</v>
      </c>
      <c r="E143" s="51"/>
      <c r="F143" s="4" t="s">
        <v>85</v>
      </c>
      <c r="G143" s="51"/>
      <c r="H143" s="4" t="s">
        <v>86</v>
      </c>
      <c r="I143" s="51"/>
      <c r="J143" s="4" t="s">
        <v>87</v>
      </c>
      <c r="K143" s="50" t="e">
        <f>65*('Escalation Calcs - READ ONLY'!$D$8/'Escalation Calcs - READ ONLY'!$D$6)</f>
        <v>#VALUE!</v>
      </c>
      <c r="L143" s="4" t="s">
        <v>92</v>
      </c>
      <c r="M143" s="50">
        <v>65</v>
      </c>
      <c r="N143" s="4" t="s">
        <v>92</v>
      </c>
      <c r="O143" s="223">
        <f>SUMIF('Physical Condition Assessment'!I154:O154,"X",'PCA Cost Tables - READ ONLY'!E143:K143)</f>
        <v>0</v>
      </c>
      <c r="P143" s="5" t="s">
        <v>402</v>
      </c>
    </row>
    <row r="144" spans="1:16" ht="15.75" thickBot="1" x14ac:dyDescent="0.3">
      <c r="D144" t="s">
        <v>242</v>
      </c>
      <c r="E144" s="51"/>
      <c r="F144" s="4" t="s">
        <v>85</v>
      </c>
      <c r="G144" s="51"/>
      <c r="H144" s="4" t="s">
        <v>86</v>
      </c>
      <c r="I144" s="51"/>
      <c r="J144" s="4" t="s">
        <v>87</v>
      </c>
      <c r="K144" s="50" t="e">
        <f>65*('Escalation Calcs - READ ONLY'!$D$8/'Escalation Calcs - READ ONLY'!$D$6)</f>
        <v>#VALUE!</v>
      </c>
      <c r="L144" s="4" t="s">
        <v>92</v>
      </c>
      <c r="M144" s="50">
        <v>65</v>
      </c>
      <c r="N144" s="4" t="s">
        <v>92</v>
      </c>
      <c r="O144" s="56">
        <f>SUMIF('Physical Condition Assessment'!I155:O155,"X",'PCA Cost Tables - READ ONLY'!E144:K144)</f>
        <v>0</v>
      </c>
      <c r="P144" s="5" t="s">
        <v>402</v>
      </c>
    </row>
    <row r="145" spans="2:16" ht="15.75" thickBot="1" x14ac:dyDescent="0.3">
      <c r="C145" t="s">
        <v>244</v>
      </c>
      <c r="E145" s="51"/>
      <c r="F145" s="4" t="s">
        <v>85</v>
      </c>
      <c r="G145" s="51"/>
      <c r="H145" s="4" t="s">
        <v>86</v>
      </c>
      <c r="I145" s="51"/>
      <c r="J145" s="4" t="s">
        <v>87</v>
      </c>
      <c r="K145" s="50" t="e">
        <f>45*('Escalation Calcs - READ ONLY'!$D$8/'Escalation Calcs - READ ONLY'!$D$6)</f>
        <v>#VALUE!</v>
      </c>
      <c r="L145" s="4" t="s">
        <v>92</v>
      </c>
      <c r="M145" s="50">
        <v>45</v>
      </c>
      <c r="N145" s="4" t="s">
        <v>92</v>
      </c>
      <c r="O145" s="56">
        <f>SUMIF('Physical Condition Assessment'!I156:O156,"X",'PCA Cost Tables - READ ONLY'!E145:K145)</f>
        <v>0</v>
      </c>
      <c r="P145" s="5" t="s">
        <v>402</v>
      </c>
    </row>
    <row r="146" spans="2:16" ht="15.75" thickBot="1" x14ac:dyDescent="0.3">
      <c r="C146" t="s">
        <v>245</v>
      </c>
      <c r="E146" s="50" t="e">
        <f>2*('Escalation Calcs - READ ONLY'!$D$8/'Escalation Calcs - READ ONLY'!$D$6)</f>
        <v>#VALUE!</v>
      </c>
      <c r="F146" s="4" t="s">
        <v>85</v>
      </c>
      <c r="G146" s="50" t="e">
        <f>3*('Escalation Calcs - READ ONLY'!$D$8/'Escalation Calcs - READ ONLY'!$D$6)</f>
        <v>#VALUE!</v>
      </c>
      <c r="H146" s="4" t="s">
        <v>86</v>
      </c>
      <c r="I146" s="50" t="e">
        <f>4*('Escalation Calcs - READ ONLY'!$D$8/'Escalation Calcs - READ ONLY'!$D$6)</f>
        <v>#VALUE!</v>
      </c>
      <c r="J146" s="4" t="s">
        <v>87</v>
      </c>
      <c r="K146" s="50" t="e">
        <f>11*('Escalation Calcs - READ ONLY'!$D$8/'Escalation Calcs - READ ONLY'!$D$6)</f>
        <v>#VALUE!</v>
      </c>
      <c r="L146" s="4" t="s">
        <v>92</v>
      </c>
      <c r="M146" s="50">
        <v>2.46</v>
      </c>
      <c r="N146" s="4" t="s">
        <v>92</v>
      </c>
      <c r="O146" s="56">
        <f>SUMIF('Physical Condition Assessment'!I157:O157,"X",'PCA Cost Tables - READ ONLY'!E146:K146)</f>
        <v>0</v>
      </c>
      <c r="P146" s="5" t="s">
        <v>403</v>
      </c>
    </row>
    <row r="147" spans="2:16" ht="15.75" thickBot="1" x14ac:dyDescent="0.3">
      <c r="C147" t="s">
        <v>247</v>
      </c>
      <c r="E147" s="51"/>
      <c r="F147" s="4" t="s">
        <v>85</v>
      </c>
      <c r="G147" s="51"/>
      <c r="H147" s="4" t="s">
        <v>86</v>
      </c>
      <c r="I147" s="51"/>
      <c r="J147" s="4" t="s">
        <v>87</v>
      </c>
      <c r="K147" s="50" t="e">
        <f>225*('Escalation Calcs - READ ONLY'!$D$8/'Escalation Calcs - READ ONLY'!$D$6)</f>
        <v>#VALUE!</v>
      </c>
      <c r="L147" s="4" t="s">
        <v>92</v>
      </c>
      <c r="M147" s="50">
        <v>225</v>
      </c>
      <c r="N147" s="4" t="s">
        <v>92</v>
      </c>
      <c r="O147" s="56">
        <f>SUMIF('Physical Condition Assessment'!I158:O158,"X",'PCA Cost Tables - READ ONLY'!E147:K147)</f>
        <v>0</v>
      </c>
      <c r="P147" s="5" t="s">
        <v>404</v>
      </c>
    </row>
    <row r="148" spans="2:16" ht="15.75" thickBot="1" x14ac:dyDescent="0.3">
      <c r="C148" t="s">
        <v>248</v>
      </c>
      <c r="E148" s="51"/>
      <c r="F148" s="4" t="s">
        <v>85</v>
      </c>
      <c r="G148" s="51"/>
      <c r="H148" s="4" t="s">
        <v>86</v>
      </c>
      <c r="I148" s="51"/>
      <c r="J148" s="4" t="s">
        <v>87</v>
      </c>
      <c r="K148" s="50" t="e">
        <f>225*('Escalation Calcs - READ ONLY'!$D$8/'Escalation Calcs - READ ONLY'!$D$6)</f>
        <v>#VALUE!</v>
      </c>
      <c r="L148" s="4" t="s">
        <v>92</v>
      </c>
      <c r="M148" s="50">
        <v>225</v>
      </c>
      <c r="N148" s="4" t="s">
        <v>92</v>
      </c>
      <c r="O148" s="56">
        <f>SUMIF('Physical Condition Assessment'!I159:O159,"X",'PCA Cost Tables - READ ONLY'!E148:K148)</f>
        <v>0</v>
      </c>
      <c r="P148" s="5" t="s">
        <v>405</v>
      </c>
    </row>
    <row r="149" spans="2:16" ht="15.75" thickBot="1" x14ac:dyDescent="0.3">
      <c r="C149" t="s">
        <v>249</v>
      </c>
      <c r="E149" s="51"/>
      <c r="F149" s="4" t="s">
        <v>85</v>
      </c>
      <c r="G149" s="51"/>
      <c r="H149" s="4" t="s">
        <v>86</v>
      </c>
      <c r="I149" s="51"/>
      <c r="J149" s="4" t="s">
        <v>87</v>
      </c>
      <c r="K149" s="50" t="e">
        <f>35*('Escalation Calcs - READ ONLY'!$D$8/'Escalation Calcs - READ ONLY'!$D$6)</f>
        <v>#VALUE!</v>
      </c>
      <c r="L149" s="4" t="s">
        <v>92</v>
      </c>
      <c r="M149" s="50">
        <v>35</v>
      </c>
      <c r="N149" s="4" t="s">
        <v>92</v>
      </c>
      <c r="O149" s="56">
        <f>SUMIF('Physical Condition Assessment'!I160:O160,"X",'PCA Cost Tables - READ ONLY'!E149:K149)</f>
        <v>0</v>
      </c>
      <c r="P149" s="5" t="s">
        <v>406</v>
      </c>
    </row>
    <row r="150" spans="2:16" ht="15.75" thickBot="1" x14ac:dyDescent="0.3">
      <c r="C150" t="s">
        <v>250</v>
      </c>
      <c r="D150" t="s">
        <v>97</v>
      </c>
      <c r="E150" s="51"/>
      <c r="F150" s="4" t="s">
        <v>85</v>
      </c>
      <c r="G150" s="51"/>
      <c r="H150" s="4" t="s">
        <v>86</v>
      </c>
      <c r="I150" s="51"/>
      <c r="J150" s="4" t="s">
        <v>87</v>
      </c>
      <c r="K150" s="51"/>
      <c r="L150" s="4" t="s">
        <v>92</v>
      </c>
      <c r="M150" s="51"/>
      <c r="N150" s="4" t="s">
        <v>92</v>
      </c>
      <c r="O150" s="224">
        <f>SUMIF('Physical Condition Assessment'!I161:O161,"X",'PCA Cost Tables - READ ONLY'!E150:K150)</f>
        <v>0</v>
      </c>
      <c r="P150" s="39"/>
    </row>
    <row r="151" spans="2:16" ht="15.75" thickBot="1" x14ac:dyDescent="0.3">
      <c r="B151" s="8" t="s">
        <v>251</v>
      </c>
      <c r="I151" s="76"/>
      <c r="M151" s="46"/>
      <c r="O151" s="24"/>
      <c r="P151" s="4"/>
    </row>
    <row r="152" spans="2:16" ht="15.75" thickBot="1" x14ac:dyDescent="0.3">
      <c r="C152" t="s">
        <v>252</v>
      </c>
      <c r="D152" t="s">
        <v>253</v>
      </c>
      <c r="E152" s="51"/>
      <c r="F152" s="4" t="s">
        <v>85</v>
      </c>
      <c r="G152" s="51"/>
      <c r="H152" s="4" t="s">
        <v>86</v>
      </c>
      <c r="I152" s="50" t="e">
        <f>0.81*('Escalation Calcs - READ ONLY'!$D$8/'Escalation Calcs - READ ONLY'!$D$6)</f>
        <v>#VALUE!</v>
      </c>
      <c r="J152" s="4" t="s">
        <v>87</v>
      </c>
      <c r="K152" s="50" t="e">
        <f>2.48*('Escalation Calcs - READ ONLY'!$D$8/'Escalation Calcs - READ ONLY'!$D$6)</f>
        <v>#VALUE!</v>
      </c>
      <c r="L152" s="4" t="s">
        <v>92</v>
      </c>
      <c r="M152" s="50">
        <v>2.48</v>
      </c>
      <c r="N152" s="4" t="s">
        <v>92</v>
      </c>
      <c r="O152" s="223">
        <f>SUMIF('Physical Condition Assessment'!I163:O163,"X",'PCA Cost Tables - READ ONLY'!E152:K152)</f>
        <v>0</v>
      </c>
      <c r="P152" s="5"/>
    </row>
    <row r="153" spans="2:16" ht="15.75" thickBot="1" x14ac:dyDescent="0.3">
      <c r="D153" t="s">
        <v>254</v>
      </c>
      <c r="E153" s="50" t="e">
        <f>2000*('Escalation Calcs - READ ONLY'!$D$8/'Escalation Calcs - READ ONLY'!$D$6)</f>
        <v>#VALUE!</v>
      </c>
      <c r="F153" s="4" t="s">
        <v>85</v>
      </c>
      <c r="G153" s="50" t="e">
        <f>10000*('Escalation Calcs - READ ONLY'!$D$8/'Escalation Calcs - READ ONLY'!$D$6)</f>
        <v>#VALUE!</v>
      </c>
      <c r="H153" s="4" t="s">
        <v>86</v>
      </c>
      <c r="I153" s="50" t="e">
        <f>50000*('Escalation Calcs - READ ONLY'!$D$8/'Escalation Calcs - READ ONLY'!$D$6)</f>
        <v>#VALUE!</v>
      </c>
      <c r="J153" s="4" t="s">
        <v>87</v>
      </c>
      <c r="K153" s="50" t="e">
        <f>50000*('Escalation Calcs - READ ONLY'!$D$8/'Escalation Calcs - READ ONLY'!$D$6)</f>
        <v>#VALUE!</v>
      </c>
      <c r="L153" s="4" t="s">
        <v>92</v>
      </c>
      <c r="M153" s="50">
        <v>30000</v>
      </c>
      <c r="N153" s="4" t="s">
        <v>92</v>
      </c>
      <c r="O153" s="56">
        <f>SUMIF('Physical Condition Assessment'!I164:O164,"X",'PCA Cost Tables - READ ONLY'!E153:K153)</f>
        <v>0</v>
      </c>
      <c r="P153" s="5" t="s">
        <v>407</v>
      </c>
    </row>
    <row r="154" spans="2:16" ht="15.75" thickBot="1" x14ac:dyDescent="0.3">
      <c r="C154" t="s">
        <v>255</v>
      </c>
      <c r="E154" s="51"/>
      <c r="F154" s="4" t="s">
        <v>85</v>
      </c>
      <c r="G154" s="50" t="e">
        <f>0.73*('Escalation Calcs - READ ONLY'!$D$8/'Escalation Calcs - READ ONLY'!$D$6)</f>
        <v>#VALUE!</v>
      </c>
      <c r="H154" s="4" t="s">
        <v>86</v>
      </c>
      <c r="I154" s="51"/>
      <c r="J154" s="4" t="s">
        <v>87</v>
      </c>
      <c r="K154" s="50" t="e">
        <f>1.3*('Escalation Calcs - READ ONLY'!$D$8/'Escalation Calcs - READ ONLY'!$D$6)</f>
        <v>#VALUE!</v>
      </c>
      <c r="L154" s="4" t="s">
        <v>92</v>
      </c>
      <c r="M154" s="50">
        <v>1.3</v>
      </c>
      <c r="N154" s="4" t="s">
        <v>92</v>
      </c>
      <c r="O154" s="56">
        <f>SUMIF('Physical Condition Assessment'!I165:O165,"X",'PCA Cost Tables - READ ONLY'!E154:K154)</f>
        <v>0</v>
      </c>
      <c r="P154" s="5"/>
    </row>
    <row r="155" spans="2:16" ht="15.75" thickBot="1" x14ac:dyDescent="0.3">
      <c r="C155" t="s">
        <v>256</v>
      </c>
      <c r="E155" s="51"/>
      <c r="F155" s="4" t="s">
        <v>85</v>
      </c>
      <c r="G155" s="51"/>
      <c r="H155" s="4" t="s">
        <v>86</v>
      </c>
      <c r="I155" s="51"/>
      <c r="J155" s="4" t="s">
        <v>87</v>
      </c>
      <c r="K155" s="50" t="e">
        <f>0.8*('Escalation Calcs - READ ONLY'!$D$8/'Escalation Calcs - READ ONLY'!$D$6)</f>
        <v>#VALUE!</v>
      </c>
      <c r="L155" s="4" t="s">
        <v>92</v>
      </c>
      <c r="M155" s="50">
        <v>0.8</v>
      </c>
      <c r="N155" s="4" t="s">
        <v>92</v>
      </c>
      <c r="O155" s="56">
        <f>SUMIF('Physical Condition Assessment'!I166:O166,"X",'PCA Cost Tables - READ ONLY'!E155:K155)</f>
        <v>0</v>
      </c>
      <c r="P155" s="5"/>
    </row>
    <row r="156" spans="2:16" ht="15.75" thickBot="1" x14ac:dyDescent="0.3">
      <c r="C156" t="s">
        <v>258</v>
      </c>
      <c r="D156" t="s">
        <v>97</v>
      </c>
      <c r="E156" s="51"/>
      <c r="F156" s="4" t="s">
        <v>85</v>
      </c>
      <c r="G156" s="51"/>
      <c r="H156" s="4" t="s">
        <v>86</v>
      </c>
      <c r="I156" s="51"/>
      <c r="J156" s="4" t="s">
        <v>87</v>
      </c>
      <c r="K156" s="51"/>
      <c r="L156" s="4" t="s">
        <v>92</v>
      </c>
      <c r="M156" s="51"/>
      <c r="N156" s="4" t="s">
        <v>92</v>
      </c>
      <c r="O156" s="224">
        <f>SUMIF('Physical Condition Assessment'!I167:O167,"X",'PCA Cost Tables - READ ONLY'!E156:K156)</f>
        <v>0</v>
      </c>
      <c r="P156" s="39"/>
    </row>
    <row r="157" spans="2:16" x14ac:dyDescent="0.25">
      <c r="B157" s="8" t="s">
        <v>259</v>
      </c>
      <c r="D157" t="s">
        <v>97</v>
      </c>
      <c r="M157" s="59"/>
    </row>
    <row r="160" spans="2:16" x14ac:dyDescent="0.25">
      <c r="B160" s="137" t="s">
        <v>408</v>
      </c>
      <c r="C160" s="63"/>
      <c r="D160" s="63"/>
      <c r="E160" s="138"/>
      <c r="F160" s="62"/>
      <c r="G160" s="138"/>
      <c r="H160" s="62"/>
      <c r="I160" s="138"/>
      <c r="J160" s="62"/>
      <c r="K160" s="138"/>
      <c r="L160" s="62"/>
      <c r="M160" s="139"/>
      <c r="N160" s="62"/>
      <c r="O160" s="63"/>
      <c r="P160" s="63"/>
    </row>
  </sheetData>
  <sheetProtection sheet="1" objects="1" scenarios="1"/>
  <mergeCells count="10">
    <mergeCell ref="A4:B4"/>
    <mergeCell ref="D2:F2"/>
    <mergeCell ref="D1:F1"/>
    <mergeCell ref="D3:F3"/>
    <mergeCell ref="H3:P3"/>
    <mergeCell ref="H2:P2"/>
    <mergeCell ref="H1:P1"/>
    <mergeCell ref="A1:B1"/>
    <mergeCell ref="A2:B2"/>
    <mergeCell ref="A3:B3"/>
  </mergeCells>
  <pageMargins left="0.7" right="0.7" top="0.75" bottom="0.75" header="0.3" footer="0.3"/>
  <pageSetup scale="57" fitToHeight="4" orientation="landscape" useFirstPageNumber="1" r:id="rId1"/>
  <headerFooter>
    <oddHeader>&amp;C&amp;"-,Bold"&amp;K000000&amp;A</oddHeader>
    <oddFooter>&amp;LPage &amp;P&amp;RState of Oregon
School Facilities Assessment Template
7/31/2023</oddFooter>
  </headerFooter>
  <rowBreaks count="3" manualBreakCount="3">
    <brk id="52" max="15" man="1"/>
    <brk id="98" max="15" man="1"/>
    <brk id="141" max="15" man="1"/>
  </rowBreaks>
  <ignoredErrors>
    <ignoredError sqref="G28 I28" formula="1"/>
  </ignoredError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pageSetUpPr fitToPage="1"/>
  </sheetPr>
  <dimension ref="A1:G30"/>
  <sheetViews>
    <sheetView showGridLines="0" zoomScaleNormal="100" workbookViewId="0">
      <selection sqref="A1:C1"/>
    </sheetView>
  </sheetViews>
  <sheetFormatPr defaultColWidth="8.85546875" defaultRowHeight="15" x14ac:dyDescent="0.25"/>
  <cols>
    <col min="1" max="1" width="22.28515625" customWidth="1"/>
    <col min="2" max="2" width="17.140625" customWidth="1"/>
    <col min="3" max="3" width="21.42578125" customWidth="1"/>
    <col min="4" max="4" width="11.7109375" customWidth="1"/>
    <col min="5" max="5" width="17.42578125" customWidth="1"/>
    <col min="7" max="10" width="8.85546875" customWidth="1"/>
  </cols>
  <sheetData>
    <row r="1" spans="1:7" x14ac:dyDescent="0.25">
      <c r="A1" s="469" t="s">
        <v>503</v>
      </c>
      <c r="B1" s="469"/>
      <c r="C1" s="469"/>
    </row>
    <row r="2" spans="1:7" x14ac:dyDescent="0.25">
      <c r="A2" s="4"/>
      <c r="F2" s="73" t="s">
        <v>504</v>
      </c>
    </row>
    <row r="3" spans="1:7" x14ac:dyDescent="0.25">
      <c r="F3" s="73" t="s">
        <v>804</v>
      </c>
    </row>
    <row r="4" spans="1:7" x14ac:dyDescent="0.25">
      <c r="C4" s="73" t="str">
        <f>CONCATENATE("Escalated to: ",'Escalation Calcs - READ ONLY'!B14)</f>
        <v>Escalated to: 11/5/2026</v>
      </c>
    </row>
    <row r="5" spans="1:7" ht="57" customHeight="1" x14ac:dyDescent="0.25">
      <c r="A5" s="239" t="s">
        <v>505</v>
      </c>
      <c r="B5" s="240" t="s">
        <v>506</v>
      </c>
      <c r="C5" s="240" t="s">
        <v>805</v>
      </c>
      <c r="D5" s="240" t="s">
        <v>507</v>
      </c>
      <c r="E5" s="240" t="s">
        <v>508</v>
      </c>
      <c r="G5" s="128"/>
    </row>
    <row r="6" spans="1:7" x14ac:dyDescent="0.25">
      <c r="A6" s="20" t="s">
        <v>510</v>
      </c>
      <c r="B6" s="36">
        <v>500</v>
      </c>
      <c r="C6" s="61">
        <f>B6*('Escalation Calcs - READ ONLY'!$D$14/'Escalation Calcs - READ ONLY'!$D$7)</f>
        <v>602.02084517377114</v>
      </c>
      <c r="D6" s="36">
        <f>C6*'PCA Cost Tables - READ ONLY'!$G$2</f>
        <v>830.78876633980406</v>
      </c>
      <c r="E6" s="72">
        <f>IF('Base Information'!$B$11=A6,'Building Type Budget-READ ONLY'!D6,0)</f>
        <v>0</v>
      </c>
      <c r="G6" s="128"/>
    </row>
    <row r="7" spans="1:7" x14ac:dyDescent="0.25">
      <c r="A7" s="20" t="s">
        <v>511</v>
      </c>
      <c r="B7" s="36">
        <v>525</v>
      </c>
      <c r="C7" s="61">
        <f>B7*('Escalation Calcs - READ ONLY'!$D$14/'Escalation Calcs - READ ONLY'!$D$7)</f>
        <v>632.12188743245974</v>
      </c>
      <c r="D7" s="36">
        <f>C7*'PCA Cost Tables - READ ONLY'!$G$2</f>
        <v>872.32820465679436</v>
      </c>
      <c r="E7" s="72">
        <f>IF('Base Information'!$B$11=A7,'Building Type Budget-READ ONLY'!D7,0)</f>
        <v>0</v>
      </c>
      <c r="G7" s="128"/>
    </row>
    <row r="8" spans="1:7" x14ac:dyDescent="0.25">
      <c r="A8" s="20" t="s">
        <v>512</v>
      </c>
      <c r="B8" s="36">
        <v>550</v>
      </c>
      <c r="C8" s="61">
        <f>B8*('Escalation Calcs - READ ONLY'!$D$14/'Escalation Calcs - READ ONLY'!$D$7)</f>
        <v>662.22292969114835</v>
      </c>
      <c r="D8" s="36">
        <f>C8*'PCA Cost Tables - READ ONLY'!$G$2</f>
        <v>913.86764297378465</v>
      </c>
      <c r="E8" s="72">
        <f>IF('Base Information'!$B$11=A8,'Building Type Budget-READ ONLY'!D8,0)</f>
        <v>0</v>
      </c>
      <c r="G8" s="128"/>
    </row>
    <row r="9" spans="1:7" x14ac:dyDescent="0.25">
      <c r="A9" s="20" t="s">
        <v>513</v>
      </c>
      <c r="B9" s="36">
        <v>600</v>
      </c>
      <c r="C9" s="61">
        <f>B9*('Escalation Calcs - READ ONLY'!$D$14/'Escalation Calcs - READ ONLY'!$D$7)</f>
        <v>722.42501420852545</v>
      </c>
      <c r="D9" s="36">
        <f>C9*'PCA Cost Tables - READ ONLY'!$G$2</f>
        <v>996.94651960776503</v>
      </c>
      <c r="E9" s="72">
        <f>IF('Base Information'!$B$11=A9,'Building Type Budget-READ ONLY'!D9,0)</f>
        <v>0</v>
      </c>
      <c r="G9" s="128"/>
    </row>
    <row r="10" spans="1:7" x14ac:dyDescent="0.25">
      <c r="A10" s="20" t="s">
        <v>514</v>
      </c>
      <c r="B10" s="36">
        <v>504.63440000000003</v>
      </c>
      <c r="C10" s="61">
        <f>B10*('Escalation Calcs - READ ONLY'!$D$14/'Escalation Calcs - READ ONLY'!$D$7)</f>
        <v>607.60085598351793</v>
      </c>
      <c r="D10" s="36">
        <f>C10*'PCA Cost Tables - READ ONLY'!$G$2</f>
        <v>838.4891812572547</v>
      </c>
      <c r="E10" s="72">
        <f>IF('Base Information'!$B$11=A10,'Building Type Budget-READ ONLY'!D10,0)</f>
        <v>0</v>
      </c>
    </row>
    <row r="11" spans="1:7" x14ac:dyDescent="0.25">
      <c r="A11" s="20" t="s">
        <v>515</v>
      </c>
      <c r="B11" s="36">
        <v>624.3383</v>
      </c>
      <c r="C11" s="61">
        <f>B11*('Escalation Calcs - READ ONLY'!$D$14/'Escalation Calcs - READ ONLY'!$D$7)</f>
        <v>751.72934208071104</v>
      </c>
      <c r="D11" s="36">
        <f>C11*'PCA Cost Tables - READ ONLY'!$G$2</f>
        <v>1037.3864920713811</v>
      </c>
      <c r="E11" s="72">
        <f>IF('Base Information'!$B$11=A11,'Building Type Budget-READ ONLY'!D11,0)</f>
        <v>0</v>
      </c>
    </row>
    <row r="12" spans="1:7" x14ac:dyDescent="0.25">
      <c r="A12" s="20" t="s">
        <v>516</v>
      </c>
      <c r="B12" s="36">
        <v>472.94799999999998</v>
      </c>
      <c r="C12" s="61">
        <f>B12*('Escalation Calcs - READ ONLY'!$D$14/'Escalation Calcs - READ ONLY'!$D$7)</f>
        <v>569.44910936648944</v>
      </c>
      <c r="D12" s="36">
        <f>C12*'PCA Cost Tables - READ ONLY'!$G$2</f>
        <v>785.83977092575537</v>
      </c>
      <c r="E12" s="72">
        <f>IF('Base Information'!$B$11=A12,'Building Type Budget-READ ONLY'!D12,0)</f>
        <v>0</v>
      </c>
    </row>
    <row r="13" spans="1:7" x14ac:dyDescent="0.25">
      <c r="A13" s="20" t="s">
        <v>517</v>
      </c>
      <c r="B13" s="36">
        <v>375.5419</v>
      </c>
      <c r="C13" s="61">
        <f>B13*('Escalation Calcs - READ ONLY'!$D$14/'Escalation Calcs - READ ONLY'!$D$7)</f>
        <v>452.16810407232771</v>
      </c>
      <c r="D13" s="36">
        <f>C13*'PCA Cost Tables - READ ONLY'!$G$2</f>
        <v>623.99198361981223</v>
      </c>
      <c r="E13" s="72">
        <f>IF('Base Information'!$B$11=A13,'Building Type Budget-READ ONLY'!D13,0)</f>
        <v>0</v>
      </c>
    </row>
    <row r="14" spans="1:7" x14ac:dyDescent="0.25">
      <c r="A14" s="20" t="s">
        <v>518</v>
      </c>
      <c r="B14" s="36">
        <v>475.29520000000002</v>
      </c>
      <c r="C14" s="61">
        <f>B14*('Escalation Calcs - READ ONLY'!$D$14/'Escalation Calcs - READ ONLY'!$D$7)</f>
        <v>572.27523602207327</v>
      </c>
      <c r="D14" s="36">
        <f>C14*'PCA Cost Tables - READ ONLY'!$G$2</f>
        <v>789.7398257104611</v>
      </c>
      <c r="E14" s="72">
        <f>IF('Base Information'!$B$11=A14,'Building Type Budget-READ ONLY'!D14,0)</f>
        <v>0</v>
      </c>
    </row>
    <row r="15" spans="1:7" x14ac:dyDescent="0.25">
      <c r="A15" s="20" t="s">
        <v>519</v>
      </c>
      <c r="B15" s="36">
        <v>357.93830000000003</v>
      </c>
      <c r="C15" s="61">
        <f>B15*('Escalation Calcs - READ ONLY'!$D$14/'Escalation Calcs - READ ONLY'!$D$7)</f>
        <v>430.97263577212578</v>
      </c>
      <c r="D15" s="36">
        <f>C15*'PCA Cost Tables - READ ONLY'!$G$2</f>
        <v>594.74223736553358</v>
      </c>
      <c r="E15" s="72">
        <f>IF('Base Information'!$B$11=A15,'Building Type Budget-READ ONLY'!D15,0)</f>
        <v>0</v>
      </c>
    </row>
    <row r="16" spans="1:7" x14ac:dyDescent="0.25">
      <c r="A16" s="20" t="s">
        <v>520</v>
      </c>
      <c r="B16" s="36">
        <v>357.93830000000003</v>
      </c>
      <c r="C16" s="61">
        <f>B16*('Escalation Calcs - READ ONLY'!$D$14/'Escalation Calcs - READ ONLY'!$D$7)</f>
        <v>430.97263577212578</v>
      </c>
      <c r="D16" s="36">
        <f>C16*'PCA Cost Tables - READ ONLY'!$G$2</f>
        <v>594.74223736553358</v>
      </c>
      <c r="E16" s="72">
        <f>IF('Base Information'!$B$11=A16,'Building Type Budget-READ ONLY'!D16,0)</f>
        <v>0</v>
      </c>
    </row>
    <row r="17" spans="1:5" x14ac:dyDescent="0.25">
      <c r="A17" s="20" t="s">
        <v>521</v>
      </c>
      <c r="B17" s="36">
        <v>557.44489999999996</v>
      </c>
      <c r="C17" s="61">
        <f>B17*('Escalation Calcs - READ ONLY'!$D$14/'Escalation Calcs - READ ONLY'!$D$7)</f>
        <v>671.18689967161663</v>
      </c>
      <c r="D17" s="36">
        <f>C17*'PCA Cost Tables - READ ONLY'!$G$2</f>
        <v>926.23792154683088</v>
      </c>
      <c r="E17" s="72">
        <f>IF('Base Information'!$B$11=A17,'Building Type Budget-READ ONLY'!D17,0)</f>
        <v>0</v>
      </c>
    </row>
    <row r="18" spans="1:5" x14ac:dyDescent="0.25">
      <c r="A18" s="20" t="s">
        <v>522</v>
      </c>
      <c r="B18" s="36">
        <v>340.33479999999997</v>
      </c>
      <c r="C18" s="61">
        <f>B18*('Escalation Calcs - READ ONLY'!$D$14/'Escalation Calcs - READ ONLY'!$D$7)</f>
        <v>409.77728787609271</v>
      </c>
      <c r="D18" s="36">
        <f>C18*'PCA Cost Tables - READ ONLY'!$G$2</f>
        <v>565.49265726900785</v>
      </c>
      <c r="E18" s="72">
        <f>IF('Base Information'!$B$11=A18,'Building Type Budget-READ ONLY'!D18,0)</f>
        <v>0</v>
      </c>
    </row>
    <row r="19" spans="1:5" x14ac:dyDescent="0.25">
      <c r="A19" s="20" t="s">
        <v>523</v>
      </c>
      <c r="B19" s="36">
        <v>357.93830000000003</v>
      </c>
      <c r="C19" s="61">
        <f>B19*('Escalation Calcs - READ ONLY'!$D$14/'Escalation Calcs - READ ONLY'!$D$7)</f>
        <v>430.97263577212578</v>
      </c>
      <c r="D19" s="36">
        <f>C19*'PCA Cost Tables - READ ONLY'!$G$2</f>
        <v>594.74223736553358</v>
      </c>
      <c r="E19" s="72">
        <f>IF('Base Information'!$B$11=A19,'Building Type Budget-READ ONLY'!D19,0)</f>
        <v>0</v>
      </c>
    </row>
    <row r="20" spans="1:5" x14ac:dyDescent="0.25">
      <c r="A20" s="20" t="s">
        <v>524</v>
      </c>
      <c r="B20" s="36">
        <v>316.86340000000001</v>
      </c>
      <c r="C20" s="61">
        <f>B20*('Escalation Calcs - READ ONLY'!$D$14/'Escalation Calcs - READ ONLY'!$D$7)</f>
        <v>381.51674374526948</v>
      </c>
      <c r="D20" s="36">
        <f>C20*'PCA Cost Tables - READ ONLY'!$G$2</f>
        <v>526.49310636847179</v>
      </c>
      <c r="E20" s="72">
        <f>IF('Base Information'!$B$11=A20,'Building Type Budget-READ ONLY'!D20,0)</f>
        <v>0</v>
      </c>
    </row>
    <row r="21" spans="1:5" x14ac:dyDescent="0.25">
      <c r="A21" s="20" t="s">
        <v>525</v>
      </c>
      <c r="B21" s="36">
        <v>150</v>
      </c>
      <c r="C21" s="61">
        <f>B21*('Escalation Calcs - READ ONLY'!$D$14/'Escalation Calcs - READ ONLY'!$D$7)</f>
        <v>180.60625355213136</v>
      </c>
      <c r="D21" s="36">
        <f>C21*'PCA Cost Tables - READ ONLY'!$G$2</f>
        <v>249.23662990194126</v>
      </c>
      <c r="E21" s="72">
        <f>IF('Base Information'!$B$11=A21,'Building Type Budget-READ ONLY'!D21,0)</f>
        <v>0</v>
      </c>
    </row>
    <row r="22" spans="1:5" x14ac:dyDescent="0.25">
      <c r="A22" s="20" t="s">
        <v>526</v>
      </c>
      <c r="B22" s="36">
        <v>394.31889999999999</v>
      </c>
      <c r="C22" s="61">
        <f>B22*('Escalation Calcs - READ ONLY'!$D$14/'Escalation Calcs - READ ONLY'!$D$7)</f>
        <v>474.7763948919835</v>
      </c>
      <c r="D22" s="36">
        <f>C22*'PCA Cost Tables - READ ONLY'!$G$2</f>
        <v>655.19142495093718</v>
      </c>
      <c r="E22" s="72">
        <f>IF('Base Information'!$B$11=A22,'Building Type Budget-READ ONLY'!D22,0)</f>
        <v>0</v>
      </c>
    </row>
    <row r="23" spans="1:5" x14ac:dyDescent="0.25">
      <c r="B23" s="13"/>
      <c r="C23" s="13"/>
      <c r="D23" s="43" t="s">
        <v>527</v>
      </c>
      <c r="E23" s="238">
        <f>IF(SUM(E6:E22)&gt;0, SUM(E6:E22), 1)</f>
        <v>1</v>
      </c>
    </row>
    <row r="26" spans="1:5" x14ac:dyDescent="0.25">
      <c r="A26" s="4" t="s">
        <v>528</v>
      </c>
    </row>
    <row r="27" spans="1:5" x14ac:dyDescent="0.25">
      <c r="A27" t="s">
        <v>529</v>
      </c>
    </row>
    <row r="28" spans="1:5" x14ac:dyDescent="0.25">
      <c r="A28" s="35" t="s">
        <v>530</v>
      </c>
    </row>
    <row r="29" spans="1:5" ht="32.25" customHeight="1" x14ac:dyDescent="0.25">
      <c r="A29" s="473" t="s">
        <v>807</v>
      </c>
      <c r="B29" s="474"/>
      <c r="C29" s="474"/>
      <c r="D29" s="474"/>
      <c r="E29" s="474"/>
    </row>
    <row r="30" spans="1:5" ht="49.5" customHeight="1" x14ac:dyDescent="0.25">
      <c r="A30" s="474" t="s">
        <v>531</v>
      </c>
      <c r="B30" s="474"/>
      <c r="C30" s="474"/>
      <c r="D30" s="474"/>
      <c r="E30" s="474"/>
    </row>
  </sheetData>
  <sheetProtection sheet="1" objects="1" scenarios="1"/>
  <mergeCells count="3">
    <mergeCell ref="A29:E29"/>
    <mergeCell ref="A30:E30"/>
    <mergeCell ref="A1:C1"/>
  </mergeCells>
  <pageMargins left="0.7" right="0.7" top="0.75" bottom="0.75" header="0.3" footer="0.3"/>
  <pageSetup orientation="portrait" r:id="rId1"/>
  <headerFooter>
    <oddFooter>&amp;C&amp;"-,Bold"&amp;A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pageSetUpPr fitToPage="1"/>
  </sheetPr>
  <dimension ref="A1:L44"/>
  <sheetViews>
    <sheetView showGridLines="0" zoomScaleNormal="100" workbookViewId="0">
      <selection sqref="A1:I1"/>
    </sheetView>
  </sheetViews>
  <sheetFormatPr defaultColWidth="8.85546875" defaultRowHeight="15.75" x14ac:dyDescent="0.25"/>
  <cols>
    <col min="1" max="1" width="20.7109375" style="147" customWidth="1"/>
    <col min="2" max="2" width="11.42578125" style="160" customWidth="1"/>
    <col min="3" max="3" width="11.85546875" style="147" bestFit="1" customWidth="1"/>
    <col min="4" max="4" width="11.85546875" style="147" customWidth="1"/>
    <col min="5" max="6" width="0" style="147" hidden="1" customWidth="1"/>
    <col min="7" max="8" width="15.140625" style="147" hidden="1" customWidth="1"/>
    <col min="9" max="9" width="54" style="147" customWidth="1"/>
    <col min="10" max="16384" width="8.85546875" style="147"/>
  </cols>
  <sheetData>
    <row r="1" spans="1:12" x14ac:dyDescent="0.25">
      <c r="A1" s="475" t="s">
        <v>532</v>
      </c>
      <c r="B1" s="475"/>
      <c r="C1" s="475"/>
      <c r="D1" s="475"/>
      <c r="E1" s="475"/>
      <c r="F1" s="475"/>
      <c r="G1" s="475"/>
      <c r="H1" s="475"/>
      <c r="I1" s="475"/>
    </row>
    <row r="3" spans="1:12" ht="48" customHeight="1" x14ac:dyDescent="0.25">
      <c r="A3" s="232" t="s">
        <v>533</v>
      </c>
      <c r="B3" s="233" t="s">
        <v>534</v>
      </c>
      <c r="C3" s="234" t="s">
        <v>535</v>
      </c>
      <c r="D3" s="233" t="s">
        <v>536</v>
      </c>
      <c r="E3" s="235"/>
      <c r="F3" s="235"/>
      <c r="G3" s="233" t="s">
        <v>537</v>
      </c>
      <c r="H3" s="233" t="s">
        <v>509</v>
      </c>
      <c r="I3" s="236" t="s">
        <v>64</v>
      </c>
    </row>
    <row r="4" spans="1:12" x14ac:dyDescent="0.25">
      <c r="A4" s="227" t="s">
        <v>538</v>
      </c>
      <c r="B4" s="228">
        <v>1</v>
      </c>
      <c r="C4" s="229">
        <v>1.03</v>
      </c>
      <c r="D4" s="229">
        <f>IF('Base Information'!$B$21='County Cost Factor - READ ONLY'!A4,'County Cost Factor - READ ONLY'!C4,0)</f>
        <v>0</v>
      </c>
      <c r="G4" s="229">
        <v>1.05</v>
      </c>
      <c r="H4" s="230">
        <f>C4-G4</f>
        <v>-2.0000000000000018E-2</v>
      </c>
      <c r="I4" s="231" t="s">
        <v>539</v>
      </c>
      <c r="L4" s="149"/>
    </row>
    <row r="5" spans="1:12" x14ac:dyDescent="0.25">
      <c r="A5" s="172" t="s">
        <v>540</v>
      </c>
      <c r="B5" s="173">
        <v>1</v>
      </c>
      <c r="C5" s="174">
        <v>1.03</v>
      </c>
      <c r="D5" s="174">
        <f>IF('Base Information'!$B$21='County Cost Factor - READ ONLY'!A5,'County Cost Factor - READ ONLY'!C5,0)</f>
        <v>0</v>
      </c>
      <c r="G5" s="174">
        <v>1.05</v>
      </c>
      <c r="H5" s="175">
        <f t="shared" ref="H5:H39" si="0">C5-G5</f>
        <v>-2.0000000000000018E-2</v>
      </c>
      <c r="I5" s="176" t="s">
        <v>541</v>
      </c>
      <c r="L5" s="149"/>
    </row>
    <row r="6" spans="1:12" x14ac:dyDescent="0.25">
      <c r="A6" s="172" t="s">
        <v>542</v>
      </c>
      <c r="B6" s="173">
        <v>1</v>
      </c>
      <c r="C6" s="174">
        <v>1.03</v>
      </c>
      <c r="D6" s="174">
        <f>IF('Base Information'!$B$21='County Cost Factor - READ ONLY'!A6,'County Cost Factor - READ ONLY'!C6,0)</f>
        <v>0</v>
      </c>
      <c r="G6" s="174">
        <v>1.05</v>
      </c>
      <c r="H6" s="175">
        <f t="shared" si="0"/>
        <v>-2.0000000000000018E-2</v>
      </c>
      <c r="I6" s="176" t="s">
        <v>541</v>
      </c>
      <c r="L6" s="149"/>
    </row>
    <row r="7" spans="1:12" x14ac:dyDescent="0.25">
      <c r="A7" s="177" t="s">
        <v>543</v>
      </c>
      <c r="B7" s="162">
        <v>2</v>
      </c>
      <c r="C7" s="178">
        <v>1.1100000000000001</v>
      </c>
      <c r="D7" s="178">
        <f>IF('Base Information'!$B$21='County Cost Factor - READ ONLY'!A7,'County Cost Factor - READ ONLY'!C7,0)</f>
        <v>0</v>
      </c>
      <c r="G7" s="178">
        <v>1.1299999999999999</v>
      </c>
      <c r="H7" s="179">
        <f t="shared" si="0"/>
        <v>-1.9999999999999796E-2</v>
      </c>
      <c r="I7" s="176" t="s">
        <v>544</v>
      </c>
      <c r="L7" s="149"/>
    </row>
    <row r="8" spans="1:12" x14ac:dyDescent="0.25">
      <c r="A8" s="177" t="s">
        <v>545</v>
      </c>
      <c r="B8" s="162">
        <v>2</v>
      </c>
      <c r="C8" s="178">
        <v>1.1100000000000001</v>
      </c>
      <c r="D8" s="178">
        <f>IF('Base Information'!$B$21='County Cost Factor - READ ONLY'!A8,'County Cost Factor - READ ONLY'!C8,0)</f>
        <v>0</v>
      </c>
      <c r="G8" s="178">
        <v>1.1299999999999999</v>
      </c>
      <c r="H8" s="179">
        <f t="shared" si="0"/>
        <v>-1.9999999999999796E-2</v>
      </c>
      <c r="I8" s="176" t="s">
        <v>546</v>
      </c>
      <c r="L8" s="149"/>
    </row>
    <row r="9" spans="1:12" x14ac:dyDescent="0.25">
      <c r="A9" s="177" t="s">
        <v>547</v>
      </c>
      <c r="B9" s="162">
        <v>2</v>
      </c>
      <c r="C9" s="178">
        <v>1.1100000000000001</v>
      </c>
      <c r="D9" s="178">
        <f>IF('Base Information'!$B$21='County Cost Factor - READ ONLY'!A9,'County Cost Factor - READ ONLY'!C9,0)</f>
        <v>0</v>
      </c>
      <c r="G9" s="178">
        <v>1.1299999999999999</v>
      </c>
      <c r="H9" s="179">
        <f t="shared" si="0"/>
        <v>-1.9999999999999796E-2</v>
      </c>
      <c r="I9" s="176" t="s">
        <v>541</v>
      </c>
      <c r="L9" s="149"/>
    </row>
    <row r="10" spans="1:12" x14ac:dyDescent="0.25">
      <c r="A10" s="172" t="s">
        <v>548</v>
      </c>
      <c r="B10" s="173">
        <v>3</v>
      </c>
      <c r="C10" s="174">
        <v>0.99</v>
      </c>
      <c r="D10" s="174">
        <f>IF('Base Information'!$B$21='County Cost Factor - READ ONLY'!A10,'County Cost Factor - READ ONLY'!C10,0)</f>
        <v>0</v>
      </c>
      <c r="G10" s="174">
        <v>1</v>
      </c>
      <c r="H10" s="175">
        <f t="shared" si="0"/>
        <v>-1.0000000000000009E-2</v>
      </c>
      <c r="I10" s="176" t="s">
        <v>549</v>
      </c>
      <c r="L10" s="149"/>
    </row>
    <row r="11" spans="1:12" x14ac:dyDescent="0.25">
      <c r="A11" s="172" t="s">
        <v>550</v>
      </c>
      <c r="B11" s="173">
        <v>3</v>
      </c>
      <c r="C11" s="174">
        <v>0.99</v>
      </c>
      <c r="D11" s="174">
        <f>IF('Base Information'!$B$21='County Cost Factor - READ ONLY'!A11,'County Cost Factor - READ ONLY'!C11,0)</f>
        <v>0</v>
      </c>
      <c r="G11" s="174">
        <v>1</v>
      </c>
      <c r="H11" s="175">
        <f t="shared" si="0"/>
        <v>-1.0000000000000009E-2</v>
      </c>
      <c r="I11" s="176" t="s">
        <v>541</v>
      </c>
      <c r="L11" s="149"/>
    </row>
    <row r="12" spans="1:12" x14ac:dyDescent="0.25">
      <c r="A12" s="172" t="s">
        <v>551</v>
      </c>
      <c r="B12" s="173">
        <v>3</v>
      </c>
      <c r="C12" s="174">
        <v>0.99</v>
      </c>
      <c r="D12" s="174">
        <f>IF('Base Information'!$B$21='County Cost Factor - READ ONLY'!A12,'County Cost Factor - READ ONLY'!C12,0)</f>
        <v>0</v>
      </c>
      <c r="G12" s="174">
        <v>1</v>
      </c>
      <c r="H12" s="175">
        <f t="shared" si="0"/>
        <v>-1.0000000000000009E-2</v>
      </c>
      <c r="I12" s="176" t="s">
        <v>541</v>
      </c>
      <c r="L12" s="149"/>
    </row>
    <row r="13" spans="1:12" x14ac:dyDescent="0.25">
      <c r="A13" s="177" t="s">
        <v>552</v>
      </c>
      <c r="B13" s="162">
        <v>4</v>
      </c>
      <c r="C13" s="178">
        <v>0.97</v>
      </c>
      <c r="D13" s="178">
        <f>IF('Base Information'!$B$21='County Cost Factor - READ ONLY'!A13,'County Cost Factor - READ ONLY'!C13,0)</f>
        <v>0</v>
      </c>
      <c r="G13" s="178">
        <v>1</v>
      </c>
      <c r="H13" s="179">
        <f t="shared" si="0"/>
        <v>-3.0000000000000027E-2</v>
      </c>
      <c r="I13" s="176" t="s">
        <v>544</v>
      </c>
      <c r="L13" s="149"/>
    </row>
    <row r="14" spans="1:12" x14ac:dyDescent="0.25">
      <c r="A14" s="177" t="s">
        <v>553</v>
      </c>
      <c r="B14" s="162">
        <v>4</v>
      </c>
      <c r="C14" s="178">
        <v>0.97</v>
      </c>
      <c r="D14" s="178">
        <f>IF('Base Information'!$B$21='County Cost Factor - READ ONLY'!A14,'County Cost Factor - READ ONLY'!C14,0)</f>
        <v>0</v>
      </c>
      <c r="G14" s="178">
        <v>1</v>
      </c>
      <c r="H14" s="179">
        <f t="shared" si="0"/>
        <v>-3.0000000000000027E-2</v>
      </c>
      <c r="I14" s="176" t="s">
        <v>544</v>
      </c>
      <c r="L14" s="149"/>
    </row>
    <row r="15" spans="1:12" x14ac:dyDescent="0.25">
      <c r="A15" s="177" t="s">
        <v>554</v>
      </c>
      <c r="B15" s="162">
        <v>4</v>
      </c>
      <c r="C15" s="178">
        <v>0.97</v>
      </c>
      <c r="D15" s="178">
        <f>IF('Base Information'!$B$21='County Cost Factor - READ ONLY'!A15,'County Cost Factor - READ ONLY'!C15,0)</f>
        <v>0</v>
      </c>
      <c r="G15" s="178">
        <v>1</v>
      </c>
      <c r="H15" s="179">
        <f t="shared" si="0"/>
        <v>-3.0000000000000027E-2</v>
      </c>
      <c r="I15" s="176" t="s">
        <v>544</v>
      </c>
      <c r="L15" s="149"/>
    </row>
    <row r="16" spans="1:12" x14ac:dyDescent="0.25">
      <c r="A16" s="177" t="s">
        <v>555</v>
      </c>
      <c r="B16" s="162">
        <v>5</v>
      </c>
      <c r="C16" s="178">
        <v>0.97</v>
      </c>
      <c r="D16" s="178">
        <f>IF('Base Information'!$B$21='County Cost Factor - READ ONLY'!A16,'County Cost Factor - READ ONLY'!C16,0)</f>
        <v>0</v>
      </c>
      <c r="G16" s="178">
        <v>1</v>
      </c>
      <c r="H16" s="179">
        <f t="shared" si="0"/>
        <v>-3.0000000000000027E-2</v>
      </c>
      <c r="I16" s="176" t="s">
        <v>556</v>
      </c>
      <c r="L16" s="149"/>
    </row>
    <row r="17" spans="1:12" x14ac:dyDescent="0.25">
      <c r="A17" s="172" t="s">
        <v>557</v>
      </c>
      <c r="B17" s="173">
        <v>6</v>
      </c>
      <c r="C17" s="174">
        <v>0.97</v>
      </c>
      <c r="D17" s="174">
        <f>IF('Base Information'!$B$21='County Cost Factor - READ ONLY'!A17,'County Cost Factor - READ ONLY'!C17,0)</f>
        <v>0</v>
      </c>
      <c r="G17" s="174">
        <v>0.98</v>
      </c>
      <c r="H17" s="175">
        <f t="shared" si="0"/>
        <v>-1.0000000000000009E-2</v>
      </c>
      <c r="I17" s="176" t="s">
        <v>558</v>
      </c>
      <c r="L17" s="149"/>
    </row>
    <row r="18" spans="1:12" x14ac:dyDescent="0.25">
      <c r="A18" s="172" t="s">
        <v>559</v>
      </c>
      <c r="B18" s="173">
        <v>7</v>
      </c>
      <c r="C18" s="174">
        <v>0.97</v>
      </c>
      <c r="D18" s="174">
        <f>IF('Base Information'!$B$21='County Cost Factor - READ ONLY'!A18,'County Cost Factor - READ ONLY'!C18,0)</f>
        <v>0</v>
      </c>
      <c r="G18" s="174">
        <v>0.98</v>
      </c>
      <c r="H18" s="175">
        <f t="shared" si="0"/>
        <v>-1.0000000000000009E-2</v>
      </c>
      <c r="I18" s="176" t="s">
        <v>558</v>
      </c>
      <c r="L18" s="149"/>
    </row>
    <row r="19" spans="1:12" x14ac:dyDescent="0.25">
      <c r="A19" s="172" t="s">
        <v>560</v>
      </c>
      <c r="B19" s="173">
        <v>7</v>
      </c>
      <c r="C19" s="174">
        <v>0.97</v>
      </c>
      <c r="D19" s="174">
        <f>IF('Base Information'!$B$21='County Cost Factor - READ ONLY'!A19,'County Cost Factor - READ ONLY'!C19,0)</f>
        <v>0</v>
      </c>
      <c r="G19" s="174">
        <v>0.98</v>
      </c>
      <c r="H19" s="175">
        <f t="shared" si="0"/>
        <v>-1.0000000000000009E-2</v>
      </c>
      <c r="I19" s="176" t="s">
        <v>558</v>
      </c>
      <c r="L19" s="149"/>
    </row>
    <row r="20" spans="1:12" x14ac:dyDescent="0.25">
      <c r="A20" s="177" t="s">
        <v>561</v>
      </c>
      <c r="B20" s="162">
        <v>8</v>
      </c>
      <c r="C20" s="178">
        <v>0.96</v>
      </c>
      <c r="D20" s="178">
        <f>IF('Base Information'!$B$21='County Cost Factor - READ ONLY'!A20,'County Cost Factor - READ ONLY'!C20,0)</f>
        <v>0</v>
      </c>
      <c r="G20" s="178">
        <v>0.98</v>
      </c>
      <c r="H20" s="179">
        <f t="shared" si="0"/>
        <v>-2.0000000000000018E-2</v>
      </c>
      <c r="I20" s="176" t="s">
        <v>544</v>
      </c>
      <c r="L20" s="149"/>
    </row>
    <row r="21" spans="1:12" ht="31.5" x14ac:dyDescent="0.25">
      <c r="A21" s="177" t="s">
        <v>562</v>
      </c>
      <c r="B21" s="162">
        <v>8</v>
      </c>
      <c r="C21" s="178">
        <v>0.96</v>
      </c>
      <c r="D21" s="178">
        <f>IF('Base Information'!$B$21='County Cost Factor - READ ONLY'!A21,'County Cost Factor - READ ONLY'!C21,0)</f>
        <v>0</v>
      </c>
      <c r="G21" s="178">
        <v>0.98</v>
      </c>
      <c r="H21" s="179">
        <f t="shared" si="0"/>
        <v>-2.0000000000000018E-2</v>
      </c>
      <c r="I21" s="176" t="s">
        <v>563</v>
      </c>
      <c r="L21" s="149"/>
    </row>
    <row r="22" spans="1:12" ht="31.5" x14ac:dyDescent="0.25">
      <c r="A22" s="172" t="s">
        <v>564</v>
      </c>
      <c r="B22" s="173">
        <v>9</v>
      </c>
      <c r="C22" s="174">
        <v>1.03</v>
      </c>
      <c r="D22" s="174">
        <f>IF('Base Information'!$B$21='County Cost Factor - READ ONLY'!A22,'County Cost Factor - READ ONLY'!C22,0)</f>
        <v>0</v>
      </c>
      <c r="G22" s="174">
        <v>1.05</v>
      </c>
      <c r="H22" s="175">
        <f t="shared" si="0"/>
        <v>-2.0000000000000018E-2</v>
      </c>
      <c r="I22" s="176" t="s">
        <v>565</v>
      </c>
      <c r="L22" s="149"/>
    </row>
    <row r="23" spans="1:12" x14ac:dyDescent="0.25">
      <c r="A23" s="172" t="s">
        <v>566</v>
      </c>
      <c r="B23" s="173">
        <v>9</v>
      </c>
      <c r="C23" s="174">
        <v>1.03</v>
      </c>
      <c r="D23" s="174">
        <f>IF('Base Information'!$B$21='County Cost Factor - READ ONLY'!A23,'County Cost Factor - READ ONLY'!C23,0)</f>
        <v>0</v>
      </c>
      <c r="G23" s="174">
        <v>1.05</v>
      </c>
      <c r="H23" s="175">
        <f t="shared" si="0"/>
        <v>-2.0000000000000018E-2</v>
      </c>
      <c r="I23" s="176" t="s">
        <v>541</v>
      </c>
      <c r="L23" s="149"/>
    </row>
    <row r="24" spans="1:12" x14ac:dyDescent="0.25">
      <c r="A24" s="172" t="s">
        <v>567</v>
      </c>
      <c r="B24" s="173">
        <v>9</v>
      </c>
      <c r="C24" s="174">
        <v>1.03</v>
      </c>
      <c r="D24" s="174">
        <f>IF('Base Information'!$B$21='County Cost Factor - READ ONLY'!A24,'County Cost Factor - READ ONLY'!C24,0)</f>
        <v>0</v>
      </c>
      <c r="G24" s="174">
        <v>1.05</v>
      </c>
      <c r="H24" s="175">
        <f t="shared" si="0"/>
        <v>-2.0000000000000018E-2</v>
      </c>
      <c r="I24" s="176" t="s">
        <v>541</v>
      </c>
      <c r="L24" s="149"/>
    </row>
    <row r="25" spans="1:12" x14ac:dyDescent="0.25">
      <c r="A25" s="177" t="s">
        <v>568</v>
      </c>
      <c r="B25" s="162">
        <v>10</v>
      </c>
      <c r="C25" s="178">
        <v>1.03</v>
      </c>
      <c r="D25" s="178">
        <f>IF('Base Information'!$B$21='County Cost Factor - READ ONLY'!A25,'County Cost Factor - READ ONLY'!C25,0)</f>
        <v>0</v>
      </c>
      <c r="G25" s="178">
        <v>0.98</v>
      </c>
      <c r="H25" s="179">
        <f t="shared" si="0"/>
        <v>5.0000000000000044E-2</v>
      </c>
      <c r="I25" s="176" t="s">
        <v>544</v>
      </c>
      <c r="L25" s="149"/>
    </row>
    <row r="26" spans="1:12" x14ac:dyDescent="0.25">
      <c r="A26" s="177" t="s">
        <v>569</v>
      </c>
      <c r="B26" s="162">
        <v>10</v>
      </c>
      <c r="C26" s="178">
        <v>1.03</v>
      </c>
      <c r="D26" s="178">
        <f>IF('Base Information'!$B$21='County Cost Factor - READ ONLY'!A26,'County Cost Factor - READ ONLY'!C26,0)</f>
        <v>0</v>
      </c>
      <c r="G26" s="178">
        <v>0.98</v>
      </c>
      <c r="H26" s="179">
        <f t="shared" si="0"/>
        <v>5.0000000000000044E-2</v>
      </c>
      <c r="I26" s="176" t="s">
        <v>570</v>
      </c>
      <c r="L26" s="149"/>
    </row>
    <row r="27" spans="1:12" x14ac:dyDescent="0.25">
      <c r="A27" s="177" t="s">
        <v>571</v>
      </c>
      <c r="B27" s="162">
        <v>10</v>
      </c>
      <c r="C27" s="178">
        <v>1.03</v>
      </c>
      <c r="D27" s="178">
        <f>IF('Base Information'!$B$21='County Cost Factor - READ ONLY'!A27,'County Cost Factor - READ ONLY'!C27,0)</f>
        <v>0</v>
      </c>
      <c r="G27" s="178">
        <v>0.95</v>
      </c>
      <c r="H27" s="179">
        <f t="shared" si="0"/>
        <v>8.0000000000000071E-2</v>
      </c>
      <c r="I27" s="176" t="s">
        <v>541</v>
      </c>
      <c r="L27" s="149"/>
    </row>
    <row r="28" spans="1:12" ht="31.5" x14ac:dyDescent="0.25">
      <c r="A28" s="172" t="s">
        <v>572</v>
      </c>
      <c r="B28" s="173">
        <v>11</v>
      </c>
      <c r="C28" s="174">
        <v>0.92</v>
      </c>
      <c r="D28" s="174">
        <f>IF('Base Information'!$B$21='County Cost Factor - READ ONLY'!A28,'County Cost Factor - READ ONLY'!C28,0)</f>
        <v>0</v>
      </c>
      <c r="G28" s="174">
        <v>0.95</v>
      </c>
      <c r="H28" s="175">
        <f t="shared" si="0"/>
        <v>-2.9999999999999916E-2</v>
      </c>
      <c r="I28" s="176" t="s">
        <v>802</v>
      </c>
      <c r="L28" s="149"/>
    </row>
    <row r="29" spans="1:12" x14ac:dyDescent="0.25">
      <c r="A29" s="172" t="s">
        <v>573</v>
      </c>
      <c r="B29" s="173">
        <v>11</v>
      </c>
      <c r="C29" s="174">
        <v>0.92</v>
      </c>
      <c r="D29" s="174">
        <f>IF('Base Information'!$B$21='County Cost Factor - READ ONLY'!A29,'County Cost Factor - READ ONLY'!C29,0)</f>
        <v>0</v>
      </c>
      <c r="G29" s="174">
        <v>0.95</v>
      </c>
      <c r="H29" s="175">
        <f t="shared" si="0"/>
        <v>-2.9999999999999916E-2</v>
      </c>
      <c r="I29" s="176" t="s">
        <v>541</v>
      </c>
      <c r="L29" s="149"/>
    </row>
    <row r="30" spans="1:12" x14ac:dyDescent="0.25">
      <c r="A30" s="177" t="s">
        <v>574</v>
      </c>
      <c r="B30" s="162">
        <v>12</v>
      </c>
      <c r="C30" s="178">
        <v>0.97</v>
      </c>
      <c r="D30" s="178">
        <f>IF('Base Information'!$B$21='County Cost Factor - READ ONLY'!A30,'County Cost Factor - READ ONLY'!C30,0)</f>
        <v>0</v>
      </c>
      <c r="G30" s="178">
        <v>0.97</v>
      </c>
      <c r="H30" s="179">
        <f t="shared" si="0"/>
        <v>0</v>
      </c>
      <c r="I30" s="176" t="s">
        <v>541</v>
      </c>
      <c r="L30" s="149"/>
    </row>
    <row r="31" spans="1:12" x14ac:dyDescent="0.25">
      <c r="A31" s="177" t="s">
        <v>575</v>
      </c>
      <c r="B31" s="162">
        <v>12</v>
      </c>
      <c r="C31" s="178">
        <v>0.97</v>
      </c>
      <c r="D31" s="178">
        <f>IF('Base Information'!$B$21='County Cost Factor - READ ONLY'!A31,'County Cost Factor - READ ONLY'!C31,0)</f>
        <v>0</v>
      </c>
      <c r="G31" s="178">
        <v>0.97</v>
      </c>
      <c r="H31" s="179">
        <f t="shared" si="0"/>
        <v>0</v>
      </c>
      <c r="I31" s="176" t="s">
        <v>541</v>
      </c>
      <c r="L31" s="149"/>
    </row>
    <row r="32" spans="1:12" x14ac:dyDescent="0.25">
      <c r="A32" s="177" t="s">
        <v>576</v>
      </c>
      <c r="B32" s="162">
        <v>12</v>
      </c>
      <c r="C32" s="178">
        <v>0.97</v>
      </c>
      <c r="D32" s="178">
        <f>IF('Base Information'!$B$21='County Cost Factor - READ ONLY'!A32,'County Cost Factor - READ ONLY'!C32,0)</f>
        <v>0</v>
      </c>
      <c r="G32" s="178">
        <v>0.97</v>
      </c>
      <c r="H32" s="179">
        <f t="shared" si="0"/>
        <v>0</v>
      </c>
      <c r="I32" s="176" t="s">
        <v>541</v>
      </c>
      <c r="L32" s="149"/>
    </row>
    <row r="33" spans="1:12" ht="31.5" x14ac:dyDescent="0.25">
      <c r="A33" s="177" t="s">
        <v>577</v>
      </c>
      <c r="B33" s="162">
        <v>12</v>
      </c>
      <c r="C33" s="178">
        <v>0.97</v>
      </c>
      <c r="D33" s="178">
        <f>IF('Base Information'!$B$21='County Cost Factor - READ ONLY'!A33,'County Cost Factor - READ ONLY'!C33,0)</f>
        <v>0</v>
      </c>
      <c r="G33" s="178">
        <v>0.97</v>
      </c>
      <c r="H33" s="179">
        <f t="shared" si="0"/>
        <v>0</v>
      </c>
      <c r="I33" s="176" t="s">
        <v>578</v>
      </c>
      <c r="L33" s="149"/>
    </row>
    <row r="34" spans="1:12" x14ac:dyDescent="0.25">
      <c r="A34" s="177" t="s">
        <v>579</v>
      </c>
      <c r="B34" s="162">
        <v>12</v>
      </c>
      <c r="C34" s="178">
        <v>0.97</v>
      </c>
      <c r="D34" s="178">
        <f>IF('Base Information'!$B$21='County Cost Factor - READ ONLY'!A34,'County Cost Factor - READ ONLY'!C34,0)</f>
        <v>0</v>
      </c>
      <c r="G34" s="178">
        <v>0.97</v>
      </c>
      <c r="H34" s="179">
        <f t="shared" si="0"/>
        <v>0</v>
      </c>
      <c r="I34" s="176" t="s">
        <v>541</v>
      </c>
      <c r="L34" s="149"/>
    </row>
    <row r="35" spans="1:12" x14ac:dyDescent="0.25">
      <c r="A35" s="172" t="s">
        <v>580</v>
      </c>
      <c r="B35" s="173">
        <v>13</v>
      </c>
      <c r="C35" s="174">
        <v>0.92</v>
      </c>
      <c r="D35" s="174">
        <f>IF('Base Information'!$B$21='County Cost Factor - READ ONLY'!A35,'County Cost Factor - READ ONLY'!C35,0)</f>
        <v>0</v>
      </c>
      <c r="G35" s="174">
        <v>0.99</v>
      </c>
      <c r="H35" s="175">
        <f t="shared" si="0"/>
        <v>-6.9999999999999951E-2</v>
      </c>
      <c r="I35" s="176" t="s">
        <v>581</v>
      </c>
      <c r="L35" s="149"/>
    </row>
    <row r="36" spans="1:12" x14ac:dyDescent="0.25">
      <c r="A36" s="172" t="s">
        <v>582</v>
      </c>
      <c r="B36" s="173">
        <v>13</v>
      </c>
      <c r="C36" s="174">
        <v>0.92</v>
      </c>
      <c r="D36" s="174">
        <f>IF('Base Information'!$B$21='County Cost Factor - READ ONLY'!A36,'County Cost Factor - READ ONLY'!C36,0)</f>
        <v>0</v>
      </c>
      <c r="G36" s="174">
        <v>0.99</v>
      </c>
      <c r="H36" s="175">
        <f t="shared" si="0"/>
        <v>-6.9999999999999951E-2</v>
      </c>
      <c r="I36" s="176" t="s">
        <v>541</v>
      </c>
      <c r="L36" s="149"/>
    </row>
    <row r="37" spans="1:12" x14ac:dyDescent="0.25">
      <c r="A37" s="172" t="s">
        <v>583</v>
      </c>
      <c r="B37" s="173">
        <v>13</v>
      </c>
      <c r="C37" s="174">
        <v>0.92</v>
      </c>
      <c r="D37" s="174">
        <f>IF('Base Information'!$B$21='County Cost Factor - READ ONLY'!A37,'County Cost Factor - READ ONLY'!C37,0)</f>
        <v>0</v>
      </c>
      <c r="G37" s="174">
        <v>0.99</v>
      </c>
      <c r="H37" s="175">
        <f t="shared" si="0"/>
        <v>-6.9999999999999951E-2</v>
      </c>
      <c r="I37" s="176" t="s">
        <v>541</v>
      </c>
      <c r="L37" s="149"/>
    </row>
    <row r="38" spans="1:12" x14ac:dyDescent="0.25">
      <c r="A38" s="177" t="s">
        <v>584</v>
      </c>
      <c r="B38" s="162">
        <v>14</v>
      </c>
      <c r="C38" s="178">
        <v>0.86</v>
      </c>
      <c r="D38" s="178">
        <f>IF('Base Information'!$B$21='County Cost Factor - READ ONLY'!A38,'County Cost Factor - READ ONLY'!C38,0)</f>
        <v>0</v>
      </c>
      <c r="G38" s="178">
        <v>0.91</v>
      </c>
      <c r="H38" s="179">
        <f t="shared" si="0"/>
        <v>-5.0000000000000044E-2</v>
      </c>
      <c r="I38" s="176" t="s">
        <v>544</v>
      </c>
      <c r="L38" s="149"/>
    </row>
    <row r="39" spans="1:12" x14ac:dyDescent="0.25">
      <c r="A39" s="177" t="s">
        <v>585</v>
      </c>
      <c r="B39" s="162">
        <v>14</v>
      </c>
      <c r="C39" s="178">
        <v>0.86</v>
      </c>
      <c r="D39" s="178">
        <f>IF('Base Information'!$B$21='County Cost Factor - READ ONLY'!A39,'County Cost Factor - READ ONLY'!C39,0)</f>
        <v>0</v>
      </c>
      <c r="G39" s="178">
        <v>0.91</v>
      </c>
      <c r="H39" s="179">
        <f t="shared" si="0"/>
        <v>-5.0000000000000044E-2</v>
      </c>
      <c r="I39" s="176" t="s">
        <v>586</v>
      </c>
      <c r="L39" s="149"/>
    </row>
    <row r="40" spans="1:12" x14ac:dyDescent="0.25">
      <c r="A40" s="180"/>
      <c r="B40" s="181"/>
      <c r="C40" s="182" t="s">
        <v>587</v>
      </c>
      <c r="D40" s="237">
        <f>SUM(D4:D39)</f>
        <v>0</v>
      </c>
    </row>
    <row r="42" spans="1:12" x14ac:dyDescent="0.25">
      <c r="A42" s="183" t="s">
        <v>588</v>
      </c>
    </row>
    <row r="43" spans="1:12" x14ac:dyDescent="0.25">
      <c r="A43" s="183" t="s">
        <v>589</v>
      </c>
    </row>
    <row r="44" spans="1:12" x14ac:dyDescent="0.25">
      <c r="A44" s="183" t="s">
        <v>590</v>
      </c>
    </row>
  </sheetData>
  <sheetProtection sheet="1" objects="1" scenarios="1"/>
  <sortState xmlns:xlrd2="http://schemas.microsoft.com/office/spreadsheetml/2017/richdata2" ref="A6:D41">
    <sortCondition ref="B6:B41"/>
    <sortCondition ref="A6:A41"/>
  </sortState>
  <mergeCells count="1">
    <mergeCell ref="A1:I1"/>
  </mergeCells>
  <pageMargins left="0.7" right="0.7" top="0.75" bottom="0.75" header="0.3" footer="0.3"/>
  <pageSetup scale="83" orientation="portrait" r:id="rId1"/>
  <headerFooter>
    <oddFooter>&amp;C&amp;"-,Bold"&amp;K000000&amp;A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pageSetUpPr fitToPage="1"/>
  </sheetPr>
  <dimension ref="A1:P75"/>
  <sheetViews>
    <sheetView zoomScaleNormal="100" workbookViewId="0">
      <selection sqref="A1:I1"/>
    </sheetView>
  </sheetViews>
  <sheetFormatPr defaultColWidth="11.42578125" defaultRowHeight="15.75" x14ac:dyDescent="0.25"/>
  <cols>
    <col min="1" max="1" width="35.42578125" style="147" customWidth="1"/>
    <col min="2" max="2" width="11.85546875" style="147" customWidth="1"/>
    <col min="3" max="3" width="10.7109375" style="147" customWidth="1"/>
    <col min="4" max="4" width="15.140625" style="147" customWidth="1"/>
    <col min="5" max="5" width="16.5703125" style="147" customWidth="1"/>
    <col min="6" max="6" width="18.28515625" style="147" customWidth="1"/>
    <col min="7" max="7" width="11.42578125" style="147"/>
    <col min="8" max="8" width="11.28515625" style="147" bestFit="1" customWidth="1"/>
    <col min="9" max="9" width="28.42578125" style="147" customWidth="1"/>
    <col min="10" max="10" width="17.85546875" style="183" customWidth="1"/>
    <col min="11" max="12" width="11.42578125" style="147"/>
    <col min="13" max="16" width="0" style="147" hidden="1" customWidth="1"/>
    <col min="17" max="16384" width="11.42578125" style="147"/>
  </cols>
  <sheetData>
    <row r="1" spans="1:16" x14ac:dyDescent="0.25">
      <c r="A1" s="488" t="s">
        <v>409</v>
      </c>
      <c r="B1" s="489"/>
      <c r="C1" s="489"/>
      <c r="D1" s="489"/>
      <c r="E1" s="489"/>
      <c r="F1" s="489"/>
      <c r="G1" s="489"/>
      <c r="H1" s="489"/>
      <c r="I1" s="490"/>
    </row>
    <row r="2" spans="1:16" x14ac:dyDescent="0.25">
      <c r="A2" s="477" t="s">
        <v>410</v>
      </c>
      <c r="B2" s="478"/>
      <c r="C2" s="478"/>
      <c r="D2" s="478"/>
      <c r="E2" s="485" t="s">
        <v>411</v>
      </c>
      <c r="F2" s="478"/>
      <c r="G2" s="478"/>
      <c r="H2" s="478"/>
      <c r="I2" s="486"/>
      <c r="M2" s="505" t="s">
        <v>412</v>
      </c>
      <c r="N2" s="505"/>
      <c r="O2" s="505"/>
    </row>
    <row r="3" spans="1:16" x14ac:dyDescent="0.25">
      <c r="A3" s="148" t="s">
        <v>413</v>
      </c>
      <c r="B3" s="149" t="str">
        <f ca="1">MID(YEAR(TODAY()),3,2)&amp;"-"&amp;"Q"&amp;ROUNDUP(MONTH(TODAY())/3,0)</f>
        <v>23-Q4</v>
      </c>
      <c r="C3" s="149"/>
      <c r="D3" s="163"/>
      <c r="E3" s="479" t="s">
        <v>414</v>
      </c>
      <c r="F3" s="493"/>
      <c r="G3" s="493"/>
      <c r="H3" s="479" t="s">
        <v>415</v>
      </c>
      <c r="I3" s="480"/>
      <c r="M3" s="147" t="s">
        <v>416</v>
      </c>
      <c r="N3" s="505">
        <v>1071</v>
      </c>
      <c r="O3" s="505"/>
      <c r="P3" s="150"/>
    </row>
    <row r="4" spans="1:16" x14ac:dyDescent="0.25">
      <c r="A4" s="502" t="s">
        <v>417</v>
      </c>
      <c r="B4" s="503"/>
      <c r="C4" s="503"/>
      <c r="D4" s="504"/>
      <c r="E4" s="483" t="s">
        <v>418</v>
      </c>
      <c r="F4" s="484"/>
      <c r="H4" s="481" t="s">
        <v>419</v>
      </c>
      <c r="I4" s="482"/>
      <c r="M4" s="147" t="s">
        <v>420</v>
      </c>
      <c r="N4" s="505">
        <v>1089</v>
      </c>
      <c r="O4" s="505"/>
    </row>
    <row r="5" spans="1:16" ht="15" customHeight="1" x14ac:dyDescent="0.25">
      <c r="A5" s="151" t="s">
        <v>421</v>
      </c>
      <c r="B5" s="164" t="s">
        <v>54</v>
      </c>
      <c r="C5" s="164" t="s">
        <v>422</v>
      </c>
      <c r="D5" s="164" t="s">
        <v>423</v>
      </c>
      <c r="E5" s="152" t="s">
        <v>424</v>
      </c>
      <c r="F5" s="165"/>
      <c r="H5" s="498" t="s">
        <v>425</v>
      </c>
      <c r="I5" s="499"/>
      <c r="M5" s="147" t="s">
        <v>426</v>
      </c>
      <c r="N5" s="505">
        <v>1105</v>
      </c>
      <c r="O5" s="505"/>
    </row>
    <row r="6" spans="1:16" x14ac:dyDescent="0.25">
      <c r="A6" s="148" t="s">
        <v>427</v>
      </c>
      <c r="B6" s="166">
        <v>43496</v>
      </c>
      <c r="C6" s="167" t="str">
        <f>MID(YEAR(B6),3,2)&amp;"-"&amp;"Q"&amp;ROUNDUP(MONTH(B6)/3,0)</f>
        <v>19-Q1</v>
      </c>
      <c r="D6" s="168">
        <f>VLOOKUP(C6,A19:C71,2,FALSE)</f>
        <v>165.83333333333334</v>
      </c>
      <c r="E6" s="152" t="s">
        <v>428</v>
      </c>
      <c r="F6" s="165"/>
      <c r="H6" s="498"/>
      <c r="I6" s="499"/>
      <c r="M6" s="147" t="s">
        <v>429</v>
      </c>
      <c r="N6" s="505">
        <v>1120</v>
      </c>
      <c r="O6" s="505"/>
    </row>
    <row r="7" spans="1:16" x14ac:dyDescent="0.25">
      <c r="A7" s="154" t="s">
        <v>430</v>
      </c>
      <c r="B7" s="169">
        <v>44986</v>
      </c>
      <c r="C7" s="167" t="str">
        <f>MID(YEAR(B7),3,2)&amp;"-"&amp;"Q"&amp;ROUNDUP(MONTH(B7)/3,0)</f>
        <v>23-Q1</v>
      </c>
      <c r="D7" s="168">
        <f>VLOOKUP(C7,A20:C72,2,FALSE)</f>
        <v>229.28566666666666</v>
      </c>
      <c r="E7" s="152" t="s">
        <v>431</v>
      </c>
      <c r="F7" s="165"/>
      <c r="H7" s="498"/>
      <c r="I7" s="499"/>
      <c r="M7" s="147" t="s">
        <v>432</v>
      </c>
      <c r="N7" s="505">
        <v>1135</v>
      </c>
      <c r="O7" s="505"/>
      <c r="P7" s="150">
        <f>(N7-N3)/N3</f>
        <v>5.9757236227824466E-2</v>
      </c>
    </row>
    <row r="8" spans="1:16" x14ac:dyDescent="0.25">
      <c r="A8" s="148" t="s">
        <v>433</v>
      </c>
      <c r="B8" s="169" t="str">
        <f>'Base Information'!B32</f>
        <v>0/0/0000</v>
      </c>
      <c r="C8" s="167" t="e">
        <f>MID(YEAR(B8),3,2)&amp;"-"&amp;"Q"&amp;ROUNDUP(MONTH(B8)/3,0)</f>
        <v>#VALUE!</v>
      </c>
      <c r="D8" s="168" t="e">
        <f>VLOOKUP(C8,A20:C71,2,FALSE)</f>
        <v>#VALUE!</v>
      </c>
      <c r="E8" s="152" t="s">
        <v>434</v>
      </c>
      <c r="F8" s="165"/>
      <c r="H8" s="498"/>
      <c r="I8" s="499"/>
      <c r="M8" s="147" t="s">
        <v>435</v>
      </c>
      <c r="N8" s="505">
        <v>1149</v>
      </c>
      <c r="O8" s="505"/>
    </row>
    <row r="9" spans="1:16" x14ac:dyDescent="0.25">
      <c r="A9" s="148" t="s">
        <v>436</v>
      </c>
      <c r="B9" s="169">
        <f>'Physical Condition Assessment'!D7</f>
        <v>45601</v>
      </c>
      <c r="C9" s="167" t="str">
        <f t="shared" ref="C9:C14" si="0">MID(YEAR(B9),3,2)&amp;"-"&amp;"Q"&amp;ROUNDUP(MONTH(B9)/3,0)</f>
        <v>24-Q4</v>
      </c>
      <c r="D9" s="168">
        <f t="shared" ref="D9" si="1">VLOOKUP(C9,A21:C75,2,FALSE)</f>
        <v>249.95289788662714</v>
      </c>
      <c r="E9" s="152" t="s">
        <v>437</v>
      </c>
      <c r="F9" s="165"/>
      <c r="H9" s="498" t="s">
        <v>438</v>
      </c>
      <c r="I9" s="499"/>
      <c r="M9" s="147" t="s">
        <v>439</v>
      </c>
      <c r="N9" s="505">
        <v>1162</v>
      </c>
      <c r="O9" s="505"/>
    </row>
    <row r="10" spans="1:16" x14ac:dyDescent="0.25">
      <c r="A10" s="148" t="s">
        <v>440</v>
      </c>
      <c r="B10" s="169">
        <f>'Physical Condition Assessment'!D8</f>
        <v>45966</v>
      </c>
      <c r="C10" s="167" t="str">
        <f t="shared" si="0"/>
        <v>25-Q4</v>
      </c>
      <c r="D10" s="168">
        <f>VLOOKUP(C10,A22:C75,2,FALSE)</f>
        <v>262.6868324821076</v>
      </c>
      <c r="E10" s="152" t="s">
        <v>441</v>
      </c>
      <c r="F10" s="165"/>
      <c r="H10" s="498"/>
      <c r="I10" s="499"/>
      <c r="M10" s="147" t="s">
        <v>442</v>
      </c>
      <c r="N10" s="505">
        <v>1177</v>
      </c>
      <c r="O10" s="505"/>
    </row>
    <row r="11" spans="1:16" ht="33.75" customHeight="1" x14ac:dyDescent="0.25">
      <c r="A11" s="154" t="s">
        <v>443</v>
      </c>
      <c r="B11" s="169">
        <f>'Physical Condition Assessment'!D9</f>
        <v>45966</v>
      </c>
      <c r="C11" s="167" t="str">
        <f t="shared" si="0"/>
        <v>25-Q4</v>
      </c>
      <c r="D11" s="168">
        <f>VLOOKUP(C11,A23:C75,2,FALSE)</f>
        <v>262.6868324821076</v>
      </c>
      <c r="E11" s="491" t="s">
        <v>444</v>
      </c>
      <c r="F11" s="492"/>
      <c r="G11" s="492"/>
      <c r="H11" s="498"/>
      <c r="I11" s="499"/>
      <c r="M11" s="147" t="s">
        <v>445</v>
      </c>
      <c r="N11" s="505">
        <v>1189</v>
      </c>
      <c r="O11" s="505"/>
      <c r="P11" s="150">
        <f>(N11-N7)/N7</f>
        <v>4.7577092511013219E-2</v>
      </c>
    </row>
    <row r="12" spans="1:16" x14ac:dyDescent="0.25">
      <c r="A12" s="154" t="s">
        <v>446</v>
      </c>
      <c r="B12" s="169">
        <f>'Physical Condition Assessment'!D10</f>
        <v>46696</v>
      </c>
      <c r="C12" s="167" t="str">
        <f t="shared" si="0"/>
        <v>27-Q4</v>
      </c>
      <c r="D12" s="168">
        <f>VLOOKUP(C12,A24:C75,2,FALSE)</f>
        <v>290.1339554398578</v>
      </c>
      <c r="E12" s="491"/>
      <c r="F12" s="492"/>
      <c r="G12" s="492"/>
      <c r="H12" s="500"/>
      <c r="I12" s="501"/>
      <c r="M12" s="147" t="s">
        <v>447</v>
      </c>
      <c r="N12" s="505">
        <v>1177</v>
      </c>
      <c r="O12" s="505"/>
    </row>
    <row r="13" spans="1:16" x14ac:dyDescent="0.25">
      <c r="A13" s="154" t="s">
        <v>448</v>
      </c>
      <c r="B13" s="169">
        <f>(B12+B11)/2</f>
        <v>46331</v>
      </c>
      <c r="C13" s="167" t="str">
        <f t="shared" si="0"/>
        <v>26-Q4</v>
      </c>
      <c r="D13" s="168">
        <f>VLOOKUP(C13,A25:C75,2,FALSE)</f>
        <v>276.06950166579645</v>
      </c>
      <c r="E13" s="494" t="s">
        <v>449</v>
      </c>
      <c r="F13" s="495"/>
      <c r="G13" s="496"/>
      <c r="H13" s="495" t="s">
        <v>450</v>
      </c>
      <c r="I13" s="497"/>
      <c r="J13" s="199" t="s">
        <v>451</v>
      </c>
      <c r="M13" s="147" t="s">
        <v>452</v>
      </c>
      <c r="N13" s="505">
        <v>1171</v>
      </c>
      <c r="O13" s="505"/>
    </row>
    <row r="14" spans="1:16" x14ac:dyDescent="0.25">
      <c r="A14" s="154" t="s">
        <v>453</v>
      </c>
      <c r="B14" s="169" t="str">
        <f>TEXT(('Physical Condition Assessment'!D15+'Physical Condition Assessment'!D14)/2,"m/d/yyyy")</f>
        <v>11/5/2026</v>
      </c>
      <c r="C14" s="167" t="str">
        <f t="shared" si="0"/>
        <v>26-Q4</v>
      </c>
      <c r="D14" s="168">
        <f>VLOOKUP(C14,A26:C75,2,FALSE)</f>
        <v>276.06950166579645</v>
      </c>
      <c r="E14" s="197" t="s">
        <v>454</v>
      </c>
      <c r="F14" s="198" t="s">
        <v>441</v>
      </c>
      <c r="G14" s="193" t="s">
        <v>422</v>
      </c>
      <c r="H14" s="192" t="s">
        <v>422</v>
      </c>
      <c r="I14" s="194" t="s">
        <v>455</v>
      </c>
      <c r="J14" s="199"/>
      <c r="M14" s="147" t="s">
        <v>456</v>
      </c>
      <c r="N14" s="505">
        <v>1171</v>
      </c>
      <c r="O14" s="505"/>
    </row>
    <row r="15" spans="1:16" x14ac:dyDescent="0.25">
      <c r="A15" s="502" t="s">
        <v>457</v>
      </c>
      <c r="B15" s="503"/>
      <c r="C15" s="503"/>
      <c r="D15" s="503"/>
      <c r="E15" s="188">
        <v>43101</v>
      </c>
      <c r="F15" s="186">
        <v>157.5</v>
      </c>
      <c r="G15" s="195" t="str">
        <f>MID(YEAR(E15),3,2)&amp;"-"&amp;"Q"&amp;ROUNDUP(MONTH(E15)/3,0)</f>
        <v>18-Q1</v>
      </c>
      <c r="H15" s="160" t="s">
        <v>416</v>
      </c>
      <c r="I15" s="187">
        <v>157.5</v>
      </c>
      <c r="J15" s="199"/>
      <c r="M15" s="147" t="s">
        <v>458</v>
      </c>
      <c r="N15" s="505">
        <v>1172</v>
      </c>
      <c r="O15" s="505"/>
      <c r="P15" s="150">
        <f>(N15-N11)/N11</f>
        <v>-1.4297729184188394E-2</v>
      </c>
    </row>
    <row r="16" spans="1:16" x14ac:dyDescent="0.25">
      <c r="A16" s="506" t="s">
        <v>459</v>
      </c>
      <c r="B16" s="487"/>
      <c r="C16" s="487"/>
      <c r="D16" s="487"/>
      <c r="E16" s="188">
        <v>43132</v>
      </c>
      <c r="F16" s="186">
        <v>157.5</v>
      </c>
      <c r="G16" s="195" t="str">
        <f t="shared" ref="G16:G75" si="2">MID(YEAR(E16),3,2)&amp;"-"&amp;"Q"&amp;ROUNDUP(MONTH(E16)/3,0)</f>
        <v>18-Q1</v>
      </c>
      <c r="H16" s="160" t="s">
        <v>420</v>
      </c>
      <c r="I16" s="187">
        <v>159.4</v>
      </c>
      <c r="J16" s="200"/>
      <c r="K16" s="155"/>
      <c r="M16" s="147" t="s">
        <v>460</v>
      </c>
      <c r="N16" s="505">
        <v>1187</v>
      </c>
      <c r="O16" s="505"/>
    </row>
    <row r="17" spans="1:16" x14ac:dyDescent="0.25">
      <c r="A17" s="156" t="s">
        <v>811</v>
      </c>
      <c r="B17" s="170"/>
      <c r="C17" s="170"/>
      <c r="E17" s="188">
        <v>43160</v>
      </c>
      <c r="F17" s="186">
        <v>157.5</v>
      </c>
      <c r="G17" s="195" t="str">
        <f t="shared" si="2"/>
        <v>18-Q1</v>
      </c>
      <c r="H17" s="160" t="s">
        <v>426</v>
      </c>
      <c r="I17" s="187">
        <v>160.13333333333333</v>
      </c>
      <c r="J17" s="200"/>
      <c r="K17" s="155"/>
      <c r="M17" s="147" t="s">
        <v>461</v>
      </c>
      <c r="N17" s="505">
        <v>1207</v>
      </c>
      <c r="O17" s="505"/>
    </row>
    <row r="18" spans="1:16" x14ac:dyDescent="0.25">
      <c r="A18" s="157" t="s">
        <v>462</v>
      </c>
      <c r="B18" s="171"/>
      <c r="C18" s="158">
        <f>0.05/4</f>
        <v>1.2500000000000001E-2</v>
      </c>
      <c r="E18" s="188">
        <v>43191</v>
      </c>
      <c r="F18" s="186">
        <v>159.4</v>
      </c>
      <c r="G18" s="195" t="str">
        <f t="shared" si="2"/>
        <v>18-Q2</v>
      </c>
      <c r="H18" s="160" t="s">
        <v>429</v>
      </c>
      <c r="I18" s="187">
        <v>164.46666666666667</v>
      </c>
      <c r="J18" s="200"/>
      <c r="K18" s="155"/>
      <c r="M18" s="147" t="s">
        <v>463</v>
      </c>
      <c r="N18" s="505">
        <v>1230</v>
      </c>
      <c r="O18" s="505"/>
    </row>
    <row r="19" spans="1:16" x14ac:dyDescent="0.25">
      <c r="A19" s="151" t="s">
        <v>422</v>
      </c>
      <c r="B19" s="487" t="s">
        <v>464</v>
      </c>
      <c r="C19" s="487"/>
      <c r="D19" s="164" t="s">
        <v>465</v>
      </c>
      <c r="E19" s="188">
        <v>43221</v>
      </c>
      <c r="F19" s="186">
        <v>159.4</v>
      </c>
      <c r="G19" s="195" t="str">
        <f t="shared" si="2"/>
        <v>18-Q2</v>
      </c>
      <c r="H19" s="160" t="s">
        <v>432</v>
      </c>
      <c r="I19" s="187">
        <v>165.83333333333334</v>
      </c>
      <c r="J19" s="201">
        <f t="shared" ref="J19:J27" si="3">(I19-I15)/I15</f>
        <v>5.291005291005297E-2</v>
      </c>
      <c r="K19" s="155"/>
      <c r="M19" s="147" t="s">
        <v>466</v>
      </c>
      <c r="N19" s="505">
        <v>1255</v>
      </c>
      <c r="O19" s="505"/>
      <c r="P19" s="150">
        <f>(N19-N15)/N15</f>
        <v>7.0819112627986347E-2</v>
      </c>
    </row>
    <row r="20" spans="1:16" x14ac:dyDescent="0.25">
      <c r="A20" s="154" t="s">
        <v>416</v>
      </c>
      <c r="B20" s="476">
        <f>_xlfn.IFNA(D20,B19*(1+$C$18))</f>
        <v>157.5</v>
      </c>
      <c r="C20" s="476"/>
      <c r="D20" s="168">
        <f>VLOOKUP(A20,H15:I75,2,FALSE)</f>
        <v>157.5</v>
      </c>
      <c r="E20" s="188">
        <v>43252</v>
      </c>
      <c r="F20" s="186">
        <v>159.4</v>
      </c>
      <c r="G20" s="195" t="str">
        <f t="shared" si="2"/>
        <v>18-Q2</v>
      </c>
      <c r="H20" s="160" t="s">
        <v>435</v>
      </c>
      <c r="I20" s="187">
        <v>169.96666666666667</v>
      </c>
      <c r="J20" s="202"/>
      <c r="K20" s="155"/>
      <c r="M20" s="147" t="s">
        <v>467</v>
      </c>
      <c r="N20" s="505">
        <v>1283</v>
      </c>
      <c r="O20" s="505"/>
    </row>
    <row r="21" spans="1:16" x14ac:dyDescent="0.25">
      <c r="A21" s="154" t="s">
        <v>420</v>
      </c>
      <c r="B21" s="476">
        <f t="shared" ref="B21:B68" si="4">_xlfn.IFNA(D21,B20*(1+$C$18))</f>
        <v>159.4</v>
      </c>
      <c r="C21" s="476"/>
      <c r="D21" s="168">
        <f>VLOOKUP(A21,H16:I75,2,FALSE)</f>
        <v>159.4</v>
      </c>
      <c r="E21" s="188">
        <v>43282</v>
      </c>
      <c r="F21" s="186">
        <v>160.1</v>
      </c>
      <c r="G21" s="195" t="str">
        <f t="shared" si="2"/>
        <v>18-Q3</v>
      </c>
      <c r="H21" s="160" t="s">
        <v>439</v>
      </c>
      <c r="I21" s="187">
        <v>171.36666666666667</v>
      </c>
      <c r="J21" s="203"/>
      <c r="K21" s="155"/>
      <c r="M21" s="147" t="s">
        <v>468</v>
      </c>
      <c r="N21" s="505">
        <v>1311</v>
      </c>
      <c r="O21" s="505"/>
    </row>
    <row r="22" spans="1:16" x14ac:dyDescent="0.25">
      <c r="A22" s="154" t="s">
        <v>426</v>
      </c>
      <c r="B22" s="476">
        <f t="shared" si="4"/>
        <v>160.13333333333333</v>
      </c>
      <c r="C22" s="476"/>
      <c r="D22" s="168">
        <f>VLOOKUP(A22,H17:I75,2,FALSE)</f>
        <v>160.13333333333333</v>
      </c>
      <c r="E22" s="188">
        <v>43313</v>
      </c>
      <c r="F22" s="186">
        <v>160.19999999999999</v>
      </c>
      <c r="G22" s="195" t="str">
        <f t="shared" si="2"/>
        <v>18-Q3</v>
      </c>
      <c r="H22" s="160" t="s">
        <v>442</v>
      </c>
      <c r="I22" s="187">
        <v>172.06666666666669</v>
      </c>
      <c r="J22" s="203"/>
      <c r="K22" s="155"/>
      <c r="M22" s="147" t="s">
        <v>469</v>
      </c>
      <c r="N22" s="505">
        <v>1332</v>
      </c>
      <c r="O22" s="505"/>
    </row>
    <row r="23" spans="1:16" x14ac:dyDescent="0.25">
      <c r="A23" s="154" t="s">
        <v>429</v>
      </c>
      <c r="B23" s="476">
        <f t="shared" si="4"/>
        <v>164.46666666666667</v>
      </c>
      <c r="C23" s="476"/>
      <c r="D23" s="168">
        <f>VLOOKUP(A23,H18:I75,2,FALSE)</f>
        <v>164.46666666666667</v>
      </c>
      <c r="E23" s="188">
        <v>43344</v>
      </c>
      <c r="F23" s="186">
        <v>160.1</v>
      </c>
      <c r="G23" s="195" t="str">
        <f t="shared" si="2"/>
        <v>18-Q3</v>
      </c>
      <c r="H23" s="160" t="s">
        <v>445</v>
      </c>
      <c r="I23" s="187">
        <v>173.30000000000004</v>
      </c>
      <c r="J23" s="201">
        <f t="shared" si="3"/>
        <v>4.5025125628140886E-2</v>
      </c>
      <c r="K23" s="155"/>
      <c r="M23" s="147" t="s">
        <v>470</v>
      </c>
      <c r="N23" s="505"/>
      <c r="O23" s="505"/>
    </row>
    <row r="24" spans="1:16" x14ac:dyDescent="0.25">
      <c r="A24" s="154" t="s">
        <v>432</v>
      </c>
      <c r="B24" s="476">
        <f t="shared" si="4"/>
        <v>165.83333333333334</v>
      </c>
      <c r="C24" s="476"/>
      <c r="D24" s="168">
        <f>VLOOKUP(A24,H19:I75,2,FALSE)</f>
        <v>165.83333333333334</v>
      </c>
      <c r="E24" s="188">
        <v>43374</v>
      </c>
      <c r="F24" s="186">
        <v>164.5</v>
      </c>
      <c r="G24" s="195" t="str">
        <f t="shared" si="2"/>
        <v>18-Q4</v>
      </c>
      <c r="H24" s="160" t="s">
        <v>447</v>
      </c>
      <c r="I24" s="187">
        <v>174.36666666666665</v>
      </c>
      <c r="J24" s="201"/>
      <c r="K24" s="155"/>
    </row>
    <row r="25" spans="1:16" x14ac:dyDescent="0.25">
      <c r="A25" s="154" t="s">
        <v>435</v>
      </c>
      <c r="B25" s="476">
        <f t="shared" si="4"/>
        <v>169.96666666666667</v>
      </c>
      <c r="C25" s="476"/>
      <c r="D25" s="168">
        <f>VLOOKUP(A25,H20:I75,2,FALSE)</f>
        <v>169.96666666666667</v>
      </c>
      <c r="E25" s="188">
        <v>43405</v>
      </c>
      <c r="F25" s="186">
        <v>164.5</v>
      </c>
      <c r="G25" s="195" t="str">
        <f t="shared" si="2"/>
        <v>18-Q4</v>
      </c>
      <c r="H25" s="160" t="s">
        <v>452</v>
      </c>
      <c r="I25" s="187">
        <v>175.1</v>
      </c>
      <c r="J25" s="201"/>
      <c r="K25" s="155"/>
    </row>
    <row r="26" spans="1:16" x14ac:dyDescent="0.25">
      <c r="A26" s="154" t="s">
        <v>439</v>
      </c>
      <c r="B26" s="476">
        <f t="shared" si="4"/>
        <v>171.36666666666667</v>
      </c>
      <c r="C26" s="476"/>
      <c r="D26" s="168">
        <f>VLOOKUP(A26,H21:I75,2,FALSE)</f>
        <v>171.36666666666667</v>
      </c>
      <c r="E26" s="188">
        <v>43435</v>
      </c>
      <c r="F26" s="186">
        <v>164.4</v>
      </c>
      <c r="G26" s="195" t="str">
        <f t="shared" si="2"/>
        <v>18-Q4</v>
      </c>
      <c r="H26" s="160" t="s">
        <v>456</v>
      </c>
      <c r="I26" s="187">
        <v>174.1</v>
      </c>
      <c r="J26" s="201"/>
      <c r="K26" s="155"/>
    </row>
    <row r="27" spans="1:16" x14ac:dyDescent="0.25">
      <c r="A27" s="154" t="s">
        <v>442</v>
      </c>
      <c r="B27" s="476">
        <f t="shared" si="4"/>
        <v>172.06666666666669</v>
      </c>
      <c r="C27" s="476"/>
      <c r="D27" s="168">
        <f>VLOOKUP(A27,H22:I75,2,FALSE)</f>
        <v>172.06666666666669</v>
      </c>
      <c r="E27" s="188">
        <v>43466</v>
      </c>
      <c r="F27" s="186">
        <v>165.7</v>
      </c>
      <c r="G27" s="195" t="str">
        <f t="shared" si="2"/>
        <v>19-Q1</v>
      </c>
      <c r="H27" s="160" t="s">
        <v>458</v>
      </c>
      <c r="I27" s="187">
        <v>174.63333333333335</v>
      </c>
      <c r="J27" s="201">
        <f t="shared" si="3"/>
        <v>7.6937872667819625E-3</v>
      </c>
      <c r="K27" s="155"/>
    </row>
    <row r="28" spans="1:16" x14ac:dyDescent="0.25">
      <c r="A28" s="154" t="s">
        <v>445</v>
      </c>
      <c r="B28" s="476">
        <f t="shared" si="4"/>
        <v>173.30000000000004</v>
      </c>
      <c r="C28" s="476"/>
      <c r="D28" s="168">
        <f>VLOOKUP(A28,H23:I75,2,FALSE)</f>
        <v>173.30000000000004</v>
      </c>
      <c r="E28" s="188">
        <v>43497</v>
      </c>
      <c r="F28" s="186">
        <v>165.9</v>
      </c>
      <c r="G28" s="195" t="str">
        <f t="shared" si="2"/>
        <v>19-Q1</v>
      </c>
      <c r="H28" s="160" t="s">
        <v>460</v>
      </c>
      <c r="I28" s="187">
        <v>176.73333333333335</v>
      </c>
      <c r="J28" s="201"/>
      <c r="K28" s="155"/>
    </row>
    <row r="29" spans="1:16" x14ac:dyDescent="0.25">
      <c r="A29" s="154" t="s">
        <v>447</v>
      </c>
      <c r="B29" s="476">
        <f t="shared" si="4"/>
        <v>174.36666666666665</v>
      </c>
      <c r="C29" s="476"/>
      <c r="D29" s="168">
        <f>VLOOKUP(A29,H24:I75,2,FALSE)</f>
        <v>174.36666666666665</v>
      </c>
      <c r="E29" s="188">
        <v>43525</v>
      </c>
      <c r="F29" s="186">
        <v>165.9</v>
      </c>
      <c r="G29" s="195" t="str">
        <f t="shared" si="2"/>
        <v>19-Q1</v>
      </c>
      <c r="H29" s="160" t="s">
        <v>461</v>
      </c>
      <c r="I29" s="187">
        <v>180.29266666666669</v>
      </c>
      <c r="J29" s="201"/>
      <c r="K29" s="155"/>
    </row>
    <row r="30" spans="1:16" x14ac:dyDescent="0.25">
      <c r="A30" s="154" t="s">
        <v>452</v>
      </c>
      <c r="B30" s="476">
        <f t="shared" si="4"/>
        <v>175.1</v>
      </c>
      <c r="C30" s="476"/>
      <c r="D30" s="168">
        <f>VLOOKUP(A30,H25:I75,2,FALSE)</f>
        <v>175.1</v>
      </c>
      <c r="E30" s="188">
        <v>43556</v>
      </c>
      <c r="F30" s="186">
        <v>169.2</v>
      </c>
      <c r="G30" s="195" t="str">
        <f t="shared" si="2"/>
        <v>19-Q2</v>
      </c>
      <c r="H30" s="160" t="s">
        <v>463</v>
      </c>
      <c r="I30" s="187">
        <v>189.9913333333333</v>
      </c>
      <c r="J30" s="201"/>
      <c r="K30" s="155"/>
    </row>
    <row r="31" spans="1:16" x14ac:dyDescent="0.25">
      <c r="A31" s="154" t="s">
        <v>456</v>
      </c>
      <c r="B31" s="476">
        <f t="shared" si="4"/>
        <v>174.1</v>
      </c>
      <c r="C31" s="476"/>
      <c r="D31" s="168">
        <f>VLOOKUP(A31,H26:I75,2,FALSE)</f>
        <v>174.1</v>
      </c>
      <c r="E31" s="188">
        <v>43586</v>
      </c>
      <c r="F31" s="186">
        <v>170.1</v>
      </c>
      <c r="G31" s="195" t="str">
        <f t="shared" si="2"/>
        <v>19-Q2</v>
      </c>
      <c r="H31" s="160" t="s">
        <v>466</v>
      </c>
      <c r="I31" s="187">
        <v>195.44266666666667</v>
      </c>
      <c r="J31" s="201">
        <f>(I31-I27)/I27</f>
        <v>0.11916014506585214</v>
      </c>
      <c r="K31" s="155"/>
    </row>
    <row r="32" spans="1:16" x14ac:dyDescent="0.25">
      <c r="A32" s="154" t="s">
        <v>458</v>
      </c>
      <c r="B32" s="476">
        <f t="shared" si="4"/>
        <v>174.63333333333335</v>
      </c>
      <c r="C32" s="476"/>
      <c r="D32" s="168">
        <f t="shared" ref="D32:D71" si="5">VLOOKUP(A32,H27:I75,2,FALSE)</f>
        <v>174.63333333333335</v>
      </c>
      <c r="E32" s="188">
        <v>43617</v>
      </c>
      <c r="F32" s="186">
        <v>170.6</v>
      </c>
      <c r="G32" s="195" t="str">
        <f t="shared" si="2"/>
        <v>19-Q2</v>
      </c>
      <c r="H32" s="160" t="s">
        <v>467</v>
      </c>
      <c r="I32" s="187">
        <v>204.34100000000001</v>
      </c>
      <c r="J32" s="201"/>
      <c r="K32" s="155"/>
    </row>
    <row r="33" spans="1:11" x14ac:dyDescent="0.25">
      <c r="A33" s="154" t="s">
        <v>460</v>
      </c>
      <c r="B33" s="476">
        <f t="shared" si="4"/>
        <v>176.73333333333335</v>
      </c>
      <c r="C33" s="476"/>
      <c r="D33" s="168">
        <f t="shared" si="5"/>
        <v>176.73333333333335</v>
      </c>
      <c r="E33" s="188">
        <v>43647</v>
      </c>
      <c r="F33" s="186">
        <v>171.4</v>
      </c>
      <c r="G33" s="195" t="str">
        <f t="shared" si="2"/>
        <v>19-Q3</v>
      </c>
      <c r="H33" s="160" t="s">
        <v>468</v>
      </c>
      <c r="I33" s="187">
        <v>216.32333333333335</v>
      </c>
      <c r="J33" s="201"/>
      <c r="K33" s="155"/>
    </row>
    <row r="34" spans="1:11" x14ac:dyDescent="0.25">
      <c r="A34" s="154" t="s">
        <v>461</v>
      </c>
      <c r="B34" s="476">
        <f t="shared" si="4"/>
        <v>180.29266666666669</v>
      </c>
      <c r="C34" s="476"/>
      <c r="D34" s="168">
        <f t="shared" si="5"/>
        <v>180.29266666666669</v>
      </c>
      <c r="E34" s="188">
        <v>43678</v>
      </c>
      <c r="F34" s="186">
        <v>171.4</v>
      </c>
      <c r="G34" s="195" t="str">
        <f t="shared" si="2"/>
        <v>19-Q3</v>
      </c>
      <c r="H34" s="160" t="s">
        <v>469</v>
      </c>
      <c r="I34" s="187">
        <v>223.84033333333332</v>
      </c>
      <c r="J34" s="201"/>
      <c r="K34" s="155"/>
    </row>
    <row r="35" spans="1:11" x14ac:dyDescent="0.25">
      <c r="A35" s="154" t="s">
        <v>463</v>
      </c>
      <c r="B35" s="476">
        <f t="shared" si="4"/>
        <v>189.9913333333333</v>
      </c>
      <c r="C35" s="476"/>
      <c r="D35" s="168">
        <f t="shared" si="5"/>
        <v>189.9913333333333</v>
      </c>
      <c r="E35" s="188">
        <v>43709</v>
      </c>
      <c r="F35" s="186">
        <v>171.3</v>
      </c>
      <c r="G35" s="195" t="str">
        <f t="shared" si="2"/>
        <v>19-Q3</v>
      </c>
      <c r="H35" s="160" t="s">
        <v>470</v>
      </c>
      <c r="I35" s="187">
        <v>229.28566666666666</v>
      </c>
      <c r="J35" s="201">
        <f t="shared" ref="J35" si="6">(I35-I31)/I31</f>
        <v>0.1731607564366702</v>
      </c>
      <c r="K35" s="155"/>
    </row>
    <row r="36" spans="1:11" x14ac:dyDescent="0.25">
      <c r="A36" s="154" t="s">
        <v>466</v>
      </c>
      <c r="B36" s="476">
        <f t="shared" si="4"/>
        <v>195.44266666666667</v>
      </c>
      <c r="C36" s="476"/>
      <c r="D36" s="168">
        <f t="shared" si="5"/>
        <v>195.44266666666667</v>
      </c>
      <c r="E36" s="188">
        <v>43739</v>
      </c>
      <c r="F36" s="186">
        <v>172</v>
      </c>
      <c r="G36" s="195" t="str">
        <f t="shared" si="2"/>
        <v>19-Q4</v>
      </c>
      <c r="H36" s="160" t="s">
        <v>471</v>
      </c>
      <c r="I36" s="187">
        <v>232</v>
      </c>
      <c r="J36" s="202"/>
      <c r="K36" s="159"/>
    </row>
    <row r="37" spans="1:11" x14ac:dyDescent="0.25">
      <c r="A37" s="154" t="s">
        <v>467</v>
      </c>
      <c r="B37" s="476">
        <f t="shared" si="4"/>
        <v>204.34100000000001</v>
      </c>
      <c r="C37" s="476"/>
      <c r="D37" s="168">
        <f t="shared" si="5"/>
        <v>204.34100000000001</v>
      </c>
      <c r="E37" s="188">
        <v>43770</v>
      </c>
      <c r="F37" s="186">
        <v>172.1</v>
      </c>
      <c r="G37" s="195" t="str">
        <f t="shared" si="2"/>
        <v>19-Q4</v>
      </c>
      <c r="H37" s="160" t="s">
        <v>472</v>
      </c>
      <c r="I37" s="185"/>
      <c r="J37" s="160"/>
      <c r="K37" s="155"/>
    </row>
    <row r="38" spans="1:11" x14ac:dyDescent="0.25">
      <c r="A38" s="154" t="s">
        <v>468</v>
      </c>
      <c r="B38" s="476">
        <f t="shared" si="4"/>
        <v>216.32333333333335</v>
      </c>
      <c r="C38" s="476"/>
      <c r="D38" s="168">
        <f t="shared" si="5"/>
        <v>216.32333333333335</v>
      </c>
      <c r="E38" s="188">
        <v>43800</v>
      </c>
      <c r="F38" s="186">
        <v>172.1</v>
      </c>
      <c r="G38" s="195" t="str">
        <f t="shared" si="2"/>
        <v>19-Q4</v>
      </c>
      <c r="H38" s="160"/>
      <c r="I38" s="185"/>
      <c r="J38" s="160"/>
    </row>
    <row r="39" spans="1:11" x14ac:dyDescent="0.25">
      <c r="A39" s="154" t="s">
        <v>469</v>
      </c>
      <c r="B39" s="476">
        <f t="shared" si="4"/>
        <v>223.84033333333332</v>
      </c>
      <c r="C39" s="476"/>
      <c r="D39" s="168">
        <f t="shared" si="5"/>
        <v>223.84033333333332</v>
      </c>
      <c r="E39" s="188">
        <v>43831</v>
      </c>
      <c r="F39" s="186">
        <v>173.3</v>
      </c>
      <c r="G39" s="195" t="str">
        <f t="shared" si="2"/>
        <v>20-Q1</v>
      </c>
      <c r="H39" s="160"/>
      <c r="I39" s="153"/>
      <c r="J39" s="160"/>
    </row>
    <row r="40" spans="1:11" x14ac:dyDescent="0.25">
      <c r="A40" s="154" t="s">
        <v>470</v>
      </c>
      <c r="B40" s="476">
        <f t="shared" si="4"/>
        <v>229.28566666666666</v>
      </c>
      <c r="C40" s="476"/>
      <c r="D40" s="168">
        <f t="shared" si="5"/>
        <v>229.28566666666666</v>
      </c>
      <c r="E40" s="188">
        <v>43862</v>
      </c>
      <c r="F40" s="186">
        <v>173.4</v>
      </c>
      <c r="G40" s="195" t="str">
        <f t="shared" si="2"/>
        <v>20-Q1</v>
      </c>
      <c r="H40" s="160"/>
      <c r="I40" s="153"/>
      <c r="J40" s="160"/>
    </row>
    <row r="41" spans="1:11" x14ac:dyDescent="0.25">
      <c r="A41" s="154" t="s">
        <v>471</v>
      </c>
      <c r="B41" s="476">
        <f t="shared" si="4"/>
        <v>232</v>
      </c>
      <c r="C41" s="476"/>
      <c r="D41" s="168">
        <f t="shared" si="5"/>
        <v>232</v>
      </c>
      <c r="E41" s="188">
        <v>43891</v>
      </c>
      <c r="F41" s="186">
        <v>173.2</v>
      </c>
      <c r="G41" s="195" t="str">
        <f t="shared" si="2"/>
        <v>20-Q1</v>
      </c>
      <c r="H41" s="160"/>
      <c r="I41" s="153"/>
      <c r="J41" s="160"/>
    </row>
    <row r="42" spans="1:11" x14ac:dyDescent="0.25">
      <c r="A42" s="154" t="s">
        <v>473</v>
      </c>
      <c r="B42" s="476">
        <f t="shared" si="4"/>
        <v>234.89999999999998</v>
      </c>
      <c r="C42" s="476"/>
      <c r="D42" s="168" t="e">
        <f t="shared" si="5"/>
        <v>#N/A</v>
      </c>
      <c r="E42" s="188">
        <v>43922</v>
      </c>
      <c r="F42" s="186">
        <v>174.5</v>
      </c>
      <c r="G42" s="195" t="str">
        <f t="shared" si="2"/>
        <v>20-Q2</v>
      </c>
      <c r="H42" s="160"/>
      <c r="I42" s="153"/>
      <c r="J42" s="160"/>
    </row>
    <row r="43" spans="1:11" x14ac:dyDescent="0.25">
      <c r="A43" s="154" t="s">
        <v>474</v>
      </c>
      <c r="B43" s="476">
        <f t="shared" si="4"/>
        <v>237.83624999999998</v>
      </c>
      <c r="C43" s="476"/>
      <c r="D43" s="168" t="e">
        <f t="shared" si="5"/>
        <v>#N/A</v>
      </c>
      <c r="E43" s="188">
        <v>43952</v>
      </c>
      <c r="F43" s="186">
        <v>174.4</v>
      </c>
      <c r="G43" s="195" t="str">
        <f t="shared" si="2"/>
        <v>20-Q2</v>
      </c>
      <c r="H43" s="160"/>
      <c r="I43" s="153"/>
      <c r="J43" s="160"/>
    </row>
    <row r="44" spans="1:11" x14ac:dyDescent="0.25">
      <c r="A44" s="154" t="s">
        <v>475</v>
      </c>
      <c r="B44" s="476">
        <f t="shared" si="4"/>
        <v>240.80920312499995</v>
      </c>
      <c r="C44" s="476"/>
      <c r="D44" s="168" t="e">
        <f t="shared" si="5"/>
        <v>#N/A</v>
      </c>
      <c r="E44" s="188">
        <v>43983</v>
      </c>
      <c r="F44" s="186">
        <v>174.2</v>
      </c>
      <c r="G44" s="195" t="str">
        <f t="shared" si="2"/>
        <v>20-Q2</v>
      </c>
      <c r="H44" s="160"/>
      <c r="I44" s="153"/>
      <c r="J44" s="160"/>
    </row>
    <row r="45" spans="1:11" x14ac:dyDescent="0.25">
      <c r="A45" s="154" t="s">
        <v>476</v>
      </c>
      <c r="B45" s="476">
        <f t="shared" si="4"/>
        <v>243.81931816406245</v>
      </c>
      <c r="C45" s="476"/>
      <c r="D45" s="168" t="e">
        <f t="shared" si="5"/>
        <v>#N/A</v>
      </c>
      <c r="E45" s="188">
        <v>44013</v>
      </c>
      <c r="F45" s="186">
        <v>175.2</v>
      </c>
      <c r="G45" s="195" t="str">
        <f t="shared" si="2"/>
        <v>20-Q3</v>
      </c>
      <c r="H45" s="160"/>
      <c r="I45" s="153"/>
      <c r="J45" s="160"/>
    </row>
    <row r="46" spans="1:11" x14ac:dyDescent="0.25">
      <c r="A46" s="154" t="s">
        <v>477</v>
      </c>
      <c r="B46" s="476">
        <f t="shared" si="4"/>
        <v>246.86705964111323</v>
      </c>
      <c r="C46" s="476"/>
      <c r="D46" s="168" t="e">
        <f t="shared" si="5"/>
        <v>#N/A</v>
      </c>
      <c r="E46" s="188">
        <v>44044</v>
      </c>
      <c r="F46" s="186">
        <v>175.2</v>
      </c>
      <c r="G46" s="195" t="str">
        <f t="shared" si="2"/>
        <v>20-Q3</v>
      </c>
      <c r="H46" s="160"/>
      <c r="I46" s="153"/>
      <c r="J46" s="160"/>
    </row>
    <row r="47" spans="1:11" x14ac:dyDescent="0.25">
      <c r="A47" s="154" t="s">
        <v>478</v>
      </c>
      <c r="B47" s="476">
        <f t="shared" si="4"/>
        <v>249.95289788662714</v>
      </c>
      <c r="C47" s="476"/>
      <c r="D47" s="168" t="e">
        <f t="shared" si="5"/>
        <v>#N/A</v>
      </c>
      <c r="E47" s="188">
        <v>44075</v>
      </c>
      <c r="F47" s="186">
        <v>174.9</v>
      </c>
      <c r="G47" s="195" t="str">
        <f t="shared" si="2"/>
        <v>20-Q3</v>
      </c>
      <c r="H47" s="160"/>
      <c r="I47" s="153"/>
      <c r="J47" s="160"/>
    </row>
    <row r="48" spans="1:11" x14ac:dyDescent="0.25">
      <c r="A48" s="154" t="s">
        <v>479</v>
      </c>
      <c r="B48" s="476">
        <f t="shared" si="4"/>
        <v>253.07730911020997</v>
      </c>
      <c r="C48" s="476"/>
      <c r="D48" s="168" t="e">
        <f t="shared" si="5"/>
        <v>#N/A</v>
      </c>
      <c r="E48" s="188">
        <v>44105</v>
      </c>
      <c r="F48" s="186">
        <v>174</v>
      </c>
      <c r="G48" s="195" t="str">
        <f t="shared" si="2"/>
        <v>20-Q4</v>
      </c>
      <c r="H48" s="160"/>
      <c r="I48" s="153"/>
      <c r="J48" s="160"/>
    </row>
    <row r="49" spans="1:10" x14ac:dyDescent="0.25">
      <c r="A49" s="154" t="s">
        <v>480</v>
      </c>
      <c r="B49" s="476">
        <f t="shared" si="4"/>
        <v>256.24077547408757</v>
      </c>
      <c r="C49" s="476"/>
      <c r="D49" s="168" t="e">
        <f t="shared" si="5"/>
        <v>#N/A</v>
      </c>
      <c r="E49" s="188">
        <v>44136</v>
      </c>
      <c r="F49" s="186">
        <v>174.2</v>
      </c>
      <c r="G49" s="195" t="str">
        <f t="shared" si="2"/>
        <v>20-Q4</v>
      </c>
      <c r="H49" s="160"/>
      <c r="I49" s="153"/>
      <c r="J49" s="160"/>
    </row>
    <row r="50" spans="1:10" x14ac:dyDescent="0.25">
      <c r="A50" s="154" t="s">
        <v>481</v>
      </c>
      <c r="B50" s="476">
        <f t="shared" si="4"/>
        <v>259.44378516751368</v>
      </c>
      <c r="C50" s="476"/>
      <c r="D50" s="168" t="e">
        <f t="shared" si="5"/>
        <v>#N/A</v>
      </c>
      <c r="E50" s="188">
        <v>44166</v>
      </c>
      <c r="F50" s="186">
        <v>174.1</v>
      </c>
      <c r="G50" s="195" t="str">
        <f t="shared" si="2"/>
        <v>20-Q4</v>
      </c>
      <c r="H50" s="160"/>
      <c r="I50" s="153"/>
      <c r="J50" s="160"/>
    </row>
    <row r="51" spans="1:10" x14ac:dyDescent="0.25">
      <c r="A51" s="154" t="s">
        <v>482</v>
      </c>
      <c r="B51" s="476">
        <f t="shared" si="4"/>
        <v>262.6868324821076</v>
      </c>
      <c r="C51" s="476"/>
      <c r="D51" s="168" t="e">
        <f t="shared" si="5"/>
        <v>#N/A</v>
      </c>
      <c r="E51" s="188">
        <v>44197</v>
      </c>
      <c r="F51" s="186">
        <v>174.4</v>
      </c>
      <c r="G51" s="195" t="str">
        <f t="shared" si="2"/>
        <v>21-Q1</v>
      </c>
      <c r="H51" s="160"/>
      <c r="I51" s="153"/>
      <c r="J51" s="160"/>
    </row>
    <row r="52" spans="1:10" x14ac:dyDescent="0.25">
      <c r="A52" s="154" t="s">
        <v>483</v>
      </c>
      <c r="B52" s="476">
        <f t="shared" si="4"/>
        <v>265.97041788813397</v>
      </c>
      <c r="C52" s="476"/>
      <c r="D52" s="168" t="e">
        <f t="shared" si="5"/>
        <v>#N/A</v>
      </c>
      <c r="E52" s="188">
        <v>44228</v>
      </c>
      <c r="F52" s="186">
        <v>174.8</v>
      </c>
      <c r="G52" s="195" t="str">
        <f t="shared" si="2"/>
        <v>21-Q1</v>
      </c>
      <c r="H52" s="160"/>
      <c r="I52" s="153"/>
      <c r="J52" s="160"/>
    </row>
    <row r="53" spans="1:10" x14ac:dyDescent="0.25">
      <c r="A53" s="154" t="s">
        <v>484</v>
      </c>
      <c r="B53" s="476">
        <f t="shared" si="4"/>
        <v>269.29504811173564</v>
      </c>
      <c r="C53" s="476"/>
      <c r="D53" s="168" t="e">
        <f t="shared" si="5"/>
        <v>#N/A</v>
      </c>
      <c r="E53" s="188">
        <v>44256</v>
      </c>
      <c r="F53" s="186">
        <v>174.7</v>
      </c>
      <c r="G53" s="195" t="str">
        <f t="shared" si="2"/>
        <v>21-Q1</v>
      </c>
      <c r="H53" s="160"/>
      <c r="I53" s="153"/>
      <c r="J53" s="160"/>
    </row>
    <row r="54" spans="1:10" x14ac:dyDescent="0.25">
      <c r="A54" s="154" t="s">
        <v>485</v>
      </c>
      <c r="B54" s="476">
        <f t="shared" si="4"/>
        <v>272.66123621313233</v>
      </c>
      <c r="C54" s="476"/>
      <c r="D54" s="168" t="e">
        <f t="shared" si="5"/>
        <v>#N/A</v>
      </c>
      <c r="E54" s="188">
        <v>44287</v>
      </c>
      <c r="F54" s="186">
        <v>176.4</v>
      </c>
      <c r="G54" s="195" t="str">
        <f t="shared" si="2"/>
        <v>21-Q2</v>
      </c>
      <c r="H54" s="160"/>
      <c r="I54" s="153"/>
      <c r="J54" s="160"/>
    </row>
    <row r="55" spans="1:10" x14ac:dyDescent="0.25">
      <c r="A55" s="154" t="s">
        <v>486</v>
      </c>
      <c r="B55" s="476">
        <f t="shared" si="4"/>
        <v>276.06950166579645</v>
      </c>
      <c r="C55" s="476"/>
      <c r="D55" s="168" t="e">
        <f t="shared" si="5"/>
        <v>#N/A</v>
      </c>
      <c r="E55" s="188">
        <v>44317</v>
      </c>
      <c r="F55" s="186">
        <v>176.9</v>
      </c>
      <c r="G55" s="195" t="str">
        <f t="shared" si="2"/>
        <v>21-Q2</v>
      </c>
      <c r="H55" s="160"/>
      <c r="I55" s="153"/>
      <c r="J55" s="160"/>
    </row>
    <row r="56" spans="1:10" x14ac:dyDescent="0.25">
      <c r="A56" s="154" t="s">
        <v>487</v>
      </c>
      <c r="B56" s="476">
        <f t="shared" si="4"/>
        <v>279.52037043661892</v>
      </c>
      <c r="C56" s="476"/>
      <c r="D56" s="168" t="e">
        <f t="shared" si="5"/>
        <v>#N/A</v>
      </c>
      <c r="E56" s="188">
        <v>44348</v>
      </c>
      <c r="F56" s="186">
        <v>176.9</v>
      </c>
      <c r="G56" s="195" t="str">
        <f t="shared" si="2"/>
        <v>21-Q2</v>
      </c>
      <c r="H56" s="160"/>
      <c r="I56" s="153"/>
      <c r="J56" s="160"/>
    </row>
    <row r="57" spans="1:10" x14ac:dyDescent="0.25">
      <c r="A57" s="154" t="s">
        <v>488</v>
      </c>
      <c r="B57" s="476">
        <f t="shared" si="4"/>
        <v>283.01437506707663</v>
      </c>
      <c r="C57" s="476"/>
      <c r="D57" s="168" t="e">
        <f t="shared" si="5"/>
        <v>#N/A</v>
      </c>
      <c r="E57" s="188">
        <v>44378</v>
      </c>
      <c r="F57" s="186">
        <v>180.15100000000001</v>
      </c>
      <c r="G57" s="195" t="str">
        <f t="shared" si="2"/>
        <v>21-Q3</v>
      </c>
      <c r="H57" s="160"/>
      <c r="I57" s="153"/>
      <c r="J57" s="160"/>
    </row>
    <row r="58" spans="1:10" x14ac:dyDescent="0.25">
      <c r="A58" s="154" t="s">
        <v>489</v>
      </c>
      <c r="B58" s="476">
        <f t="shared" si="4"/>
        <v>286.5520547554151</v>
      </c>
      <c r="C58" s="476"/>
      <c r="D58" s="168" t="e">
        <f t="shared" si="5"/>
        <v>#N/A</v>
      </c>
      <c r="E58" s="188">
        <v>44409</v>
      </c>
      <c r="F58" s="186">
        <v>180.279</v>
      </c>
      <c r="G58" s="195" t="str">
        <f t="shared" si="2"/>
        <v>21-Q3</v>
      </c>
      <c r="H58" s="160"/>
      <c r="I58" s="153"/>
      <c r="J58" s="160"/>
    </row>
    <row r="59" spans="1:10" x14ac:dyDescent="0.25">
      <c r="A59" s="154" t="s">
        <v>490</v>
      </c>
      <c r="B59" s="476">
        <f t="shared" si="4"/>
        <v>290.1339554398578</v>
      </c>
      <c r="C59" s="476"/>
      <c r="D59" s="168" t="e">
        <f t="shared" si="5"/>
        <v>#N/A</v>
      </c>
      <c r="E59" s="188">
        <v>44440</v>
      </c>
      <c r="F59" s="186">
        <v>180.44800000000001</v>
      </c>
      <c r="G59" s="195" t="str">
        <f t="shared" si="2"/>
        <v>21-Q3</v>
      </c>
      <c r="H59" s="160"/>
      <c r="I59" s="153"/>
      <c r="J59" s="160"/>
    </row>
    <row r="60" spans="1:10" x14ac:dyDescent="0.25">
      <c r="A60" s="154" t="s">
        <v>491</v>
      </c>
      <c r="B60" s="476">
        <f t="shared" si="4"/>
        <v>293.76062988285599</v>
      </c>
      <c r="C60" s="476"/>
      <c r="D60" s="168" t="e">
        <f t="shared" si="5"/>
        <v>#N/A</v>
      </c>
      <c r="E60" s="188">
        <v>44470</v>
      </c>
      <c r="F60" s="186">
        <v>190.06899999999999</v>
      </c>
      <c r="G60" s="195" t="str">
        <f t="shared" si="2"/>
        <v>21-Q4</v>
      </c>
      <c r="H60" s="160"/>
      <c r="I60" s="153"/>
      <c r="J60" s="160"/>
    </row>
    <row r="61" spans="1:10" x14ac:dyDescent="0.25">
      <c r="A61" s="154" t="s">
        <v>492</v>
      </c>
      <c r="B61" s="476">
        <f t="shared" si="4"/>
        <v>297.43263775639167</v>
      </c>
      <c r="C61" s="476"/>
      <c r="D61" s="168" t="e">
        <f t="shared" si="5"/>
        <v>#N/A</v>
      </c>
      <c r="E61" s="188">
        <v>44501</v>
      </c>
      <c r="F61" s="186">
        <v>190.208</v>
      </c>
      <c r="G61" s="195" t="str">
        <f t="shared" si="2"/>
        <v>21-Q4</v>
      </c>
      <c r="H61" s="160"/>
      <c r="I61" s="153"/>
      <c r="J61" s="160"/>
    </row>
    <row r="62" spans="1:10" x14ac:dyDescent="0.25">
      <c r="A62" s="154" t="s">
        <v>493</v>
      </c>
      <c r="B62" s="476">
        <f t="shared" si="4"/>
        <v>301.15054572834657</v>
      </c>
      <c r="C62" s="476"/>
      <c r="D62" s="168" t="e">
        <f t="shared" si="5"/>
        <v>#N/A</v>
      </c>
      <c r="E62" s="188">
        <v>44531</v>
      </c>
      <c r="F62" s="186">
        <v>189.697</v>
      </c>
      <c r="G62" s="195" t="str">
        <f t="shared" si="2"/>
        <v>21-Q4</v>
      </c>
      <c r="H62" s="160"/>
      <c r="I62" s="153"/>
      <c r="J62" s="160"/>
    </row>
    <row r="63" spans="1:10" x14ac:dyDescent="0.25">
      <c r="A63" s="154" t="s">
        <v>494</v>
      </c>
      <c r="B63" s="476">
        <f t="shared" si="4"/>
        <v>304.9149275499509</v>
      </c>
      <c r="C63" s="476"/>
      <c r="D63" s="168" t="e">
        <f t="shared" si="5"/>
        <v>#N/A</v>
      </c>
      <c r="E63" s="188">
        <v>44562</v>
      </c>
      <c r="F63" s="186">
        <v>194.96299999999999</v>
      </c>
      <c r="G63" s="195" t="str">
        <f t="shared" si="2"/>
        <v>22-Q1</v>
      </c>
      <c r="H63" s="160"/>
      <c r="I63" s="153"/>
      <c r="J63" s="160"/>
    </row>
    <row r="64" spans="1:10" x14ac:dyDescent="0.25">
      <c r="A64" s="154" t="s">
        <v>495</v>
      </c>
      <c r="B64" s="476">
        <f t="shared" si="4"/>
        <v>308.72636414432526</v>
      </c>
      <c r="C64" s="476"/>
      <c r="D64" s="168" t="e">
        <f t="shared" si="5"/>
        <v>#N/A</v>
      </c>
      <c r="E64" s="188">
        <v>44593</v>
      </c>
      <c r="F64" s="186">
        <v>195.21799999999999</v>
      </c>
      <c r="G64" s="195" t="str">
        <f t="shared" si="2"/>
        <v>22-Q1</v>
      </c>
      <c r="H64" s="160"/>
      <c r="I64" s="153"/>
      <c r="J64" s="160"/>
    </row>
    <row r="65" spans="1:10" x14ac:dyDescent="0.25">
      <c r="A65" s="154" t="s">
        <v>496</v>
      </c>
      <c r="B65" s="476">
        <f t="shared" si="4"/>
        <v>312.58544369612929</v>
      </c>
      <c r="C65" s="476"/>
      <c r="D65" s="168" t="e">
        <f t="shared" si="5"/>
        <v>#N/A</v>
      </c>
      <c r="E65" s="188">
        <v>44621</v>
      </c>
      <c r="F65" s="186">
        <v>196.14699999999999</v>
      </c>
      <c r="G65" s="195" t="str">
        <f t="shared" si="2"/>
        <v>22-Q1</v>
      </c>
      <c r="H65" s="160"/>
      <c r="I65" s="153"/>
      <c r="J65" s="160"/>
    </row>
    <row r="66" spans="1:10" x14ac:dyDescent="0.25">
      <c r="A66" s="154" t="s">
        <v>497</v>
      </c>
      <c r="B66" s="476">
        <f t="shared" si="4"/>
        <v>316.49276174233091</v>
      </c>
      <c r="C66" s="476"/>
      <c r="D66" s="168" t="e">
        <f t="shared" si="5"/>
        <v>#N/A</v>
      </c>
      <c r="E66" s="188">
        <v>44652</v>
      </c>
      <c r="F66" s="186">
        <v>204.25200000000001</v>
      </c>
      <c r="G66" s="195" t="str">
        <f t="shared" si="2"/>
        <v>22-Q2</v>
      </c>
      <c r="H66" s="160"/>
      <c r="I66" s="153"/>
      <c r="J66" s="160"/>
    </row>
    <row r="67" spans="1:10" x14ac:dyDescent="0.25">
      <c r="A67" s="154" t="s">
        <v>498</v>
      </c>
      <c r="B67" s="476">
        <f t="shared" si="4"/>
        <v>320.44892126411003</v>
      </c>
      <c r="C67" s="476"/>
      <c r="D67" s="168" t="e">
        <f t="shared" si="5"/>
        <v>#N/A</v>
      </c>
      <c r="E67" s="188">
        <v>44682</v>
      </c>
      <c r="F67" s="186">
        <v>204.21199999999999</v>
      </c>
      <c r="G67" s="195" t="str">
        <f t="shared" si="2"/>
        <v>22-Q2</v>
      </c>
      <c r="H67" s="160"/>
      <c r="I67" s="153"/>
      <c r="J67" s="160"/>
    </row>
    <row r="68" spans="1:10" x14ac:dyDescent="0.25">
      <c r="A68" s="154" t="s">
        <v>499</v>
      </c>
      <c r="B68" s="476">
        <f t="shared" si="4"/>
        <v>324.4545327799114</v>
      </c>
      <c r="C68" s="476"/>
      <c r="D68" s="168" t="e">
        <f t="shared" si="5"/>
        <v>#N/A</v>
      </c>
      <c r="E68" s="188">
        <v>44713</v>
      </c>
      <c r="F68" s="186">
        <v>204.559</v>
      </c>
      <c r="G68" s="195" t="str">
        <f t="shared" si="2"/>
        <v>22-Q2</v>
      </c>
      <c r="H68" s="160"/>
      <c r="I68" s="153"/>
    </row>
    <row r="69" spans="1:10" x14ac:dyDescent="0.25">
      <c r="A69" s="154" t="s">
        <v>500</v>
      </c>
      <c r="B69" s="476">
        <f>_xlfn.IFNA(D69,B68*(1+$C$18))</f>
        <v>328.51021443966027</v>
      </c>
      <c r="C69" s="476"/>
      <c r="D69" s="168" t="e">
        <f t="shared" si="5"/>
        <v>#N/A</v>
      </c>
      <c r="E69" s="188">
        <v>44743</v>
      </c>
      <c r="F69" s="186">
        <v>215.917</v>
      </c>
      <c r="G69" s="195" t="str">
        <f t="shared" si="2"/>
        <v>22-Q3</v>
      </c>
      <c r="H69" s="160"/>
      <c r="I69" s="153"/>
    </row>
    <row r="70" spans="1:10" x14ac:dyDescent="0.25">
      <c r="A70" s="154" t="s">
        <v>501</v>
      </c>
      <c r="B70" s="476">
        <f>_xlfn.IFNA(D70,B69*(1+$C$18))</f>
        <v>332.61659212015599</v>
      </c>
      <c r="C70" s="476"/>
      <c r="D70" s="168" t="e">
        <f t="shared" si="5"/>
        <v>#N/A</v>
      </c>
      <c r="E70" s="188">
        <v>44774</v>
      </c>
      <c r="F70" s="186">
        <v>216.167</v>
      </c>
      <c r="G70" s="195" t="str">
        <f t="shared" si="2"/>
        <v>22-Q3</v>
      </c>
      <c r="H70" s="160"/>
      <c r="I70" s="153"/>
    </row>
    <row r="71" spans="1:10" x14ac:dyDescent="0.25">
      <c r="A71" s="154" t="s">
        <v>502</v>
      </c>
      <c r="B71" s="476">
        <f>_xlfn.IFNA(D71,B70*(1+$C$18))</f>
        <v>336.77429952165789</v>
      </c>
      <c r="C71" s="476"/>
      <c r="D71" s="168" t="e">
        <f t="shared" si="5"/>
        <v>#N/A</v>
      </c>
      <c r="E71" s="188">
        <v>44805</v>
      </c>
      <c r="F71" s="186">
        <v>216.886</v>
      </c>
      <c r="G71" s="195" t="str">
        <f t="shared" si="2"/>
        <v>22-Q3</v>
      </c>
      <c r="H71" s="160"/>
      <c r="I71" s="153"/>
    </row>
    <row r="72" spans="1:10" x14ac:dyDescent="0.25">
      <c r="A72" s="154"/>
      <c r="B72" s="160"/>
      <c r="C72" s="160"/>
      <c r="D72" s="160"/>
      <c r="E72" s="188">
        <v>44835</v>
      </c>
      <c r="F72" s="186">
        <v>223.95699999999999</v>
      </c>
      <c r="G72" s="195" t="str">
        <f t="shared" si="2"/>
        <v>22-Q4</v>
      </c>
      <c r="H72" s="160"/>
      <c r="I72" s="153"/>
    </row>
    <row r="73" spans="1:10" x14ac:dyDescent="0.25">
      <c r="A73" s="154"/>
      <c r="B73" s="160"/>
      <c r="C73" s="160"/>
      <c r="D73" s="160"/>
      <c r="E73" s="188">
        <v>44866</v>
      </c>
      <c r="F73" s="186">
        <v>223.93899999999999</v>
      </c>
      <c r="G73" s="195" t="str">
        <f t="shared" si="2"/>
        <v>22-Q4</v>
      </c>
      <c r="H73" s="160"/>
      <c r="I73" s="153"/>
    </row>
    <row r="74" spans="1:10" x14ac:dyDescent="0.25">
      <c r="A74" s="154"/>
      <c r="B74" s="160"/>
      <c r="C74" s="160"/>
      <c r="D74" s="160"/>
      <c r="E74" s="188">
        <v>44896</v>
      </c>
      <c r="F74" s="186">
        <v>223.625</v>
      </c>
      <c r="G74" s="195" t="str">
        <f t="shared" si="2"/>
        <v>22-Q4</v>
      </c>
      <c r="H74" s="160"/>
      <c r="I74" s="153"/>
    </row>
    <row r="75" spans="1:10" ht="16.5" thickBot="1" x14ac:dyDescent="0.3">
      <c r="A75" s="161"/>
      <c r="B75" s="184"/>
      <c r="C75" s="184"/>
      <c r="D75" s="184"/>
      <c r="E75" s="189">
        <v>44927</v>
      </c>
      <c r="F75" s="190">
        <v>226.857</v>
      </c>
      <c r="G75" s="196" t="str">
        <f t="shared" si="2"/>
        <v>23-Q1</v>
      </c>
      <c r="H75" s="184"/>
      <c r="I75" s="191"/>
    </row>
  </sheetData>
  <sheetProtection sheet="1" objects="1" scenarios="1"/>
  <mergeCells count="91">
    <mergeCell ref="N21:O21"/>
    <mergeCell ref="N22:O22"/>
    <mergeCell ref="N23:O23"/>
    <mergeCell ref="M2:O2"/>
    <mergeCell ref="N16:O16"/>
    <mergeCell ref="N17:O17"/>
    <mergeCell ref="N18:O18"/>
    <mergeCell ref="N19:O19"/>
    <mergeCell ref="N20:O20"/>
    <mergeCell ref="N3:O3"/>
    <mergeCell ref="N4:O4"/>
    <mergeCell ref="N5:O5"/>
    <mergeCell ref="N6:O6"/>
    <mergeCell ref="N7:O7"/>
    <mergeCell ref="N8:O8"/>
    <mergeCell ref="N9:O9"/>
    <mergeCell ref="N10:O10"/>
    <mergeCell ref="N11:O11"/>
    <mergeCell ref="N12:O12"/>
    <mergeCell ref="N13:O13"/>
    <mergeCell ref="N14:O14"/>
    <mergeCell ref="N15:O15"/>
    <mergeCell ref="B71:C71"/>
    <mergeCell ref="A15:D15"/>
    <mergeCell ref="A16:D16"/>
    <mergeCell ref="B69:C69"/>
    <mergeCell ref="B70:C70"/>
    <mergeCell ref="B68:C68"/>
    <mergeCell ref="B62:C62"/>
    <mergeCell ref="B63:C63"/>
    <mergeCell ref="B64:C64"/>
    <mergeCell ref="B65:C65"/>
    <mergeCell ref="B66:C66"/>
    <mergeCell ref="B67:C67"/>
    <mergeCell ref="B56:C56"/>
    <mergeCell ref="B57:C57"/>
    <mergeCell ref="B58:C58"/>
    <mergeCell ref="B49:C49"/>
    <mergeCell ref="B38:C38"/>
    <mergeCell ref="B39:C39"/>
    <mergeCell ref="B40:C40"/>
    <mergeCell ref="B41:C41"/>
    <mergeCell ref="B42:C42"/>
    <mergeCell ref="B43:C43"/>
    <mergeCell ref="B44:C44"/>
    <mergeCell ref="B45:C45"/>
    <mergeCell ref="B46:C46"/>
    <mergeCell ref="B47:C47"/>
    <mergeCell ref="B48:C48"/>
    <mergeCell ref="A1:I1"/>
    <mergeCell ref="E11:G12"/>
    <mergeCell ref="E3:G3"/>
    <mergeCell ref="E13:G13"/>
    <mergeCell ref="H13:I13"/>
    <mergeCell ref="H5:I8"/>
    <mergeCell ref="H9:I11"/>
    <mergeCell ref="H12:I12"/>
    <mergeCell ref="A4:D4"/>
    <mergeCell ref="B60:C60"/>
    <mergeCell ref="B61:C61"/>
    <mergeCell ref="B50:C50"/>
    <mergeCell ref="B51:C51"/>
    <mergeCell ref="B52:C52"/>
    <mergeCell ref="B53:C53"/>
    <mergeCell ref="B54:C54"/>
    <mergeCell ref="B55:C55"/>
    <mergeCell ref="B59:C59"/>
    <mergeCell ref="B37:C37"/>
    <mergeCell ref="B26:C26"/>
    <mergeCell ref="B27:C27"/>
    <mergeCell ref="B28:C28"/>
    <mergeCell ref="B29:C29"/>
    <mergeCell ref="B30:C30"/>
    <mergeCell ref="B31:C31"/>
    <mergeCell ref="B32:C32"/>
    <mergeCell ref="B33:C33"/>
    <mergeCell ref="B34:C34"/>
    <mergeCell ref="B35:C35"/>
    <mergeCell ref="B36:C36"/>
    <mergeCell ref="B25:C25"/>
    <mergeCell ref="A2:D2"/>
    <mergeCell ref="H3:I3"/>
    <mergeCell ref="H4:I4"/>
    <mergeCell ref="E4:F4"/>
    <mergeCell ref="B20:C20"/>
    <mergeCell ref="B21:C21"/>
    <mergeCell ref="B22:C22"/>
    <mergeCell ref="B23:C23"/>
    <mergeCell ref="B24:C24"/>
    <mergeCell ref="E2:I2"/>
    <mergeCell ref="B19:C19"/>
  </mergeCells>
  <conditionalFormatting sqref="A20:A71">
    <cfRule type="cellIs" dxfId="2" priority="2" stopIfTrue="1" operator="equal">
      <formula>#REF!</formula>
    </cfRule>
  </conditionalFormatting>
  <conditionalFormatting sqref="B20:B71">
    <cfRule type="expression" dxfId="1" priority="3" stopIfTrue="1">
      <formula>$B20=$D20</formula>
    </cfRule>
  </conditionalFormatting>
  <conditionalFormatting sqref="D20:D71">
    <cfRule type="containsErrors" dxfId="0" priority="1">
      <formula>ISERROR(D20)</formula>
    </cfRule>
  </conditionalFormatting>
  <hyperlinks>
    <hyperlink ref="E6" r:id="rId1" xr:uid="{00000000-0004-0000-0D00-000000000000}"/>
    <hyperlink ref="E7" r:id="rId2" xr:uid="{00000000-0004-0000-0D00-000001000000}"/>
  </hyperlinks>
  <printOptions horizontalCentered="1"/>
  <pageMargins left="0.7" right="0.7" top="0.75" bottom="0.75" header="0.3" footer="0.3"/>
  <pageSetup paperSize="9" scale="49" orientation="portrait" r:id="rId3"/>
  <headerFooter>
    <oddFooter>&amp;C&amp;"-,Bold"&amp;K000000&amp;A</oddFooter>
  </headerFooter>
  <colBreaks count="1" manualBreakCount="1">
    <brk id="4" max="9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6"/>
  <sheetViews>
    <sheetView workbookViewId="0">
      <selection sqref="A1:A36"/>
    </sheetView>
  </sheetViews>
  <sheetFormatPr defaultColWidth="8.85546875" defaultRowHeight="15" x14ac:dyDescent="0.25"/>
  <cols>
    <col min="1" max="1" width="11.42578125" bestFit="1" customWidth="1"/>
  </cols>
  <sheetData>
    <row r="1" spans="1:1" x14ac:dyDescent="0.25">
      <c r="A1" s="71" t="s">
        <v>580</v>
      </c>
    </row>
    <row r="2" spans="1:1" x14ac:dyDescent="0.25">
      <c r="A2" s="20" t="s">
        <v>552</v>
      </c>
    </row>
    <row r="3" spans="1:1" x14ac:dyDescent="0.25">
      <c r="A3" s="20" t="s">
        <v>543</v>
      </c>
    </row>
    <row r="4" spans="1:1" x14ac:dyDescent="0.25">
      <c r="A4" s="71" t="s">
        <v>538</v>
      </c>
    </row>
    <row r="5" spans="1:1" x14ac:dyDescent="0.25">
      <c r="A5" s="71" t="s">
        <v>540</v>
      </c>
    </row>
    <row r="6" spans="1:1" x14ac:dyDescent="0.25">
      <c r="A6" s="71" t="s">
        <v>559</v>
      </c>
    </row>
    <row r="7" spans="1:1" x14ac:dyDescent="0.25">
      <c r="A7" s="20" t="s">
        <v>568</v>
      </c>
    </row>
    <row r="8" spans="1:1" x14ac:dyDescent="0.25">
      <c r="A8" s="71" t="s">
        <v>560</v>
      </c>
    </row>
    <row r="9" spans="1:1" x14ac:dyDescent="0.25">
      <c r="A9" s="20" t="s">
        <v>569</v>
      </c>
    </row>
    <row r="10" spans="1:1" x14ac:dyDescent="0.25">
      <c r="A10" s="20" t="s">
        <v>557</v>
      </c>
    </row>
    <row r="11" spans="1:1" x14ac:dyDescent="0.25">
      <c r="A11" s="20" t="s">
        <v>574</v>
      </c>
    </row>
    <row r="12" spans="1:1" x14ac:dyDescent="0.25">
      <c r="A12" s="20" t="s">
        <v>575</v>
      </c>
    </row>
    <row r="13" spans="1:1" x14ac:dyDescent="0.25">
      <c r="A13" s="20" t="s">
        <v>584</v>
      </c>
    </row>
    <row r="14" spans="1:1" x14ac:dyDescent="0.25">
      <c r="A14" s="71" t="s">
        <v>564</v>
      </c>
    </row>
    <row r="15" spans="1:1" x14ac:dyDescent="0.25">
      <c r="A15" s="20" t="s">
        <v>561</v>
      </c>
    </row>
    <row r="16" spans="1:1" x14ac:dyDescent="0.25">
      <c r="A16" s="20" t="s">
        <v>571</v>
      </c>
    </row>
    <row r="17" spans="1:1" x14ac:dyDescent="0.25">
      <c r="A17" s="20" t="s">
        <v>562</v>
      </c>
    </row>
    <row r="18" spans="1:1" x14ac:dyDescent="0.25">
      <c r="A18" s="71" t="s">
        <v>572</v>
      </c>
    </row>
    <row r="19" spans="1:1" x14ac:dyDescent="0.25">
      <c r="A19" s="71" t="s">
        <v>573</v>
      </c>
    </row>
    <row r="20" spans="1:1" x14ac:dyDescent="0.25">
      <c r="A20" s="71" t="s">
        <v>555</v>
      </c>
    </row>
    <row r="21" spans="1:1" x14ac:dyDescent="0.25">
      <c r="A21" s="20" t="s">
        <v>553</v>
      </c>
    </row>
    <row r="22" spans="1:1" x14ac:dyDescent="0.25">
      <c r="A22" s="20" t="s">
        <v>554</v>
      </c>
    </row>
    <row r="23" spans="1:1" x14ac:dyDescent="0.25">
      <c r="A23" s="20" t="s">
        <v>585</v>
      </c>
    </row>
    <row r="24" spans="1:1" x14ac:dyDescent="0.25">
      <c r="A24" s="71" t="s">
        <v>548</v>
      </c>
    </row>
    <row r="25" spans="1:1" x14ac:dyDescent="0.25">
      <c r="A25" s="20" t="s">
        <v>576</v>
      </c>
    </row>
    <row r="26" spans="1:1" x14ac:dyDescent="0.25">
      <c r="A26" s="20" t="s">
        <v>545</v>
      </c>
    </row>
    <row r="27" spans="1:1" x14ac:dyDescent="0.25">
      <c r="A27" s="71" t="s">
        <v>550</v>
      </c>
    </row>
    <row r="28" spans="1:1" x14ac:dyDescent="0.25">
      <c r="A28" s="71" t="s">
        <v>566</v>
      </c>
    </row>
    <row r="29" spans="1:1" x14ac:dyDescent="0.25">
      <c r="A29" s="71" t="s">
        <v>542</v>
      </c>
    </row>
    <row r="30" spans="1:1" x14ac:dyDescent="0.25">
      <c r="A30" s="20" t="s">
        <v>577</v>
      </c>
    </row>
    <row r="31" spans="1:1" x14ac:dyDescent="0.25">
      <c r="A31" s="71" t="s">
        <v>582</v>
      </c>
    </row>
    <row r="32" spans="1:1" x14ac:dyDescent="0.25">
      <c r="A32" s="71" t="s">
        <v>583</v>
      </c>
    </row>
    <row r="33" spans="1:1" x14ac:dyDescent="0.25">
      <c r="A33" s="71" t="s">
        <v>567</v>
      </c>
    </row>
    <row r="34" spans="1:1" x14ac:dyDescent="0.25">
      <c r="A34" s="20" t="s">
        <v>547</v>
      </c>
    </row>
    <row r="35" spans="1:1" x14ac:dyDescent="0.25">
      <c r="A35" s="20" t="s">
        <v>579</v>
      </c>
    </row>
    <row r="36" spans="1:1" x14ac:dyDescent="0.25">
      <c r="A36" s="71" t="s">
        <v>551</v>
      </c>
    </row>
  </sheetData>
  <sortState xmlns:xlrd2="http://schemas.microsoft.com/office/spreadsheetml/2017/richdata2" ref="A1:A36">
    <sortCondition ref="A1:A36"/>
  </sortState>
  <pageMargins left="0.7" right="0.7" top="0.75" bottom="0.75" header="0.3" footer="0.3"/>
  <pageSetup paperSize="9" orientation="portrait" r:id="rId1"/>
  <headerFooter>
    <oddHeader>&amp;C&amp;"Calibri"&amp;7&amp;K000000Client Confidential&amp;1#_x000D_&amp;"Verdana"&amp;9&amp;K000000</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217"/>
  <sheetViews>
    <sheetView showGridLines="0" showRowColHeaders="0" workbookViewId="0"/>
  </sheetViews>
  <sheetFormatPr defaultColWidth="8.85546875" defaultRowHeight="15" x14ac:dyDescent="0.25"/>
  <cols>
    <col min="2" max="2" width="32" bestFit="1" customWidth="1"/>
  </cols>
  <sheetData>
    <row r="1" spans="1:2" ht="15.75" thickBot="1" x14ac:dyDescent="0.3">
      <c r="A1" s="356" t="s">
        <v>865</v>
      </c>
      <c r="B1" s="357" t="s">
        <v>866</v>
      </c>
    </row>
    <row r="2" spans="1:2" x14ac:dyDescent="0.25">
      <c r="A2" s="358">
        <v>2063</v>
      </c>
      <c r="B2" s="359" t="s">
        <v>591</v>
      </c>
    </row>
    <row r="3" spans="1:2" x14ac:dyDescent="0.25">
      <c r="A3" s="360">
        <v>2113</v>
      </c>
      <c r="B3" s="361" t="s">
        <v>592</v>
      </c>
    </row>
    <row r="4" spans="1:2" x14ac:dyDescent="0.25">
      <c r="A4" s="360">
        <v>1899</v>
      </c>
      <c r="B4" s="361" t="s">
        <v>593</v>
      </c>
    </row>
    <row r="5" spans="1:2" x14ac:dyDescent="0.25">
      <c r="A5" s="360">
        <v>2252</v>
      </c>
      <c r="B5" s="361" t="s">
        <v>594</v>
      </c>
    </row>
    <row r="6" spans="1:2" x14ac:dyDescent="0.25">
      <c r="A6" s="360">
        <v>2111</v>
      </c>
      <c r="B6" s="361" t="s">
        <v>595</v>
      </c>
    </row>
    <row r="7" spans="1:2" x14ac:dyDescent="0.25">
      <c r="A7" s="360">
        <v>2005</v>
      </c>
      <c r="B7" s="361" t="s">
        <v>596</v>
      </c>
    </row>
    <row r="8" spans="1:2" x14ac:dyDescent="0.25">
      <c r="A8" s="360">
        <v>2115</v>
      </c>
      <c r="B8" s="361" t="s">
        <v>597</v>
      </c>
    </row>
    <row r="9" spans="1:2" x14ac:dyDescent="0.25">
      <c r="A9" s="360">
        <v>2041</v>
      </c>
      <c r="B9" s="361" t="s">
        <v>598</v>
      </c>
    </row>
    <row r="10" spans="1:2" x14ac:dyDescent="0.25">
      <c r="A10" s="360">
        <v>2051</v>
      </c>
      <c r="B10" s="361" t="s">
        <v>599</v>
      </c>
    </row>
    <row r="11" spans="1:2" x14ac:dyDescent="0.25">
      <c r="A11" s="360">
        <v>1933</v>
      </c>
      <c r="B11" s="361" t="s">
        <v>600</v>
      </c>
    </row>
    <row r="12" spans="1:2" x14ac:dyDescent="0.25">
      <c r="A12" s="360">
        <v>2208</v>
      </c>
      <c r="B12" s="361" t="s">
        <v>601</v>
      </c>
    </row>
    <row r="13" spans="1:2" x14ac:dyDescent="0.25">
      <c r="A13" s="360">
        <v>1894</v>
      </c>
      <c r="B13" s="361" t="s">
        <v>602</v>
      </c>
    </row>
    <row r="14" spans="1:2" x14ac:dyDescent="0.25">
      <c r="A14" s="360">
        <v>1969</v>
      </c>
      <c r="B14" s="361" t="s">
        <v>603</v>
      </c>
    </row>
    <row r="15" spans="1:2" x14ac:dyDescent="0.25">
      <c r="A15" s="360">
        <v>2240</v>
      </c>
      <c r="B15" s="361" t="s">
        <v>604</v>
      </c>
    </row>
    <row r="16" spans="1:2" x14ac:dyDescent="0.25">
      <c r="A16" s="360">
        <v>2243</v>
      </c>
      <c r="B16" s="361" t="s">
        <v>605</v>
      </c>
    </row>
    <row r="17" spans="1:2" x14ac:dyDescent="0.25">
      <c r="A17" s="360">
        <v>1976</v>
      </c>
      <c r="B17" s="361" t="s">
        <v>606</v>
      </c>
    </row>
    <row r="18" spans="1:2" x14ac:dyDescent="0.25">
      <c r="A18" s="360">
        <v>2088</v>
      </c>
      <c r="B18" s="361" t="s">
        <v>607</v>
      </c>
    </row>
    <row r="19" spans="1:2" x14ac:dyDescent="0.25">
      <c r="A19" s="360">
        <v>2095</v>
      </c>
      <c r="B19" s="361" t="s">
        <v>608</v>
      </c>
    </row>
    <row r="20" spans="1:2" x14ac:dyDescent="0.25">
      <c r="A20" s="360">
        <v>2052</v>
      </c>
      <c r="B20" s="361" t="s">
        <v>609</v>
      </c>
    </row>
    <row r="21" spans="1:2" x14ac:dyDescent="0.25">
      <c r="A21" s="360">
        <v>1974</v>
      </c>
      <c r="B21" s="361" t="s">
        <v>610</v>
      </c>
    </row>
    <row r="22" spans="1:2" x14ac:dyDescent="0.25">
      <c r="A22" s="360">
        <v>1896</v>
      </c>
      <c r="B22" s="361" t="s">
        <v>611</v>
      </c>
    </row>
    <row r="23" spans="1:2" x14ac:dyDescent="0.25">
      <c r="A23" s="360">
        <v>2046</v>
      </c>
      <c r="B23" s="361" t="s">
        <v>612</v>
      </c>
    </row>
    <row r="24" spans="1:2" x14ac:dyDescent="0.25">
      <c r="A24" s="360">
        <v>1995</v>
      </c>
      <c r="B24" s="361" t="s">
        <v>613</v>
      </c>
    </row>
    <row r="25" spans="1:2" x14ac:dyDescent="0.25">
      <c r="A25" s="360">
        <v>1929</v>
      </c>
      <c r="B25" s="361" t="s">
        <v>614</v>
      </c>
    </row>
    <row r="26" spans="1:2" x14ac:dyDescent="0.25">
      <c r="A26" s="360">
        <v>2139</v>
      </c>
      <c r="B26" s="361" t="s">
        <v>615</v>
      </c>
    </row>
    <row r="27" spans="1:2" x14ac:dyDescent="0.25">
      <c r="A27" s="360">
        <v>2185</v>
      </c>
      <c r="B27" s="361" t="s">
        <v>616</v>
      </c>
    </row>
    <row r="28" spans="1:2" x14ac:dyDescent="0.25">
      <c r="A28" s="360">
        <v>1972</v>
      </c>
      <c r="B28" s="361" t="s">
        <v>617</v>
      </c>
    </row>
    <row r="29" spans="1:2" x14ac:dyDescent="0.25">
      <c r="A29" s="360">
        <v>2105</v>
      </c>
      <c r="B29" s="361" t="s">
        <v>618</v>
      </c>
    </row>
    <row r="30" spans="1:2" x14ac:dyDescent="0.25">
      <c r="A30" s="360">
        <v>2042</v>
      </c>
      <c r="B30" s="361" t="s">
        <v>619</v>
      </c>
    </row>
    <row r="31" spans="1:2" x14ac:dyDescent="0.25">
      <c r="A31" s="360">
        <v>2191</v>
      </c>
      <c r="B31" s="361" t="s">
        <v>620</v>
      </c>
    </row>
    <row r="32" spans="1:2" x14ac:dyDescent="0.25">
      <c r="A32" s="360">
        <v>1902</v>
      </c>
      <c r="B32" s="361" t="s">
        <v>868</v>
      </c>
    </row>
    <row r="33" spans="1:2" x14ac:dyDescent="0.25">
      <c r="A33" s="360">
        <v>1945</v>
      </c>
      <c r="B33" s="361" t="s">
        <v>621</v>
      </c>
    </row>
    <row r="34" spans="1:2" x14ac:dyDescent="0.25">
      <c r="A34" s="360">
        <v>1927</v>
      </c>
      <c r="B34" s="361" t="s">
        <v>622</v>
      </c>
    </row>
    <row r="35" spans="1:2" x14ac:dyDescent="0.25">
      <c r="A35" s="360">
        <v>2223</v>
      </c>
      <c r="B35" s="361" t="s">
        <v>869</v>
      </c>
    </row>
    <row r="36" spans="1:2" x14ac:dyDescent="0.25">
      <c r="A36" s="360">
        <v>2006</v>
      </c>
      <c r="B36" s="361" t="s">
        <v>623</v>
      </c>
    </row>
    <row r="37" spans="1:2" x14ac:dyDescent="0.25">
      <c r="A37" s="360">
        <v>1965</v>
      </c>
      <c r="B37" s="361" t="s">
        <v>624</v>
      </c>
    </row>
    <row r="38" spans="1:2" x14ac:dyDescent="0.25">
      <c r="A38" s="360">
        <v>1964</v>
      </c>
      <c r="B38" s="361" t="s">
        <v>625</v>
      </c>
    </row>
    <row r="39" spans="1:2" x14ac:dyDescent="0.25">
      <c r="A39" s="360">
        <v>2186</v>
      </c>
      <c r="B39" s="361" t="s">
        <v>626</v>
      </c>
    </row>
    <row r="40" spans="1:2" x14ac:dyDescent="0.25">
      <c r="A40" s="360">
        <v>1901</v>
      </c>
      <c r="B40" s="361" t="s">
        <v>627</v>
      </c>
    </row>
    <row r="41" spans="1:2" x14ac:dyDescent="0.25">
      <c r="A41" s="360">
        <v>2216</v>
      </c>
      <c r="B41" s="361" t="s">
        <v>628</v>
      </c>
    </row>
    <row r="42" spans="1:2" x14ac:dyDescent="0.25">
      <c r="A42" s="360">
        <v>2086</v>
      </c>
      <c r="B42" s="361" t="s">
        <v>629</v>
      </c>
    </row>
    <row r="43" spans="1:2" x14ac:dyDescent="0.25">
      <c r="A43" s="360">
        <v>1970</v>
      </c>
      <c r="B43" s="361" t="s">
        <v>630</v>
      </c>
    </row>
    <row r="44" spans="1:2" x14ac:dyDescent="0.25">
      <c r="A44" s="360">
        <v>2089</v>
      </c>
      <c r="B44" s="361" t="s">
        <v>631</v>
      </c>
    </row>
    <row r="45" spans="1:2" x14ac:dyDescent="0.25">
      <c r="A45" s="360">
        <v>2050</v>
      </c>
      <c r="B45" s="361" t="s">
        <v>632</v>
      </c>
    </row>
    <row r="46" spans="1:2" x14ac:dyDescent="0.25">
      <c r="A46" s="360">
        <v>2190</v>
      </c>
      <c r="B46" s="361" t="s">
        <v>633</v>
      </c>
    </row>
    <row r="47" spans="1:2" x14ac:dyDescent="0.25">
      <c r="A47" s="360">
        <v>2187</v>
      </c>
      <c r="B47" s="361" t="s">
        <v>634</v>
      </c>
    </row>
    <row r="48" spans="1:2" x14ac:dyDescent="0.25">
      <c r="A48" s="360">
        <v>2253</v>
      </c>
      <c r="B48" s="361" t="s">
        <v>635</v>
      </c>
    </row>
    <row r="49" spans="1:2" x14ac:dyDescent="0.25">
      <c r="A49" s="360">
        <v>2011</v>
      </c>
      <c r="B49" s="361" t="s">
        <v>636</v>
      </c>
    </row>
    <row r="50" spans="1:2" x14ac:dyDescent="0.25">
      <c r="A50" s="360">
        <v>2017</v>
      </c>
      <c r="B50" s="361" t="s">
        <v>637</v>
      </c>
    </row>
    <row r="51" spans="1:2" x14ac:dyDescent="0.25">
      <c r="A51" s="360">
        <v>2021</v>
      </c>
      <c r="B51" s="361" t="s">
        <v>638</v>
      </c>
    </row>
    <row r="52" spans="1:2" x14ac:dyDescent="0.25">
      <c r="A52" s="360">
        <v>1993</v>
      </c>
      <c r="B52" s="361" t="s">
        <v>639</v>
      </c>
    </row>
    <row r="53" spans="1:2" x14ac:dyDescent="0.25">
      <c r="A53" s="360">
        <v>1991</v>
      </c>
      <c r="B53" s="361" t="s">
        <v>640</v>
      </c>
    </row>
    <row r="54" spans="1:2" x14ac:dyDescent="0.25">
      <c r="A54" s="360">
        <v>1980</v>
      </c>
      <c r="B54" s="361" t="s">
        <v>870</v>
      </c>
    </row>
    <row r="55" spans="1:2" x14ac:dyDescent="0.25">
      <c r="A55" s="360">
        <v>2019</v>
      </c>
      <c r="B55" s="361" t="s">
        <v>641</v>
      </c>
    </row>
    <row r="56" spans="1:2" x14ac:dyDescent="0.25">
      <c r="A56" s="360">
        <v>2229</v>
      </c>
      <c r="B56" s="361" t="s">
        <v>642</v>
      </c>
    </row>
    <row r="57" spans="1:2" x14ac:dyDescent="0.25">
      <c r="A57" s="360">
        <v>2043</v>
      </c>
      <c r="B57" s="361" t="s">
        <v>643</v>
      </c>
    </row>
    <row r="58" spans="1:2" x14ac:dyDescent="0.25">
      <c r="A58" s="360">
        <v>2203</v>
      </c>
      <c r="B58" s="361" t="s">
        <v>644</v>
      </c>
    </row>
    <row r="59" spans="1:2" x14ac:dyDescent="0.25">
      <c r="A59" s="360">
        <v>2217</v>
      </c>
      <c r="B59" s="361" t="s">
        <v>645</v>
      </c>
    </row>
    <row r="60" spans="1:2" x14ac:dyDescent="0.25">
      <c r="A60" s="360">
        <v>1998</v>
      </c>
      <c r="B60" s="361" t="s">
        <v>646</v>
      </c>
    </row>
    <row r="61" spans="1:2" x14ac:dyDescent="0.25">
      <c r="A61" s="360">
        <v>2221</v>
      </c>
      <c r="B61" s="361" t="s">
        <v>647</v>
      </c>
    </row>
    <row r="62" spans="1:2" x14ac:dyDescent="0.25">
      <c r="A62" s="360">
        <v>1930</v>
      </c>
      <c r="B62" s="361" t="s">
        <v>648</v>
      </c>
    </row>
    <row r="63" spans="1:2" x14ac:dyDescent="0.25">
      <c r="A63" s="360">
        <v>2082</v>
      </c>
      <c r="B63" s="361" t="s">
        <v>649</v>
      </c>
    </row>
    <row r="64" spans="1:2" x14ac:dyDescent="0.25">
      <c r="A64" s="360">
        <v>2193</v>
      </c>
      <c r="B64" s="361" t="s">
        <v>650</v>
      </c>
    </row>
    <row r="65" spans="1:2" x14ac:dyDescent="0.25">
      <c r="A65" s="360">
        <v>2084</v>
      </c>
      <c r="B65" s="361" t="s">
        <v>651</v>
      </c>
    </row>
    <row r="66" spans="1:2" x14ac:dyDescent="0.25">
      <c r="A66" s="360">
        <v>2241</v>
      </c>
      <c r="B66" s="361" t="s">
        <v>652</v>
      </c>
    </row>
    <row r="67" spans="1:2" x14ac:dyDescent="0.25">
      <c r="A67" s="360">
        <v>2248</v>
      </c>
      <c r="B67" s="361" t="s">
        <v>653</v>
      </c>
    </row>
    <row r="68" spans="1:2" x14ac:dyDescent="0.25">
      <c r="A68" s="360">
        <v>2020</v>
      </c>
      <c r="B68" s="361" t="s">
        <v>654</v>
      </c>
    </row>
    <row r="69" spans="1:2" x14ac:dyDescent="0.25">
      <c r="A69" s="360">
        <v>2245</v>
      </c>
      <c r="B69" s="361" t="s">
        <v>655</v>
      </c>
    </row>
    <row r="70" spans="1:2" x14ac:dyDescent="0.25">
      <c r="A70" s="360">
        <v>2137</v>
      </c>
      <c r="B70" s="361" t="s">
        <v>656</v>
      </c>
    </row>
    <row r="71" spans="1:2" x14ac:dyDescent="0.25">
      <c r="A71" s="360">
        <v>1931</v>
      </c>
      <c r="B71" s="361" t="s">
        <v>657</v>
      </c>
    </row>
    <row r="72" spans="1:2" x14ac:dyDescent="0.25">
      <c r="A72" s="360">
        <v>2000</v>
      </c>
      <c r="B72" s="361" t="s">
        <v>658</v>
      </c>
    </row>
    <row r="73" spans="1:2" x14ac:dyDescent="0.25">
      <c r="A73" s="360">
        <v>1992</v>
      </c>
      <c r="B73" s="361" t="s">
        <v>659</v>
      </c>
    </row>
    <row r="74" spans="1:2" x14ac:dyDescent="0.25">
      <c r="A74" s="360">
        <v>2007</v>
      </c>
      <c r="B74" s="361" t="s">
        <v>871</v>
      </c>
    </row>
    <row r="75" spans="1:2" x14ac:dyDescent="0.25">
      <c r="A75" s="360">
        <v>2054</v>
      </c>
      <c r="B75" s="361" t="s">
        <v>660</v>
      </c>
    </row>
    <row r="76" spans="1:2" x14ac:dyDescent="0.25">
      <c r="A76" s="360">
        <v>2100</v>
      </c>
      <c r="B76" s="361" t="s">
        <v>661</v>
      </c>
    </row>
    <row r="77" spans="1:2" x14ac:dyDescent="0.25">
      <c r="A77" s="360">
        <v>2183</v>
      </c>
      <c r="B77" s="361" t="s">
        <v>662</v>
      </c>
    </row>
    <row r="78" spans="1:2" x14ac:dyDescent="0.25">
      <c r="A78" s="360">
        <v>2014</v>
      </c>
      <c r="B78" s="361" t="s">
        <v>663</v>
      </c>
    </row>
    <row r="79" spans="1:2" x14ac:dyDescent="0.25">
      <c r="A79" s="360">
        <v>2015</v>
      </c>
      <c r="B79" s="361" t="s">
        <v>664</v>
      </c>
    </row>
    <row r="80" spans="1:2" x14ac:dyDescent="0.25">
      <c r="A80" s="360">
        <v>2023</v>
      </c>
      <c r="B80" s="361" t="s">
        <v>665</v>
      </c>
    </row>
    <row r="81" spans="1:2" x14ac:dyDescent="0.25">
      <c r="A81" s="360">
        <v>2013</v>
      </c>
      <c r="B81" s="361" t="s">
        <v>872</v>
      </c>
    </row>
    <row r="82" spans="1:2" x14ac:dyDescent="0.25">
      <c r="A82" s="360">
        <v>2114</v>
      </c>
      <c r="B82" s="361" t="s">
        <v>666</v>
      </c>
    </row>
    <row r="83" spans="1:2" x14ac:dyDescent="0.25">
      <c r="A83" s="360">
        <v>2099</v>
      </c>
      <c r="B83" s="361" t="s">
        <v>667</v>
      </c>
    </row>
    <row r="84" spans="1:2" x14ac:dyDescent="0.25">
      <c r="A84" s="360">
        <v>2201</v>
      </c>
      <c r="B84" s="361" t="s">
        <v>668</v>
      </c>
    </row>
    <row r="85" spans="1:2" x14ac:dyDescent="0.25">
      <c r="A85" s="360">
        <v>2206</v>
      </c>
      <c r="B85" s="361" t="s">
        <v>669</v>
      </c>
    </row>
    <row r="86" spans="1:2" x14ac:dyDescent="0.25">
      <c r="A86" s="360">
        <v>1975</v>
      </c>
      <c r="B86" s="361" t="s">
        <v>873</v>
      </c>
    </row>
    <row r="87" spans="1:2" x14ac:dyDescent="0.25">
      <c r="A87" s="360">
        <v>2239</v>
      </c>
      <c r="B87" s="361" t="s">
        <v>670</v>
      </c>
    </row>
    <row r="88" spans="1:2" x14ac:dyDescent="0.25">
      <c r="A88" s="360">
        <v>2024</v>
      </c>
      <c r="B88" s="361" t="s">
        <v>671</v>
      </c>
    </row>
    <row r="89" spans="1:2" x14ac:dyDescent="0.25">
      <c r="A89" s="360">
        <v>1895</v>
      </c>
      <c r="B89" s="361" t="s">
        <v>672</v>
      </c>
    </row>
    <row r="90" spans="1:2" x14ac:dyDescent="0.25">
      <c r="A90" s="360">
        <v>2215</v>
      </c>
      <c r="B90" s="361" t="s">
        <v>673</v>
      </c>
    </row>
    <row r="91" spans="1:2" x14ac:dyDescent="0.25">
      <c r="A91" s="360">
        <v>2200</v>
      </c>
      <c r="B91" s="361" t="s">
        <v>874</v>
      </c>
    </row>
    <row r="92" spans="1:2" x14ac:dyDescent="0.25">
      <c r="A92" s="360">
        <v>3997</v>
      </c>
      <c r="B92" s="361" t="s">
        <v>674</v>
      </c>
    </row>
    <row r="93" spans="1:2" x14ac:dyDescent="0.25">
      <c r="A93" s="360">
        <v>2053</v>
      </c>
      <c r="B93" s="361" t="s">
        <v>675</v>
      </c>
    </row>
    <row r="94" spans="1:2" x14ac:dyDescent="0.25">
      <c r="A94" s="360">
        <v>2049</v>
      </c>
      <c r="B94" s="361" t="s">
        <v>875</v>
      </c>
    </row>
    <row r="95" spans="1:2" x14ac:dyDescent="0.25">
      <c r="A95" s="360">
        <v>2140</v>
      </c>
      <c r="B95" s="361" t="s">
        <v>676</v>
      </c>
    </row>
    <row r="96" spans="1:2" x14ac:dyDescent="0.25">
      <c r="A96" s="360">
        <v>1934</v>
      </c>
      <c r="B96" s="361" t="s">
        <v>677</v>
      </c>
    </row>
    <row r="97" spans="1:2" x14ac:dyDescent="0.25">
      <c r="A97" s="360">
        <v>2008</v>
      </c>
      <c r="B97" s="361" t="s">
        <v>678</v>
      </c>
    </row>
    <row r="98" spans="1:2" x14ac:dyDescent="0.25">
      <c r="A98" s="360">
        <v>2107</v>
      </c>
      <c r="B98" s="361" t="s">
        <v>679</v>
      </c>
    </row>
    <row r="99" spans="1:2" x14ac:dyDescent="0.25">
      <c r="A99" s="360">
        <v>2219</v>
      </c>
      <c r="B99" s="361" t="s">
        <v>680</v>
      </c>
    </row>
    <row r="100" spans="1:2" x14ac:dyDescent="0.25">
      <c r="A100" s="360">
        <v>2091</v>
      </c>
      <c r="B100" s="361" t="s">
        <v>681</v>
      </c>
    </row>
    <row r="101" spans="1:2" x14ac:dyDescent="0.25">
      <c r="A101" s="360">
        <v>2109</v>
      </c>
      <c r="B101" s="361" t="s">
        <v>682</v>
      </c>
    </row>
    <row r="102" spans="1:2" x14ac:dyDescent="0.25">
      <c r="A102" s="360">
        <v>2057</v>
      </c>
      <c r="B102" s="361" t="s">
        <v>683</v>
      </c>
    </row>
    <row r="103" spans="1:2" x14ac:dyDescent="0.25">
      <c r="A103" s="360">
        <v>2056</v>
      </c>
      <c r="B103" s="361" t="s">
        <v>684</v>
      </c>
    </row>
    <row r="104" spans="1:2" x14ac:dyDescent="0.25">
      <c r="A104" s="360">
        <v>2262</v>
      </c>
      <c r="B104" s="361" t="s">
        <v>685</v>
      </c>
    </row>
    <row r="105" spans="1:2" x14ac:dyDescent="0.25">
      <c r="A105" s="360">
        <v>2212</v>
      </c>
      <c r="B105" s="361" t="s">
        <v>686</v>
      </c>
    </row>
    <row r="106" spans="1:2" x14ac:dyDescent="0.25">
      <c r="A106" s="360">
        <v>2059</v>
      </c>
      <c r="B106" s="361" t="s">
        <v>687</v>
      </c>
    </row>
    <row r="107" spans="1:2" x14ac:dyDescent="0.25">
      <c r="A107" s="360">
        <v>2058</v>
      </c>
      <c r="B107" s="361" t="s">
        <v>876</v>
      </c>
    </row>
    <row r="108" spans="1:2" x14ac:dyDescent="0.25">
      <c r="A108" s="360">
        <v>1923</v>
      </c>
      <c r="B108" s="361" t="s">
        <v>688</v>
      </c>
    </row>
    <row r="109" spans="1:2" x14ac:dyDescent="0.25">
      <c r="A109" s="360">
        <v>2064</v>
      </c>
      <c r="B109" s="361" t="s">
        <v>877</v>
      </c>
    </row>
    <row r="110" spans="1:2" x14ac:dyDescent="0.25">
      <c r="A110" s="360">
        <v>2101</v>
      </c>
      <c r="B110" s="361" t="s">
        <v>689</v>
      </c>
    </row>
    <row r="111" spans="1:2" x14ac:dyDescent="0.25">
      <c r="A111" s="360">
        <v>2097</v>
      </c>
      <c r="B111" s="361" t="s">
        <v>690</v>
      </c>
    </row>
    <row r="112" spans="1:2" x14ac:dyDescent="0.25">
      <c r="A112" s="360">
        <v>2098</v>
      </c>
      <c r="B112" s="361" t="s">
        <v>878</v>
      </c>
    </row>
    <row r="113" spans="1:2" x14ac:dyDescent="0.25">
      <c r="A113" s="360">
        <v>2012</v>
      </c>
      <c r="B113" s="361" t="s">
        <v>691</v>
      </c>
    </row>
    <row r="114" spans="1:2" x14ac:dyDescent="0.25">
      <c r="A114" s="360">
        <v>2092</v>
      </c>
      <c r="B114" s="361" t="s">
        <v>692</v>
      </c>
    </row>
    <row r="115" spans="1:2" x14ac:dyDescent="0.25">
      <c r="A115" s="360">
        <v>2112</v>
      </c>
      <c r="B115" s="361" t="s">
        <v>693</v>
      </c>
    </row>
    <row r="116" spans="1:2" x14ac:dyDescent="0.25">
      <c r="A116" s="360">
        <v>2106</v>
      </c>
      <c r="B116" s="361" t="s">
        <v>879</v>
      </c>
    </row>
    <row r="117" spans="1:2" x14ac:dyDescent="0.25">
      <c r="A117" s="360">
        <v>2085</v>
      </c>
      <c r="B117" s="361" t="s">
        <v>694</v>
      </c>
    </row>
    <row r="118" spans="1:2" x14ac:dyDescent="0.25">
      <c r="A118" s="360">
        <v>2094</v>
      </c>
      <c r="B118" s="361" t="s">
        <v>695</v>
      </c>
    </row>
    <row r="119" spans="1:2" x14ac:dyDescent="0.25">
      <c r="A119" s="360">
        <v>2090</v>
      </c>
      <c r="B119" s="361" t="s">
        <v>696</v>
      </c>
    </row>
    <row r="120" spans="1:2" x14ac:dyDescent="0.25">
      <c r="A120" s="360">
        <v>2256</v>
      </c>
      <c r="B120" s="361" t="s">
        <v>697</v>
      </c>
    </row>
    <row r="121" spans="1:2" x14ac:dyDescent="0.25">
      <c r="A121" s="360">
        <v>2048</v>
      </c>
      <c r="B121" s="361" t="s">
        <v>698</v>
      </c>
    </row>
    <row r="122" spans="1:2" x14ac:dyDescent="0.25">
      <c r="A122" s="360">
        <v>2205</v>
      </c>
      <c r="B122" s="361" t="s">
        <v>699</v>
      </c>
    </row>
    <row r="123" spans="1:2" x14ac:dyDescent="0.25">
      <c r="A123" s="360">
        <v>2249</v>
      </c>
      <c r="B123" s="361" t="s">
        <v>700</v>
      </c>
    </row>
    <row r="124" spans="1:2" x14ac:dyDescent="0.25">
      <c r="A124" s="360">
        <v>1925</v>
      </c>
      <c r="B124" s="361" t="s">
        <v>701</v>
      </c>
    </row>
    <row r="125" spans="1:2" x14ac:dyDescent="0.25">
      <c r="A125" s="360">
        <v>1898</v>
      </c>
      <c r="B125" s="361" t="s">
        <v>702</v>
      </c>
    </row>
    <row r="126" spans="1:2" x14ac:dyDescent="0.25">
      <c r="A126" s="360">
        <v>2010</v>
      </c>
      <c r="B126" s="361" t="s">
        <v>703</v>
      </c>
    </row>
    <row r="127" spans="1:2" x14ac:dyDescent="0.25">
      <c r="A127" s="360">
        <v>2147</v>
      </c>
      <c r="B127" s="361" t="s">
        <v>704</v>
      </c>
    </row>
    <row r="128" spans="1:2" x14ac:dyDescent="0.25">
      <c r="A128" s="360">
        <v>2145</v>
      </c>
      <c r="B128" s="361" t="s">
        <v>705</v>
      </c>
    </row>
    <row r="129" spans="1:2" x14ac:dyDescent="0.25">
      <c r="A129" s="360">
        <v>2148</v>
      </c>
      <c r="B129" s="361" t="s">
        <v>880</v>
      </c>
    </row>
    <row r="130" spans="1:2" x14ac:dyDescent="0.25">
      <c r="A130" s="360">
        <v>1968</v>
      </c>
      <c r="B130" s="361" t="s">
        <v>706</v>
      </c>
    </row>
    <row r="131" spans="1:2" x14ac:dyDescent="0.25">
      <c r="A131" s="360">
        <v>2198</v>
      </c>
      <c r="B131" s="361" t="s">
        <v>707</v>
      </c>
    </row>
    <row r="132" spans="1:2" x14ac:dyDescent="0.25">
      <c r="A132" s="360">
        <v>2199</v>
      </c>
      <c r="B132" s="361" t="s">
        <v>867</v>
      </c>
    </row>
    <row r="133" spans="1:2" x14ac:dyDescent="0.25">
      <c r="A133" s="360">
        <v>2254</v>
      </c>
      <c r="B133" s="361" t="s">
        <v>708</v>
      </c>
    </row>
    <row r="134" spans="1:2" x14ac:dyDescent="0.25">
      <c r="A134" s="360">
        <v>1966</v>
      </c>
      <c r="B134" s="361" t="s">
        <v>709</v>
      </c>
    </row>
    <row r="135" spans="1:2" x14ac:dyDescent="0.25">
      <c r="A135" s="360">
        <v>2004</v>
      </c>
      <c r="B135" s="361" t="s">
        <v>881</v>
      </c>
    </row>
    <row r="136" spans="1:2" x14ac:dyDescent="0.25">
      <c r="A136" s="360">
        <v>1924</v>
      </c>
      <c r="B136" s="361" t="s">
        <v>710</v>
      </c>
    </row>
    <row r="137" spans="1:2" x14ac:dyDescent="0.25">
      <c r="A137" s="360">
        <v>1996</v>
      </c>
      <c r="B137" s="361" t="s">
        <v>711</v>
      </c>
    </row>
    <row r="138" spans="1:2" x14ac:dyDescent="0.25">
      <c r="A138" s="360">
        <v>2061</v>
      </c>
      <c r="B138" s="361" t="s">
        <v>712</v>
      </c>
    </row>
    <row r="139" spans="1:2" x14ac:dyDescent="0.25">
      <c r="A139" s="360">
        <v>2141</v>
      </c>
      <c r="B139" s="361" t="s">
        <v>713</v>
      </c>
    </row>
    <row r="140" spans="1:2" x14ac:dyDescent="0.25">
      <c r="A140" s="360">
        <v>2214</v>
      </c>
      <c r="B140" s="361" t="s">
        <v>714</v>
      </c>
    </row>
    <row r="141" spans="1:2" x14ac:dyDescent="0.25">
      <c r="A141" s="360">
        <v>2143</v>
      </c>
      <c r="B141" s="361" t="s">
        <v>715</v>
      </c>
    </row>
    <row r="142" spans="1:2" x14ac:dyDescent="0.25">
      <c r="A142" s="360">
        <v>4131</v>
      </c>
      <c r="B142" s="361" t="s">
        <v>716</v>
      </c>
    </row>
    <row r="143" spans="1:2" x14ac:dyDescent="0.25">
      <c r="A143" s="360">
        <v>2230</v>
      </c>
      <c r="B143" s="361" t="s">
        <v>882</v>
      </c>
    </row>
    <row r="144" spans="1:2" x14ac:dyDescent="0.25">
      <c r="A144" s="360">
        <v>2110</v>
      </c>
      <c r="B144" s="361" t="s">
        <v>717</v>
      </c>
    </row>
    <row r="145" spans="1:2" x14ac:dyDescent="0.25">
      <c r="A145" s="360">
        <v>1990</v>
      </c>
      <c r="B145" s="361" t="s">
        <v>718</v>
      </c>
    </row>
    <row r="146" spans="1:2" x14ac:dyDescent="0.25">
      <c r="A146" s="360">
        <v>2093</v>
      </c>
      <c r="B146" s="361" t="s">
        <v>719</v>
      </c>
    </row>
    <row r="147" spans="1:2" x14ac:dyDescent="0.25">
      <c r="A147" s="360">
        <v>2108</v>
      </c>
      <c r="B147" s="361" t="s">
        <v>720</v>
      </c>
    </row>
    <row r="148" spans="1:2" x14ac:dyDescent="0.25">
      <c r="A148" s="360">
        <v>1928</v>
      </c>
      <c r="B148" s="361" t="s">
        <v>721</v>
      </c>
    </row>
    <row r="149" spans="1:2" x14ac:dyDescent="0.25">
      <c r="A149" s="360">
        <v>1926</v>
      </c>
      <c r="B149" s="361" t="s">
        <v>722</v>
      </c>
    </row>
    <row r="150" spans="1:2" x14ac:dyDescent="0.25">
      <c r="A150" s="360">
        <v>2060</v>
      </c>
      <c r="B150" s="361" t="s">
        <v>723</v>
      </c>
    </row>
    <row r="151" spans="1:2" x14ac:dyDescent="0.25">
      <c r="A151" s="360">
        <v>2181</v>
      </c>
      <c r="B151" s="361" t="s">
        <v>724</v>
      </c>
    </row>
    <row r="152" spans="1:2" x14ac:dyDescent="0.25">
      <c r="A152" s="360">
        <v>2207</v>
      </c>
      <c r="B152" s="361" t="s">
        <v>725</v>
      </c>
    </row>
    <row r="153" spans="1:2" x14ac:dyDescent="0.25">
      <c r="A153" s="360">
        <v>2192</v>
      </c>
      <c r="B153" s="361" t="s">
        <v>726</v>
      </c>
    </row>
    <row r="154" spans="1:2" x14ac:dyDescent="0.25">
      <c r="A154" s="360">
        <v>1900</v>
      </c>
      <c r="B154" s="361" t="s">
        <v>727</v>
      </c>
    </row>
    <row r="155" spans="1:2" x14ac:dyDescent="0.25">
      <c r="A155" s="360">
        <v>2039</v>
      </c>
      <c r="B155" s="361" t="s">
        <v>728</v>
      </c>
    </row>
    <row r="156" spans="1:2" x14ac:dyDescent="0.25">
      <c r="A156" s="360">
        <v>2202</v>
      </c>
      <c r="B156" s="361" t="s">
        <v>729</v>
      </c>
    </row>
    <row r="157" spans="1:2" x14ac:dyDescent="0.25">
      <c r="A157" s="360">
        <v>2016</v>
      </c>
      <c r="B157" s="361" t="s">
        <v>730</v>
      </c>
    </row>
    <row r="158" spans="1:2" x14ac:dyDescent="0.25">
      <c r="A158" s="360">
        <v>1897</v>
      </c>
      <c r="B158" s="361" t="s">
        <v>731</v>
      </c>
    </row>
    <row r="159" spans="1:2" x14ac:dyDescent="0.25">
      <c r="A159" s="360">
        <v>2047</v>
      </c>
      <c r="B159" s="361" t="s">
        <v>732</v>
      </c>
    </row>
    <row r="160" spans="1:2" x14ac:dyDescent="0.25">
      <c r="A160" s="360">
        <v>2081</v>
      </c>
      <c r="B160" s="361" t="s">
        <v>733</v>
      </c>
    </row>
    <row r="161" spans="1:2" x14ac:dyDescent="0.25">
      <c r="A161" s="360">
        <v>2062</v>
      </c>
      <c r="B161" s="361" t="s">
        <v>734</v>
      </c>
    </row>
    <row r="162" spans="1:2" x14ac:dyDescent="0.25">
      <c r="A162" s="360">
        <v>1973</v>
      </c>
      <c r="B162" s="361" t="s">
        <v>735</v>
      </c>
    </row>
    <row r="163" spans="1:2" x14ac:dyDescent="0.25">
      <c r="A163" s="360">
        <v>2180</v>
      </c>
      <c r="B163" s="361" t="s">
        <v>736</v>
      </c>
    </row>
    <row r="164" spans="1:2" x14ac:dyDescent="0.25">
      <c r="A164" s="360">
        <v>1967</v>
      </c>
      <c r="B164" s="361" t="s">
        <v>737</v>
      </c>
    </row>
    <row r="165" spans="1:2" x14ac:dyDescent="0.25">
      <c r="A165" s="360">
        <v>2009</v>
      </c>
      <c r="B165" s="361" t="s">
        <v>738</v>
      </c>
    </row>
    <row r="166" spans="1:2" x14ac:dyDescent="0.25">
      <c r="A166" s="360">
        <v>2045</v>
      </c>
      <c r="B166" s="361" t="s">
        <v>739</v>
      </c>
    </row>
    <row r="167" spans="1:2" x14ac:dyDescent="0.25">
      <c r="A167" s="360">
        <v>1946</v>
      </c>
      <c r="B167" s="361" t="s">
        <v>740</v>
      </c>
    </row>
    <row r="168" spans="1:2" x14ac:dyDescent="0.25">
      <c r="A168" s="360">
        <v>1977</v>
      </c>
      <c r="B168" s="361" t="s">
        <v>741</v>
      </c>
    </row>
    <row r="169" spans="1:2" x14ac:dyDescent="0.25">
      <c r="A169" s="360">
        <v>2001</v>
      </c>
      <c r="B169" s="361" t="s">
        <v>742</v>
      </c>
    </row>
    <row r="170" spans="1:2" x14ac:dyDescent="0.25">
      <c r="A170" s="360">
        <v>2218</v>
      </c>
      <c r="B170" s="361" t="s">
        <v>883</v>
      </c>
    </row>
    <row r="171" spans="1:2" x14ac:dyDescent="0.25">
      <c r="A171" s="360">
        <v>2182</v>
      </c>
      <c r="B171" s="361" t="s">
        <v>743</v>
      </c>
    </row>
    <row r="172" spans="1:2" x14ac:dyDescent="0.25">
      <c r="A172" s="360">
        <v>1999</v>
      </c>
      <c r="B172" s="361" t="s">
        <v>744</v>
      </c>
    </row>
    <row r="173" spans="1:2" x14ac:dyDescent="0.25">
      <c r="A173" s="360">
        <v>2188</v>
      </c>
      <c r="B173" s="361" t="s">
        <v>745</v>
      </c>
    </row>
    <row r="174" spans="1:2" x14ac:dyDescent="0.25">
      <c r="A174" s="360">
        <v>2044</v>
      </c>
      <c r="B174" s="361" t="s">
        <v>746</v>
      </c>
    </row>
    <row r="175" spans="1:2" x14ac:dyDescent="0.25">
      <c r="A175" s="360">
        <v>2142</v>
      </c>
      <c r="B175" s="361" t="s">
        <v>747</v>
      </c>
    </row>
    <row r="176" spans="1:2" x14ac:dyDescent="0.25">
      <c r="A176" s="360">
        <v>2104</v>
      </c>
      <c r="B176" s="361" t="s">
        <v>748</v>
      </c>
    </row>
    <row r="177" spans="1:2" x14ac:dyDescent="0.25">
      <c r="A177" s="360">
        <v>1944</v>
      </c>
      <c r="B177" s="361" t="s">
        <v>749</v>
      </c>
    </row>
    <row r="178" spans="1:2" x14ac:dyDescent="0.25">
      <c r="A178" s="360">
        <v>2103</v>
      </c>
      <c r="B178" s="361" t="s">
        <v>750</v>
      </c>
    </row>
    <row r="179" spans="1:2" x14ac:dyDescent="0.25">
      <c r="A179" s="360">
        <v>1935</v>
      </c>
      <c r="B179" s="361" t="s">
        <v>751</v>
      </c>
    </row>
    <row r="180" spans="1:2" x14ac:dyDescent="0.25">
      <c r="A180" s="360">
        <v>2257</v>
      </c>
      <c r="B180" s="361" t="s">
        <v>752</v>
      </c>
    </row>
    <row r="181" spans="1:2" x14ac:dyDescent="0.25">
      <c r="A181" s="360">
        <v>2195</v>
      </c>
      <c r="B181" s="361" t="s">
        <v>753</v>
      </c>
    </row>
    <row r="182" spans="1:2" x14ac:dyDescent="0.25">
      <c r="A182" s="360">
        <v>2244</v>
      </c>
      <c r="B182" s="361" t="s">
        <v>754</v>
      </c>
    </row>
    <row r="183" spans="1:2" x14ac:dyDescent="0.25">
      <c r="A183" s="360">
        <v>2138</v>
      </c>
      <c r="B183" s="361" t="s">
        <v>755</v>
      </c>
    </row>
    <row r="184" spans="1:2" x14ac:dyDescent="0.25">
      <c r="A184" s="360">
        <v>1978</v>
      </c>
      <c r="B184" s="361" t="s">
        <v>756</v>
      </c>
    </row>
    <row r="185" spans="1:2" x14ac:dyDescent="0.25">
      <c r="A185" s="360">
        <v>2096</v>
      </c>
      <c r="B185" s="361" t="s">
        <v>757</v>
      </c>
    </row>
    <row r="186" spans="1:2" x14ac:dyDescent="0.25">
      <c r="A186" s="360">
        <v>1949</v>
      </c>
      <c r="B186" s="361" t="s">
        <v>884</v>
      </c>
    </row>
    <row r="187" spans="1:2" x14ac:dyDescent="0.25">
      <c r="A187" s="360">
        <v>2022</v>
      </c>
      <c r="B187" s="361" t="s">
        <v>758</v>
      </c>
    </row>
    <row r="188" spans="1:2" x14ac:dyDescent="0.25">
      <c r="A188" s="360">
        <v>2087</v>
      </c>
      <c r="B188" s="361" t="s">
        <v>759</v>
      </c>
    </row>
    <row r="189" spans="1:2" x14ac:dyDescent="0.25">
      <c r="A189" s="360">
        <v>1994</v>
      </c>
      <c r="B189" s="361" t="s">
        <v>760</v>
      </c>
    </row>
    <row r="190" spans="1:2" x14ac:dyDescent="0.25">
      <c r="A190" s="360">
        <v>2225</v>
      </c>
      <c r="B190" s="361" t="s">
        <v>761</v>
      </c>
    </row>
    <row r="191" spans="1:2" x14ac:dyDescent="0.25">
      <c r="A191" s="360">
        <v>2025</v>
      </c>
      <c r="B191" s="361" t="s">
        <v>885</v>
      </c>
    </row>
    <row r="192" spans="1:2" x14ac:dyDescent="0.25">
      <c r="A192" s="360">
        <v>2247</v>
      </c>
      <c r="B192" s="361" t="s">
        <v>762</v>
      </c>
    </row>
    <row r="193" spans="1:2" x14ac:dyDescent="0.25">
      <c r="A193" s="360">
        <v>2083</v>
      </c>
      <c r="B193" s="361" t="s">
        <v>763</v>
      </c>
    </row>
    <row r="194" spans="1:2" x14ac:dyDescent="0.25">
      <c r="A194" s="360">
        <v>1948</v>
      </c>
      <c r="B194" s="361" t="s">
        <v>764</v>
      </c>
    </row>
    <row r="195" spans="1:2" x14ac:dyDescent="0.25">
      <c r="A195" s="360">
        <v>2144</v>
      </c>
      <c r="B195" s="361" t="s">
        <v>765</v>
      </c>
    </row>
    <row r="196" spans="1:2" x14ac:dyDescent="0.25">
      <c r="A196" s="360">
        <v>2209</v>
      </c>
      <c r="B196" s="361" t="s">
        <v>766</v>
      </c>
    </row>
    <row r="197" spans="1:2" x14ac:dyDescent="0.25">
      <c r="A197" s="360">
        <v>2018</v>
      </c>
      <c r="B197" s="361" t="s">
        <v>767</v>
      </c>
    </row>
    <row r="198" spans="1:2" x14ac:dyDescent="0.25">
      <c r="A198" s="362">
        <v>2003</v>
      </c>
      <c r="B198" s="363" t="s">
        <v>768</v>
      </c>
    </row>
    <row r="199" spans="1:2" x14ac:dyDescent="0.25">
      <c r="A199" s="360">
        <v>2102</v>
      </c>
      <c r="B199" s="361" t="s">
        <v>769</v>
      </c>
    </row>
    <row r="200" spans="1:2" x14ac:dyDescent="0.25">
      <c r="A200" s="360">
        <v>2055</v>
      </c>
      <c r="B200" s="361" t="s">
        <v>770</v>
      </c>
    </row>
    <row r="201" spans="1:2" x14ac:dyDescent="0.25">
      <c r="A201" s="360">
        <v>2242</v>
      </c>
      <c r="B201" s="361" t="s">
        <v>771</v>
      </c>
    </row>
    <row r="202" spans="1:2" x14ac:dyDescent="0.25">
      <c r="A202" s="360">
        <v>2197</v>
      </c>
      <c r="B202" s="361" t="s">
        <v>772</v>
      </c>
    </row>
    <row r="203" spans="1:2" x14ac:dyDescent="0.25">
      <c r="A203" s="360">
        <v>2222</v>
      </c>
      <c r="B203" s="361" t="s">
        <v>773</v>
      </c>
    </row>
    <row r="204" spans="1:2" x14ac:dyDescent="0.25">
      <c r="A204" s="360">
        <v>2210</v>
      </c>
      <c r="B204" s="361" t="s">
        <v>774</v>
      </c>
    </row>
    <row r="205" spans="1:2" x14ac:dyDescent="0.25">
      <c r="A205" s="360">
        <v>2204</v>
      </c>
      <c r="B205" s="361" t="s">
        <v>775</v>
      </c>
    </row>
    <row r="206" spans="1:2" x14ac:dyDescent="0.25">
      <c r="A206" s="360">
        <v>2213</v>
      </c>
      <c r="B206" s="361" t="s">
        <v>776</v>
      </c>
    </row>
    <row r="207" spans="1:2" x14ac:dyDescent="0.25">
      <c r="A207" s="360">
        <v>2116</v>
      </c>
      <c r="B207" s="361" t="s">
        <v>777</v>
      </c>
    </row>
    <row r="208" spans="1:2" x14ac:dyDescent="0.25">
      <c r="A208" s="360">
        <v>1947</v>
      </c>
      <c r="B208" s="361" t="s">
        <v>778</v>
      </c>
    </row>
    <row r="209" spans="1:2" x14ac:dyDescent="0.25">
      <c r="A209" s="360">
        <v>2220</v>
      </c>
      <c r="B209" s="361" t="s">
        <v>779</v>
      </c>
    </row>
    <row r="210" spans="1:2" x14ac:dyDescent="0.25">
      <c r="A210" s="360">
        <v>1936</v>
      </c>
      <c r="B210" s="361" t="s">
        <v>780</v>
      </c>
    </row>
    <row r="211" spans="1:2" x14ac:dyDescent="0.25">
      <c r="A211" s="360">
        <v>1922</v>
      </c>
      <c r="B211" s="361" t="s">
        <v>781</v>
      </c>
    </row>
    <row r="212" spans="1:2" x14ac:dyDescent="0.25">
      <c r="A212" s="360">
        <v>2117</v>
      </c>
      <c r="B212" s="361" t="s">
        <v>886</v>
      </c>
    </row>
    <row r="213" spans="1:2" x14ac:dyDescent="0.25">
      <c r="A213" s="360">
        <v>2255</v>
      </c>
      <c r="B213" s="361" t="s">
        <v>782</v>
      </c>
    </row>
    <row r="214" spans="1:2" x14ac:dyDescent="0.25">
      <c r="A214" s="360">
        <v>2002</v>
      </c>
      <c r="B214" s="361" t="s">
        <v>783</v>
      </c>
    </row>
    <row r="215" spans="1:2" x14ac:dyDescent="0.25">
      <c r="A215" s="360">
        <v>2146</v>
      </c>
      <c r="B215" s="361" t="s">
        <v>784</v>
      </c>
    </row>
    <row r="216" spans="1:2" x14ac:dyDescent="0.25">
      <c r="A216" s="360">
        <v>2251</v>
      </c>
      <c r="B216" s="361" t="s">
        <v>785</v>
      </c>
    </row>
    <row r="217" spans="1:2" x14ac:dyDescent="0.25">
      <c r="A217" s="362">
        <v>1997</v>
      </c>
      <c r="B217" s="363" t="s">
        <v>786</v>
      </c>
    </row>
  </sheetData>
  <sortState xmlns:xlrd2="http://schemas.microsoft.com/office/spreadsheetml/2017/richdata2" ref="A2:B198">
    <sortCondition ref="B2:B198"/>
  </sortState>
  <pageMargins left="0.7" right="0.7" top="0.75" bottom="0.75" header="0.3" footer="0.3"/>
  <pageSetup paperSize="9" orientation="portrait" r:id="rId1"/>
  <headerFooter>
    <oddHeader>&amp;C&amp;"Calibri"&amp;7&amp;K000000Client Confidential&amp;1#_x000D_&amp;"Verdana"&amp;9&amp;K000000</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AD4F4"/>
    <pageSetUpPr fitToPage="1"/>
  </sheetPr>
  <dimension ref="A1:M40"/>
  <sheetViews>
    <sheetView zoomScaleNormal="100" workbookViewId="0"/>
  </sheetViews>
  <sheetFormatPr defaultColWidth="0" defaultRowHeight="15" zeroHeight="1" x14ac:dyDescent="0.25"/>
  <cols>
    <col min="1" max="1" width="34.7109375" bestFit="1" customWidth="1"/>
    <col min="2" max="2" width="55.42578125" customWidth="1"/>
    <col min="3" max="3" width="2.42578125" customWidth="1"/>
    <col min="4" max="4" width="75.42578125" customWidth="1"/>
    <col min="5" max="5" width="2.7109375" hidden="1" customWidth="1"/>
    <col min="6" max="6" width="3.7109375" style="1" hidden="1" customWidth="1"/>
    <col min="7" max="7" width="9.140625" hidden="1" customWidth="1"/>
    <col min="8" max="8" width="3.7109375" style="1" hidden="1" customWidth="1"/>
    <col min="9" max="9" width="9.140625" hidden="1" customWidth="1"/>
    <col min="10" max="10" width="3.7109375" style="1" hidden="1" customWidth="1"/>
    <col min="11" max="11" width="9.140625" hidden="1" customWidth="1"/>
    <col min="12" max="12" width="10.85546875" hidden="1" customWidth="1"/>
    <col min="13" max="13" width="40.42578125" style="4" hidden="1" customWidth="1"/>
    <col min="14" max="16384" width="9.140625" hidden="1"/>
  </cols>
  <sheetData>
    <row r="1" spans="1:4" x14ac:dyDescent="0.25">
      <c r="A1" s="12" t="s">
        <v>3</v>
      </c>
      <c r="B1" s="94" t="s">
        <v>4</v>
      </c>
      <c r="C1" s="134"/>
      <c r="D1" s="9" t="s">
        <v>5</v>
      </c>
    </row>
    <row r="2" spans="1:4" ht="3.95" customHeight="1" thickBot="1" x14ac:dyDescent="0.3">
      <c r="A2" s="19"/>
      <c r="B2" s="7"/>
      <c r="C2" s="7"/>
      <c r="D2" s="7"/>
    </row>
    <row r="3" spans="1:4" ht="15.75" thickBot="1" x14ac:dyDescent="0.3">
      <c r="A3" s="100" t="s">
        <v>6</v>
      </c>
      <c r="B3" s="205"/>
      <c r="D3" s="204" t="s">
        <v>887</v>
      </c>
    </row>
    <row r="4" spans="1:4" ht="3.95" customHeight="1" thickBot="1" x14ac:dyDescent="0.3">
      <c r="A4" s="100"/>
      <c r="B4" s="206"/>
      <c r="D4" s="204"/>
    </row>
    <row r="5" spans="1:4" ht="15.75" thickBot="1" x14ac:dyDescent="0.3">
      <c r="A5" s="100" t="s">
        <v>7</v>
      </c>
      <c r="B5" s="101"/>
      <c r="D5" s="204" t="s">
        <v>8</v>
      </c>
    </row>
    <row r="6" spans="1:4" ht="3.95" customHeight="1" thickBot="1" x14ac:dyDescent="0.3">
      <c r="A6" s="100"/>
      <c r="B6" s="207"/>
      <c r="D6" s="204"/>
    </row>
    <row r="7" spans="1:4" ht="15.75" thickBot="1" x14ac:dyDescent="0.3">
      <c r="A7" s="100" t="s">
        <v>9</v>
      </c>
      <c r="B7" s="101"/>
      <c r="D7" s="204" t="s">
        <v>10</v>
      </c>
    </row>
    <row r="8" spans="1:4" ht="3.95" customHeight="1" thickBot="1" x14ac:dyDescent="0.3">
      <c r="A8" s="100"/>
      <c r="B8" s="207"/>
      <c r="D8" s="204"/>
    </row>
    <row r="9" spans="1:4" ht="60.75" thickBot="1" x14ac:dyDescent="0.3">
      <c r="A9" s="100" t="s">
        <v>11</v>
      </c>
      <c r="B9" s="101"/>
      <c r="D9" s="214" t="s">
        <v>808</v>
      </c>
    </row>
    <row r="10" spans="1:4" ht="3.95" customHeight="1" thickBot="1" x14ac:dyDescent="0.3">
      <c r="A10" s="100"/>
      <c r="B10" s="206"/>
      <c r="D10" s="204"/>
    </row>
    <row r="11" spans="1:4" ht="15" customHeight="1" thickBot="1" x14ac:dyDescent="0.3">
      <c r="A11" s="100" t="s">
        <v>12</v>
      </c>
      <c r="B11" s="205"/>
      <c r="D11" s="204" t="s">
        <v>13</v>
      </c>
    </row>
    <row r="12" spans="1:4" ht="3.95" customHeight="1" thickBot="1" x14ac:dyDescent="0.3">
      <c r="A12" s="100"/>
      <c r="B12" s="206"/>
      <c r="D12" s="204"/>
    </row>
    <row r="13" spans="1:4" ht="15.75" thickBot="1" x14ac:dyDescent="0.3">
      <c r="A13" s="100" t="s">
        <v>14</v>
      </c>
      <c r="B13" s="364"/>
      <c r="D13" s="204" t="s">
        <v>15</v>
      </c>
    </row>
    <row r="14" spans="1:4" ht="3.95" customHeight="1" thickBot="1" x14ac:dyDescent="0.3">
      <c r="A14" s="100"/>
      <c r="B14" s="206"/>
      <c r="D14" s="204"/>
    </row>
    <row r="15" spans="1:4" ht="15" customHeight="1" thickBot="1" x14ac:dyDescent="0.3">
      <c r="A15" s="100" t="s">
        <v>16</v>
      </c>
      <c r="B15" s="101"/>
      <c r="D15" s="204" t="s">
        <v>17</v>
      </c>
    </row>
    <row r="16" spans="1:4" ht="3.95" customHeight="1" thickBot="1" x14ac:dyDescent="0.3">
      <c r="A16" s="100"/>
      <c r="B16" s="206"/>
      <c r="D16" s="204"/>
    </row>
    <row r="17" spans="1:11" ht="15" customHeight="1" thickBot="1" x14ac:dyDescent="0.3">
      <c r="A17" s="100" t="s">
        <v>18</v>
      </c>
      <c r="B17" s="101"/>
      <c r="D17" s="204" t="s">
        <v>19</v>
      </c>
    </row>
    <row r="18" spans="1:11" ht="3.95" customHeight="1" thickBot="1" x14ac:dyDescent="0.3">
      <c r="A18" s="100"/>
      <c r="B18" s="206"/>
      <c r="D18" s="204"/>
    </row>
    <row r="19" spans="1:11" ht="15" customHeight="1" thickBot="1" x14ac:dyDescent="0.3">
      <c r="A19" s="100" t="s">
        <v>20</v>
      </c>
      <c r="B19" s="101"/>
      <c r="D19" s="204" t="s">
        <v>21</v>
      </c>
    </row>
    <row r="20" spans="1:11" ht="3.95" customHeight="1" thickBot="1" x14ac:dyDescent="0.3">
      <c r="A20" s="100"/>
      <c r="B20" s="206"/>
      <c r="D20" s="204"/>
    </row>
    <row r="21" spans="1:11" ht="15.75" thickBot="1" x14ac:dyDescent="0.3">
      <c r="A21" s="100" t="s">
        <v>22</v>
      </c>
      <c r="B21" s="205"/>
      <c r="D21" s="204" t="s">
        <v>23</v>
      </c>
    </row>
    <row r="22" spans="1:11" ht="3.95" customHeight="1" thickBot="1" x14ac:dyDescent="0.3">
      <c r="A22" s="206"/>
      <c r="B22" s="206"/>
      <c r="D22" s="204"/>
    </row>
    <row r="23" spans="1:11" ht="30.75" thickBot="1" x14ac:dyDescent="0.3">
      <c r="A23" s="100" t="s">
        <v>24</v>
      </c>
      <c r="B23" s="208"/>
      <c r="D23" s="215" t="s">
        <v>25</v>
      </c>
    </row>
    <row r="24" spans="1:11" ht="3.95" customHeight="1" x14ac:dyDescent="0.25">
      <c r="A24" s="100"/>
      <c r="B24" s="209"/>
      <c r="D24" s="204"/>
    </row>
    <row r="25" spans="1:11" ht="3.95" customHeight="1" thickBot="1" x14ac:dyDescent="0.3">
      <c r="A25" s="206"/>
      <c r="B25" s="206"/>
      <c r="D25" s="204"/>
      <c r="E25" s="2"/>
      <c r="F25" s="2"/>
      <c r="G25" s="2"/>
      <c r="H25" s="2"/>
      <c r="I25" s="2"/>
      <c r="J25" s="2"/>
      <c r="K25" s="2"/>
    </row>
    <row r="26" spans="1:11" ht="15.75" thickBot="1" x14ac:dyDescent="0.3">
      <c r="A26" s="100" t="s">
        <v>26</v>
      </c>
      <c r="B26" s="101"/>
      <c r="D26" s="204" t="s">
        <v>27</v>
      </c>
    </row>
    <row r="27" spans="1:11" x14ac:dyDescent="0.25">
      <c r="A27" s="19"/>
      <c r="D27" s="204"/>
    </row>
    <row r="28" spans="1:11" x14ac:dyDescent="0.25">
      <c r="A28" s="100" t="s">
        <v>28</v>
      </c>
      <c r="B28" s="210"/>
      <c r="D28" s="204"/>
    </row>
    <row r="29" spans="1:11" x14ac:dyDescent="0.25">
      <c r="A29" s="213" t="s">
        <v>29</v>
      </c>
      <c r="B29" s="210"/>
      <c r="D29" s="204" t="s">
        <v>30</v>
      </c>
    </row>
    <row r="30" spans="1:11" x14ac:dyDescent="0.25">
      <c r="A30" s="213" t="s">
        <v>31</v>
      </c>
      <c r="B30" s="211"/>
      <c r="D30" s="216"/>
    </row>
    <row r="31" spans="1:11" x14ac:dyDescent="0.25">
      <c r="A31" s="213" t="s">
        <v>32</v>
      </c>
      <c r="B31" s="212"/>
      <c r="D31" s="216"/>
    </row>
    <row r="32" spans="1:11" x14ac:dyDescent="0.25">
      <c r="A32" s="213" t="s">
        <v>33</v>
      </c>
      <c r="B32" s="334" t="s">
        <v>893</v>
      </c>
      <c r="D32" s="204" t="s">
        <v>864</v>
      </c>
    </row>
    <row r="33" spans="1:4" x14ac:dyDescent="0.25"/>
    <row r="34" spans="1:4" x14ac:dyDescent="0.25">
      <c r="A34" s="204"/>
      <c r="D34" s="97"/>
    </row>
    <row r="35" spans="1:4" x14ac:dyDescent="0.25">
      <c r="A35" s="206" t="s">
        <v>888</v>
      </c>
      <c r="B35" s="96"/>
    </row>
    <row r="36" spans="1:4" x14ac:dyDescent="0.25">
      <c r="A36" s="22"/>
      <c r="B36" s="96"/>
    </row>
    <row r="37" spans="1:4" hidden="1" x14ac:dyDescent="0.25">
      <c r="A37" s="37"/>
    </row>
    <row r="38" spans="1:4" hidden="1" x14ac:dyDescent="0.25">
      <c r="A38" s="22"/>
      <c r="B38" s="96"/>
    </row>
    <row r="39" spans="1:4" hidden="1" x14ac:dyDescent="0.25">
      <c r="A39" s="22"/>
      <c r="B39" s="96"/>
    </row>
    <row r="40" spans="1:4" hidden="1" x14ac:dyDescent="0.25">
      <c r="A40" s="22"/>
      <c r="B40" s="96"/>
    </row>
  </sheetData>
  <dataValidations count="2">
    <dataValidation type="list" showInputMessage="1" showErrorMessage="1" sqref="B21" xr:uid="{00000000-0002-0000-0100-000000000000}">
      <formula1>Counties</formula1>
    </dataValidation>
    <dataValidation type="list" showInputMessage="1" showErrorMessage="1" sqref="B11" xr:uid="{00000000-0002-0000-0100-000002000000}">
      <formula1>Buildings</formula1>
    </dataValidation>
  </dataValidations>
  <hyperlinks>
    <hyperlink ref="D9" r:id="rId1" display="Use the School Facilities Building Collection Building ID Number (BIN) Lookup Tool for the eight (8) digit number assigned to the building. To use the tool, first download a copy of it by selecting File -&gt; Save As -&gt; Download a Copy." xr:uid="{00000000-0004-0000-0100-000000000000}"/>
  </hyperlinks>
  <pageMargins left="0.7" right="0.7" top="0.75" bottom="0.75" header="0.3" footer="0.3"/>
  <pageSetup scale="70" orientation="landscape" useFirstPageNumber="1" r:id="rId2"/>
  <headerFooter>
    <oddHeader>&amp;C&amp;"-,Bold"&amp;K000000&amp;A</oddHeader>
    <oddFooter>&amp;RState of Oregon
School Facilities Assessment Template
7/31/2023</oddFooter>
  </headerFooter>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'District Names'!$B$2:$B$217</xm:f>
          </x14:formula1>
          <xm:sqref>B3</xm:sqref>
        </x14:dataValidation>
        <x14:dataValidation type="list" allowBlank="1" showInputMessage="1" showErrorMessage="1" xr:uid="{00000000-0002-0000-0100-000003000000}">
          <x14:formula1>
            <xm:f>'Structure Types'!$A$1:$A$18</xm:f>
          </x14:formula1>
          <xm:sqref>B17 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workbookViewId="0"/>
  </sheetViews>
  <sheetFormatPr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row r="10" spans="1:1" x14ac:dyDescent="0.25">
      <c r="A10" t="s">
        <v>43</v>
      </c>
    </row>
    <row r="11" spans="1:1" x14ac:dyDescent="0.25">
      <c r="A11" t="s">
        <v>44</v>
      </c>
    </row>
    <row r="12" spans="1:1" x14ac:dyDescent="0.25">
      <c r="A12" t="s">
        <v>45</v>
      </c>
    </row>
    <row r="13" spans="1:1" x14ac:dyDescent="0.25">
      <c r="A13" t="s">
        <v>46</v>
      </c>
    </row>
    <row r="14" spans="1:1" x14ac:dyDescent="0.25">
      <c r="A14" t="s">
        <v>47</v>
      </c>
    </row>
    <row r="15" spans="1:1" x14ac:dyDescent="0.25">
      <c r="A15" t="s">
        <v>48</v>
      </c>
    </row>
    <row r="16" spans="1:1" x14ac:dyDescent="0.25">
      <c r="A16" t="s">
        <v>49</v>
      </c>
    </row>
    <row r="17" spans="1:1" x14ac:dyDescent="0.25">
      <c r="A17" t="s">
        <v>50</v>
      </c>
    </row>
    <row r="18" spans="1:1" x14ac:dyDescent="0.25">
      <c r="A18" t="s">
        <v>51</v>
      </c>
    </row>
  </sheetData>
  <pageMargins left="0.7" right="0.7" top="0.75" bottom="0.75" header="0.3" footer="0.3"/>
  <pageSetup orientation="portrait" r:id="rId1"/>
  <headerFooter>
    <oddHeader>&amp;C&amp;"Calibri"&amp;7&amp;K000000Client Confidential&amp;1#_x000D_&amp;"Verdana"&amp;9&amp;K000000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AD4F4"/>
    <pageSetUpPr fitToPage="1"/>
  </sheetPr>
  <dimension ref="A1:F28"/>
  <sheetViews>
    <sheetView showGridLines="0" zoomScaleNormal="100" workbookViewId="0">
      <selection sqref="A1:F1"/>
    </sheetView>
  </sheetViews>
  <sheetFormatPr defaultColWidth="8.85546875" defaultRowHeight="15" x14ac:dyDescent="0.25"/>
  <cols>
    <col min="1" max="1" width="19.140625" bestFit="1" customWidth="1"/>
    <col min="2" max="5" width="16.7109375" customWidth="1"/>
    <col min="6" max="6" width="26.7109375" customWidth="1"/>
  </cols>
  <sheetData>
    <row r="1" spans="1:6" x14ac:dyDescent="0.25">
      <c r="A1" s="371" t="s">
        <v>52</v>
      </c>
      <c r="B1" s="372"/>
      <c r="C1" s="372"/>
      <c r="D1" s="372"/>
      <c r="E1" s="372"/>
      <c r="F1" s="373"/>
    </row>
    <row r="2" spans="1:6" ht="45" x14ac:dyDescent="0.25">
      <c r="A2" s="92" t="s">
        <v>53</v>
      </c>
      <c r="B2" s="92" t="s">
        <v>54</v>
      </c>
      <c r="C2" s="93" t="s">
        <v>814</v>
      </c>
      <c r="D2" s="93" t="s">
        <v>55</v>
      </c>
      <c r="E2" s="93" t="s">
        <v>56</v>
      </c>
      <c r="F2" s="92" t="s">
        <v>57</v>
      </c>
    </row>
    <row r="3" spans="1:6" x14ac:dyDescent="0.25">
      <c r="A3" s="72" t="s">
        <v>58</v>
      </c>
      <c r="B3" s="102"/>
      <c r="C3" s="21"/>
      <c r="D3" s="21"/>
      <c r="E3" s="217"/>
      <c r="F3" s="21"/>
    </row>
    <row r="4" spans="1:6" x14ac:dyDescent="0.25">
      <c r="A4" s="72"/>
      <c r="B4" s="102"/>
      <c r="C4" s="21"/>
      <c r="D4" s="21"/>
      <c r="E4" s="217"/>
      <c r="F4" s="21"/>
    </row>
    <row r="5" spans="1:6" x14ac:dyDescent="0.25">
      <c r="A5" s="72"/>
      <c r="B5" s="102"/>
      <c r="C5" s="21"/>
      <c r="D5" s="21"/>
      <c r="E5" s="217"/>
      <c r="F5" s="21"/>
    </row>
    <row r="6" spans="1:6" x14ac:dyDescent="0.25">
      <c r="A6" s="72"/>
      <c r="B6" s="102"/>
      <c r="C6" s="21"/>
      <c r="D6" s="21"/>
      <c r="E6" s="217"/>
      <c r="F6" s="21"/>
    </row>
    <row r="7" spans="1:6" x14ac:dyDescent="0.25">
      <c r="A7" s="72"/>
      <c r="B7" s="102"/>
      <c r="C7" s="21"/>
      <c r="D7" s="21"/>
      <c r="E7" s="217"/>
      <c r="F7" s="21"/>
    </row>
    <row r="8" spans="1:6" x14ac:dyDescent="0.25">
      <c r="A8" s="72"/>
      <c r="B8" s="102"/>
      <c r="C8" s="21"/>
      <c r="D8" s="21"/>
      <c r="E8" s="217"/>
      <c r="F8" s="21"/>
    </row>
    <row r="11" spans="1:6" x14ac:dyDescent="0.25">
      <c r="A11" s="371" t="s">
        <v>59</v>
      </c>
      <c r="B11" s="372"/>
      <c r="C11" s="372"/>
      <c r="D11" s="372"/>
      <c r="E11" s="372"/>
      <c r="F11" s="373"/>
    </row>
    <row r="12" spans="1:6" s="74" customFormat="1" ht="45" x14ac:dyDescent="0.25">
      <c r="A12" s="92" t="s">
        <v>60</v>
      </c>
      <c r="B12" s="92" t="s">
        <v>54</v>
      </c>
      <c r="C12" s="93" t="s">
        <v>814</v>
      </c>
      <c r="D12" s="93" t="s">
        <v>55</v>
      </c>
      <c r="E12" s="93" t="s">
        <v>56</v>
      </c>
      <c r="F12" s="92" t="s">
        <v>57</v>
      </c>
    </row>
    <row r="13" spans="1:6" x14ac:dyDescent="0.25">
      <c r="A13" s="72" t="s">
        <v>58</v>
      </c>
      <c r="B13" s="102"/>
      <c r="C13" s="21"/>
      <c r="D13" s="21"/>
      <c r="E13" s="217"/>
      <c r="F13" s="21"/>
    </row>
    <row r="14" spans="1:6" x14ac:dyDescent="0.25">
      <c r="A14" s="72"/>
      <c r="B14" s="102"/>
      <c r="C14" s="21"/>
      <c r="D14" s="21"/>
      <c r="E14" s="217"/>
      <c r="F14" s="21"/>
    </row>
    <row r="15" spans="1:6" x14ac:dyDescent="0.25">
      <c r="A15" s="72"/>
      <c r="B15" s="102"/>
      <c r="C15" s="21"/>
      <c r="D15" s="21"/>
      <c r="E15" s="217"/>
      <c r="F15" s="21"/>
    </row>
    <row r="16" spans="1:6" x14ac:dyDescent="0.25">
      <c r="A16" s="72"/>
      <c r="B16" s="102"/>
      <c r="C16" s="21"/>
      <c r="D16" s="21"/>
      <c r="E16" s="217"/>
      <c r="F16" s="21"/>
    </row>
    <row r="17" spans="1:6" x14ac:dyDescent="0.25">
      <c r="A17" s="72"/>
      <c r="B17" s="102"/>
      <c r="C17" s="21"/>
      <c r="D17" s="21"/>
      <c r="E17" s="217"/>
      <c r="F17" s="21"/>
    </row>
    <row r="18" spans="1:6" x14ac:dyDescent="0.25">
      <c r="A18" s="72"/>
      <c r="B18" s="102"/>
      <c r="C18" s="21"/>
      <c r="D18" s="21"/>
      <c r="E18" s="217"/>
      <c r="F18" s="21"/>
    </row>
    <row r="21" spans="1:6" x14ac:dyDescent="0.25">
      <c r="A21" s="371" t="s">
        <v>61</v>
      </c>
      <c r="B21" s="372"/>
      <c r="C21" s="372"/>
      <c r="D21" s="372"/>
      <c r="E21" s="372"/>
      <c r="F21" s="373"/>
    </row>
    <row r="22" spans="1:6" ht="30" x14ac:dyDescent="0.25">
      <c r="A22" s="92" t="s">
        <v>62</v>
      </c>
      <c r="B22" s="93" t="s">
        <v>813</v>
      </c>
      <c r="C22" s="92" t="s">
        <v>63</v>
      </c>
      <c r="D22" s="93" t="s">
        <v>814</v>
      </c>
      <c r="E22" s="92" t="s">
        <v>56</v>
      </c>
      <c r="F22" s="92" t="s">
        <v>64</v>
      </c>
    </row>
    <row r="23" spans="1:6" x14ac:dyDescent="0.25">
      <c r="A23" s="72" t="s">
        <v>58</v>
      </c>
      <c r="B23" s="102"/>
      <c r="C23" s="72"/>
      <c r="D23" s="21"/>
      <c r="E23" s="217"/>
      <c r="F23" s="21"/>
    </row>
    <row r="24" spans="1:6" x14ac:dyDescent="0.25">
      <c r="A24" s="72"/>
      <c r="B24" s="102"/>
      <c r="C24" s="72"/>
      <c r="D24" s="21"/>
      <c r="E24" s="217"/>
      <c r="F24" s="21"/>
    </row>
    <row r="25" spans="1:6" x14ac:dyDescent="0.25">
      <c r="A25" s="72"/>
      <c r="B25" s="102"/>
      <c r="C25" s="72"/>
      <c r="D25" s="21"/>
      <c r="E25" s="217"/>
      <c r="F25" s="21"/>
    </row>
    <row r="26" spans="1:6" x14ac:dyDescent="0.25">
      <c r="A26" s="72"/>
      <c r="B26" s="102"/>
      <c r="C26" s="72"/>
      <c r="D26" s="21"/>
      <c r="E26" s="217"/>
      <c r="F26" s="21"/>
    </row>
    <row r="27" spans="1:6" x14ac:dyDescent="0.25">
      <c r="A27" s="72"/>
      <c r="B27" s="102"/>
      <c r="C27" s="72"/>
      <c r="D27" s="21"/>
      <c r="E27" s="217"/>
      <c r="F27" s="21"/>
    </row>
    <row r="28" spans="1:6" x14ac:dyDescent="0.25">
      <c r="A28" s="72"/>
      <c r="B28" s="102"/>
      <c r="C28" s="72"/>
      <c r="D28" s="21"/>
      <c r="E28" s="217"/>
      <c r="F28" s="21"/>
    </row>
  </sheetData>
  <mergeCells count="3">
    <mergeCell ref="A1:F1"/>
    <mergeCell ref="A11:F11"/>
    <mergeCell ref="A21:F21"/>
  </mergeCells>
  <pageMargins left="0.7" right="0.7" top="0.75" bottom="0.75" header="0.3" footer="0.3"/>
  <pageSetup scale="75" orientation="portrait" r:id="rId1"/>
  <headerFooter scaleWithDoc="0">
    <oddHeader>&amp;C&amp;"-,Bold"&amp;K000000&amp;A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'Structure Types'!$A$1:$A$18</xm:f>
          </x14:formula1>
          <xm:sqref>C3:D8 D23:D28 C13:D18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AD4F4"/>
    <pageSetUpPr fitToPage="1"/>
  </sheetPr>
  <dimension ref="A1:AE191"/>
  <sheetViews>
    <sheetView showGridLines="0" zoomScaleNormal="100" workbookViewId="0">
      <selection sqref="A1:B1"/>
    </sheetView>
  </sheetViews>
  <sheetFormatPr defaultColWidth="8.85546875" defaultRowHeight="15" x14ac:dyDescent="0.25"/>
  <cols>
    <col min="1" max="2" width="8.42578125" customWidth="1"/>
    <col min="3" max="3" width="38" bestFit="1" customWidth="1"/>
    <col min="4" max="4" width="25.85546875" customWidth="1"/>
    <col min="5" max="5" width="12.5703125" bestFit="1" customWidth="1"/>
    <col min="6" max="6" width="4.28515625" customWidth="1"/>
    <col min="7" max="7" width="4.42578125" style="1" customWidth="1"/>
    <col min="8" max="8" width="9.140625" style="4"/>
    <col min="9" max="9" width="3.7109375" style="1" customWidth="1"/>
    <col min="10" max="10" width="9.140625" style="4"/>
    <col min="11" max="11" width="3.7109375" style="1" customWidth="1"/>
    <col min="12" max="12" width="12.85546875" style="4" customWidth="1"/>
    <col min="13" max="13" width="3.7109375" style="1" customWidth="1"/>
    <col min="14" max="14" width="9.140625" style="4"/>
    <col min="15" max="15" width="3.7109375" style="1" customWidth="1"/>
    <col min="16" max="16" width="11.140625" style="4" customWidth="1"/>
    <col min="17" max="17" width="3.7109375" style="1" hidden="1" customWidth="1"/>
    <col min="18" max="18" width="8.85546875" style="4" hidden="1" customWidth="1"/>
    <col min="19" max="19" width="11.28515625" customWidth="1"/>
    <col min="20" max="20" width="18" customWidth="1"/>
    <col min="21" max="24" width="15.7109375" customWidth="1"/>
    <col min="25" max="25" width="36.7109375" style="42" customWidth="1"/>
  </cols>
  <sheetData>
    <row r="1" spans="1:31" x14ac:dyDescent="0.25">
      <c r="A1" s="434" t="s">
        <v>6</v>
      </c>
      <c r="B1" s="435"/>
      <c r="C1" s="325" t="str">
        <f>IF('Base Information'!$B$3="","(autofill)",'Base Information'!$B$3)</f>
        <v>(autofill)</v>
      </c>
      <c r="F1" s="397" t="s">
        <v>65</v>
      </c>
      <c r="G1" s="398"/>
      <c r="H1" s="398"/>
      <c r="I1" s="398"/>
      <c r="J1" s="398"/>
      <c r="K1" s="398"/>
      <c r="L1" s="398"/>
      <c r="M1" s="398"/>
      <c r="N1" s="398"/>
      <c r="O1" s="398"/>
      <c r="P1" s="398"/>
      <c r="Q1" s="398"/>
      <c r="R1" s="398"/>
      <c r="S1" s="398"/>
      <c r="T1" s="399"/>
    </row>
    <row r="2" spans="1:31" x14ac:dyDescent="0.25">
      <c r="A2" s="436" t="s">
        <v>7</v>
      </c>
      <c r="B2" s="437"/>
      <c r="C2" s="326" t="str">
        <f>IF('Base Information'!$B$5="","(autofill)",'Base Information'!$B$5)</f>
        <v>(autofill)</v>
      </c>
      <c r="F2" s="316"/>
      <c r="G2" s="400" t="s">
        <v>66</v>
      </c>
      <c r="H2" s="401"/>
      <c r="I2" s="401"/>
      <c r="J2" s="401"/>
      <c r="K2" s="401"/>
      <c r="L2" s="401"/>
      <c r="M2" s="401"/>
      <c r="N2" s="401"/>
      <c r="O2" s="401"/>
      <c r="P2" s="401"/>
      <c r="Q2" s="401"/>
      <c r="R2" s="401"/>
      <c r="S2" s="401"/>
      <c r="T2" s="402"/>
    </row>
    <row r="3" spans="1:31" x14ac:dyDescent="0.25">
      <c r="A3" s="436" t="s">
        <v>9</v>
      </c>
      <c r="B3" s="437"/>
      <c r="C3" s="325" t="str">
        <f>IF('Base Information'!$B$7="","(autofill)",'Base Information'!$B$7)</f>
        <v>(autofill)</v>
      </c>
      <c r="F3" s="317"/>
      <c r="G3" s="400" t="s">
        <v>67</v>
      </c>
      <c r="H3" s="401"/>
      <c r="I3" s="401"/>
      <c r="J3" s="401"/>
      <c r="K3" s="401"/>
      <c r="L3" s="401"/>
      <c r="M3" s="401"/>
      <c r="N3" s="401"/>
      <c r="O3" s="401"/>
      <c r="P3" s="401"/>
      <c r="Q3" s="401"/>
      <c r="R3" s="401"/>
      <c r="S3" s="401"/>
      <c r="T3" s="402"/>
    </row>
    <row r="4" spans="1:31" x14ac:dyDescent="0.25">
      <c r="A4" s="436" t="s">
        <v>11</v>
      </c>
      <c r="B4" s="437"/>
      <c r="C4" s="326" t="str">
        <f>IF('Base Information'!$B$9="","(autofill)",'Base Information'!$B$9)</f>
        <v>(autofill)</v>
      </c>
      <c r="F4" s="318"/>
      <c r="G4" s="403" t="s">
        <v>68</v>
      </c>
      <c r="H4" s="404"/>
      <c r="I4" s="404"/>
      <c r="J4" s="404"/>
      <c r="K4" s="404"/>
      <c r="L4" s="404"/>
      <c r="M4" s="404"/>
      <c r="N4" s="404"/>
      <c r="O4" s="404"/>
      <c r="P4" s="404"/>
      <c r="Q4" s="404"/>
      <c r="R4" s="404"/>
      <c r="S4" s="404"/>
      <c r="T4" s="405"/>
      <c r="U4" s="22"/>
    </row>
    <row r="5" spans="1:31" x14ac:dyDescent="0.25">
      <c r="A5" s="438" t="s">
        <v>69</v>
      </c>
      <c r="B5" s="439"/>
      <c r="C5" s="327" t="str">
        <f>IF('Base Information'!$B$32="0/0/0000","(autofill)",'Base Information'!$B$32)</f>
        <v>(autofill)</v>
      </c>
      <c r="G5"/>
      <c r="H5"/>
      <c r="I5"/>
      <c r="J5"/>
      <c r="K5"/>
      <c r="L5"/>
      <c r="T5" s="22"/>
      <c r="U5" s="22"/>
      <c r="V5" s="22"/>
      <c r="W5" s="22"/>
      <c r="X5" s="22"/>
      <c r="Y5" s="133"/>
      <c r="Z5" s="1"/>
      <c r="AA5" s="1"/>
      <c r="AB5" s="1"/>
      <c r="AC5" s="1"/>
      <c r="AD5" s="1"/>
      <c r="AE5" s="1"/>
    </row>
    <row r="6" spans="1:31" x14ac:dyDescent="0.25">
      <c r="A6" s="141"/>
      <c r="B6" s="73"/>
      <c r="D6" s="130"/>
      <c r="G6"/>
      <c r="H6"/>
      <c r="I6"/>
      <c r="J6"/>
      <c r="K6"/>
      <c r="L6"/>
      <c r="T6" s="22"/>
      <c r="U6" s="22"/>
      <c r="V6" s="22"/>
      <c r="W6" s="22"/>
      <c r="X6" s="22"/>
      <c r="Y6" s="133"/>
      <c r="Z6" s="1"/>
      <c r="AA6" s="1"/>
      <c r="AB6" s="1"/>
      <c r="AC6" s="1"/>
      <c r="AD6" s="1"/>
      <c r="AE6" s="1"/>
    </row>
    <row r="7" spans="1:31" ht="15" customHeight="1" x14ac:dyDescent="0.25">
      <c r="A7" s="428" t="s">
        <v>70</v>
      </c>
      <c r="B7" s="429"/>
      <c r="C7" s="319" t="s">
        <v>71</v>
      </c>
      <c r="D7" s="322">
        <v>45601</v>
      </c>
      <c r="E7" s="22"/>
      <c r="F7" s="22"/>
      <c r="G7" s="144"/>
      <c r="H7"/>
      <c r="I7"/>
      <c r="J7"/>
      <c r="K7"/>
      <c r="L7"/>
      <c r="T7" s="22"/>
      <c r="U7" s="22"/>
      <c r="V7" s="22"/>
      <c r="W7" s="22"/>
      <c r="X7" s="22"/>
      <c r="Y7" s="133"/>
      <c r="Z7" s="1"/>
      <c r="AA7" s="1"/>
      <c r="AB7" s="1"/>
      <c r="AC7" s="1"/>
      <c r="AD7" s="1"/>
      <c r="AE7" s="1"/>
    </row>
    <row r="8" spans="1:31" x14ac:dyDescent="0.25">
      <c r="A8" s="430"/>
      <c r="B8" s="431"/>
      <c r="C8" s="241" t="s">
        <v>72</v>
      </c>
      <c r="D8" s="242">
        <f>EDATE(D7,F8)</f>
        <v>45966</v>
      </c>
      <c r="E8" s="323" t="s">
        <v>821</v>
      </c>
      <c r="F8" s="247">
        <v>12</v>
      </c>
      <c r="G8" s="406" t="s">
        <v>73</v>
      </c>
      <c r="H8" s="407"/>
      <c r="I8" s="407"/>
      <c r="J8" s="408"/>
      <c r="K8"/>
      <c r="L8"/>
      <c r="T8" s="22"/>
      <c r="U8" s="22"/>
      <c r="V8" s="22"/>
      <c r="W8" s="22"/>
      <c r="X8" s="22"/>
      <c r="Y8" s="133"/>
      <c r="Z8" s="1"/>
      <c r="AA8" s="1"/>
      <c r="AB8" s="1"/>
      <c r="AC8" s="1"/>
      <c r="AD8" s="1"/>
      <c r="AE8" s="1"/>
    </row>
    <row r="9" spans="1:31" x14ac:dyDescent="0.25">
      <c r="A9" s="430"/>
      <c r="B9" s="431"/>
      <c r="C9" s="241" t="s">
        <v>74</v>
      </c>
      <c r="D9" s="243">
        <f>D8</f>
        <v>45966</v>
      </c>
      <c r="E9" s="249" t="s">
        <v>821</v>
      </c>
      <c r="F9" s="415" t="s">
        <v>820</v>
      </c>
      <c r="G9" s="416"/>
      <c r="H9" s="416"/>
      <c r="I9" s="416"/>
      <c r="J9" s="417"/>
      <c r="K9"/>
      <c r="L9"/>
      <c r="T9" s="22"/>
      <c r="U9" s="22"/>
      <c r="V9" s="22"/>
      <c r="W9" s="22"/>
      <c r="X9" s="22"/>
      <c r="Y9" s="133"/>
      <c r="Z9" s="1"/>
      <c r="AA9" s="1"/>
      <c r="AB9" s="1"/>
      <c r="AC9" s="1"/>
      <c r="AD9" s="1"/>
      <c r="AE9" s="1"/>
    </row>
    <row r="10" spans="1:31" x14ac:dyDescent="0.25">
      <c r="A10" s="432"/>
      <c r="B10" s="433"/>
      <c r="C10" s="309" t="s">
        <v>75</v>
      </c>
      <c r="D10" s="321">
        <f>EDATE(D9,F10)</f>
        <v>46696</v>
      </c>
      <c r="E10" s="324" t="s">
        <v>821</v>
      </c>
      <c r="F10" s="246">
        <v>24</v>
      </c>
      <c r="G10" s="403" t="s">
        <v>76</v>
      </c>
      <c r="H10" s="404"/>
      <c r="I10" s="404"/>
      <c r="J10" s="405"/>
      <c r="K10"/>
      <c r="L10"/>
    </row>
    <row r="11" spans="1:31" x14ac:dyDescent="0.25">
      <c r="A11" s="218"/>
      <c r="B11" s="218"/>
      <c r="C11" s="7"/>
      <c r="D11" s="222"/>
      <c r="E11" s="22"/>
      <c r="F11" s="142"/>
      <c r="G11" s="4"/>
      <c r="I11" s="4"/>
      <c r="K11"/>
      <c r="L11"/>
    </row>
    <row r="12" spans="1:31" ht="15" customHeight="1" x14ac:dyDescent="0.25">
      <c r="A12" s="428" t="s">
        <v>77</v>
      </c>
      <c r="B12" s="429"/>
      <c r="C12" s="319" t="s">
        <v>71</v>
      </c>
      <c r="D12" s="320">
        <v>45601</v>
      </c>
      <c r="E12" s="323" t="s">
        <v>821</v>
      </c>
      <c r="F12" s="247">
        <v>12</v>
      </c>
      <c r="G12" s="409" t="s">
        <v>78</v>
      </c>
      <c r="H12" s="410"/>
      <c r="I12" s="410"/>
      <c r="J12" s="411"/>
      <c r="K12"/>
      <c r="L12"/>
    </row>
    <row r="13" spans="1:31" x14ac:dyDescent="0.25">
      <c r="A13" s="430"/>
      <c r="B13" s="431"/>
      <c r="C13" s="241" t="s">
        <v>72</v>
      </c>
      <c r="D13" s="242">
        <f>EDATE(D12,F13)</f>
        <v>45966</v>
      </c>
      <c r="E13" s="244" t="s">
        <v>821</v>
      </c>
      <c r="F13" s="248">
        <v>12</v>
      </c>
      <c r="G13" s="412" t="s">
        <v>73</v>
      </c>
      <c r="H13" s="413"/>
      <c r="I13" s="413"/>
      <c r="J13" s="414"/>
      <c r="K13"/>
      <c r="L13"/>
    </row>
    <row r="14" spans="1:31" x14ac:dyDescent="0.25">
      <c r="A14" s="430"/>
      <c r="B14" s="431"/>
      <c r="C14" s="241" t="s">
        <v>74</v>
      </c>
      <c r="D14" s="243">
        <f>D13</f>
        <v>45966</v>
      </c>
      <c r="E14" s="249" t="s">
        <v>821</v>
      </c>
      <c r="F14" s="416" t="s">
        <v>820</v>
      </c>
      <c r="G14" s="416"/>
      <c r="H14" s="416"/>
      <c r="I14" s="416"/>
      <c r="J14" s="417"/>
      <c r="K14"/>
      <c r="L14"/>
    </row>
    <row r="15" spans="1:31" x14ac:dyDescent="0.25">
      <c r="A15" s="432"/>
      <c r="B15" s="433"/>
      <c r="C15" s="309" t="s">
        <v>75</v>
      </c>
      <c r="D15" s="321">
        <f>EDATE(D14,F15)</f>
        <v>46696</v>
      </c>
      <c r="E15" s="324" t="s">
        <v>821</v>
      </c>
      <c r="F15" s="246">
        <v>24</v>
      </c>
      <c r="G15" s="403" t="s">
        <v>76</v>
      </c>
      <c r="H15" s="404"/>
      <c r="I15" s="404"/>
      <c r="J15" s="405"/>
      <c r="K15"/>
      <c r="L15"/>
    </row>
    <row r="16" spans="1:31" x14ac:dyDescent="0.25">
      <c r="A16" s="141"/>
      <c r="B16" s="73"/>
      <c r="D16" s="130"/>
      <c r="G16"/>
      <c r="H16"/>
      <c r="I16"/>
      <c r="J16"/>
      <c r="K16"/>
      <c r="L16"/>
    </row>
    <row r="17" spans="1:25" x14ac:dyDescent="0.25">
      <c r="G17" s="423" t="s">
        <v>787</v>
      </c>
      <c r="H17" s="424"/>
      <c r="I17" s="424"/>
      <c r="J17" s="424"/>
      <c r="K17" s="424"/>
      <c r="L17" s="424"/>
      <c r="M17" s="424"/>
      <c r="N17" s="424"/>
      <c r="O17" s="424"/>
      <c r="P17" s="425"/>
      <c r="Q17" s="18"/>
      <c r="R17" s="135"/>
      <c r="Y17" s="140"/>
    </row>
    <row r="18" spans="1:25" ht="75.75" customHeight="1" x14ac:dyDescent="0.25">
      <c r="A18" s="9" t="s">
        <v>80</v>
      </c>
      <c r="B18" s="9" t="s">
        <v>81</v>
      </c>
      <c r="C18" s="9" t="s">
        <v>82</v>
      </c>
      <c r="D18" s="64" t="s">
        <v>83</v>
      </c>
      <c r="E18" s="10" t="s">
        <v>809</v>
      </c>
      <c r="F18" s="10"/>
      <c r="G18" s="11"/>
      <c r="H18" s="12" t="s">
        <v>84</v>
      </c>
      <c r="I18" s="11"/>
      <c r="J18" s="12" t="s">
        <v>85</v>
      </c>
      <c r="K18" s="11"/>
      <c r="L18" s="12" t="s">
        <v>86</v>
      </c>
      <c r="M18" s="11"/>
      <c r="N18" s="12" t="s">
        <v>87</v>
      </c>
      <c r="O18" s="11"/>
      <c r="P18" s="64" t="s">
        <v>817</v>
      </c>
      <c r="Q18" s="11"/>
      <c r="R18" s="10" t="s">
        <v>818</v>
      </c>
      <c r="S18" s="10" t="s">
        <v>810</v>
      </c>
      <c r="T18" s="10" t="s">
        <v>816</v>
      </c>
      <c r="U18" s="10" t="str">
        <f>CONCATENATE("Add to Escalate to ", TEXT(S184,"m/d/yyyy")," (Renovation Construction Midpoint)")</f>
        <v>Add to Escalate to 11/5/2026 (Renovation Construction Midpoint)</v>
      </c>
      <c r="V18" s="10" t="str">
        <f>CONCATENATE("Escalated to ",TEXT(S184,"m/d/yyyy")," (Renovation Construction Midpoint)")</f>
        <v>Escalated to 11/5/2026 (Renovation Construction Midpoint)</v>
      </c>
      <c r="W18" s="10" t="str">
        <f>CONCATENATE("Escalated to ",TEXT(S185,"m/d/yyyy")," (Renovation Construction Midpoint)")</f>
        <v>Escalated to 11/5/2027 (Renovation Construction Midpoint)</v>
      </c>
      <c r="X18" s="10" t="str">
        <f>CONCATENATE("Escalated to ",TEXT(S186,"m/d/yyyy")," (Renovationt Construction Midpoint)")</f>
        <v>Escalated to 11/5/2028 (Renovationt Construction Midpoint)</v>
      </c>
      <c r="Y18" s="64" t="s">
        <v>64</v>
      </c>
    </row>
    <row r="19" spans="1:25" x14ac:dyDescent="0.25">
      <c r="A19" s="426" t="s">
        <v>89</v>
      </c>
      <c r="B19" s="427"/>
      <c r="C19" s="427"/>
      <c r="D19" s="253"/>
      <c r="E19" s="253"/>
      <c r="F19" s="253"/>
      <c r="G19" s="254"/>
      <c r="H19" s="255"/>
      <c r="I19" s="254"/>
      <c r="J19" s="255"/>
      <c r="K19" s="254"/>
      <c r="L19" s="255"/>
      <c r="M19" s="254"/>
      <c r="N19" s="255"/>
      <c r="O19" s="254"/>
      <c r="P19" s="255"/>
      <c r="Q19" s="254"/>
      <c r="R19" s="255"/>
      <c r="S19" s="253"/>
      <c r="T19" s="253"/>
      <c r="U19" s="253"/>
      <c r="V19" s="253"/>
      <c r="W19" s="253"/>
      <c r="X19" s="253"/>
      <c r="Y19" s="303"/>
    </row>
    <row r="20" spans="1:25" ht="15.75" thickBot="1" x14ac:dyDescent="0.3">
      <c r="A20" s="7"/>
      <c r="B20" s="257" t="s">
        <v>90</v>
      </c>
      <c r="C20" s="260"/>
      <c r="D20" s="260"/>
      <c r="E20" s="145"/>
      <c r="F20" s="259"/>
      <c r="H20" s="245"/>
      <c r="J20" s="245"/>
      <c r="L20" s="245"/>
      <c r="N20" s="245"/>
      <c r="P20" s="245"/>
      <c r="S20" s="145"/>
      <c r="T20" s="1"/>
      <c r="U20" s="1"/>
      <c r="V20" s="1"/>
      <c r="W20" s="1"/>
      <c r="X20" s="1"/>
      <c r="Y20" s="301"/>
    </row>
    <row r="21" spans="1:25" ht="15.75" thickBot="1" x14ac:dyDescent="0.3">
      <c r="A21" s="7"/>
      <c r="B21" s="8"/>
      <c r="C21" s="256" t="s">
        <v>91</v>
      </c>
      <c r="D21" s="260"/>
      <c r="E21" s="23"/>
      <c r="F21" s="259"/>
      <c r="G21" s="3"/>
      <c r="H21" s="245" t="s">
        <v>84</v>
      </c>
      <c r="I21" s="3"/>
      <c r="J21" s="245" t="s">
        <v>85</v>
      </c>
      <c r="K21" s="6"/>
      <c r="L21" s="245" t="s">
        <v>86</v>
      </c>
      <c r="M21" s="3"/>
      <c r="N21" s="245" t="s">
        <v>87</v>
      </c>
      <c r="O21" s="6"/>
      <c r="P21" s="245" t="s">
        <v>92</v>
      </c>
      <c r="Q21" s="6"/>
      <c r="R21" s="4" t="s">
        <v>92</v>
      </c>
      <c r="S21" s="23"/>
      <c r="T21" s="276" t="e">
        <f>'Base Information'!$B$23*'Physical Condition Assessment'!E21*'PCA Cost Tables - READ ONLY'!O10*'Physical Condition Assessment'!S21*'PCA Cost Tables - READ ONLY'!$G$1*'County Cost Factor - READ ONLY'!$D$40</f>
        <v>#VALUE!</v>
      </c>
      <c r="U21" s="277" t="e">
        <f>V21-T21</f>
        <v>#VALUE!</v>
      </c>
      <c r="V21" s="277" t="e">
        <f>T21*'PCA Cost Tables - READ ONLY'!$G$1</f>
        <v>#VALUE!</v>
      </c>
      <c r="W21" s="277" t="e">
        <f>V21*'PCA Cost Tables - READ ONLY'!$G$3</f>
        <v>#VALUE!</v>
      </c>
      <c r="X21" s="278" t="e">
        <f>W21*'PCA Cost Tables - READ ONLY'!$G$3</f>
        <v>#VALUE!</v>
      </c>
      <c r="Y21" s="65"/>
    </row>
    <row r="22" spans="1:25" ht="15.75" thickBot="1" x14ac:dyDescent="0.3">
      <c r="A22" s="7"/>
      <c r="B22" s="8"/>
      <c r="C22" s="256" t="s">
        <v>93</v>
      </c>
      <c r="D22" s="260"/>
      <c r="E22" s="23"/>
      <c r="F22" s="259"/>
      <c r="G22" s="3"/>
      <c r="H22" s="245" t="s">
        <v>84</v>
      </c>
      <c r="I22" s="3"/>
      <c r="J22" s="245" t="s">
        <v>85</v>
      </c>
      <c r="K22" s="6"/>
      <c r="L22" s="245" t="s">
        <v>86</v>
      </c>
      <c r="M22" s="3"/>
      <c r="N22" s="245" t="s">
        <v>87</v>
      </c>
      <c r="O22" s="6"/>
      <c r="P22" s="245" t="s">
        <v>92</v>
      </c>
      <c r="Q22" s="6"/>
      <c r="R22" s="4" t="s">
        <v>92</v>
      </c>
      <c r="S22" s="23"/>
      <c r="T22" s="279" t="e">
        <f>'Base Information'!$B$23*'Physical Condition Assessment'!E22*'PCA Cost Tables - READ ONLY'!O11*'Physical Condition Assessment'!S22*'PCA Cost Tables - READ ONLY'!$G$1*'County Cost Factor - READ ONLY'!$D$40</f>
        <v>#VALUE!</v>
      </c>
      <c r="U22" s="280" t="e">
        <f t="shared" ref="U22:U23" si="0">V22-T22</f>
        <v>#VALUE!</v>
      </c>
      <c r="V22" s="280" t="e">
        <f>T22*'PCA Cost Tables - READ ONLY'!$G$1</f>
        <v>#VALUE!</v>
      </c>
      <c r="W22" s="280" t="e">
        <f>V22*'PCA Cost Tables - READ ONLY'!$G$3</f>
        <v>#VALUE!</v>
      </c>
      <c r="X22" s="281" t="e">
        <f>W22*'PCA Cost Tables - READ ONLY'!$G$3</f>
        <v>#VALUE!</v>
      </c>
      <c r="Y22" s="65"/>
    </row>
    <row r="23" spans="1:25" ht="15.75" thickBot="1" x14ac:dyDescent="0.3">
      <c r="A23" s="7"/>
      <c r="B23" s="8"/>
      <c r="C23" s="256" t="s">
        <v>94</v>
      </c>
      <c r="D23" s="260"/>
      <c r="E23" s="23"/>
      <c r="F23" s="259"/>
      <c r="G23" s="3"/>
      <c r="H23" s="245" t="s">
        <v>84</v>
      </c>
      <c r="I23" s="6"/>
      <c r="J23" s="245" t="s">
        <v>85</v>
      </c>
      <c r="K23" s="3"/>
      <c r="L23" s="245" t="s">
        <v>86</v>
      </c>
      <c r="M23" s="3"/>
      <c r="N23" s="245" t="s">
        <v>87</v>
      </c>
      <c r="O23" s="6"/>
      <c r="P23" s="245" t="s">
        <v>92</v>
      </c>
      <c r="Q23" s="6"/>
      <c r="R23" s="4" t="s">
        <v>92</v>
      </c>
      <c r="S23" s="23"/>
      <c r="T23" s="279" t="e">
        <f>'Base Information'!$B$23*'Physical Condition Assessment'!E23*'PCA Cost Tables - READ ONLY'!O12*'Physical Condition Assessment'!S23*'PCA Cost Tables - READ ONLY'!$G$1*'County Cost Factor - READ ONLY'!$D$40</f>
        <v>#VALUE!</v>
      </c>
      <c r="U23" s="280" t="e">
        <f t="shared" si="0"/>
        <v>#VALUE!</v>
      </c>
      <c r="V23" s="280" t="e">
        <f>T23*'PCA Cost Tables - READ ONLY'!$G$1</f>
        <v>#VALUE!</v>
      </c>
      <c r="W23" s="280" t="e">
        <f>V23*'PCA Cost Tables - READ ONLY'!$G$3</f>
        <v>#VALUE!</v>
      </c>
      <c r="X23" s="281" t="e">
        <f>W23*'PCA Cost Tables - READ ONLY'!$G$3</f>
        <v>#VALUE!</v>
      </c>
      <c r="Y23" s="66"/>
    </row>
    <row r="24" spans="1:25" ht="15.75" thickBot="1" x14ac:dyDescent="0.3">
      <c r="A24" s="7"/>
      <c r="B24" s="257" t="s">
        <v>95</v>
      </c>
      <c r="C24" s="260"/>
      <c r="D24" s="260"/>
      <c r="E24" s="145"/>
      <c r="F24" s="259"/>
      <c r="H24" s="245"/>
      <c r="J24" s="245"/>
      <c r="L24" s="245"/>
      <c r="N24" s="245"/>
      <c r="P24" s="245"/>
      <c r="S24" s="145"/>
      <c r="T24" s="1"/>
      <c r="U24" s="1"/>
      <c r="V24" s="1"/>
      <c r="W24" s="1"/>
      <c r="X24" s="1"/>
      <c r="Y24" s="301"/>
    </row>
    <row r="25" spans="1:25" ht="15.75" thickBot="1" x14ac:dyDescent="0.3">
      <c r="A25" s="7"/>
      <c r="B25" s="8"/>
      <c r="C25" s="256" t="s">
        <v>96</v>
      </c>
      <c r="D25" s="260" t="s">
        <v>97</v>
      </c>
      <c r="E25" s="38"/>
      <c r="F25" s="259"/>
      <c r="G25" s="6"/>
      <c r="H25" s="245" t="s">
        <v>84</v>
      </c>
      <c r="I25" s="6"/>
      <c r="J25" s="245" t="s">
        <v>85</v>
      </c>
      <c r="K25" s="6"/>
      <c r="L25" s="245" t="s">
        <v>86</v>
      </c>
      <c r="M25" s="6"/>
      <c r="N25" s="245" t="s">
        <v>87</v>
      </c>
      <c r="O25" s="6"/>
      <c r="P25" s="245" t="s">
        <v>92</v>
      </c>
      <c r="Q25" s="6"/>
      <c r="R25" s="4" t="s">
        <v>92</v>
      </c>
      <c r="S25" s="38"/>
      <c r="T25" s="122"/>
      <c r="U25" s="122"/>
      <c r="V25" s="122"/>
      <c r="W25" s="122"/>
      <c r="X25" s="122"/>
      <c r="Y25" s="67"/>
    </row>
    <row r="26" spans="1:25" ht="15.75" thickBot="1" x14ac:dyDescent="0.3">
      <c r="A26" s="7"/>
      <c r="B26" s="8"/>
      <c r="C26" s="256" t="s">
        <v>98</v>
      </c>
      <c r="D26" s="260"/>
      <c r="E26" s="23"/>
      <c r="F26" s="259"/>
      <c r="G26" s="3"/>
      <c r="H26" s="245" t="s">
        <v>84</v>
      </c>
      <c r="I26" s="3"/>
      <c r="J26" s="245" t="s">
        <v>85</v>
      </c>
      <c r="K26" s="3"/>
      <c r="L26" s="245" t="s">
        <v>86</v>
      </c>
      <c r="M26" s="3"/>
      <c r="N26" s="245" t="s">
        <v>87</v>
      </c>
      <c r="O26" s="6"/>
      <c r="P26" s="245" t="s">
        <v>92</v>
      </c>
      <c r="Q26" s="6"/>
      <c r="R26" s="4" t="s">
        <v>92</v>
      </c>
      <c r="S26" s="23"/>
      <c r="T26" s="279" t="e">
        <f>'Base Information'!$B$23*'Physical Condition Assessment'!E26*'PCA Cost Tables - READ ONLY'!O15*'Physical Condition Assessment'!S26*'PCA Cost Tables - READ ONLY'!$G$1*'County Cost Factor - READ ONLY'!$D$40</f>
        <v>#VALUE!</v>
      </c>
      <c r="U26" s="280" t="e">
        <f t="shared" ref="U26" si="1">V26-T26</f>
        <v>#VALUE!</v>
      </c>
      <c r="V26" s="280" t="e">
        <f>T26*'PCA Cost Tables - READ ONLY'!$G$1</f>
        <v>#VALUE!</v>
      </c>
      <c r="W26" s="280" t="e">
        <f>V26*'PCA Cost Tables - READ ONLY'!$G$3</f>
        <v>#VALUE!</v>
      </c>
      <c r="X26" s="281" t="e">
        <f>W26*'PCA Cost Tables - READ ONLY'!$G$3</f>
        <v>#VALUE!</v>
      </c>
      <c r="Y26" s="66"/>
    </row>
    <row r="27" spans="1:25" x14ac:dyDescent="0.25">
      <c r="A27" s="374" t="s">
        <v>99</v>
      </c>
      <c r="B27" s="375"/>
      <c r="C27" s="375"/>
      <c r="D27" s="253"/>
      <c r="E27" s="253"/>
      <c r="F27" s="253"/>
      <c r="G27" s="254"/>
      <c r="H27" s="255"/>
      <c r="I27" s="254"/>
      <c r="J27" s="255"/>
      <c r="K27" s="254"/>
      <c r="L27" s="255"/>
      <c r="M27" s="254"/>
      <c r="N27" s="255"/>
      <c r="O27" s="254"/>
      <c r="P27" s="255"/>
      <c r="Q27" s="254"/>
      <c r="R27" s="255"/>
      <c r="S27" s="352"/>
      <c r="T27" s="253"/>
      <c r="U27" s="253"/>
      <c r="V27" s="253"/>
      <c r="W27" s="253"/>
      <c r="X27" s="253"/>
      <c r="Y27" s="305"/>
    </row>
    <row r="28" spans="1:25" ht="15.75" thickBot="1" x14ac:dyDescent="0.3">
      <c r="A28" s="7"/>
      <c r="B28" s="257" t="s">
        <v>100</v>
      </c>
      <c r="C28" s="260"/>
      <c r="D28" s="260"/>
      <c r="E28" s="145"/>
      <c r="F28" s="259"/>
      <c r="H28" s="245"/>
      <c r="J28" s="245"/>
      <c r="L28" s="245"/>
      <c r="N28" s="245"/>
      <c r="P28" s="245"/>
      <c r="S28" s="145"/>
      <c r="T28" s="1"/>
      <c r="U28" s="1"/>
      <c r="V28" s="1"/>
      <c r="W28" s="1"/>
      <c r="X28" s="1"/>
      <c r="Y28" s="301"/>
    </row>
    <row r="29" spans="1:25" ht="15.75" thickBot="1" x14ac:dyDescent="0.3">
      <c r="A29" s="7"/>
      <c r="B29" s="8"/>
      <c r="C29" s="256" t="s">
        <v>101</v>
      </c>
      <c r="D29" s="300" t="s">
        <v>102</v>
      </c>
      <c r="E29" s="23"/>
      <c r="F29" s="259"/>
      <c r="G29" s="3"/>
      <c r="H29" s="245" t="s">
        <v>84</v>
      </c>
      <c r="I29" s="6"/>
      <c r="J29" s="245" t="s">
        <v>85</v>
      </c>
      <c r="K29" s="3"/>
      <c r="L29" s="245" t="s">
        <v>86</v>
      </c>
      <c r="M29" s="6"/>
      <c r="N29" s="245" t="s">
        <v>87</v>
      </c>
      <c r="O29" s="3"/>
      <c r="P29" s="245" t="s">
        <v>92</v>
      </c>
      <c r="Q29" s="3"/>
      <c r="R29" s="4" t="s">
        <v>92</v>
      </c>
      <c r="S29" s="23"/>
      <c r="T29" s="276" t="e">
        <f>'Base Information'!$B$23*'Physical Condition Assessment'!E29*'PCA Cost Tables - READ ONLY'!O18*'Physical Condition Assessment'!S29*'PCA Cost Tables - READ ONLY'!$G$1*'County Cost Factor - READ ONLY'!$D$40</f>
        <v>#VALUE!</v>
      </c>
      <c r="U29" s="277" t="e">
        <f t="shared" ref="U29:U34" si="2">V29-T29</f>
        <v>#VALUE!</v>
      </c>
      <c r="V29" s="277" t="e">
        <f>T29*'PCA Cost Tables - READ ONLY'!$G$1</f>
        <v>#VALUE!</v>
      </c>
      <c r="W29" s="277" t="e">
        <f>V29*'PCA Cost Tables - READ ONLY'!$G$3</f>
        <v>#VALUE!</v>
      </c>
      <c r="X29" s="278" t="e">
        <f>W29*'PCA Cost Tables - READ ONLY'!$G$3</f>
        <v>#VALUE!</v>
      </c>
      <c r="Y29" s="66"/>
    </row>
    <row r="30" spans="1:25" ht="15.75" thickBot="1" x14ac:dyDescent="0.3">
      <c r="A30" s="7"/>
      <c r="B30" s="8"/>
      <c r="C30" s="256"/>
      <c r="D30" s="300" t="s">
        <v>103</v>
      </c>
      <c r="E30" s="23"/>
      <c r="F30" s="259"/>
      <c r="G30" s="3"/>
      <c r="H30" s="245" t="s">
        <v>84</v>
      </c>
      <c r="I30" s="6"/>
      <c r="J30" s="245" t="s">
        <v>85</v>
      </c>
      <c r="K30" s="3"/>
      <c r="L30" s="245" t="s">
        <v>86</v>
      </c>
      <c r="M30" s="6"/>
      <c r="N30" s="245" t="s">
        <v>87</v>
      </c>
      <c r="O30" s="3"/>
      <c r="P30" s="245" t="s">
        <v>92</v>
      </c>
      <c r="Q30" s="3"/>
      <c r="R30" s="4" t="s">
        <v>92</v>
      </c>
      <c r="S30" s="23"/>
      <c r="T30" s="279" t="e">
        <f>'Base Information'!$B$23*'Physical Condition Assessment'!E30*'PCA Cost Tables - READ ONLY'!O19*'Physical Condition Assessment'!S30*'PCA Cost Tables - READ ONLY'!$G$1*'County Cost Factor - READ ONLY'!$D$40</f>
        <v>#VALUE!</v>
      </c>
      <c r="U30" s="280" t="e">
        <f t="shared" si="2"/>
        <v>#VALUE!</v>
      </c>
      <c r="V30" s="280" t="e">
        <f>T30*'PCA Cost Tables - READ ONLY'!$G$1</f>
        <v>#VALUE!</v>
      </c>
      <c r="W30" s="280" t="e">
        <f>V30*'PCA Cost Tables - READ ONLY'!$G$3</f>
        <v>#VALUE!</v>
      </c>
      <c r="X30" s="281" t="e">
        <f>W30*'PCA Cost Tables - READ ONLY'!$G$3</f>
        <v>#VALUE!</v>
      </c>
      <c r="Y30" s="66"/>
    </row>
    <row r="31" spans="1:25" ht="15.75" thickBot="1" x14ac:dyDescent="0.3">
      <c r="A31" s="7"/>
      <c r="B31" s="8"/>
      <c r="C31" s="256"/>
      <c r="D31" s="300" t="s">
        <v>104</v>
      </c>
      <c r="E31" s="23"/>
      <c r="F31" s="259"/>
      <c r="G31" s="3"/>
      <c r="H31" s="245" t="s">
        <v>84</v>
      </c>
      <c r="I31" s="6"/>
      <c r="J31" s="245" t="s">
        <v>85</v>
      </c>
      <c r="K31" s="3"/>
      <c r="L31" s="245" t="s">
        <v>86</v>
      </c>
      <c r="M31" s="6"/>
      <c r="N31" s="245" t="s">
        <v>87</v>
      </c>
      <c r="O31" s="3"/>
      <c r="P31" s="245" t="s">
        <v>92</v>
      </c>
      <c r="Q31" s="3"/>
      <c r="R31" s="4" t="s">
        <v>92</v>
      </c>
      <c r="S31" s="23"/>
      <c r="T31" s="279" t="e">
        <f>'Base Information'!$B$23*'Physical Condition Assessment'!E31*'PCA Cost Tables - READ ONLY'!O20*'Physical Condition Assessment'!S31*'PCA Cost Tables - READ ONLY'!$G$1*'County Cost Factor - READ ONLY'!$D$40</f>
        <v>#VALUE!</v>
      </c>
      <c r="U31" s="280" t="e">
        <f t="shared" si="2"/>
        <v>#VALUE!</v>
      </c>
      <c r="V31" s="280" t="e">
        <f>T31*'PCA Cost Tables - READ ONLY'!$G$1</f>
        <v>#VALUE!</v>
      </c>
      <c r="W31" s="280" t="e">
        <f>V31*'PCA Cost Tables - READ ONLY'!$G$3</f>
        <v>#VALUE!</v>
      </c>
      <c r="X31" s="281" t="e">
        <f>W31*'PCA Cost Tables - READ ONLY'!$G$3</f>
        <v>#VALUE!</v>
      </c>
      <c r="Y31" s="66"/>
    </row>
    <row r="32" spans="1:25" ht="15.75" thickBot="1" x14ac:dyDescent="0.3">
      <c r="A32" s="7"/>
      <c r="B32" s="8"/>
      <c r="C32" s="256" t="s">
        <v>105</v>
      </c>
      <c r="D32" s="300" t="s">
        <v>102</v>
      </c>
      <c r="E32" s="23"/>
      <c r="F32" s="259"/>
      <c r="G32" s="3"/>
      <c r="H32" s="245" t="s">
        <v>84</v>
      </c>
      <c r="I32" s="6"/>
      <c r="J32" s="245" t="s">
        <v>85</v>
      </c>
      <c r="K32" s="6"/>
      <c r="L32" s="245" t="s">
        <v>86</v>
      </c>
      <c r="M32" s="3"/>
      <c r="N32" s="245" t="s">
        <v>87</v>
      </c>
      <c r="O32" s="3"/>
      <c r="P32" s="245" t="s">
        <v>92</v>
      </c>
      <c r="Q32" s="3"/>
      <c r="R32" s="4" t="s">
        <v>92</v>
      </c>
      <c r="S32" s="23"/>
      <c r="T32" s="279" t="e">
        <f>'Base Information'!$B$23*'Physical Condition Assessment'!E32*'PCA Cost Tables - READ ONLY'!O21*'Physical Condition Assessment'!S32*'PCA Cost Tables - READ ONLY'!$G$1*'County Cost Factor - READ ONLY'!$D$40</f>
        <v>#VALUE!</v>
      </c>
      <c r="U32" s="280" t="e">
        <f t="shared" si="2"/>
        <v>#VALUE!</v>
      </c>
      <c r="V32" s="280" t="e">
        <f>T32*'PCA Cost Tables - READ ONLY'!$G$1</f>
        <v>#VALUE!</v>
      </c>
      <c r="W32" s="280" t="e">
        <f>V32*'PCA Cost Tables - READ ONLY'!$G$3</f>
        <v>#VALUE!</v>
      </c>
      <c r="X32" s="281" t="e">
        <f>W32*'PCA Cost Tables - READ ONLY'!$G$3</f>
        <v>#VALUE!</v>
      </c>
      <c r="Y32" s="66"/>
    </row>
    <row r="33" spans="1:25" ht="15.75" thickBot="1" x14ac:dyDescent="0.3">
      <c r="A33" s="7"/>
      <c r="B33" s="8"/>
      <c r="C33" s="256"/>
      <c r="D33" s="300" t="s">
        <v>103</v>
      </c>
      <c r="E33" s="23"/>
      <c r="F33" s="259"/>
      <c r="G33" s="3"/>
      <c r="H33" s="245" t="s">
        <v>84</v>
      </c>
      <c r="I33" s="6"/>
      <c r="J33" s="245" t="s">
        <v>85</v>
      </c>
      <c r="K33" s="6"/>
      <c r="L33" s="245" t="s">
        <v>86</v>
      </c>
      <c r="M33" s="3"/>
      <c r="N33" s="245" t="s">
        <v>87</v>
      </c>
      <c r="O33" s="3"/>
      <c r="P33" s="245" t="s">
        <v>92</v>
      </c>
      <c r="Q33" s="3"/>
      <c r="R33" s="4" t="s">
        <v>92</v>
      </c>
      <c r="S33" s="23"/>
      <c r="T33" s="279" t="e">
        <f>'Base Information'!$B$23*'Physical Condition Assessment'!E33*'PCA Cost Tables - READ ONLY'!O22*'Physical Condition Assessment'!S33*'PCA Cost Tables - READ ONLY'!$G$1*'County Cost Factor - READ ONLY'!$D$40</f>
        <v>#VALUE!</v>
      </c>
      <c r="U33" s="280" t="e">
        <f t="shared" si="2"/>
        <v>#VALUE!</v>
      </c>
      <c r="V33" s="280" t="e">
        <f>T33*'PCA Cost Tables - READ ONLY'!$G$1</f>
        <v>#VALUE!</v>
      </c>
      <c r="W33" s="280" t="e">
        <f>V33*'PCA Cost Tables - READ ONLY'!$G$3</f>
        <v>#VALUE!</v>
      </c>
      <c r="X33" s="281" t="e">
        <f>W33*'PCA Cost Tables - READ ONLY'!$G$3</f>
        <v>#VALUE!</v>
      </c>
      <c r="Y33" s="66"/>
    </row>
    <row r="34" spans="1:25" ht="15.75" thickBot="1" x14ac:dyDescent="0.3">
      <c r="A34" s="7"/>
      <c r="B34" s="8"/>
      <c r="C34" s="256"/>
      <c r="D34" s="300" t="s">
        <v>104</v>
      </c>
      <c r="E34" s="23"/>
      <c r="F34" s="259"/>
      <c r="G34" s="3"/>
      <c r="H34" s="245" t="s">
        <v>84</v>
      </c>
      <c r="I34" s="6"/>
      <c r="J34" s="245" t="s">
        <v>85</v>
      </c>
      <c r="K34" s="6"/>
      <c r="L34" s="245" t="s">
        <v>86</v>
      </c>
      <c r="M34" s="3"/>
      <c r="N34" s="245" t="s">
        <v>87</v>
      </c>
      <c r="O34" s="3"/>
      <c r="P34" s="245" t="s">
        <v>92</v>
      </c>
      <c r="Q34" s="3"/>
      <c r="R34" s="4" t="s">
        <v>92</v>
      </c>
      <c r="S34" s="23"/>
      <c r="T34" s="279" t="e">
        <f>'Base Information'!$B$23*'Physical Condition Assessment'!E34*'PCA Cost Tables - READ ONLY'!O23*'Physical Condition Assessment'!S34*'PCA Cost Tables - READ ONLY'!$G$1*'County Cost Factor - READ ONLY'!$D$40</f>
        <v>#VALUE!</v>
      </c>
      <c r="U34" s="280" t="e">
        <f t="shared" si="2"/>
        <v>#VALUE!</v>
      </c>
      <c r="V34" s="280" t="e">
        <f>T34*'PCA Cost Tables - READ ONLY'!$G$1</f>
        <v>#VALUE!</v>
      </c>
      <c r="W34" s="280" t="e">
        <f>V34*'PCA Cost Tables - READ ONLY'!$G$3</f>
        <v>#VALUE!</v>
      </c>
      <c r="X34" s="281" t="e">
        <f>W34*'PCA Cost Tables - READ ONLY'!$G$3</f>
        <v>#VALUE!</v>
      </c>
      <c r="Y34" s="66"/>
    </row>
    <row r="35" spans="1:25" ht="15.75" thickBot="1" x14ac:dyDescent="0.3">
      <c r="A35" s="7"/>
      <c r="B35" s="257" t="s">
        <v>106</v>
      </c>
      <c r="C35" s="260"/>
      <c r="D35" s="260"/>
      <c r="E35" s="145"/>
      <c r="F35" s="259"/>
      <c r="H35" s="245"/>
      <c r="J35" s="245"/>
      <c r="L35" s="245"/>
      <c r="N35" s="245"/>
      <c r="P35" s="245"/>
      <c r="S35" s="145"/>
      <c r="T35" s="1"/>
      <c r="U35" s="1"/>
      <c r="V35" s="1"/>
      <c r="W35" s="1"/>
      <c r="X35" s="1"/>
      <c r="Y35" s="301"/>
    </row>
    <row r="36" spans="1:25" ht="15.75" thickBot="1" x14ac:dyDescent="0.3">
      <c r="A36" s="7"/>
      <c r="B36" s="8"/>
      <c r="C36" s="256" t="s">
        <v>107</v>
      </c>
      <c r="D36" s="300" t="s">
        <v>108</v>
      </c>
      <c r="E36" s="23"/>
      <c r="F36" s="259"/>
      <c r="G36" s="3"/>
      <c r="H36" s="245" t="s">
        <v>84</v>
      </c>
      <c r="I36" s="6"/>
      <c r="J36" s="245" t="s">
        <v>85</v>
      </c>
      <c r="K36" s="3"/>
      <c r="L36" s="245" t="s">
        <v>86</v>
      </c>
      <c r="M36" s="3"/>
      <c r="N36" s="245" t="s">
        <v>87</v>
      </c>
      <c r="O36" s="6"/>
      <c r="P36" s="245" t="s">
        <v>92</v>
      </c>
      <c r="Q36" s="6"/>
      <c r="R36" s="4" t="s">
        <v>92</v>
      </c>
      <c r="S36" s="23"/>
      <c r="T36" s="276" t="e">
        <f>'Base Information'!$B$23*'Physical Condition Assessment'!E36*'PCA Cost Tables - READ ONLY'!O25*'Physical Condition Assessment'!S36*'PCA Cost Tables - READ ONLY'!$G$1*'County Cost Factor - READ ONLY'!$D$40</f>
        <v>#VALUE!</v>
      </c>
      <c r="U36" s="277" t="e">
        <f>V36-T36</f>
        <v>#VALUE!</v>
      </c>
      <c r="V36" s="277" t="e">
        <f>T36*'PCA Cost Tables - READ ONLY'!$G$1</f>
        <v>#VALUE!</v>
      </c>
      <c r="W36" s="277" t="e">
        <f>V36*'PCA Cost Tables - READ ONLY'!$G$3</f>
        <v>#VALUE!</v>
      </c>
      <c r="X36" s="278" t="e">
        <f>W36*'PCA Cost Tables - READ ONLY'!$G$3</f>
        <v>#VALUE!</v>
      </c>
      <c r="Y36" s="66"/>
    </row>
    <row r="37" spans="1:25" ht="15.75" thickBot="1" x14ac:dyDescent="0.3">
      <c r="A37" s="7"/>
      <c r="B37" s="8"/>
      <c r="C37" s="256"/>
      <c r="D37" s="300" t="s">
        <v>109</v>
      </c>
      <c r="E37" s="23"/>
      <c r="F37" s="259"/>
      <c r="G37" s="3"/>
      <c r="H37" s="245" t="s">
        <v>84</v>
      </c>
      <c r="I37" s="6"/>
      <c r="J37" s="245" t="s">
        <v>85</v>
      </c>
      <c r="K37" s="3"/>
      <c r="L37" s="245" t="s">
        <v>86</v>
      </c>
      <c r="M37" s="3"/>
      <c r="N37" s="245" t="s">
        <v>87</v>
      </c>
      <c r="O37" s="3"/>
      <c r="P37" s="245" t="s">
        <v>92</v>
      </c>
      <c r="Q37" s="3"/>
      <c r="R37" s="4" t="s">
        <v>92</v>
      </c>
      <c r="S37" s="23"/>
      <c r="T37" s="279" t="e">
        <f>'Base Information'!$B$23*'Physical Condition Assessment'!E37*'PCA Cost Tables - READ ONLY'!O26*'Physical Condition Assessment'!S37*'PCA Cost Tables - READ ONLY'!$G$1*'County Cost Factor - READ ONLY'!$D$40</f>
        <v>#VALUE!</v>
      </c>
      <c r="U37" s="280" t="e">
        <f t="shared" ref="U37:U48" si="3">V37-T37</f>
        <v>#VALUE!</v>
      </c>
      <c r="V37" s="280" t="e">
        <f>T37*'PCA Cost Tables - READ ONLY'!$G$1</f>
        <v>#VALUE!</v>
      </c>
      <c r="W37" s="280" t="e">
        <f>V37*'PCA Cost Tables - READ ONLY'!$G$3</f>
        <v>#VALUE!</v>
      </c>
      <c r="X37" s="281" t="e">
        <f>W37*'PCA Cost Tables - READ ONLY'!$G$3</f>
        <v>#VALUE!</v>
      </c>
      <c r="Y37" s="66"/>
    </row>
    <row r="38" spans="1:25" ht="15.75" thickBot="1" x14ac:dyDescent="0.3">
      <c r="A38" s="7"/>
      <c r="B38" s="8"/>
      <c r="C38" s="256"/>
      <c r="D38" s="300" t="s">
        <v>110</v>
      </c>
      <c r="E38" s="23"/>
      <c r="F38" s="259"/>
      <c r="G38" s="3"/>
      <c r="H38" s="245" t="s">
        <v>84</v>
      </c>
      <c r="I38" s="6"/>
      <c r="J38" s="245" t="s">
        <v>85</v>
      </c>
      <c r="K38" s="3"/>
      <c r="L38" s="245" t="s">
        <v>86</v>
      </c>
      <c r="M38" s="3"/>
      <c r="N38" s="245" t="s">
        <v>87</v>
      </c>
      <c r="O38" s="3"/>
      <c r="P38" s="245" t="s">
        <v>92</v>
      </c>
      <c r="Q38" s="3"/>
      <c r="R38" s="4" t="s">
        <v>92</v>
      </c>
      <c r="S38" s="23"/>
      <c r="T38" s="279" t="e">
        <f>'Base Information'!$B$23*'Physical Condition Assessment'!E38*'PCA Cost Tables - READ ONLY'!O27*'Physical Condition Assessment'!S38*'PCA Cost Tables - READ ONLY'!$G$1*'County Cost Factor - READ ONLY'!$D$40</f>
        <v>#VALUE!</v>
      </c>
      <c r="U38" s="280" t="e">
        <f t="shared" si="3"/>
        <v>#VALUE!</v>
      </c>
      <c r="V38" s="280" t="e">
        <f>T38*'PCA Cost Tables - READ ONLY'!$G$1</f>
        <v>#VALUE!</v>
      </c>
      <c r="W38" s="280" t="e">
        <f>V38*'PCA Cost Tables - READ ONLY'!$G$3</f>
        <v>#VALUE!</v>
      </c>
      <c r="X38" s="281" t="e">
        <f>W38*'PCA Cost Tables - READ ONLY'!$G$3</f>
        <v>#VALUE!</v>
      </c>
      <c r="Y38" s="66"/>
    </row>
    <row r="39" spans="1:25" ht="15.75" thickBot="1" x14ac:dyDescent="0.3">
      <c r="A39" s="7"/>
      <c r="B39" s="8"/>
      <c r="C39" s="256"/>
      <c r="D39" s="300" t="s">
        <v>111</v>
      </c>
      <c r="E39" s="23"/>
      <c r="F39" s="259"/>
      <c r="G39" s="3"/>
      <c r="H39" s="245" t="s">
        <v>84</v>
      </c>
      <c r="I39" s="6"/>
      <c r="J39" s="245" t="s">
        <v>85</v>
      </c>
      <c r="K39" s="3"/>
      <c r="L39" s="245" t="s">
        <v>86</v>
      </c>
      <c r="M39" s="3"/>
      <c r="N39" s="245" t="s">
        <v>87</v>
      </c>
      <c r="O39" s="3"/>
      <c r="P39" s="245" t="s">
        <v>92</v>
      </c>
      <c r="Q39" s="3"/>
      <c r="R39" s="4" t="s">
        <v>92</v>
      </c>
      <c r="S39" s="23"/>
      <c r="T39" s="279" t="e">
        <f>'Base Information'!$B$23*'Physical Condition Assessment'!E39*'PCA Cost Tables - READ ONLY'!O28*'Physical Condition Assessment'!S39*'PCA Cost Tables - READ ONLY'!$G$1*'County Cost Factor - READ ONLY'!$D$40</f>
        <v>#VALUE!</v>
      </c>
      <c r="U39" s="280" t="e">
        <f t="shared" si="3"/>
        <v>#VALUE!</v>
      </c>
      <c r="V39" s="280" t="e">
        <f>T39*'PCA Cost Tables - READ ONLY'!$G$1</f>
        <v>#VALUE!</v>
      </c>
      <c r="W39" s="280" t="e">
        <f>V39*'PCA Cost Tables - READ ONLY'!$G$3</f>
        <v>#VALUE!</v>
      </c>
      <c r="X39" s="281" t="e">
        <f>W39*'PCA Cost Tables - READ ONLY'!$G$3</f>
        <v>#VALUE!</v>
      </c>
      <c r="Y39" s="66"/>
    </row>
    <row r="40" spans="1:25" ht="15.75" thickBot="1" x14ac:dyDescent="0.3">
      <c r="A40" s="7"/>
      <c r="B40" s="8"/>
      <c r="C40" s="256"/>
      <c r="D40" s="300" t="s">
        <v>112</v>
      </c>
      <c r="E40" s="23"/>
      <c r="F40" s="259"/>
      <c r="G40" s="3"/>
      <c r="H40" s="245" t="s">
        <v>84</v>
      </c>
      <c r="I40" s="6"/>
      <c r="J40" s="245" t="s">
        <v>85</v>
      </c>
      <c r="K40" s="3"/>
      <c r="L40" s="245" t="s">
        <v>86</v>
      </c>
      <c r="M40" s="3"/>
      <c r="N40" s="245" t="s">
        <v>87</v>
      </c>
      <c r="O40" s="3"/>
      <c r="P40" s="245" t="s">
        <v>92</v>
      </c>
      <c r="Q40" s="3"/>
      <c r="R40" s="4" t="s">
        <v>92</v>
      </c>
      <c r="S40" s="23"/>
      <c r="T40" s="279" t="e">
        <f>'Base Information'!$B$23*'Physical Condition Assessment'!E40*'PCA Cost Tables - READ ONLY'!O29*'Physical Condition Assessment'!S40*'PCA Cost Tables - READ ONLY'!$G$1*'County Cost Factor - READ ONLY'!$D$40</f>
        <v>#VALUE!</v>
      </c>
      <c r="U40" s="280" t="e">
        <f t="shared" si="3"/>
        <v>#VALUE!</v>
      </c>
      <c r="V40" s="280" t="e">
        <f>T40*'PCA Cost Tables - READ ONLY'!$G$1</f>
        <v>#VALUE!</v>
      </c>
      <c r="W40" s="280" t="e">
        <f>V40*'PCA Cost Tables - READ ONLY'!$G$3</f>
        <v>#VALUE!</v>
      </c>
      <c r="X40" s="281" t="e">
        <f>W40*'PCA Cost Tables - READ ONLY'!$G$3</f>
        <v>#VALUE!</v>
      </c>
      <c r="Y40" s="66"/>
    </row>
    <row r="41" spans="1:25" ht="15.75" thickBot="1" x14ac:dyDescent="0.3">
      <c r="A41" s="7"/>
      <c r="B41" s="8"/>
      <c r="C41" s="256"/>
      <c r="D41" s="300" t="s">
        <v>113</v>
      </c>
      <c r="E41" s="23"/>
      <c r="F41" s="259"/>
      <c r="G41" s="3"/>
      <c r="H41" s="245" t="s">
        <v>84</v>
      </c>
      <c r="I41" s="6"/>
      <c r="J41" s="245" t="s">
        <v>85</v>
      </c>
      <c r="K41" s="3"/>
      <c r="L41" s="245" t="s">
        <v>86</v>
      </c>
      <c r="M41" s="3"/>
      <c r="N41" s="245" t="s">
        <v>87</v>
      </c>
      <c r="O41" s="3"/>
      <c r="P41" s="245" t="s">
        <v>92</v>
      </c>
      <c r="Q41" s="3"/>
      <c r="R41" s="4" t="s">
        <v>92</v>
      </c>
      <c r="S41" s="23"/>
      <c r="T41" s="279" t="e">
        <f>'Base Information'!$B$23*'Physical Condition Assessment'!E41*'PCA Cost Tables - READ ONLY'!O30*'Physical Condition Assessment'!S41*'PCA Cost Tables - READ ONLY'!$G$1*'County Cost Factor - READ ONLY'!$D$40</f>
        <v>#VALUE!</v>
      </c>
      <c r="U41" s="280" t="e">
        <f t="shared" si="3"/>
        <v>#VALUE!</v>
      </c>
      <c r="V41" s="280" t="e">
        <f>T41*'PCA Cost Tables - READ ONLY'!$G$1</f>
        <v>#VALUE!</v>
      </c>
      <c r="W41" s="280" t="e">
        <f>V41*'PCA Cost Tables - READ ONLY'!$G$3</f>
        <v>#VALUE!</v>
      </c>
      <c r="X41" s="281" t="e">
        <f>W41*'PCA Cost Tables - READ ONLY'!$G$3</f>
        <v>#VALUE!</v>
      </c>
      <c r="Y41" s="66"/>
    </row>
    <row r="42" spans="1:25" ht="15.75" thickBot="1" x14ac:dyDescent="0.3">
      <c r="A42" s="7"/>
      <c r="B42" s="8"/>
      <c r="C42" s="256" t="s">
        <v>114</v>
      </c>
      <c r="D42" s="300" t="s">
        <v>102</v>
      </c>
      <c r="E42" s="23"/>
      <c r="F42" s="259"/>
      <c r="G42" s="3"/>
      <c r="H42" s="245" t="s">
        <v>84</v>
      </c>
      <c r="I42" s="6"/>
      <c r="J42" s="245" t="s">
        <v>85</v>
      </c>
      <c r="K42" s="3"/>
      <c r="L42" s="245" t="s">
        <v>86</v>
      </c>
      <c r="M42" s="3"/>
      <c r="N42" s="245" t="s">
        <v>87</v>
      </c>
      <c r="O42" s="3"/>
      <c r="P42" s="245" t="s">
        <v>92</v>
      </c>
      <c r="Q42" s="3"/>
      <c r="R42" s="4" t="s">
        <v>92</v>
      </c>
      <c r="S42" s="23"/>
      <c r="T42" s="279" t="e">
        <f>'Base Information'!$B$23*'Physical Condition Assessment'!E42*'PCA Cost Tables - READ ONLY'!O31*'Physical Condition Assessment'!S42*'PCA Cost Tables - READ ONLY'!$G$1*'County Cost Factor - READ ONLY'!$D$40</f>
        <v>#VALUE!</v>
      </c>
      <c r="U42" s="280" t="e">
        <f t="shared" si="3"/>
        <v>#VALUE!</v>
      </c>
      <c r="V42" s="280" t="e">
        <f>T42*'PCA Cost Tables - READ ONLY'!$G$1</f>
        <v>#VALUE!</v>
      </c>
      <c r="W42" s="280" t="e">
        <f>V42*'PCA Cost Tables - READ ONLY'!$G$3</f>
        <v>#VALUE!</v>
      </c>
      <c r="X42" s="281" t="e">
        <f>W42*'PCA Cost Tables - READ ONLY'!$G$3</f>
        <v>#VALUE!</v>
      </c>
      <c r="Y42" s="66"/>
    </row>
    <row r="43" spans="1:25" ht="15.75" thickBot="1" x14ac:dyDescent="0.3">
      <c r="A43" s="7"/>
      <c r="B43" s="8"/>
      <c r="C43" s="256"/>
      <c r="D43" s="300" t="s">
        <v>115</v>
      </c>
      <c r="E43" s="23"/>
      <c r="F43" s="259"/>
      <c r="G43" s="3"/>
      <c r="H43" s="245" t="s">
        <v>84</v>
      </c>
      <c r="I43" s="6"/>
      <c r="J43" s="245" t="s">
        <v>85</v>
      </c>
      <c r="K43" s="3"/>
      <c r="L43" s="245" t="s">
        <v>86</v>
      </c>
      <c r="M43" s="3"/>
      <c r="N43" s="245" t="s">
        <v>87</v>
      </c>
      <c r="O43" s="3"/>
      <c r="P43" s="245" t="s">
        <v>92</v>
      </c>
      <c r="Q43" s="3"/>
      <c r="R43" s="4" t="s">
        <v>92</v>
      </c>
      <c r="S43" s="23"/>
      <c r="T43" s="279" t="e">
        <f>'Base Information'!$B$23*'Physical Condition Assessment'!E43*'PCA Cost Tables - READ ONLY'!O32*'Physical Condition Assessment'!S43*'PCA Cost Tables - READ ONLY'!$G$1*'County Cost Factor - READ ONLY'!$D$40</f>
        <v>#VALUE!</v>
      </c>
      <c r="U43" s="280" t="e">
        <f t="shared" si="3"/>
        <v>#VALUE!</v>
      </c>
      <c r="V43" s="280" t="e">
        <f>T43*'PCA Cost Tables - READ ONLY'!$G$1</f>
        <v>#VALUE!</v>
      </c>
      <c r="W43" s="280" t="e">
        <f>V43*'PCA Cost Tables - READ ONLY'!$G$3</f>
        <v>#VALUE!</v>
      </c>
      <c r="X43" s="281" t="e">
        <f>W43*'PCA Cost Tables - READ ONLY'!$G$3</f>
        <v>#VALUE!</v>
      </c>
      <c r="Y43" s="66"/>
    </row>
    <row r="44" spans="1:25" ht="15.75" thickBot="1" x14ac:dyDescent="0.3">
      <c r="A44" s="7"/>
      <c r="B44" s="8"/>
      <c r="C44" s="256"/>
      <c r="D44" s="300" t="s">
        <v>116</v>
      </c>
      <c r="E44" s="23"/>
      <c r="F44" s="259"/>
      <c r="G44" s="3"/>
      <c r="H44" s="245" t="s">
        <v>84</v>
      </c>
      <c r="I44" s="6"/>
      <c r="J44" s="245" t="s">
        <v>85</v>
      </c>
      <c r="K44" s="3"/>
      <c r="L44" s="245" t="s">
        <v>86</v>
      </c>
      <c r="M44" s="3"/>
      <c r="N44" s="245" t="s">
        <v>87</v>
      </c>
      <c r="O44" s="3"/>
      <c r="P44" s="245" t="s">
        <v>92</v>
      </c>
      <c r="Q44" s="3"/>
      <c r="R44" s="4" t="s">
        <v>92</v>
      </c>
      <c r="S44" s="23"/>
      <c r="T44" s="279" t="e">
        <f>'Base Information'!$B$23*'Physical Condition Assessment'!E44*'PCA Cost Tables - READ ONLY'!O33*'Physical Condition Assessment'!S44*'PCA Cost Tables - READ ONLY'!$G$1*'County Cost Factor - READ ONLY'!$D$40</f>
        <v>#VALUE!</v>
      </c>
      <c r="U44" s="280" t="e">
        <f t="shared" si="3"/>
        <v>#VALUE!</v>
      </c>
      <c r="V44" s="280" t="e">
        <f>T44*'PCA Cost Tables - READ ONLY'!$G$1</f>
        <v>#VALUE!</v>
      </c>
      <c r="W44" s="280" t="e">
        <f>V44*'PCA Cost Tables - READ ONLY'!$G$3</f>
        <v>#VALUE!</v>
      </c>
      <c r="X44" s="281" t="e">
        <f>W44*'PCA Cost Tables - READ ONLY'!$G$3</f>
        <v>#VALUE!</v>
      </c>
      <c r="Y44" s="66"/>
    </row>
    <row r="45" spans="1:25" ht="15.75" thickBot="1" x14ac:dyDescent="0.3">
      <c r="A45" s="7"/>
      <c r="B45" s="8"/>
      <c r="C45" s="256"/>
      <c r="D45" s="300" t="s">
        <v>117</v>
      </c>
      <c r="E45" s="23"/>
      <c r="F45" s="259"/>
      <c r="G45" s="3"/>
      <c r="H45" s="245" t="s">
        <v>84</v>
      </c>
      <c r="I45" s="6"/>
      <c r="J45" s="245" t="s">
        <v>85</v>
      </c>
      <c r="K45" s="3"/>
      <c r="L45" s="245" t="s">
        <v>86</v>
      </c>
      <c r="M45" s="3"/>
      <c r="N45" s="245" t="s">
        <v>87</v>
      </c>
      <c r="O45" s="3"/>
      <c r="P45" s="245" t="s">
        <v>92</v>
      </c>
      <c r="Q45" s="3"/>
      <c r="R45" s="4" t="s">
        <v>92</v>
      </c>
      <c r="S45" s="23"/>
      <c r="T45" s="279" t="e">
        <f>'Base Information'!$B$23*'Physical Condition Assessment'!E45*'PCA Cost Tables - READ ONLY'!O34*'Physical Condition Assessment'!S45*'PCA Cost Tables - READ ONLY'!$G$1*'County Cost Factor - READ ONLY'!$D$40</f>
        <v>#VALUE!</v>
      </c>
      <c r="U45" s="280" t="e">
        <f t="shared" si="3"/>
        <v>#VALUE!</v>
      </c>
      <c r="V45" s="280" t="e">
        <f>T45*'PCA Cost Tables - READ ONLY'!$G$1</f>
        <v>#VALUE!</v>
      </c>
      <c r="W45" s="280" t="e">
        <f>V45*'PCA Cost Tables - READ ONLY'!$G$3</f>
        <v>#VALUE!</v>
      </c>
      <c r="X45" s="281" t="e">
        <f>W45*'PCA Cost Tables - READ ONLY'!$G$3</f>
        <v>#VALUE!</v>
      </c>
      <c r="Y45" s="66"/>
    </row>
    <row r="46" spans="1:25" ht="15.75" thickBot="1" x14ac:dyDescent="0.3">
      <c r="A46" s="7"/>
      <c r="B46" s="8"/>
      <c r="C46" s="256" t="s">
        <v>118</v>
      </c>
      <c r="D46" s="300" t="s">
        <v>102</v>
      </c>
      <c r="E46" s="353"/>
      <c r="F46" s="259"/>
      <c r="G46" s="3"/>
      <c r="H46" s="245" t="s">
        <v>84</v>
      </c>
      <c r="I46" s="6"/>
      <c r="J46" s="245" t="s">
        <v>85</v>
      </c>
      <c r="K46" s="3"/>
      <c r="L46" s="245" t="s">
        <v>86</v>
      </c>
      <c r="M46" s="3"/>
      <c r="N46" s="245" t="s">
        <v>87</v>
      </c>
      <c r="O46" s="3"/>
      <c r="P46" s="245" t="s">
        <v>92</v>
      </c>
      <c r="Q46" s="3"/>
      <c r="R46" s="4" t="s">
        <v>92</v>
      </c>
      <c r="S46" s="23"/>
      <c r="T46" s="279" t="e">
        <f>'Physical Condition Assessment'!E46*'PCA Cost Tables - READ ONLY'!O35*'Physical Condition Assessment'!S46*'PCA Cost Tables - READ ONLY'!$G$1*'County Cost Factor - READ ONLY'!$D$40</f>
        <v>#VALUE!</v>
      </c>
      <c r="U46" s="280" t="e">
        <f t="shared" si="3"/>
        <v>#VALUE!</v>
      </c>
      <c r="V46" s="280" t="e">
        <f>T46*'PCA Cost Tables - READ ONLY'!$G$1</f>
        <v>#VALUE!</v>
      </c>
      <c r="W46" s="280" t="e">
        <f>V46*'PCA Cost Tables - READ ONLY'!$G$3</f>
        <v>#VALUE!</v>
      </c>
      <c r="X46" s="281" t="e">
        <f>W46*'PCA Cost Tables - READ ONLY'!$G$3</f>
        <v>#VALUE!</v>
      </c>
      <c r="Y46" s="66"/>
    </row>
    <row r="47" spans="1:25" ht="15.75" thickBot="1" x14ac:dyDescent="0.3">
      <c r="A47" s="7"/>
      <c r="B47" s="8"/>
      <c r="C47" s="256"/>
      <c r="D47" s="300" t="s">
        <v>119</v>
      </c>
      <c r="E47" s="353"/>
      <c r="F47" s="259"/>
      <c r="G47" s="3"/>
      <c r="H47" s="245" t="s">
        <v>84</v>
      </c>
      <c r="I47" s="6"/>
      <c r="J47" s="245" t="s">
        <v>85</v>
      </c>
      <c r="K47" s="3"/>
      <c r="L47" s="245" t="s">
        <v>86</v>
      </c>
      <c r="M47" s="3"/>
      <c r="N47" s="245" t="s">
        <v>87</v>
      </c>
      <c r="O47" s="3"/>
      <c r="P47" s="245" t="s">
        <v>92</v>
      </c>
      <c r="Q47" s="3"/>
      <c r="R47" s="4" t="s">
        <v>92</v>
      </c>
      <c r="S47" s="23"/>
      <c r="T47" s="279" t="e">
        <f>'Physical Condition Assessment'!E47*'PCA Cost Tables - READ ONLY'!O36*'Physical Condition Assessment'!S47*'PCA Cost Tables - READ ONLY'!$G$1*'County Cost Factor - READ ONLY'!$D$40</f>
        <v>#VALUE!</v>
      </c>
      <c r="U47" s="280" t="e">
        <f t="shared" si="3"/>
        <v>#VALUE!</v>
      </c>
      <c r="V47" s="280" t="e">
        <f>T47*'PCA Cost Tables - READ ONLY'!$G$1</f>
        <v>#VALUE!</v>
      </c>
      <c r="W47" s="280" t="e">
        <f>V47*'PCA Cost Tables - READ ONLY'!$G$3</f>
        <v>#VALUE!</v>
      </c>
      <c r="X47" s="281" t="e">
        <f>W47*'PCA Cost Tables - READ ONLY'!$G$3</f>
        <v>#VALUE!</v>
      </c>
      <c r="Y47" s="66"/>
    </row>
    <row r="48" spans="1:25" ht="15.75" thickBot="1" x14ac:dyDescent="0.3">
      <c r="A48" s="7"/>
      <c r="B48" s="8"/>
      <c r="C48" s="256"/>
      <c r="D48" s="300" t="s">
        <v>120</v>
      </c>
      <c r="E48" s="354"/>
      <c r="F48" s="259"/>
      <c r="G48" s="3"/>
      <c r="H48" s="245" t="s">
        <v>84</v>
      </c>
      <c r="I48" s="6"/>
      <c r="J48" s="245" t="s">
        <v>85</v>
      </c>
      <c r="K48" s="3"/>
      <c r="L48" s="245" t="s">
        <v>86</v>
      </c>
      <c r="M48" s="3"/>
      <c r="N48" s="245" t="s">
        <v>87</v>
      </c>
      <c r="O48" s="3"/>
      <c r="P48" s="245" t="s">
        <v>92</v>
      </c>
      <c r="S48" s="23"/>
      <c r="T48" s="279" t="e">
        <f>'Physical Condition Assessment'!E48*'PCA Cost Tables - READ ONLY'!O37*'Physical Condition Assessment'!S48*'PCA Cost Tables - READ ONLY'!$G$1*'County Cost Factor - READ ONLY'!$D$40</f>
        <v>#VALUE!</v>
      </c>
      <c r="U48" s="280" t="e">
        <f t="shared" si="3"/>
        <v>#VALUE!</v>
      </c>
      <c r="V48" s="280" t="e">
        <f>T48*'PCA Cost Tables - READ ONLY'!$G$1</f>
        <v>#VALUE!</v>
      </c>
      <c r="W48" s="280" t="e">
        <f>V48*'PCA Cost Tables - READ ONLY'!$G$3</f>
        <v>#VALUE!</v>
      </c>
      <c r="X48" s="281" t="e">
        <f>W48*'PCA Cost Tables - READ ONLY'!$G$3</f>
        <v>#VALUE!</v>
      </c>
      <c r="Y48" s="66"/>
    </row>
    <row r="49" spans="1:25" ht="15.75" thickBot="1" x14ac:dyDescent="0.3">
      <c r="A49" s="7"/>
      <c r="B49" s="257" t="s">
        <v>121</v>
      </c>
      <c r="C49" s="260"/>
      <c r="D49" s="260"/>
      <c r="E49" s="145"/>
      <c r="F49" s="259"/>
      <c r="H49" s="245"/>
      <c r="J49" s="245"/>
      <c r="L49" s="245"/>
      <c r="N49" s="245"/>
      <c r="P49" s="245"/>
      <c r="R49" s="4" t="s">
        <v>92</v>
      </c>
      <c r="S49" s="145"/>
      <c r="T49" s="1"/>
      <c r="U49" s="1"/>
      <c r="V49" s="1"/>
      <c r="W49" s="1"/>
      <c r="X49" s="1"/>
      <c r="Y49" s="301"/>
    </row>
    <row r="50" spans="1:25" ht="15.75" thickBot="1" x14ac:dyDescent="0.3">
      <c r="A50" s="7"/>
      <c r="B50" s="8"/>
      <c r="C50" s="256" t="s">
        <v>122</v>
      </c>
      <c r="D50" s="268" t="s">
        <v>123</v>
      </c>
      <c r="E50" s="23"/>
      <c r="F50" s="259"/>
      <c r="G50" s="3"/>
      <c r="H50" s="245" t="s">
        <v>84</v>
      </c>
      <c r="I50" s="3"/>
      <c r="J50" s="245" t="s">
        <v>85</v>
      </c>
      <c r="K50" s="3"/>
      <c r="L50" s="245" t="s">
        <v>86</v>
      </c>
      <c r="M50" s="3"/>
      <c r="N50" s="245" t="s">
        <v>87</v>
      </c>
      <c r="O50" s="3"/>
      <c r="P50" s="245" t="s">
        <v>92</v>
      </c>
      <c r="Q50" s="3"/>
      <c r="R50" s="4" t="s">
        <v>92</v>
      </c>
      <c r="S50" s="23"/>
      <c r="T50" s="276" t="e">
        <f>'Base Information'!$B$23*'Physical Condition Assessment'!E50*'PCA Cost Tables - READ ONLY'!O39*'Physical Condition Assessment'!S50*'PCA Cost Tables - READ ONLY'!$G$1*'County Cost Factor - READ ONLY'!$D$40</f>
        <v>#VALUE!</v>
      </c>
      <c r="U50" s="277" t="e">
        <f>V50-T50</f>
        <v>#VALUE!</v>
      </c>
      <c r="V50" s="277" t="e">
        <f>T50*'PCA Cost Tables - READ ONLY'!$G$1</f>
        <v>#VALUE!</v>
      </c>
      <c r="W50" s="277" t="e">
        <f>V50*'PCA Cost Tables - READ ONLY'!$G$3</f>
        <v>#VALUE!</v>
      </c>
      <c r="X50" s="278" t="e">
        <f>W50*'PCA Cost Tables - READ ONLY'!$G$3</f>
        <v>#VALUE!</v>
      </c>
      <c r="Y50" s="66"/>
    </row>
    <row r="51" spans="1:25" ht="15.75" thickBot="1" x14ac:dyDescent="0.3">
      <c r="A51" s="7"/>
      <c r="B51" s="8"/>
      <c r="C51" s="256"/>
      <c r="D51" s="268" t="s">
        <v>124</v>
      </c>
      <c r="E51" s="23"/>
      <c r="F51" s="259"/>
      <c r="G51" s="3"/>
      <c r="H51" s="245" t="s">
        <v>84</v>
      </c>
      <c r="I51" s="3"/>
      <c r="J51" s="245" t="s">
        <v>85</v>
      </c>
      <c r="K51" s="3"/>
      <c r="L51" s="245" t="s">
        <v>86</v>
      </c>
      <c r="M51" s="3"/>
      <c r="N51" s="245" t="s">
        <v>87</v>
      </c>
      <c r="O51" s="3"/>
      <c r="P51" s="245" t="s">
        <v>92</v>
      </c>
      <c r="Q51" s="3"/>
      <c r="R51" s="4" t="s">
        <v>92</v>
      </c>
      <c r="S51" s="23"/>
      <c r="T51" s="279" t="e">
        <f>'Base Information'!$B$23*'Physical Condition Assessment'!E51*'PCA Cost Tables - READ ONLY'!O40*'Physical Condition Assessment'!S51*'PCA Cost Tables - READ ONLY'!$G$1*'County Cost Factor - READ ONLY'!$D$40</f>
        <v>#VALUE!</v>
      </c>
      <c r="U51" s="280" t="e">
        <f t="shared" ref="U51:U56" si="4">V51-T51</f>
        <v>#VALUE!</v>
      </c>
      <c r="V51" s="280" t="e">
        <f>T51*'PCA Cost Tables - READ ONLY'!$G$1</f>
        <v>#VALUE!</v>
      </c>
      <c r="W51" s="280" t="e">
        <f>V51*'PCA Cost Tables - READ ONLY'!$G$3</f>
        <v>#VALUE!</v>
      </c>
      <c r="X51" s="281" t="e">
        <f>W51*'PCA Cost Tables - READ ONLY'!$G$3</f>
        <v>#VALUE!</v>
      </c>
      <c r="Y51" s="66"/>
    </row>
    <row r="52" spans="1:25" ht="15.75" thickBot="1" x14ac:dyDescent="0.3">
      <c r="A52" s="7"/>
      <c r="B52" s="8"/>
      <c r="C52" s="256"/>
      <c r="D52" s="268" t="s">
        <v>125</v>
      </c>
      <c r="E52" s="23"/>
      <c r="F52" s="259"/>
      <c r="G52" s="3"/>
      <c r="H52" s="245" t="s">
        <v>84</v>
      </c>
      <c r="I52" s="3"/>
      <c r="J52" s="245" t="s">
        <v>85</v>
      </c>
      <c r="K52" s="3"/>
      <c r="L52" s="245" t="s">
        <v>86</v>
      </c>
      <c r="M52" s="3"/>
      <c r="N52" s="245" t="s">
        <v>87</v>
      </c>
      <c r="O52" s="3"/>
      <c r="P52" s="245" t="s">
        <v>92</v>
      </c>
      <c r="Q52" s="3"/>
      <c r="R52" s="4" t="s">
        <v>92</v>
      </c>
      <c r="S52" s="23"/>
      <c r="T52" s="279" t="e">
        <f>'Base Information'!$B$23*'Physical Condition Assessment'!E52*'PCA Cost Tables - READ ONLY'!O41*'Physical Condition Assessment'!S52*'PCA Cost Tables - READ ONLY'!$G$1*'County Cost Factor - READ ONLY'!$D$40</f>
        <v>#VALUE!</v>
      </c>
      <c r="U52" s="280" t="e">
        <f t="shared" si="4"/>
        <v>#VALUE!</v>
      </c>
      <c r="V52" s="280" t="e">
        <f>T52*'PCA Cost Tables - READ ONLY'!$G$1</f>
        <v>#VALUE!</v>
      </c>
      <c r="W52" s="280" t="e">
        <f>V52*'PCA Cost Tables - READ ONLY'!$G$3</f>
        <v>#VALUE!</v>
      </c>
      <c r="X52" s="281" t="e">
        <f>W52*'PCA Cost Tables - READ ONLY'!$G$3</f>
        <v>#VALUE!</v>
      </c>
      <c r="Y52" s="66"/>
    </row>
    <row r="53" spans="1:25" ht="15.75" thickBot="1" x14ac:dyDescent="0.3">
      <c r="A53" s="7"/>
      <c r="B53" s="8"/>
      <c r="C53" s="256"/>
      <c r="D53" s="268" t="s">
        <v>126</v>
      </c>
      <c r="E53" s="23"/>
      <c r="F53" s="259"/>
      <c r="G53" s="3"/>
      <c r="H53" s="245" t="s">
        <v>84</v>
      </c>
      <c r="I53" s="6"/>
      <c r="J53" s="245" t="s">
        <v>85</v>
      </c>
      <c r="K53" s="3"/>
      <c r="L53" s="245" t="s">
        <v>86</v>
      </c>
      <c r="M53" s="6"/>
      <c r="N53" s="245" t="s">
        <v>87</v>
      </c>
      <c r="O53" s="3"/>
      <c r="P53" s="245" t="s">
        <v>92</v>
      </c>
      <c r="Q53" s="3"/>
      <c r="R53" s="4" t="s">
        <v>92</v>
      </c>
      <c r="S53" s="23"/>
      <c r="T53" s="279" t="e">
        <f>'Base Information'!$B$23*'Physical Condition Assessment'!E53*'PCA Cost Tables - READ ONLY'!O42*'Physical Condition Assessment'!S53*'PCA Cost Tables - READ ONLY'!$G$1*'County Cost Factor - READ ONLY'!$D$40</f>
        <v>#VALUE!</v>
      </c>
      <c r="U53" s="280" t="e">
        <f t="shared" si="4"/>
        <v>#VALUE!</v>
      </c>
      <c r="V53" s="280" t="e">
        <f>T53*'PCA Cost Tables - READ ONLY'!$G$1</f>
        <v>#VALUE!</v>
      </c>
      <c r="W53" s="280" t="e">
        <f>V53*'PCA Cost Tables - READ ONLY'!$G$3</f>
        <v>#VALUE!</v>
      </c>
      <c r="X53" s="281" t="e">
        <f>W53*'PCA Cost Tables - READ ONLY'!$G$3</f>
        <v>#VALUE!</v>
      </c>
      <c r="Y53" s="66"/>
    </row>
    <row r="54" spans="1:25" ht="15.75" thickBot="1" x14ac:dyDescent="0.3">
      <c r="A54" s="7"/>
      <c r="B54" s="8"/>
      <c r="C54" s="256"/>
      <c r="D54" s="268" t="s">
        <v>127</v>
      </c>
      <c r="E54" s="23"/>
      <c r="F54" s="259"/>
      <c r="G54" s="3"/>
      <c r="H54" s="245" t="s">
        <v>84</v>
      </c>
      <c r="I54" s="6"/>
      <c r="J54" s="245" t="s">
        <v>85</v>
      </c>
      <c r="K54" s="3"/>
      <c r="L54" s="245" t="s">
        <v>86</v>
      </c>
      <c r="M54" s="6"/>
      <c r="N54" s="245" t="s">
        <v>87</v>
      </c>
      <c r="O54" s="3"/>
      <c r="P54" s="245" t="s">
        <v>92</v>
      </c>
      <c r="Q54" s="3"/>
      <c r="R54" s="4" t="s">
        <v>92</v>
      </c>
      <c r="S54" s="23"/>
      <c r="T54" s="279" t="e">
        <f>'Base Information'!$B$23*'Physical Condition Assessment'!E54*'PCA Cost Tables - READ ONLY'!O43*'Physical Condition Assessment'!S54*'PCA Cost Tables - READ ONLY'!$G$1*'County Cost Factor - READ ONLY'!$D$40</f>
        <v>#VALUE!</v>
      </c>
      <c r="U54" s="280" t="e">
        <f t="shared" si="4"/>
        <v>#VALUE!</v>
      </c>
      <c r="V54" s="280" t="e">
        <f>T54*'PCA Cost Tables - READ ONLY'!$G$1</f>
        <v>#VALUE!</v>
      </c>
      <c r="W54" s="280" t="e">
        <f>V54*'PCA Cost Tables - READ ONLY'!$G$3</f>
        <v>#VALUE!</v>
      </c>
      <c r="X54" s="281" t="e">
        <f>W54*'PCA Cost Tables - READ ONLY'!$G$3</f>
        <v>#VALUE!</v>
      </c>
      <c r="Y54" s="66"/>
    </row>
    <row r="55" spans="1:25" ht="15.75" thickBot="1" x14ac:dyDescent="0.3">
      <c r="A55" s="7"/>
      <c r="B55" s="8"/>
      <c r="C55" s="256" t="s">
        <v>128</v>
      </c>
      <c r="D55" s="299" t="s">
        <v>129</v>
      </c>
      <c r="E55" s="221"/>
      <c r="F55" s="259"/>
      <c r="G55" s="3"/>
      <c r="H55" s="245" t="s">
        <v>84</v>
      </c>
      <c r="I55" s="6"/>
      <c r="J55" s="245" t="s">
        <v>85</v>
      </c>
      <c r="K55" s="3"/>
      <c r="L55" s="245" t="s">
        <v>86</v>
      </c>
      <c r="M55" s="6"/>
      <c r="N55" s="245" t="s">
        <v>87</v>
      </c>
      <c r="O55" s="3"/>
      <c r="P55" s="245" t="s">
        <v>92</v>
      </c>
      <c r="Q55" s="3"/>
      <c r="R55" s="4" t="s">
        <v>92</v>
      </c>
      <c r="S55" s="23"/>
      <c r="T55" s="279" t="e">
        <f>'Base Information'!B23*'Physical Condition Assessment'!E55*'PCA Cost Tables - READ ONLY'!O44*'Physical Condition Assessment'!S55*'PCA Cost Tables - READ ONLY'!$G$1*'County Cost Factor - READ ONLY'!$D$40</f>
        <v>#VALUE!</v>
      </c>
      <c r="U55" s="280" t="e">
        <f t="shared" si="4"/>
        <v>#VALUE!</v>
      </c>
      <c r="V55" s="280" t="e">
        <f>T55*'PCA Cost Tables - READ ONLY'!$G$1</f>
        <v>#VALUE!</v>
      </c>
      <c r="W55" s="280" t="e">
        <f>V55*'PCA Cost Tables - READ ONLY'!$G$3</f>
        <v>#VALUE!</v>
      </c>
      <c r="X55" s="281" t="e">
        <f>W55*'PCA Cost Tables - READ ONLY'!$G$3</f>
        <v>#VALUE!</v>
      </c>
      <c r="Y55" s="66" t="s">
        <v>130</v>
      </c>
    </row>
    <row r="56" spans="1:25" ht="15.75" thickBot="1" x14ac:dyDescent="0.3">
      <c r="A56" s="7"/>
      <c r="B56" s="8"/>
      <c r="C56" s="256"/>
      <c r="D56" s="299" t="s">
        <v>131</v>
      </c>
      <c r="E56" s="353"/>
      <c r="F56" s="259"/>
      <c r="G56" s="3"/>
      <c r="H56" s="245" t="s">
        <v>84</v>
      </c>
      <c r="I56" s="6"/>
      <c r="J56" s="245" t="s">
        <v>85</v>
      </c>
      <c r="K56" s="6">
        <v>1</v>
      </c>
      <c r="L56" s="245" t="s">
        <v>86</v>
      </c>
      <c r="M56" s="6"/>
      <c r="N56" s="245" t="s">
        <v>87</v>
      </c>
      <c r="O56" s="3"/>
      <c r="P56" s="245" t="s">
        <v>92</v>
      </c>
      <c r="S56" s="23"/>
      <c r="T56" s="279" t="e">
        <f>'Physical Condition Assessment'!E56*'PCA Cost Tables - READ ONLY'!O45*'Physical Condition Assessment'!S56*'PCA Cost Tables - READ ONLY'!$G$1*'County Cost Factor - READ ONLY'!$D$40</f>
        <v>#VALUE!</v>
      </c>
      <c r="U56" s="280" t="e">
        <f t="shared" si="4"/>
        <v>#VALUE!</v>
      </c>
      <c r="V56" s="280" t="e">
        <f>T56*'PCA Cost Tables - READ ONLY'!$G$1</f>
        <v>#VALUE!</v>
      </c>
      <c r="W56" s="280" t="e">
        <f>V56*'PCA Cost Tables - READ ONLY'!$G$3</f>
        <v>#VALUE!</v>
      </c>
      <c r="X56" s="281" t="e">
        <f>W56*'PCA Cost Tables - READ ONLY'!$G$3</f>
        <v>#VALUE!</v>
      </c>
      <c r="Y56" s="66" t="s">
        <v>132</v>
      </c>
    </row>
    <row r="57" spans="1:25" x14ac:dyDescent="0.25">
      <c r="A57" s="374" t="s">
        <v>133</v>
      </c>
      <c r="B57" s="375"/>
      <c r="C57" s="375"/>
      <c r="D57" s="253"/>
      <c r="E57" s="253"/>
      <c r="F57" s="253"/>
      <c r="G57" s="254"/>
      <c r="H57" s="255"/>
      <c r="I57" s="254"/>
      <c r="J57" s="255"/>
      <c r="K57" s="254"/>
      <c r="L57" s="255"/>
      <c r="M57" s="254"/>
      <c r="N57" s="255"/>
      <c r="O57" s="254"/>
      <c r="P57" s="255"/>
      <c r="Q57" s="254"/>
      <c r="R57" s="255"/>
      <c r="S57" s="352"/>
      <c r="T57" s="253"/>
      <c r="U57" s="253"/>
      <c r="V57" s="253"/>
      <c r="W57" s="253"/>
      <c r="X57" s="253"/>
      <c r="Y57" s="303"/>
    </row>
    <row r="58" spans="1:25" ht="15.75" thickBot="1" x14ac:dyDescent="0.3">
      <c r="A58" s="7"/>
      <c r="B58" s="257" t="s">
        <v>134</v>
      </c>
      <c r="C58" s="260"/>
      <c r="D58" s="260"/>
      <c r="E58" s="145"/>
      <c r="F58" s="259"/>
      <c r="H58" s="245"/>
      <c r="J58" s="245"/>
      <c r="L58" s="245"/>
      <c r="N58" s="245"/>
      <c r="P58" s="245"/>
      <c r="S58" s="145"/>
      <c r="T58" s="1"/>
      <c r="U58" s="1"/>
      <c r="V58" s="1"/>
      <c r="W58" s="1"/>
      <c r="X58" s="1"/>
      <c r="Y58" s="301"/>
    </row>
    <row r="59" spans="1:25" ht="15.75" thickBot="1" x14ac:dyDescent="0.3">
      <c r="A59" s="7"/>
      <c r="B59" s="8"/>
      <c r="C59" s="256" t="s">
        <v>135</v>
      </c>
      <c r="D59" s="268" t="s">
        <v>136</v>
      </c>
      <c r="E59" s="23"/>
      <c r="F59" s="259"/>
      <c r="G59" s="3"/>
      <c r="H59" s="245" t="s">
        <v>84</v>
      </c>
      <c r="I59" s="6"/>
      <c r="J59" s="245" t="s">
        <v>85</v>
      </c>
      <c r="K59" s="6"/>
      <c r="L59" s="245" t="s">
        <v>86</v>
      </c>
      <c r="M59" s="6"/>
      <c r="N59" s="245" t="s">
        <v>87</v>
      </c>
      <c r="O59" s="3"/>
      <c r="P59" s="245" t="s">
        <v>92</v>
      </c>
      <c r="Q59" s="3"/>
      <c r="R59" s="4" t="s">
        <v>92</v>
      </c>
      <c r="S59" s="23"/>
      <c r="T59" s="276" t="e">
        <f>'Base Information'!$B$23*'Physical Condition Assessment'!E59*'PCA Cost Tables - READ ONLY'!O48*'Physical Condition Assessment'!S59*'PCA Cost Tables - READ ONLY'!$G$1*'County Cost Factor - READ ONLY'!$D$40</f>
        <v>#VALUE!</v>
      </c>
      <c r="U59" s="277" t="e">
        <f t="shared" ref="U59:U62" si="5">V59-T59</f>
        <v>#VALUE!</v>
      </c>
      <c r="V59" s="277" t="e">
        <f>T59*'PCA Cost Tables - READ ONLY'!$G$1</f>
        <v>#VALUE!</v>
      </c>
      <c r="W59" s="277" t="e">
        <f>V59*'PCA Cost Tables - READ ONLY'!$G$3</f>
        <v>#VALUE!</v>
      </c>
      <c r="X59" s="278" t="e">
        <f>W59*'PCA Cost Tables - READ ONLY'!$G$3</f>
        <v>#VALUE!</v>
      </c>
      <c r="Y59" s="66"/>
    </row>
    <row r="60" spans="1:25" ht="15.75" thickBot="1" x14ac:dyDescent="0.3">
      <c r="A60" s="7"/>
      <c r="B60" s="8"/>
      <c r="C60" s="256"/>
      <c r="D60" s="268" t="s">
        <v>109</v>
      </c>
      <c r="E60" s="23"/>
      <c r="F60" s="259"/>
      <c r="G60" s="3"/>
      <c r="H60" s="245" t="s">
        <v>84</v>
      </c>
      <c r="I60" s="6"/>
      <c r="J60" s="245" t="s">
        <v>85</v>
      </c>
      <c r="K60" s="6"/>
      <c r="L60" s="245" t="s">
        <v>86</v>
      </c>
      <c r="M60" s="3"/>
      <c r="N60" s="245" t="s">
        <v>87</v>
      </c>
      <c r="O60" s="3"/>
      <c r="P60" s="245" t="s">
        <v>92</v>
      </c>
      <c r="Q60" s="3"/>
      <c r="R60" s="4" t="s">
        <v>92</v>
      </c>
      <c r="S60" s="23"/>
      <c r="T60" s="279" t="e">
        <f>'Base Information'!$B$23*'Physical Condition Assessment'!E60*'PCA Cost Tables - READ ONLY'!O49*'Physical Condition Assessment'!S60*'PCA Cost Tables - READ ONLY'!$G$1*'County Cost Factor - READ ONLY'!$D$40</f>
        <v>#VALUE!</v>
      </c>
      <c r="U60" s="280" t="e">
        <f t="shared" si="5"/>
        <v>#VALUE!</v>
      </c>
      <c r="V60" s="280" t="e">
        <f>T60*'PCA Cost Tables - READ ONLY'!$G$1</f>
        <v>#VALUE!</v>
      </c>
      <c r="W60" s="280" t="e">
        <f>V60*'PCA Cost Tables - READ ONLY'!$G$3</f>
        <v>#VALUE!</v>
      </c>
      <c r="X60" s="281" t="e">
        <f>W60*'PCA Cost Tables - READ ONLY'!$G$3</f>
        <v>#VALUE!</v>
      </c>
      <c r="Y60" s="66"/>
    </row>
    <row r="61" spans="1:25" ht="15.75" thickBot="1" x14ac:dyDescent="0.3">
      <c r="A61" s="7"/>
      <c r="B61" s="8"/>
      <c r="C61" s="256" t="s">
        <v>137</v>
      </c>
      <c r="D61" s="268" t="s">
        <v>102</v>
      </c>
      <c r="E61" s="353"/>
      <c r="F61" s="259"/>
      <c r="G61" s="3"/>
      <c r="H61" s="245" t="s">
        <v>84</v>
      </c>
      <c r="I61" s="6"/>
      <c r="J61" s="245" t="s">
        <v>85</v>
      </c>
      <c r="K61" s="3"/>
      <c r="L61" s="245" t="s">
        <v>86</v>
      </c>
      <c r="M61" s="3"/>
      <c r="N61" s="245" t="s">
        <v>87</v>
      </c>
      <c r="O61" s="3"/>
      <c r="P61" s="245" t="s">
        <v>92</v>
      </c>
      <c r="Q61" s="3"/>
      <c r="R61" s="4" t="s">
        <v>92</v>
      </c>
      <c r="S61" s="23"/>
      <c r="T61" s="279" t="e">
        <f>'Physical Condition Assessment'!E61*'PCA Cost Tables - READ ONLY'!O50*'Physical Condition Assessment'!S61*'PCA Cost Tables - READ ONLY'!$G$1*'County Cost Factor - READ ONLY'!$D$40</f>
        <v>#VALUE!</v>
      </c>
      <c r="U61" s="280" t="e">
        <f t="shared" si="5"/>
        <v>#VALUE!</v>
      </c>
      <c r="V61" s="280" t="e">
        <f>T61*'PCA Cost Tables - READ ONLY'!$G$1</f>
        <v>#VALUE!</v>
      </c>
      <c r="W61" s="280" t="e">
        <f>V61*'PCA Cost Tables - READ ONLY'!$G$3</f>
        <v>#VALUE!</v>
      </c>
      <c r="X61" s="281" t="e">
        <f>W61*'PCA Cost Tables - READ ONLY'!$G$3</f>
        <v>#VALUE!</v>
      </c>
      <c r="Y61" s="66"/>
    </row>
    <row r="62" spans="1:25" ht="15.75" thickBot="1" x14ac:dyDescent="0.3">
      <c r="A62" s="7"/>
      <c r="B62" s="8"/>
      <c r="C62" s="256"/>
      <c r="D62" s="268" t="s">
        <v>119</v>
      </c>
      <c r="E62" s="353"/>
      <c r="F62" s="259"/>
      <c r="G62" s="3"/>
      <c r="H62" s="245" t="s">
        <v>84</v>
      </c>
      <c r="I62" s="6"/>
      <c r="J62" s="245" t="s">
        <v>85</v>
      </c>
      <c r="K62" s="3"/>
      <c r="L62" s="245" t="s">
        <v>86</v>
      </c>
      <c r="M62" s="3"/>
      <c r="N62" s="245" t="s">
        <v>87</v>
      </c>
      <c r="O62" s="3"/>
      <c r="P62" s="245" t="s">
        <v>92</v>
      </c>
      <c r="Q62" s="3"/>
      <c r="R62" s="4" t="s">
        <v>92</v>
      </c>
      <c r="S62" s="23"/>
      <c r="T62" s="279" t="e">
        <f>'Physical Condition Assessment'!E62*'PCA Cost Tables - READ ONLY'!O51*'Physical Condition Assessment'!S62*'PCA Cost Tables - READ ONLY'!$G$1*'County Cost Factor - READ ONLY'!$D$40</f>
        <v>#VALUE!</v>
      </c>
      <c r="U62" s="280" t="e">
        <f t="shared" si="5"/>
        <v>#VALUE!</v>
      </c>
      <c r="V62" s="280" t="e">
        <f>T62*'PCA Cost Tables - READ ONLY'!$G$1</f>
        <v>#VALUE!</v>
      </c>
      <c r="W62" s="280" t="e">
        <f>V62*'PCA Cost Tables - READ ONLY'!$G$3</f>
        <v>#VALUE!</v>
      </c>
      <c r="X62" s="281" t="e">
        <f>W62*'PCA Cost Tables - READ ONLY'!$G$3</f>
        <v>#VALUE!</v>
      </c>
      <c r="Y62" s="66"/>
    </row>
    <row r="63" spans="1:25" ht="15.75" thickBot="1" x14ac:dyDescent="0.3">
      <c r="A63" s="7"/>
      <c r="B63" s="8"/>
      <c r="C63" s="256" t="s">
        <v>138</v>
      </c>
      <c r="D63" s="268" t="s">
        <v>97</v>
      </c>
      <c r="E63" s="38"/>
      <c r="F63" s="259"/>
      <c r="G63" s="6"/>
      <c r="H63" s="245" t="s">
        <v>84</v>
      </c>
      <c r="I63" s="6"/>
      <c r="J63" s="245" t="s">
        <v>85</v>
      </c>
      <c r="K63" s="6"/>
      <c r="L63" s="245" t="s">
        <v>86</v>
      </c>
      <c r="M63" s="6"/>
      <c r="N63" s="245" t="s">
        <v>87</v>
      </c>
      <c r="O63" s="6"/>
      <c r="P63" s="245" t="s">
        <v>92</v>
      </c>
      <c r="Q63" s="6"/>
      <c r="R63" s="4" t="s">
        <v>92</v>
      </c>
      <c r="S63" s="38"/>
      <c r="T63" s="122"/>
      <c r="U63" s="122"/>
      <c r="V63" s="122"/>
      <c r="W63" s="122"/>
      <c r="X63" s="122"/>
      <c r="Y63" s="67"/>
    </row>
    <row r="64" spans="1:25" ht="15.75" thickBot="1" x14ac:dyDescent="0.3">
      <c r="A64" s="7"/>
      <c r="B64" s="257" t="s">
        <v>139</v>
      </c>
      <c r="C64" s="260"/>
      <c r="D64" s="260"/>
      <c r="E64" s="145"/>
      <c r="F64" s="259"/>
      <c r="H64" s="245"/>
      <c r="J64" s="245"/>
      <c r="L64" s="245"/>
      <c r="N64" s="245"/>
      <c r="P64" s="245"/>
      <c r="S64" s="145"/>
      <c r="T64" s="1"/>
      <c r="U64" s="1"/>
      <c r="V64" s="1"/>
      <c r="W64" s="1"/>
      <c r="X64" s="1"/>
      <c r="Y64" s="301"/>
    </row>
    <row r="65" spans="1:25" ht="15.75" thickBot="1" x14ac:dyDescent="0.3">
      <c r="A65" s="7"/>
      <c r="B65" s="8"/>
      <c r="C65" s="256" t="s">
        <v>140</v>
      </c>
      <c r="D65" s="268" t="s">
        <v>102</v>
      </c>
      <c r="E65" s="353"/>
      <c r="F65" s="259"/>
      <c r="G65" s="3"/>
      <c r="H65" s="245" t="s">
        <v>84</v>
      </c>
      <c r="I65" s="6"/>
      <c r="J65" s="245" t="s">
        <v>85</v>
      </c>
      <c r="K65" s="6"/>
      <c r="L65" s="245" t="s">
        <v>86</v>
      </c>
      <c r="M65" s="3"/>
      <c r="N65" s="245" t="s">
        <v>87</v>
      </c>
      <c r="O65" s="3"/>
      <c r="P65" s="245" t="s">
        <v>92</v>
      </c>
      <c r="Q65" s="3"/>
      <c r="R65" s="4" t="s">
        <v>92</v>
      </c>
      <c r="S65" s="23"/>
      <c r="T65" s="276" t="e">
        <f>'Physical Condition Assessment'!E65*'PCA Cost Tables - READ ONLY'!O54*'Physical Condition Assessment'!S65*'PCA Cost Tables - READ ONLY'!$G$1*'County Cost Factor - READ ONLY'!$D$40</f>
        <v>#VALUE!</v>
      </c>
      <c r="U65" s="277" t="e">
        <f>V65-T65</f>
        <v>#VALUE!</v>
      </c>
      <c r="V65" s="277" t="e">
        <f>T65*'PCA Cost Tables - READ ONLY'!$G$1</f>
        <v>#VALUE!</v>
      </c>
      <c r="W65" s="277" t="e">
        <f>V65*'PCA Cost Tables - READ ONLY'!$G$3</f>
        <v>#VALUE!</v>
      </c>
      <c r="X65" s="278" t="e">
        <f>W65*'PCA Cost Tables - READ ONLY'!$G$3</f>
        <v>#VALUE!</v>
      </c>
      <c r="Y65" s="66" t="s">
        <v>141</v>
      </c>
    </row>
    <row r="66" spans="1:25" ht="15.75" thickBot="1" x14ac:dyDescent="0.3">
      <c r="A66" s="7"/>
      <c r="B66" s="8"/>
      <c r="C66" s="256"/>
      <c r="D66" s="268" t="s">
        <v>126</v>
      </c>
      <c r="E66" s="353"/>
      <c r="F66" s="259"/>
      <c r="G66" s="3"/>
      <c r="H66" s="245" t="s">
        <v>84</v>
      </c>
      <c r="I66" s="3"/>
      <c r="J66" s="245" t="s">
        <v>85</v>
      </c>
      <c r="K66" s="6"/>
      <c r="L66" s="245" t="s">
        <v>86</v>
      </c>
      <c r="M66" s="3"/>
      <c r="N66" s="245" t="s">
        <v>87</v>
      </c>
      <c r="O66" s="3"/>
      <c r="P66" s="245" t="s">
        <v>92</v>
      </c>
      <c r="Q66" s="3"/>
      <c r="S66" s="23"/>
      <c r="T66" s="279" t="e">
        <f>'Physical Condition Assessment'!E66*'PCA Cost Tables - READ ONLY'!O55*'Physical Condition Assessment'!S66*'PCA Cost Tables - READ ONLY'!$G$1*'County Cost Factor - READ ONLY'!$D$40</f>
        <v>#VALUE!</v>
      </c>
      <c r="U66" s="280" t="e">
        <f t="shared" ref="U66:U69" si="6">V66-T66</f>
        <v>#VALUE!</v>
      </c>
      <c r="V66" s="280" t="e">
        <f>T66*'PCA Cost Tables - READ ONLY'!$G$1</f>
        <v>#VALUE!</v>
      </c>
      <c r="W66" s="280" t="e">
        <f>V66*'PCA Cost Tables - READ ONLY'!$G$3</f>
        <v>#VALUE!</v>
      </c>
      <c r="X66" s="281" t="e">
        <f>W66*'PCA Cost Tables - READ ONLY'!$G$3</f>
        <v>#VALUE!</v>
      </c>
      <c r="Y66" s="66" t="s">
        <v>141</v>
      </c>
    </row>
    <row r="67" spans="1:25" ht="15.75" thickBot="1" x14ac:dyDescent="0.3">
      <c r="A67" s="7"/>
      <c r="B67" s="8"/>
      <c r="C67" s="256"/>
      <c r="D67" s="268" t="s">
        <v>104</v>
      </c>
      <c r="E67" s="353"/>
      <c r="F67" s="259"/>
      <c r="G67" s="3"/>
      <c r="H67" s="245" t="s">
        <v>84</v>
      </c>
      <c r="I67" s="6"/>
      <c r="J67" s="245" t="s">
        <v>85</v>
      </c>
      <c r="K67" s="6"/>
      <c r="L67" s="245" t="s">
        <v>86</v>
      </c>
      <c r="M67" s="3"/>
      <c r="N67" s="245" t="s">
        <v>87</v>
      </c>
      <c r="O67" s="3"/>
      <c r="P67" s="245" t="s">
        <v>92</v>
      </c>
      <c r="Q67" s="3"/>
      <c r="R67" s="4" t="s">
        <v>92</v>
      </c>
      <c r="S67" s="23"/>
      <c r="T67" s="279" t="e">
        <f>'Physical Condition Assessment'!E67*'PCA Cost Tables - READ ONLY'!O56*'Physical Condition Assessment'!S67*'PCA Cost Tables - READ ONLY'!$G$1*'County Cost Factor - READ ONLY'!$D$40</f>
        <v>#VALUE!</v>
      </c>
      <c r="U67" s="280" t="e">
        <f t="shared" si="6"/>
        <v>#VALUE!</v>
      </c>
      <c r="V67" s="280" t="e">
        <f>T67*'PCA Cost Tables - READ ONLY'!$G$1</f>
        <v>#VALUE!</v>
      </c>
      <c r="W67" s="280" t="e">
        <f>V67*'PCA Cost Tables - READ ONLY'!$G$3</f>
        <v>#VALUE!</v>
      </c>
      <c r="X67" s="281" t="e">
        <f>W67*'PCA Cost Tables - READ ONLY'!$G$3</f>
        <v>#VALUE!</v>
      </c>
      <c r="Y67" s="66" t="s">
        <v>141</v>
      </c>
    </row>
    <row r="68" spans="1:25" ht="15.75" thickBot="1" x14ac:dyDescent="0.3">
      <c r="A68" s="7"/>
      <c r="B68" s="8"/>
      <c r="C68" s="256" t="s">
        <v>142</v>
      </c>
      <c r="D68" s="268" t="s">
        <v>143</v>
      </c>
      <c r="E68" s="353"/>
      <c r="F68" s="259"/>
      <c r="G68" s="3"/>
      <c r="H68" s="245" t="s">
        <v>84</v>
      </c>
      <c r="I68" s="3"/>
      <c r="J68" s="245" t="s">
        <v>85</v>
      </c>
      <c r="K68" s="6"/>
      <c r="L68" s="245" t="s">
        <v>86</v>
      </c>
      <c r="M68" s="6"/>
      <c r="N68" s="245" t="s">
        <v>87</v>
      </c>
      <c r="O68" s="3"/>
      <c r="P68" s="245" t="s">
        <v>92</v>
      </c>
      <c r="Q68" s="3"/>
      <c r="R68" s="4" t="s">
        <v>92</v>
      </c>
      <c r="S68" s="23"/>
      <c r="T68" s="279" t="e">
        <f>'Physical Condition Assessment'!E68*'PCA Cost Tables - READ ONLY'!O57*'Physical Condition Assessment'!S68*'PCA Cost Tables - READ ONLY'!$G$1*'County Cost Factor - READ ONLY'!$D$40</f>
        <v>#VALUE!</v>
      </c>
      <c r="U68" s="280" t="e">
        <f t="shared" si="6"/>
        <v>#VALUE!</v>
      </c>
      <c r="V68" s="280" t="e">
        <f>T68*'PCA Cost Tables - READ ONLY'!$G$1</f>
        <v>#VALUE!</v>
      </c>
      <c r="W68" s="280" t="e">
        <f>V68*'PCA Cost Tables - READ ONLY'!$G$3</f>
        <v>#VALUE!</v>
      </c>
      <c r="X68" s="281" t="e">
        <f>W68*'PCA Cost Tables - READ ONLY'!$G$3</f>
        <v>#VALUE!</v>
      </c>
      <c r="Y68" s="66" t="s">
        <v>141</v>
      </c>
    </row>
    <row r="69" spans="1:25" ht="15.75" thickBot="1" x14ac:dyDescent="0.3">
      <c r="A69" s="7"/>
      <c r="B69" s="8"/>
      <c r="C69" s="256"/>
      <c r="D69" s="268" t="s">
        <v>144</v>
      </c>
      <c r="E69" s="353"/>
      <c r="F69" s="259"/>
      <c r="G69" s="3"/>
      <c r="H69" s="245" t="s">
        <v>84</v>
      </c>
      <c r="I69" s="6"/>
      <c r="J69" s="245" t="s">
        <v>85</v>
      </c>
      <c r="K69" s="6"/>
      <c r="L69" s="245" t="s">
        <v>86</v>
      </c>
      <c r="M69" s="6"/>
      <c r="N69" s="245" t="s">
        <v>87</v>
      </c>
      <c r="O69" s="3"/>
      <c r="P69" s="245" t="s">
        <v>92</v>
      </c>
      <c r="Q69" s="3"/>
      <c r="R69" s="4" t="s">
        <v>92</v>
      </c>
      <c r="S69" s="23"/>
      <c r="T69" s="279" t="e">
        <f>'Physical Condition Assessment'!E69*'PCA Cost Tables - READ ONLY'!O58*'Physical Condition Assessment'!S69*'PCA Cost Tables - READ ONLY'!$G$1*'County Cost Factor - READ ONLY'!$D$40</f>
        <v>#VALUE!</v>
      </c>
      <c r="U69" s="280" t="e">
        <f t="shared" si="6"/>
        <v>#VALUE!</v>
      </c>
      <c r="V69" s="280" t="e">
        <f>T69*'PCA Cost Tables - READ ONLY'!$G$1</f>
        <v>#VALUE!</v>
      </c>
      <c r="W69" s="280" t="e">
        <f>V69*'PCA Cost Tables - READ ONLY'!$G$3</f>
        <v>#VALUE!</v>
      </c>
      <c r="X69" s="281" t="e">
        <f>W69*'PCA Cost Tables - READ ONLY'!$G$3</f>
        <v>#VALUE!</v>
      </c>
      <c r="Y69" s="66" t="s">
        <v>141</v>
      </c>
    </row>
    <row r="70" spans="1:25" ht="15.75" thickBot="1" x14ac:dyDescent="0.3">
      <c r="A70" s="7"/>
      <c r="B70" s="257" t="s">
        <v>145</v>
      </c>
      <c r="C70" s="260"/>
      <c r="D70" s="260"/>
      <c r="E70" s="145"/>
      <c r="F70" s="259"/>
      <c r="H70" s="245"/>
      <c r="J70" s="245"/>
      <c r="L70" s="245"/>
      <c r="N70" s="245"/>
      <c r="P70" s="245"/>
      <c r="S70" s="145"/>
      <c r="T70" s="1"/>
      <c r="U70" s="1"/>
      <c r="V70" s="1"/>
      <c r="W70" s="1"/>
      <c r="X70" s="1"/>
      <c r="Y70" s="301"/>
    </row>
    <row r="71" spans="1:25" ht="15.75" thickBot="1" x14ac:dyDescent="0.3">
      <c r="A71" s="7"/>
      <c r="B71" s="8"/>
      <c r="C71" s="256" t="s">
        <v>146</v>
      </c>
      <c r="D71" s="268" t="s">
        <v>147</v>
      </c>
      <c r="E71" s="23"/>
      <c r="F71" s="259"/>
      <c r="G71" s="3"/>
      <c r="H71" s="245" t="s">
        <v>84</v>
      </c>
      <c r="I71" s="3"/>
      <c r="J71" s="245" t="s">
        <v>85</v>
      </c>
      <c r="K71" s="6"/>
      <c r="L71" s="245" t="s">
        <v>86</v>
      </c>
      <c r="M71" s="6"/>
      <c r="N71" s="245" t="s">
        <v>87</v>
      </c>
      <c r="O71" s="3"/>
      <c r="P71" s="245" t="s">
        <v>92</v>
      </c>
      <c r="Q71" s="3"/>
      <c r="R71" s="4" t="s">
        <v>92</v>
      </c>
      <c r="S71" s="23"/>
      <c r="T71" s="276" t="e">
        <f>'Base Information'!$B$23*'Physical Condition Assessment'!E71*'PCA Cost Tables - READ ONLY'!O60*'Physical Condition Assessment'!S71*'PCA Cost Tables - READ ONLY'!$G$1*'County Cost Factor - READ ONLY'!$D$40</f>
        <v>#VALUE!</v>
      </c>
      <c r="U71" s="277" t="e">
        <f>V71-T71</f>
        <v>#VALUE!</v>
      </c>
      <c r="V71" s="277" t="e">
        <f>T71*'PCA Cost Tables - READ ONLY'!$G$1</f>
        <v>#VALUE!</v>
      </c>
      <c r="W71" s="277" t="e">
        <f>V71*'PCA Cost Tables - READ ONLY'!$G$3</f>
        <v>#VALUE!</v>
      </c>
      <c r="X71" s="278" t="e">
        <f>W71*'PCA Cost Tables - READ ONLY'!$G$3</f>
        <v>#VALUE!</v>
      </c>
      <c r="Y71" s="66"/>
    </row>
    <row r="72" spans="1:25" ht="15.75" thickBot="1" x14ac:dyDescent="0.3">
      <c r="A72" s="7"/>
      <c r="B72" s="8"/>
      <c r="C72" s="256"/>
      <c r="D72" s="268" t="s">
        <v>148</v>
      </c>
      <c r="E72" s="23"/>
      <c r="F72" s="259"/>
      <c r="G72" s="3"/>
      <c r="H72" s="245" t="s">
        <v>84</v>
      </c>
      <c r="I72" s="3"/>
      <c r="J72" s="245" t="s">
        <v>85</v>
      </c>
      <c r="K72" s="3"/>
      <c r="L72" s="245" t="s">
        <v>86</v>
      </c>
      <c r="M72" s="6"/>
      <c r="N72" s="245" t="s">
        <v>87</v>
      </c>
      <c r="O72" s="3"/>
      <c r="P72" s="245" t="s">
        <v>92</v>
      </c>
      <c r="Q72" s="3"/>
      <c r="R72" s="4" t="s">
        <v>92</v>
      </c>
      <c r="S72" s="23"/>
      <c r="T72" s="279" t="e">
        <f>'Base Information'!$B$23*'Physical Condition Assessment'!E72*'PCA Cost Tables - READ ONLY'!O61*'Physical Condition Assessment'!S72*'PCA Cost Tables - READ ONLY'!$G$1*'County Cost Factor - READ ONLY'!$D$40</f>
        <v>#VALUE!</v>
      </c>
      <c r="U72" s="280" t="e">
        <f t="shared" ref="U72:U85" si="7">V72-T72</f>
        <v>#VALUE!</v>
      </c>
      <c r="V72" s="280" t="e">
        <f>T72*'PCA Cost Tables - READ ONLY'!$G$1</f>
        <v>#VALUE!</v>
      </c>
      <c r="W72" s="280" t="e">
        <f>V72*'PCA Cost Tables - READ ONLY'!$G$3</f>
        <v>#VALUE!</v>
      </c>
      <c r="X72" s="281" t="e">
        <f>W72*'PCA Cost Tables - READ ONLY'!$G$3</f>
        <v>#VALUE!</v>
      </c>
      <c r="Y72" s="66"/>
    </row>
    <row r="73" spans="1:25" ht="15.75" thickBot="1" x14ac:dyDescent="0.3">
      <c r="A73" s="7"/>
      <c r="B73" s="8"/>
      <c r="C73" s="256"/>
      <c r="D73" s="268" t="s">
        <v>149</v>
      </c>
      <c r="E73" s="23"/>
      <c r="F73" s="259"/>
      <c r="G73" s="3"/>
      <c r="H73" s="245" t="s">
        <v>84</v>
      </c>
      <c r="I73" s="3"/>
      <c r="J73" s="245" t="s">
        <v>85</v>
      </c>
      <c r="K73" s="6"/>
      <c r="L73" s="245" t="s">
        <v>86</v>
      </c>
      <c r="M73" s="6"/>
      <c r="N73" s="245" t="s">
        <v>87</v>
      </c>
      <c r="O73" s="3"/>
      <c r="P73" s="245" t="s">
        <v>92</v>
      </c>
      <c r="Q73" s="3"/>
      <c r="R73" s="4" t="s">
        <v>92</v>
      </c>
      <c r="S73" s="23"/>
      <c r="T73" s="279" t="e">
        <f>'Base Information'!$B$23*'Physical Condition Assessment'!E73*'PCA Cost Tables - READ ONLY'!O62*'Physical Condition Assessment'!S73*'PCA Cost Tables - READ ONLY'!$G$1*'County Cost Factor - READ ONLY'!$D$40</f>
        <v>#VALUE!</v>
      </c>
      <c r="U73" s="280" t="e">
        <f t="shared" si="7"/>
        <v>#VALUE!</v>
      </c>
      <c r="V73" s="280" t="e">
        <f>T73*'PCA Cost Tables - READ ONLY'!$G$1</f>
        <v>#VALUE!</v>
      </c>
      <c r="W73" s="280" t="e">
        <f>V73*'PCA Cost Tables - READ ONLY'!$G$3</f>
        <v>#VALUE!</v>
      </c>
      <c r="X73" s="281" t="e">
        <f>W73*'PCA Cost Tables - READ ONLY'!$G$3</f>
        <v>#VALUE!</v>
      </c>
      <c r="Y73" s="66"/>
    </row>
    <row r="74" spans="1:25" ht="15.75" thickBot="1" x14ac:dyDescent="0.3">
      <c r="A74" s="7"/>
      <c r="B74" s="8"/>
      <c r="C74" s="256"/>
      <c r="D74" s="268" t="s">
        <v>150</v>
      </c>
      <c r="E74" s="23"/>
      <c r="F74" s="259"/>
      <c r="G74" s="3"/>
      <c r="H74" s="245" t="s">
        <v>84</v>
      </c>
      <c r="I74" s="3"/>
      <c r="J74" s="245" t="s">
        <v>85</v>
      </c>
      <c r="K74" s="6"/>
      <c r="L74" s="245" t="s">
        <v>86</v>
      </c>
      <c r="M74" s="6"/>
      <c r="N74" s="245" t="s">
        <v>87</v>
      </c>
      <c r="O74" s="3"/>
      <c r="P74" s="245" t="s">
        <v>92</v>
      </c>
      <c r="Q74" s="3"/>
      <c r="R74" s="4" t="s">
        <v>92</v>
      </c>
      <c r="S74" s="23"/>
      <c r="T74" s="279" t="e">
        <f>'Base Information'!$B$23*'Physical Condition Assessment'!E74*'PCA Cost Tables - READ ONLY'!O63*'Physical Condition Assessment'!S74*'PCA Cost Tables - READ ONLY'!$G$1*'County Cost Factor - READ ONLY'!$D$40</f>
        <v>#VALUE!</v>
      </c>
      <c r="U74" s="280" t="e">
        <f t="shared" si="7"/>
        <v>#VALUE!</v>
      </c>
      <c r="V74" s="280" t="e">
        <f>T74*'PCA Cost Tables - READ ONLY'!$G$1</f>
        <v>#VALUE!</v>
      </c>
      <c r="W74" s="280" t="e">
        <f>V74*'PCA Cost Tables - READ ONLY'!$G$3</f>
        <v>#VALUE!</v>
      </c>
      <c r="X74" s="281" t="e">
        <f>W74*'PCA Cost Tables - READ ONLY'!$G$3</f>
        <v>#VALUE!</v>
      </c>
      <c r="Y74" s="66"/>
    </row>
    <row r="75" spans="1:25" ht="15.75" thickBot="1" x14ac:dyDescent="0.3">
      <c r="A75" s="7"/>
      <c r="B75" s="8"/>
      <c r="C75" s="256" t="s">
        <v>151</v>
      </c>
      <c r="D75" s="268" t="s">
        <v>152</v>
      </c>
      <c r="E75" s="23"/>
      <c r="F75" s="259"/>
      <c r="G75" s="3"/>
      <c r="H75" s="245" t="s">
        <v>84</v>
      </c>
      <c r="I75" s="6"/>
      <c r="J75" s="245" t="s">
        <v>85</v>
      </c>
      <c r="K75" s="6"/>
      <c r="L75" s="245" t="s">
        <v>86</v>
      </c>
      <c r="M75" s="6"/>
      <c r="N75" s="245" t="s">
        <v>87</v>
      </c>
      <c r="O75" s="3"/>
      <c r="P75" s="245" t="s">
        <v>92</v>
      </c>
      <c r="Q75" s="3"/>
      <c r="R75" s="4" t="s">
        <v>92</v>
      </c>
      <c r="S75" s="23"/>
      <c r="T75" s="279" t="e">
        <f>'Base Information'!$B$23*'Physical Condition Assessment'!E75*'PCA Cost Tables - READ ONLY'!O64*'Physical Condition Assessment'!S75*'PCA Cost Tables - READ ONLY'!$G$1*'County Cost Factor - READ ONLY'!$D$40</f>
        <v>#VALUE!</v>
      </c>
      <c r="U75" s="280" t="e">
        <f t="shared" si="7"/>
        <v>#VALUE!</v>
      </c>
      <c r="V75" s="280" t="e">
        <f>T75*'PCA Cost Tables - READ ONLY'!$G$1</f>
        <v>#VALUE!</v>
      </c>
      <c r="W75" s="280" t="e">
        <f>V75*'PCA Cost Tables - READ ONLY'!$G$3</f>
        <v>#VALUE!</v>
      </c>
      <c r="X75" s="281" t="e">
        <f>W75*'PCA Cost Tables - READ ONLY'!$G$3</f>
        <v>#VALUE!</v>
      </c>
      <c r="Y75" s="66"/>
    </row>
    <row r="76" spans="1:25" ht="15.75" thickBot="1" x14ac:dyDescent="0.3">
      <c r="A76" s="7"/>
      <c r="B76" s="8"/>
      <c r="C76" s="256"/>
      <c r="D76" s="268" t="s">
        <v>153</v>
      </c>
      <c r="E76" s="23"/>
      <c r="F76" s="259"/>
      <c r="G76" s="3"/>
      <c r="H76" s="245" t="s">
        <v>84</v>
      </c>
      <c r="I76" s="3"/>
      <c r="J76" s="245" t="s">
        <v>85</v>
      </c>
      <c r="K76" s="6"/>
      <c r="L76" s="245" t="s">
        <v>86</v>
      </c>
      <c r="M76" s="3"/>
      <c r="N76" s="245" t="s">
        <v>87</v>
      </c>
      <c r="O76" s="3"/>
      <c r="P76" s="245" t="s">
        <v>92</v>
      </c>
      <c r="Q76" s="3"/>
      <c r="R76" s="4" t="s">
        <v>92</v>
      </c>
      <c r="S76" s="23"/>
      <c r="T76" s="279" t="e">
        <f>'Base Information'!$B$23*'Physical Condition Assessment'!E76*'PCA Cost Tables - READ ONLY'!O65*'Physical Condition Assessment'!S76*'PCA Cost Tables - READ ONLY'!$G$1*'County Cost Factor - READ ONLY'!$D$40</f>
        <v>#VALUE!</v>
      </c>
      <c r="U76" s="280" t="e">
        <f t="shared" si="7"/>
        <v>#VALUE!</v>
      </c>
      <c r="V76" s="280" t="e">
        <f>T76*'PCA Cost Tables - READ ONLY'!$G$1</f>
        <v>#VALUE!</v>
      </c>
      <c r="W76" s="280" t="e">
        <f>V76*'PCA Cost Tables - READ ONLY'!$G$3</f>
        <v>#VALUE!</v>
      </c>
      <c r="X76" s="281" t="e">
        <f>W76*'PCA Cost Tables - READ ONLY'!$G$3</f>
        <v>#VALUE!</v>
      </c>
      <c r="Y76" s="66"/>
    </row>
    <row r="77" spans="1:25" ht="15.75" thickBot="1" x14ac:dyDescent="0.3">
      <c r="A77" s="7"/>
      <c r="B77" s="8"/>
      <c r="C77" s="256"/>
      <c r="D77" s="268" t="s">
        <v>154</v>
      </c>
      <c r="E77" s="23"/>
      <c r="F77" s="259"/>
      <c r="G77" s="3"/>
      <c r="H77" s="245" t="s">
        <v>84</v>
      </c>
      <c r="I77" s="6"/>
      <c r="J77" s="245" t="s">
        <v>85</v>
      </c>
      <c r="K77" s="6"/>
      <c r="L77" s="245" t="s">
        <v>86</v>
      </c>
      <c r="M77" s="6"/>
      <c r="N77" s="245" t="s">
        <v>87</v>
      </c>
      <c r="O77" s="3"/>
      <c r="P77" s="245" t="s">
        <v>92</v>
      </c>
      <c r="Q77" s="3"/>
      <c r="R77" s="4" t="s">
        <v>92</v>
      </c>
      <c r="S77" s="23"/>
      <c r="T77" s="279" t="e">
        <f>'Base Information'!$B$23*'Physical Condition Assessment'!E77*'PCA Cost Tables - READ ONLY'!O66*'Physical Condition Assessment'!S77*'PCA Cost Tables - READ ONLY'!$G$1*'County Cost Factor - READ ONLY'!$D$40</f>
        <v>#VALUE!</v>
      </c>
      <c r="U77" s="280" t="e">
        <f t="shared" si="7"/>
        <v>#VALUE!</v>
      </c>
      <c r="V77" s="280" t="e">
        <f>T77*'PCA Cost Tables - READ ONLY'!$G$1</f>
        <v>#VALUE!</v>
      </c>
      <c r="W77" s="280" t="e">
        <f>V77*'PCA Cost Tables - READ ONLY'!$G$3</f>
        <v>#VALUE!</v>
      </c>
      <c r="X77" s="281" t="e">
        <f>W77*'PCA Cost Tables - READ ONLY'!$G$3</f>
        <v>#VALUE!</v>
      </c>
      <c r="Y77" s="66"/>
    </row>
    <row r="78" spans="1:25" ht="15.75" thickBot="1" x14ac:dyDescent="0.3">
      <c r="A78" s="7"/>
      <c r="B78" s="8"/>
      <c r="C78" s="256"/>
      <c r="D78" s="268" t="s">
        <v>155</v>
      </c>
      <c r="E78" s="23"/>
      <c r="F78" s="259"/>
      <c r="G78" s="3"/>
      <c r="H78" s="245" t="s">
        <v>84</v>
      </c>
      <c r="I78" s="3"/>
      <c r="J78" s="245" t="s">
        <v>85</v>
      </c>
      <c r="K78" s="6"/>
      <c r="L78" s="245" t="s">
        <v>86</v>
      </c>
      <c r="M78" s="6"/>
      <c r="N78" s="245" t="s">
        <v>87</v>
      </c>
      <c r="O78" s="3"/>
      <c r="P78" s="245" t="s">
        <v>92</v>
      </c>
      <c r="Q78" s="3"/>
      <c r="R78" s="4" t="s">
        <v>92</v>
      </c>
      <c r="S78" s="23"/>
      <c r="T78" s="279" t="e">
        <f>'Base Information'!$B$23*'Physical Condition Assessment'!E78*'PCA Cost Tables - READ ONLY'!O67*'Physical Condition Assessment'!S78*'PCA Cost Tables - READ ONLY'!$G$1*'County Cost Factor - READ ONLY'!$D$40</f>
        <v>#VALUE!</v>
      </c>
      <c r="U78" s="280" t="e">
        <f t="shared" si="7"/>
        <v>#VALUE!</v>
      </c>
      <c r="V78" s="280" t="e">
        <f>T78*'PCA Cost Tables - READ ONLY'!$G$1</f>
        <v>#VALUE!</v>
      </c>
      <c r="W78" s="280" t="e">
        <f>V78*'PCA Cost Tables - READ ONLY'!$G$3</f>
        <v>#VALUE!</v>
      </c>
      <c r="X78" s="281" t="e">
        <f>W78*'PCA Cost Tables - READ ONLY'!$G$3</f>
        <v>#VALUE!</v>
      </c>
      <c r="Y78" s="66"/>
    </row>
    <row r="79" spans="1:25" ht="15.75" thickBot="1" x14ac:dyDescent="0.3">
      <c r="A79" s="7"/>
      <c r="B79" s="8"/>
      <c r="C79" s="256"/>
      <c r="D79" s="268" t="s">
        <v>150</v>
      </c>
      <c r="E79" s="23"/>
      <c r="F79" s="259"/>
      <c r="G79" s="3"/>
      <c r="H79" s="245" t="s">
        <v>84</v>
      </c>
      <c r="I79" s="3"/>
      <c r="J79" s="245" t="s">
        <v>85</v>
      </c>
      <c r="K79" s="6"/>
      <c r="L79" s="245" t="s">
        <v>86</v>
      </c>
      <c r="M79" s="6"/>
      <c r="N79" s="245" t="s">
        <v>87</v>
      </c>
      <c r="O79" s="3"/>
      <c r="P79" s="245" t="s">
        <v>92</v>
      </c>
      <c r="Q79" s="3"/>
      <c r="R79" s="4" t="s">
        <v>92</v>
      </c>
      <c r="S79" s="23"/>
      <c r="T79" s="279" t="e">
        <f>'Base Information'!$B$23*'Physical Condition Assessment'!E79*'PCA Cost Tables - READ ONLY'!O68*'Physical Condition Assessment'!S79*'PCA Cost Tables - READ ONLY'!$G$1*'County Cost Factor - READ ONLY'!$D$40</f>
        <v>#VALUE!</v>
      </c>
      <c r="U79" s="280" t="e">
        <f t="shared" si="7"/>
        <v>#VALUE!</v>
      </c>
      <c r="V79" s="280" t="e">
        <f>T79*'PCA Cost Tables - READ ONLY'!$G$1</f>
        <v>#VALUE!</v>
      </c>
      <c r="W79" s="280" t="e">
        <f>V79*'PCA Cost Tables - READ ONLY'!$G$3</f>
        <v>#VALUE!</v>
      </c>
      <c r="X79" s="281" t="e">
        <f>W79*'PCA Cost Tables - READ ONLY'!$G$3</f>
        <v>#VALUE!</v>
      </c>
      <c r="Y79" s="66"/>
    </row>
    <row r="80" spans="1:25" ht="15.75" thickBot="1" x14ac:dyDescent="0.3">
      <c r="A80" s="7"/>
      <c r="B80" s="8"/>
      <c r="C80" s="256"/>
      <c r="D80" s="268" t="s">
        <v>156</v>
      </c>
      <c r="E80" s="23"/>
      <c r="F80" s="259"/>
      <c r="G80" s="3"/>
      <c r="H80" s="245" t="s">
        <v>84</v>
      </c>
      <c r="I80" s="6"/>
      <c r="J80" s="245" t="s">
        <v>85</v>
      </c>
      <c r="K80" s="6"/>
      <c r="L80" s="245" t="s">
        <v>86</v>
      </c>
      <c r="M80" s="6"/>
      <c r="N80" s="245" t="s">
        <v>87</v>
      </c>
      <c r="O80" s="3"/>
      <c r="P80" s="245" t="s">
        <v>92</v>
      </c>
      <c r="Q80" s="3"/>
      <c r="R80" s="4" t="s">
        <v>92</v>
      </c>
      <c r="S80" s="23"/>
      <c r="T80" s="279" t="e">
        <f>'Base Information'!$B$23*'Physical Condition Assessment'!E80*'PCA Cost Tables - READ ONLY'!O69*'Physical Condition Assessment'!S80*'PCA Cost Tables - READ ONLY'!$G$1*'County Cost Factor - READ ONLY'!$D$40</f>
        <v>#VALUE!</v>
      </c>
      <c r="U80" s="280" t="e">
        <f t="shared" si="7"/>
        <v>#VALUE!</v>
      </c>
      <c r="V80" s="280" t="e">
        <f>T80*'PCA Cost Tables - READ ONLY'!$G$1</f>
        <v>#VALUE!</v>
      </c>
      <c r="W80" s="280" t="e">
        <f>V80*'PCA Cost Tables - READ ONLY'!$G$3</f>
        <v>#VALUE!</v>
      </c>
      <c r="X80" s="281" t="e">
        <f>W80*'PCA Cost Tables - READ ONLY'!$G$3</f>
        <v>#VALUE!</v>
      </c>
      <c r="Y80" s="66"/>
    </row>
    <row r="81" spans="1:25" ht="15.75" thickBot="1" x14ac:dyDescent="0.3">
      <c r="A81" s="7"/>
      <c r="B81" s="8"/>
      <c r="C81" s="256"/>
      <c r="D81" s="268" t="s">
        <v>157</v>
      </c>
      <c r="E81" s="23"/>
      <c r="F81" s="259"/>
      <c r="G81" s="3"/>
      <c r="H81" s="245" t="s">
        <v>84</v>
      </c>
      <c r="I81" s="6"/>
      <c r="J81" s="245" t="s">
        <v>85</v>
      </c>
      <c r="K81" s="3"/>
      <c r="L81" s="245" t="s">
        <v>86</v>
      </c>
      <c r="M81" s="6"/>
      <c r="N81" s="245" t="s">
        <v>87</v>
      </c>
      <c r="O81" s="3"/>
      <c r="P81" s="245" t="s">
        <v>92</v>
      </c>
      <c r="Q81" s="3"/>
      <c r="R81" s="4" t="s">
        <v>92</v>
      </c>
      <c r="S81" s="23"/>
      <c r="T81" s="279" t="e">
        <f>'Base Information'!$B$23*'Physical Condition Assessment'!E81*'PCA Cost Tables - READ ONLY'!O70*'Physical Condition Assessment'!S81*'PCA Cost Tables - READ ONLY'!$G$1*'County Cost Factor - READ ONLY'!$D$40</f>
        <v>#VALUE!</v>
      </c>
      <c r="U81" s="280" t="e">
        <f t="shared" si="7"/>
        <v>#VALUE!</v>
      </c>
      <c r="V81" s="280" t="e">
        <f>T81*'PCA Cost Tables - READ ONLY'!$G$1</f>
        <v>#VALUE!</v>
      </c>
      <c r="W81" s="280" t="e">
        <f>V81*'PCA Cost Tables - READ ONLY'!$G$3</f>
        <v>#VALUE!</v>
      </c>
      <c r="X81" s="281" t="e">
        <f>W81*'PCA Cost Tables - READ ONLY'!$G$3</f>
        <v>#VALUE!</v>
      </c>
      <c r="Y81" s="66"/>
    </row>
    <row r="82" spans="1:25" ht="15.75" thickBot="1" x14ac:dyDescent="0.3">
      <c r="A82" s="7"/>
      <c r="B82" s="8"/>
      <c r="C82" s="256" t="s">
        <v>158</v>
      </c>
      <c r="D82" s="268" t="s">
        <v>148</v>
      </c>
      <c r="E82" s="23"/>
      <c r="F82" s="259"/>
      <c r="G82" s="3"/>
      <c r="H82" s="245" t="s">
        <v>84</v>
      </c>
      <c r="I82" s="3"/>
      <c r="J82" s="245" t="s">
        <v>85</v>
      </c>
      <c r="K82" s="3"/>
      <c r="L82" s="245" t="s">
        <v>86</v>
      </c>
      <c r="M82" s="6"/>
      <c r="N82" s="245" t="s">
        <v>87</v>
      </c>
      <c r="O82" s="3"/>
      <c r="P82" s="245" t="s">
        <v>92</v>
      </c>
      <c r="Q82" s="3"/>
      <c r="R82" s="4" t="s">
        <v>92</v>
      </c>
      <c r="S82" s="23"/>
      <c r="T82" s="279" t="e">
        <f>'Base Information'!$B$23*'Physical Condition Assessment'!E82*'PCA Cost Tables - READ ONLY'!O71*'Physical Condition Assessment'!S82*'PCA Cost Tables - READ ONLY'!$G$1*'County Cost Factor - READ ONLY'!$D$40</f>
        <v>#VALUE!</v>
      </c>
      <c r="U82" s="280" t="e">
        <f t="shared" si="7"/>
        <v>#VALUE!</v>
      </c>
      <c r="V82" s="280" t="e">
        <f>T82*'PCA Cost Tables - READ ONLY'!$G$1</f>
        <v>#VALUE!</v>
      </c>
      <c r="W82" s="280" t="e">
        <f>V82*'PCA Cost Tables - READ ONLY'!$G$3</f>
        <v>#VALUE!</v>
      </c>
      <c r="X82" s="281" t="e">
        <f>W82*'PCA Cost Tables - READ ONLY'!$G$3</f>
        <v>#VALUE!</v>
      </c>
      <c r="Y82" s="66"/>
    </row>
    <row r="83" spans="1:25" ht="15.75" thickBot="1" x14ac:dyDescent="0.3">
      <c r="A83" s="7"/>
      <c r="B83" s="8"/>
      <c r="C83" s="256"/>
      <c r="D83" s="268" t="s">
        <v>159</v>
      </c>
      <c r="E83" s="23"/>
      <c r="F83" s="259"/>
      <c r="G83" s="3"/>
      <c r="H83" s="245" t="s">
        <v>84</v>
      </c>
      <c r="I83" s="3"/>
      <c r="J83" s="245" t="s">
        <v>85</v>
      </c>
      <c r="K83" s="3"/>
      <c r="L83" s="245" t="s">
        <v>86</v>
      </c>
      <c r="M83" s="6"/>
      <c r="N83" s="245" t="s">
        <v>87</v>
      </c>
      <c r="O83" s="3"/>
      <c r="P83" s="245" t="s">
        <v>92</v>
      </c>
      <c r="Q83" s="3"/>
      <c r="R83" s="4" t="s">
        <v>92</v>
      </c>
      <c r="S83" s="23"/>
      <c r="T83" s="279" t="e">
        <f>'Base Information'!$B$23*'Physical Condition Assessment'!E83*'PCA Cost Tables - READ ONLY'!O72*'Physical Condition Assessment'!S83*'PCA Cost Tables - READ ONLY'!$G$1*'County Cost Factor - READ ONLY'!$D$40</f>
        <v>#VALUE!</v>
      </c>
      <c r="U83" s="280" t="e">
        <f t="shared" si="7"/>
        <v>#VALUE!</v>
      </c>
      <c r="V83" s="280" t="e">
        <f>T83*'PCA Cost Tables - READ ONLY'!$G$1</f>
        <v>#VALUE!</v>
      </c>
      <c r="W83" s="280" t="e">
        <f>V83*'PCA Cost Tables - READ ONLY'!$G$3</f>
        <v>#VALUE!</v>
      </c>
      <c r="X83" s="281" t="e">
        <f>W83*'PCA Cost Tables - READ ONLY'!$G$3</f>
        <v>#VALUE!</v>
      </c>
      <c r="Y83" s="66"/>
    </row>
    <row r="84" spans="1:25" ht="15.75" thickBot="1" x14ac:dyDescent="0.3">
      <c r="A84" s="7"/>
      <c r="B84" s="8"/>
      <c r="C84" s="256"/>
      <c r="D84" s="268" t="s">
        <v>160</v>
      </c>
      <c r="E84" s="23"/>
      <c r="F84" s="259"/>
      <c r="G84" s="3"/>
      <c r="H84" s="245" t="s">
        <v>84</v>
      </c>
      <c r="I84" s="3"/>
      <c r="J84" s="245" t="s">
        <v>85</v>
      </c>
      <c r="K84" s="6"/>
      <c r="L84" s="245" t="s">
        <v>86</v>
      </c>
      <c r="M84" s="6"/>
      <c r="N84" s="245" t="s">
        <v>87</v>
      </c>
      <c r="O84" s="3"/>
      <c r="P84" s="245" t="s">
        <v>92</v>
      </c>
      <c r="Q84" s="3"/>
      <c r="R84" s="4" t="s">
        <v>92</v>
      </c>
      <c r="S84" s="23"/>
      <c r="T84" s="279" t="e">
        <f>'Base Information'!$B$23*'Physical Condition Assessment'!E84*'PCA Cost Tables - READ ONLY'!O73*'Physical Condition Assessment'!S84*'PCA Cost Tables - READ ONLY'!$G$1*'County Cost Factor - READ ONLY'!$D$40</f>
        <v>#VALUE!</v>
      </c>
      <c r="U84" s="280" t="e">
        <f t="shared" si="7"/>
        <v>#VALUE!</v>
      </c>
      <c r="V84" s="280" t="e">
        <f>T84*'PCA Cost Tables - READ ONLY'!$G$1</f>
        <v>#VALUE!</v>
      </c>
      <c r="W84" s="280" t="e">
        <f>V84*'PCA Cost Tables - READ ONLY'!$G$3</f>
        <v>#VALUE!</v>
      </c>
      <c r="X84" s="281" t="e">
        <f>W84*'PCA Cost Tables - READ ONLY'!$G$3</f>
        <v>#VALUE!</v>
      </c>
      <c r="Y84" s="66"/>
    </row>
    <row r="85" spans="1:25" ht="15.75" thickBot="1" x14ac:dyDescent="0.3">
      <c r="A85" s="7"/>
      <c r="B85" s="8"/>
      <c r="C85" s="256"/>
      <c r="D85" s="268" t="s">
        <v>161</v>
      </c>
      <c r="E85" s="23"/>
      <c r="F85" s="259"/>
      <c r="G85" s="3"/>
      <c r="H85" s="245" t="s">
        <v>84</v>
      </c>
      <c r="I85" s="6"/>
      <c r="J85" s="245" t="s">
        <v>85</v>
      </c>
      <c r="K85" s="6"/>
      <c r="L85" s="245" t="s">
        <v>86</v>
      </c>
      <c r="M85" s="6"/>
      <c r="N85" s="245" t="s">
        <v>87</v>
      </c>
      <c r="O85" s="3"/>
      <c r="P85" s="245" t="s">
        <v>92</v>
      </c>
      <c r="Q85" s="3"/>
      <c r="R85" s="4" t="s">
        <v>92</v>
      </c>
      <c r="S85" s="23"/>
      <c r="T85" s="279" t="e">
        <f>'Base Information'!$B$23*'Physical Condition Assessment'!E85*'PCA Cost Tables - READ ONLY'!O74*'Physical Condition Assessment'!S85*'PCA Cost Tables - READ ONLY'!$G$1*'County Cost Factor - READ ONLY'!$D$40</f>
        <v>#VALUE!</v>
      </c>
      <c r="U85" s="280" t="e">
        <f t="shared" si="7"/>
        <v>#VALUE!</v>
      </c>
      <c r="V85" s="280" t="e">
        <f>T85*'PCA Cost Tables - READ ONLY'!$G$1</f>
        <v>#VALUE!</v>
      </c>
      <c r="W85" s="280" t="e">
        <f>V85*'PCA Cost Tables - READ ONLY'!$G$3</f>
        <v>#VALUE!</v>
      </c>
      <c r="X85" s="281" t="e">
        <f>W85*'PCA Cost Tables - READ ONLY'!$G$3</f>
        <v>#VALUE!</v>
      </c>
      <c r="Y85" s="66"/>
    </row>
    <row r="86" spans="1:25" x14ac:dyDescent="0.25">
      <c r="A86" s="374" t="s">
        <v>162</v>
      </c>
      <c r="B86" s="375"/>
      <c r="C86" s="375"/>
      <c r="D86" s="253"/>
      <c r="E86" s="253"/>
      <c r="F86" s="253"/>
      <c r="G86" s="254"/>
      <c r="H86" s="255"/>
      <c r="I86" s="254"/>
      <c r="J86" s="255"/>
      <c r="K86" s="254"/>
      <c r="L86" s="255"/>
      <c r="M86" s="254"/>
      <c r="N86" s="255"/>
      <c r="O86" s="254"/>
      <c r="P86" s="255"/>
      <c r="Q86" s="254"/>
      <c r="R86" s="255"/>
      <c r="S86" s="352"/>
      <c r="T86" s="253"/>
      <c r="U86" s="253"/>
      <c r="V86" s="253"/>
      <c r="W86" s="253"/>
      <c r="X86" s="253"/>
      <c r="Y86" s="303"/>
    </row>
    <row r="87" spans="1:25" ht="15.75" thickBot="1" x14ac:dyDescent="0.3">
      <c r="A87" s="7"/>
      <c r="B87" s="257" t="s">
        <v>163</v>
      </c>
      <c r="C87" s="260"/>
      <c r="D87" s="260"/>
      <c r="E87" s="145"/>
      <c r="F87" s="259"/>
      <c r="H87" s="245"/>
      <c r="J87" s="245"/>
      <c r="L87" s="245"/>
      <c r="N87" s="245"/>
      <c r="P87" s="245"/>
      <c r="S87" s="145"/>
      <c r="T87" s="1"/>
      <c r="U87" s="1"/>
      <c r="V87" s="1"/>
      <c r="W87" s="1"/>
      <c r="X87" s="1"/>
      <c r="Y87" s="301"/>
    </row>
    <row r="88" spans="1:25" ht="15.75" thickBot="1" x14ac:dyDescent="0.3">
      <c r="A88" s="7"/>
      <c r="B88" s="8"/>
      <c r="C88" s="256" t="s">
        <v>164</v>
      </c>
      <c r="D88" s="268"/>
      <c r="E88" s="353"/>
      <c r="F88" s="259"/>
      <c r="G88" s="3"/>
      <c r="H88" s="245" t="s">
        <v>84</v>
      </c>
      <c r="I88" s="3"/>
      <c r="J88" s="245" t="s">
        <v>85</v>
      </c>
      <c r="K88" s="3"/>
      <c r="L88" s="245" t="s">
        <v>86</v>
      </c>
      <c r="M88" s="3"/>
      <c r="N88" s="245" t="s">
        <v>87</v>
      </c>
      <c r="O88" s="3"/>
      <c r="P88" s="245" t="s">
        <v>92</v>
      </c>
      <c r="Q88" s="3"/>
      <c r="R88" s="4" t="s">
        <v>92</v>
      </c>
      <c r="S88" s="23"/>
      <c r="T88" s="276" t="e">
        <f>'Physical Condition Assessment'!E88*'PCA Cost Tables - READ ONLY'!O77*'Physical Condition Assessment'!S88*'PCA Cost Tables - READ ONLY'!$G$1*'County Cost Factor - READ ONLY'!$D$40</f>
        <v>#VALUE!</v>
      </c>
      <c r="U88" s="277" t="e">
        <f>V88-T88</f>
        <v>#VALUE!</v>
      </c>
      <c r="V88" s="277" t="e">
        <f>T88*'PCA Cost Tables - READ ONLY'!$G$1</f>
        <v>#VALUE!</v>
      </c>
      <c r="W88" s="277" t="e">
        <f>V88*'PCA Cost Tables - READ ONLY'!$G$3</f>
        <v>#VALUE!</v>
      </c>
      <c r="X88" s="278" t="e">
        <f>W88*'PCA Cost Tables - READ ONLY'!$G$3</f>
        <v>#VALUE!</v>
      </c>
      <c r="Y88" s="66"/>
    </row>
    <row r="89" spans="1:25" ht="15.75" thickBot="1" x14ac:dyDescent="0.3">
      <c r="A89" s="7"/>
      <c r="B89" s="8"/>
      <c r="C89" s="256" t="s">
        <v>165</v>
      </c>
      <c r="D89" s="268"/>
      <c r="E89" s="353"/>
      <c r="F89" s="259"/>
      <c r="G89" s="3"/>
      <c r="H89" s="245" t="s">
        <v>84</v>
      </c>
      <c r="I89" s="6"/>
      <c r="J89" s="245" t="s">
        <v>85</v>
      </c>
      <c r="K89" s="3"/>
      <c r="L89" s="245" t="s">
        <v>86</v>
      </c>
      <c r="M89" s="6"/>
      <c r="N89" s="245" t="s">
        <v>87</v>
      </c>
      <c r="O89" s="3"/>
      <c r="P89" s="245" t="s">
        <v>92</v>
      </c>
      <c r="Q89" s="3"/>
      <c r="R89" s="4" t="s">
        <v>92</v>
      </c>
      <c r="S89" s="23"/>
      <c r="T89" s="279" t="e">
        <f>'Physical Condition Assessment'!E89*'PCA Cost Tables - READ ONLY'!O78*'Physical Condition Assessment'!S89*'PCA Cost Tables - READ ONLY'!$G$1*'County Cost Factor - READ ONLY'!$D$40</f>
        <v>#VALUE!</v>
      </c>
      <c r="U89" s="280" t="e">
        <f t="shared" ref="U89:U90" si="8">V89-T89</f>
        <v>#VALUE!</v>
      </c>
      <c r="V89" s="280" t="e">
        <f>T89*'PCA Cost Tables - READ ONLY'!$G$1</f>
        <v>#VALUE!</v>
      </c>
      <c r="W89" s="280" t="e">
        <f>V89*'PCA Cost Tables - READ ONLY'!$G$3</f>
        <v>#VALUE!</v>
      </c>
      <c r="X89" s="281" t="e">
        <f>W89*'PCA Cost Tables - READ ONLY'!$G$3</f>
        <v>#VALUE!</v>
      </c>
      <c r="Y89" s="66"/>
    </row>
    <row r="90" spans="1:25" ht="15.75" thickBot="1" x14ac:dyDescent="0.3">
      <c r="A90" s="7"/>
      <c r="B90" s="8"/>
      <c r="C90" s="256" t="s">
        <v>166</v>
      </c>
      <c r="D90" s="268"/>
      <c r="E90" s="353"/>
      <c r="F90" s="259"/>
      <c r="G90" s="3"/>
      <c r="H90" s="245" t="s">
        <v>84</v>
      </c>
      <c r="I90" s="6"/>
      <c r="J90" s="245" t="s">
        <v>85</v>
      </c>
      <c r="K90" s="3"/>
      <c r="L90" s="245" t="s">
        <v>86</v>
      </c>
      <c r="M90" s="6"/>
      <c r="N90" s="245" t="s">
        <v>87</v>
      </c>
      <c r="O90" s="3"/>
      <c r="P90" s="245" t="s">
        <v>92</v>
      </c>
      <c r="Q90" s="3"/>
      <c r="R90" s="4" t="s">
        <v>92</v>
      </c>
      <c r="S90" s="23"/>
      <c r="T90" s="279" t="e">
        <f>'Physical Condition Assessment'!E90*'PCA Cost Tables - READ ONLY'!O79*'Physical Condition Assessment'!S90*'PCA Cost Tables - READ ONLY'!$G$1*'County Cost Factor - READ ONLY'!$D$40</f>
        <v>#VALUE!</v>
      </c>
      <c r="U90" s="280" t="e">
        <f t="shared" si="8"/>
        <v>#VALUE!</v>
      </c>
      <c r="V90" s="280" t="e">
        <f>T90*'PCA Cost Tables - READ ONLY'!$G$1</f>
        <v>#VALUE!</v>
      </c>
      <c r="W90" s="280" t="e">
        <f>V90*'PCA Cost Tables - READ ONLY'!$G$3</f>
        <v>#VALUE!</v>
      </c>
      <c r="X90" s="281" t="e">
        <f>W90*'PCA Cost Tables - READ ONLY'!$G$3</f>
        <v>#VALUE!</v>
      </c>
      <c r="Y90" s="66"/>
    </row>
    <row r="91" spans="1:25" ht="15.75" thickBot="1" x14ac:dyDescent="0.3">
      <c r="A91" s="7"/>
      <c r="B91" s="257" t="s">
        <v>167</v>
      </c>
      <c r="C91" s="260"/>
      <c r="D91" s="260"/>
      <c r="E91" s="145"/>
      <c r="F91" s="259"/>
      <c r="H91" s="245"/>
      <c r="J91" s="245"/>
      <c r="L91" s="245"/>
      <c r="N91" s="245"/>
      <c r="P91" s="245"/>
      <c r="S91" s="145"/>
      <c r="T91" s="1"/>
      <c r="U91" s="1"/>
      <c r="V91" s="1"/>
      <c r="W91" s="1"/>
      <c r="X91" s="1"/>
      <c r="Y91" s="301"/>
    </row>
    <row r="92" spans="1:25" ht="30.75" thickBot="1" x14ac:dyDescent="0.3">
      <c r="A92" s="7"/>
      <c r="B92" s="8"/>
      <c r="C92" s="256" t="s">
        <v>168</v>
      </c>
      <c r="D92" s="268"/>
      <c r="E92" s="23"/>
      <c r="F92" s="259"/>
      <c r="G92" s="3"/>
      <c r="H92" s="245" t="s">
        <v>84</v>
      </c>
      <c r="I92" s="6"/>
      <c r="J92" s="245" t="s">
        <v>85</v>
      </c>
      <c r="K92" s="3"/>
      <c r="L92" s="245" t="s">
        <v>86</v>
      </c>
      <c r="M92" s="6"/>
      <c r="N92" s="245" t="s">
        <v>87</v>
      </c>
      <c r="O92" s="3"/>
      <c r="P92" s="245" t="s">
        <v>92</v>
      </c>
      <c r="Q92" s="3"/>
      <c r="R92" s="4" t="s">
        <v>92</v>
      </c>
      <c r="S92" s="23"/>
      <c r="T92" s="276" t="e">
        <f>'Base Information'!$B$23*'Physical Condition Assessment'!E92*'PCA Cost Tables - READ ONLY'!O81*'Physical Condition Assessment'!S92*'PCA Cost Tables - READ ONLY'!$G$1*'County Cost Factor - READ ONLY'!$D$40</f>
        <v>#VALUE!</v>
      </c>
      <c r="U92" s="277" t="e">
        <f>V92-T92</f>
        <v>#VALUE!</v>
      </c>
      <c r="V92" s="277" t="e">
        <f>T92*'PCA Cost Tables - READ ONLY'!$G$1</f>
        <v>#VALUE!</v>
      </c>
      <c r="W92" s="277" t="e">
        <f>V92*'PCA Cost Tables - READ ONLY'!$G$3</f>
        <v>#VALUE!</v>
      </c>
      <c r="X92" s="278" t="e">
        <f>W92*'PCA Cost Tables - READ ONLY'!$G$3</f>
        <v>#VALUE!</v>
      </c>
      <c r="Y92" s="66" t="s">
        <v>169</v>
      </c>
    </row>
    <row r="93" spans="1:25" ht="15.75" thickBot="1" x14ac:dyDescent="0.3">
      <c r="A93" s="7"/>
      <c r="B93" s="8"/>
      <c r="C93" s="256" t="s">
        <v>170</v>
      </c>
      <c r="D93" s="268"/>
      <c r="E93" s="23"/>
      <c r="F93" s="259"/>
      <c r="G93" s="3"/>
      <c r="H93" s="245" t="s">
        <v>84</v>
      </c>
      <c r="I93" s="3"/>
      <c r="J93" s="245" t="s">
        <v>85</v>
      </c>
      <c r="K93" s="3"/>
      <c r="L93" s="245" t="s">
        <v>86</v>
      </c>
      <c r="M93" s="6"/>
      <c r="N93" s="245" t="s">
        <v>87</v>
      </c>
      <c r="O93" s="3"/>
      <c r="P93" s="245" t="s">
        <v>92</v>
      </c>
      <c r="Q93" s="3"/>
      <c r="S93" s="23"/>
      <c r="T93" s="279" t="e">
        <f>'Base Information'!$B$23*'Physical Condition Assessment'!E93*'PCA Cost Tables - READ ONLY'!O82*'Physical Condition Assessment'!S93*'PCA Cost Tables - READ ONLY'!$G$1*'County Cost Factor - READ ONLY'!$D$40</f>
        <v>#VALUE!</v>
      </c>
      <c r="U93" s="280" t="e">
        <f t="shared" ref="U93:U95" si="9">V93-T93</f>
        <v>#VALUE!</v>
      </c>
      <c r="V93" s="280" t="e">
        <f>T93*'PCA Cost Tables - READ ONLY'!$G$1</f>
        <v>#VALUE!</v>
      </c>
      <c r="W93" s="280" t="e">
        <f>V93*'PCA Cost Tables - READ ONLY'!$G$3</f>
        <v>#VALUE!</v>
      </c>
      <c r="X93" s="281" t="e">
        <f>W93*'PCA Cost Tables - READ ONLY'!$G$3</f>
        <v>#VALUE!</v>
      </c>
      <c r="Y93" s="66"/>
    </row>
    <row r="94" spans="1:25" ht="15.75" thickBot="1" x14ac:dyDescent="0.3">
      <c r="A94" s="7"/>
      <c r="B94" s="8"/>
      <c r="C94" s="256" t="s">
        <v>171</v>
      </c>
      <c r="D94" s="268"/>
      <c r="E94" s="23"/>
      <c r="F94" s="259"/>
      <c r="G94" s="3"/>
      <c r="H94" s="245" t="s">
        <v>84</v>
      </c>
      <c r="I94" s="3"/>
      <c r="J94" s="245" t="s">
        <v>85</v>
      </c>
      <c r="K94" s="6"/>
      <c r="L94" s="245" t="s">
        <v>86</v>
      </c>
      <c r="M94" s="6"/>
      <c r="N94" s="245" t="s">
        <v>87</v>
      </c>
      <c r="O94" s="3"/>
      <c r="P94" s="245" t="s">
        <v>92</v>
      </c>
      <c r="Q94" s="3"/>
      <c r="R94" s="4" t="s">
        <v>92</v>
      </c>
      <c r="S94" s="23"/>
      <c r="T94" s="279" t="e">
        <f>'Base Information'!$B$23*'Physical Condition Assessment'!E94*'PCA Cost Tables - READ ONLY'!O83*'Physical Condition Assessment'!S94*'PCA Cost Tables - READ ONLY'!$G$1*'County Cost Factor - READ ONLY'!$D$40</f>
        <v>#VALUE!</v>
      </c>
      <c r="U94" s="280" t="e">
        <f t="shared" si="9"/>
        <v>#VALUE!</v>
      </c>
      <c r="V94" s="280" t="e">
        <f>T94*'PCA Cost Tables - READ ONLY'!$G$1</f>
        <v>#VALUE!</v>
      </c>
      <c r="W94" s="280" t="e">
        <f>V94*'PCA Cost Tables - READ ONLY'!$G$3</f>
        <v>#VALUE!</v>
      </c>
      <c r="X94" s="281" t="e">
        <f>W94*'PCA Cost Tables - READ ONLY'!$G$3</f>
        <v>#VALUE!</v>
      </c>
      <c r="Y94" s="66"/>
    </row>
    <row r="95" spans="1:25" ht="15.75" thickBot="1" x14ac:dyDescent="0.3">
      <c r="A95" s="7"/>
      <c r="B95" s="8"/>
      <c r="C95" s="256" t="s">
        <v>172</v>
      </c>
      <c r="D95" s="268"/>
      <c r="E95" s="23"/>
      <c r="F95" s="259"/>
      <c r="G95" s="3"/>
      <c r="H95" s="245" t="s">
        <v>84</v>
      </c>
      <c r="I95" s="6"/>
      <c r="J95" s="245" t="s">
        <v>85</v>
      </c>
      <c r="K95" s="3"/>
      <c r="L95" s="245" t="s">
        <v>86</v>
      </c>
      <c r="M95" s="6"/>
      <c r="N95" s="245" t="s">
        <v>87</v>
      </c>
      <c r="O95" s="3"/>
      <c r="P95" s="245" t="s">
        <v>92</v>
      </c>
      <c r="Q95" s="3"/>
      <c r="R95" s="4" t="s">
        <v>92</v>
      </c>
      <c r="S95" s="23"/>
      <c r="T95" s="279" t="e">
        <f>'Base Information'!$B$23*'Physical Condition Assessment'!E95*'PCA Cost Tables - READ ONLY'!O84*'Physical Condition Assessment'!S95*'PCA Cost Tables - READ ONLY'!$G$1*'County Cost Factor - READ ONLY'!$D$40</f>
        <v>#VALUE!</v>
      </c>
      <c r="U95" s="280" t="e">
        <f t="shared" si="9"/>
        <v>#VALUE!</v>
      </c>
      <c r="V95" s="280" t="e">
        <f>T95*'PCA Cost Tables - READ ONLY'!$G$1</f>
        <v>#VALUE!</v>
      </c>
      <c r="W95" s="280" t="e">
        <f>V95*'PCA Cost Tables - READ ONLY'!$G$3</f>
        <v>#VALUE!</v>
      </c>
      <c r="X95" s="281" t="e">
        <f>W95*'PCA Cost Tables - READ ONLY'!$G$3</f>
        <v>#VALUE!</v>
      </c>
      <c r="Y95" s="66"/>
    </row>
    <row r="96" spans="1:25" ht="15.75" thickBot="1" x14ac:dyDescent="0.3">
      <c r="A96" s="7"/>
      <c r="B96" s="8"/>
      <c r="C96" s="256" t="s">
        <v>173</v>
      </c>
      <c r="D96" s="268" t="s">
        <v>97</v>
      </c>
      <c r="E96" s="38"/>
      <c r="F96" s="259"/>
      <c r="G96" s="6"/>
      <c r="H96" s="245" t="s">
        <v>84</v>
      </c>
      <c r="I96" s="6"/>
      <c r="J96" s="245" t="s">
        <v>85</v>
      </c>
      <c r="K96" s="6"/>
      <c r="L96" s="245" t="s">
        <v>86</v>
      </c>
      <c r="M96" s="6"/>
      <c r="N96" s="245" t="s">
        <v>87</v>
      </c>
      <c r="O96" s="6"/>
      <c r="P96" s="245" t="s">
        <v>92</v>
      </c>
      <c r="Q96" s="6"/>
      <c r="R96" s="4" t="s">
        <v>92</v>
      </c>
      <c r="S96" s="38"/>
      <c r="T96" s="125"/>
      <c r="U96" s="125"/>
      <c r="V96" s="125"/>
      <c r="W96" s="125"/>
      <c r="X96" s="125"/>
      <c r="Y96" s="67"/>
    </row>
    <row r="97" spans="1:25" ht="15.75" thickBot="1" x14ac:dyDescent="0.3">
      <c r="A97" s="7"/>
      <c r="B97" s="257" t="s">
        <v>174</v>
      </c>
      <c r="C97" s="260"/>
      <c r="D97" s="260"/>
      <c r="E97" s="145"/>
      <c r="F97" s="259"/>
      <c r="H97" s="245"/>
      <c r="J97" s="245"/>
      <c r="L97" s="245"/>
      <c r="N97" s="245"/>
      <c r="P97" s="245"/>
      <c r="S97" s="145"/>
      <c r="T97" s="1"/>
      <c r="U97" s="1"/>
      <c r="V97" s="1"/>
      <c r="W97" s="1"/>
      <c r="X97" s="1"/>
      <c r="Y97" s="301"/>
    </row>
    <row r="98" spans="1:25" ht="15.75" thickBot="1" x14ac:dyDescent="0.3">
      <c r="A98" s="7"/>
      <c r="B98" s="8"/>
      <c r="C98" s="256" t="s">
        <v>175</v>
      </c>
      <c r="D98" s="268"/>
      <c r="E98" s="23"/>
      <c r="F98" s="259"/>
      <c r="G98" s="3"/>
      <c r="H98" s="245" t="s">
        <v>84</v>
      </c>
      <c r="I98" s="3"/>
      <c r="J98" s="245" t="s">
        <v>85</v>
      </c>
      <c r="K98" s="6"/>
      <c r="L98" s="245" t="s">
        <v>86</v>
      </c>
      <c r="M98" s="6"/>
      <c r="N98" s="245" t="s">
        <v>87</v>
      </c>
      <c r="O98" s="3"/>
      <c r="P98" s="245" t="s">
        <v>92</v>
      </c>
      <c r="Q98" s="3"/>
      <c r="R98" s="4" t="s">
        <v>92</v>
      </c>
      <c r="S98" s="23"/>
      <c r="T98" s="276" t="e">
        <f>'Base Information'!$B$23*'Physical Condition Assessment'!E98*'PCA Cost Tables - READ ONLY'!O87*'Physical Condition Assessment'!S98*'PCA Cost Tables - READ ONLY'!$G$1*'County Cost Factor - READ ONLY'!$D$40</f>
        <v>#VALUE!</v>
      </c>
      <c r="U98" s="277" t="e">
        <f>V98-T98</f>
        <v>#VALUE!</v>
      </c>
      <c r="V98" s="277" t="e">
        <f>T98*'PCA Cost Tables - READ ONLY'!$G$1</f>
        <v>#VALUE!</v>
      </c>
      <c r="W98" s="277" t="e">
        <f>V98*'PCA Cost Tables - READ ONLY'!$G$3</f>
        <v>#VALUE!</v>
      </c>
      <c r="X98" s="278" t="e">
        <f>W98*'PCA Cost Tables - READ ONLY'!$G$3</f>
        <v>#VALUE!</v>
      </c>
      <c r="Y98" s="66"/>
    </row>
    <row r="99" spans="1:25" ht="15.75" thickBot="1" x14ac:dyDescent="0.3">
      <c r="A99" s="7"/>
      <c r="B99" s="8"/>
      <c r="C99" s="256" t="s">
        <v>176</v>
      </c>
      <c r="D99" s="268" t="s">
        <v>177</v>
      </c>
      <c r="E99" s="23"/>
      <c r="F99" s="259"/>
      <c r="G99" s="3"/>
      <c r="H99" s="245" t="s">
        <v>84</v>
      </c>
      <c r="I99" s="3"/>
      <c r="J99" s="245" t="s">
        <v>85</v>
      </c>
      <c r="K99" s="3"/>
      <c r="L99" s="245" t="s">
        <v>86</v>
      </c>
      <c r="M99" s="3"/>
      <c r="N99" s="245" t="s">
        <v>87</v>
      </c>
      <c r="O99" s="3"/>
      <c r="P99" s="245" t="s">
        <v>92</v>
      </c>
      <c r="Q99" s="3"/>
      <c r="R99" s="4" t="s">
        <v>92</v>
      </c>
      <c r="S99" s="23"/>
      <c r="T99" s="279" t="e">
        <f>'Base Information'!$B$23*'Physical Condition Assessment'!E99*'PCA Cost Tables - READ ONLY'!O88*'Physical Condition Assessment'!S99*'PCA Cost Tables - READ ONLY'!$G$1*'County Cost Factor - READ ONLY'!$D$40</f>
        <v>#VALUE!</v>
      </c>
      <c r="U99" s="280" t="e">
        <f t="shared" ref="U99:U111" si="10">V99-T99</f>
        <v>#VALUE!</v>
      </c>
      <c r="V99" s="280" t="e">
        <f>T99*'PCA Cost Tables - READ ONLY'!$G$1</f>
        <v>#VALUE!</v>
      </c>
      <c r="W99" s="280" t="e">
        <f>V99*'PCA Cost Tables - READ ONLY'!$G$3</f>
        <v>#VALUE!</v>
      </c>
      <c r="X99" s="281" t="e">
        <f>W99*'PCA Cost Tables - READ ONLY'!$G$3</f>
        <v>#VALUE!</v>
      </c>
      <c r="Y99" s="66"/>
    </row>
    <row r="100" spans="1:25" ht="15.75" thickBot="1" x14ac:dyDescent="0.3">
      <c r="A100" s="7"/>
      <c r="B100" s="8"/>
      <c r="C100" s="256"/>
      <c r="D100" s="268" t="s">
        <v>178</v>
      </c>
      <c r="E100" s="23"/>
      <c r="F100" s="259"/>
      <c r="G100" s="3"/>
      <c r="H100" s="245" t="s">
        <v>84</v>
      </c>
      <c r="I100" s="6"/>
      <c r="J100" s="245" t="s">
        <v>85</v>
      </c>
      <c r="K100" s="6"/>
      <c r="L100" s="245" t="s">
        <v>86</v>
      </c>
      <c r="M100" s="3"/>
      <c r="N100" s="245" t="s">
        <v>87</v>
      </c>
      <c r="O100" s="3"/>
      <c r="P100" s="245" t="s">
        <v>92</v>
      </c>
      <c r="Q100" s="3"/>
      <c r="R100" s="4" t="s">
        <v>92</v>
      </c>
      <c r="S100" s="23"/>
      <c r="T100" s="279" t="e">
        <f>'Base Information'!$B$23*'Physical Condition Assessment'!E100*'PCA Cost Tables - READ ONLY'!O89*'Physical Condition Assessment'!S100*'PCA Cost Tables - READ ONLY'!$G$1*'County Cost Factor - READ ONLY'!$D$40</f>
        <v>#VALUE!</v>
      </c>
      <c r="U100" s="280" t="e">
        <f t="shared" si="10"/>
        <v>#VALUE!</v>
      </c>
      <c r="V100" s="280" t="e">
        <f>T100*'PCA Cost Tables - READ ONLY'!$G$1</f>
        <v>#VALUE!</v>
      </c>
      <c r="W100" s="280" t="e">
        <f>V100*'PCA Cost Tables - READ ONLY'!$G$3</f>
        <v>#VALUE!</v>
      </c>
      <c r="X100" s="281" t="e">
        <f>W100*'PCA Cost Tables - READ ONLY'!$G$3</f>
        <v>#VALUE!</v>
      </c>
      <c r="Y100" s="66"/>
    </row>
    <row r="101" spans="1:25" ht="15.75" thickBot="1" x14ac:dyDescent="0.3">
      <c r="A101" s="7"/>
      <c r="B101" s="8"/>
      <c r="C101" s="256"/>
      <c r="D101" s="268" t="s">
        <v>179</v>
      </c>
      <c r="E101" s="23"/>
      <c r="F101" s="259"/>
      <c r="G101" s="3"/>
      <c r="H101" s="245" t="s">
        <v>84</v>
      </c>
      <c r="I101" s="6"/>
      <c r="J101" s="245" t="s">
        <v>85</v>
      </c>
      <c r="K101" s="3"/>
      <c r="L101" s="245" t="s">
        <v>86</v>
      </c>
      <c r="M101" s="3"/>
      <c r="N101" s="245" t="s">
        <v>87</v>
      </c>
      <c r="O101" s="3"/>
      <c r="P101" s="245" t="s">
        <v>92</v>
      </c>
      <c r="Q101" s="3"/>
      <c r="R101" s="4" t="s">
        <v>92</v>
      </c>
      <c r="S101" s="23"/>
      <c r="T101" s="279" t="e">
        <f>'Base Information'!$B$23*'Physical Condition Assessment'!E101*'PCA Cost Tables - READ ONLY'!O90*'Physical Condition Assessment'!S101*'PCA Cost Tables - READ ONLY'!$G$1*'County Cost Factor - READ ONLY'!$D$40</f>
        <v>#VALUE!</v>
      </c>
      <c r="U101" s="280" t="e">
        <f t="shared" si="10"/>
        <v>#VALUE!</v>
      </c>
      <c r="V101" s="280" t="e">
        <f>T101*'PCA Cost Tables - READ ONLY'!$G$1</f>
        <v>#VALUE!</v>
      </c>
      <c r="W101" s="280" t="e">
        <f>V101*'PCA Cost Tables - READ ONLY'!$G$3</f>
        <v>#VALUE!</v>
      </c>
      <c r="X101" s="281" t="e">
        <f>W101*'PCA Cost Tables - READ ONLY'!$G$3</f>
        <v>#VALUE!</v>
      </c>
      <c r="Y101" s="66"/>
    </row>
    <row r="102" spans="1:25" ht="15.75" thickBot="1" x14ac:dyDescent="0.3">
      <c r="A102" s="7"/>
      <c r="B102" s="8"/>
      <c r="C102" s="256"/>
      <c r="D102" s="268" t="s">
        <v>180</v>
      </c>
      <c r="E102" s="23"/>
      <c r="F102" s="259"/>
      <c r="G102" s="3"/>
      <c r="H102" s="245" t="s">
        <v>84</v>
      </c>
      <c r="I102" s="6"/>
      <c r="J102" s="245" t="s">
        <v>85</v>
      </c>
      <c r="K102" s="3"/>
      <c r="L102" s="245" t="s">
        <v>86</v>
      </c>
      <c r="M102" s="3"/>
      <c r="N102" s="245" t="s">
        <v>87</v>
      </c>
      <c r="O102" s="3"/>
      <c r="P102" s="245" t="s">
        <v>92</v>
      </c>
      <c r="Q102" s="3"/>
      <c r="R102" s="4" t="s">
        <v>92</v>
      </c>
      <c r="S102" s="23"/>
      <c r="T102" s="279" t="e">
        <f>'Base Information'!$B$23*'Physical Condition Assessment'!E102*'PCA Cost Tables - READ ONLY'!O91*'Physical Condition Assessment'!S102*'PCA Cost Tables - READ ONLY'!$G$1*'County Cost Factor - READ ONLY'!$D$40</f>
        <v>#VALUE!</v>
      </c>
      <c r="U102" s="280" t="e">
        <f t="shared" si="10"/>
        <v>#VALUE!</v>
      </c>
      <c r="V102" s="280" t="e">
        <f>T102*'PCA Cost Tables - READ ONLY'!$G$1</f>
        <v>#VALUE!</v>
      </c>
      <c r="W102" s="280" t="e">
        <f>V102*'PCA Cost Tables - READ ONLY'!$G$3</f>
        <v>#VALUE!</v>
      </c>
      <c r="X102" s="281" t="e">
        <f>W102*'PCA Cost Tables - READ ONLY'!$G$3</f>
        <v>#VALUE!</v>
      </c>
      <c r="Y102" s="66"/>
    </row>
    <row r="103" spans="1:25" ht="15.75" thickBot="1" x14ac:dyDescent="0.3">
      <c r="A103" s="7"/>
      <c r="B103" s="8"/>
      <c r="C103" s="256" t="s">
        <v>181</v>
      </c>
      <c r="D103" s="268" t="s">
        <v>182</v>
      </c>
      <c r="E103" s="23"/>
      <c r="F103" s="259"/>
      <c r="G103" s="3"/>
      <c r="H103" s="245" t="s">
        <v>84</v>
      </c>
      <c r="I103" s="6"/>
      <c r="J103" s="245" t="s">
        <v>85</v>
      </c>
      <c r="K103" s="6"/>
      <c r="L103" s="245" t="s">
        <v>86</v>
      </c>
      <c r="M103" s="3"/>
      <c r="N103" s="245" t="s">
        <v>87</v>
      </c>
      <c r="O103" s="3"/>
      <c r="P103" s="245" t="s">
        <v>92</v>
      </c>
      <c r="Q103" s="3"/>
      <c r="R103" s="4" t="s">
        <v>92</v>
      </c>
      <c r="S103" s="23"/>
      <c r="T103" s="279" t="e">
        <f>'Base Information'!$B$23*'Physical Condition Assessment'!E103*'PCA Cost Tables - READ ONLY'!O92*'Physical Condition Assessment'!S103*'PCA Cost Tables - READ ONLY'!$G$1*'County Cost Factor - READ ONLY'!$D$40</f>
        <v>#VALUE!</v>
      </c>
      <c r="U103" s="280" t="e">
        <f t="shared" si="10"/>
        <v>#VALUE!</v>
      </c>
      <c r="V103" s="280" t="e">
        <f>T103*'PCA Cost Tables - READ ONLY'!$G$1</f>
        <v>#VALUE!</v>
      </c>
      <c r="W103" s="280" t="e">
        <f>V103*'PCA Cost Tables - READ ONLY'!$G$3</f>
        <v>#VALUE!</v>
      </c>
      <c r="X103" s="281" t="e">
        <f>W103*'PCA Cost Tables - READ ONLY'!$G$3</f>
        <v>#VALUE!</v>
      </c>
      <c r="Y103" s="66"/>
    </row>
    <row r="104" spans="1:25" ht="15.75" thickBot="1" x14ac:dyDescent="0.3">
      <c r="A104" s="7"/>
      <c r="B104" s="8"/>
      <c r="C104" s="256"/>
      <c r="D104" s="268" t="s">
        <v>183</v>
      </c>
      <c r="E104" s="23"/>
      <c r="F104" s="259"/>
      <c r="G104" s="3"/>
      <c r="H104" s="245" t="s">
        <v>84</v>
      </c>
      <c r="I104" s="6"/>
      <c r="J104" s="245" t="s">
        <v>85</v>
      </c>
      <c r="K104" s="6"/>
      <c r="L104" s="245" t="s">
        <v>86</v>
      </c>
      <c r="M104" s="6"/>
      <c r="N104" s="245" t="s">
        <v>87</v>
      </c>
      <c r="O104" s="3"/>
      <c r="P104" s="245" t="s">
        <v>92</v>
      </c>
      <c r="Q104" s="3"/>
      <c r="R104" s="4" t="s">
        <v>92</v>
      </c>
      <c r="S104" s="23"/>
      <c r="T104" s="279" t="e">
        <f>'Base Information'!$B$23*'Physical Condition Assessment'!E104*'PCA Cost Tables - READ ONLY'!O93*'Physical Condition Assessment'!S104*'PCA Cost Tables - READ ONLY'!$G$1*'County Cost Factor - READ ONLY'!$D$40</f>
        <v>#VALUE!</v>
      </c>
      <c r="U104" s="280" t="e">
        <f t="shared" si="10"/>
        <v>#VALUE!</v>
      </c>
      <c r="V104" s="280" t="e">
        <f>T104*'PCA Cost Tables - READ ONLY'!$G$1</f>
        <v>#VALUE!</v>
      </c>
      <c r="W104" s="280" t="e">
        <f>V104*'PCA Cost Tables - READ ONLY'!$G$3</f>
        <v>#VALUE!</v>
      </c>
      <c r="X104" s="281" t="e">
        <f>W104*'PCA Cost Tables - READ ONLY'!$G$3</f>
        <v>#VALUE!</v>
      </c>
      <c r="Y104" s="66"/>
    </row>
    <row r="105" spans="1:25" ht="15.75" thickBot="1" x14ac:dyDescent="0.3">
      <c r="A105" s="7"/>
      <c r="B105" s="8"/>
      <c r="C105" s="256" t="s">
        <v>184</v>
      </c>
      <c r="D105" s="268" t="s">
        <v>185</v>
      </c>
      <c r="E105" s="23"/>
      <c r="F105" s="259"/>
      <c r="G105" s="3"/>
      <c r="H105" s="245" t="s">
        <v>84</v>
      </c>
      <c r="I105" s="6"/>
      <c r="J105" s="245" t="s">
        <v>85</v>
      </c>
      <c r="K105" s="3"/>
      <c r="L105" s="245" t="s">
        <v>86</v>
      </c>
      <c r="M105" s="3"/>
      <c r="N105" s="245" t="s">
        <v>87</v>
      </c>
      <c r="O105" s="3"/>
      <c r="P105" s="245" t="s">
        <v>92</v>
      </c>
      <c r="Q105" s="3"/>
      <c r="R105" s="4" t="s">
        <v>92</v>
      </c>
      <c r="S105" s="23"/>
      <c r="T105" s="279" t="e">
        <f>'Base Information'!$B$23*'Physical Condition Assessment'!E105*'PCA Cost Tables - READ ONLY'!O94*'Physical Condition Assessment'!S105*'PCA Cost Tables - READ ONLY'!$G$1*'County Cost Factor - READ ONLY'!$D$40</f>
        <v>#VALUE!</v>
      </c>
      <c r="U105" s="280" t="e">
        <f t="shared" si="10"/>
        <v>#VALUE!</v>
      </c>
      <c r="V105" s="280" t="e">
        <f>T105*'PCA Cost Tables - READ ONLY'!$G$1</f>
        <v>#VALUE!</v>
      </c>
      <c r="W105" s="280" t="e">
        <f>V105*'PCA Cost Tables - READ ONLY'!$G$3</f>
        <v>#VALUE!</v>
      </c>
      <c r="X105" s="281" t="e">
        <f>W105*'PCA Cost Tables - READ ONLY'!$G$3</f>
        <v>#VALUE!</v>
      </c>
      <c r="Y105" s="66"/>
    </row>
    <row r="106" spans="1:25" ht="15.75" thickBot="1" x14ac:dyDescent="0.3">
      <c r="A106" s="7"/>
      <c r="B106" s="8"/>
      <c r="C106" s="256"/>
      <c r="D106" s="268" t="s">
        <v>186</v>
      </c>
      <c r="E106" s="23"/>
      <c r="F106" s="259"/>
      <c r="G106" s="3"/>
      <c r="H106" s="245" t="s">
        <v>84</v>
      </c>
      <c r="I106" s="3"/>
      <c r="J106" s="245" t="s">
        <v>85</v>
      </c>
      <c r="K106" s="3"/>
      <c r="L106" s="245" t="s">
        <v>86</v>
      </c>
      <c r="M106" s="6"/>
      <c r="N106" s="245" t="s">
        <v>87</v>
      </c>
      <c r="O106" s="3"/>
      <c r="P106" s="245" t="s">
        <v>92</v>
      </c>
      <c r="Q106" s="3"/>
      <c r="R106" s="4" t="s">
        <v>92</v>
      </c>
      <c r="S106" s="23"/>
      <c r="T106" s="279" t="e">
        <f>'Base Information'!$B$23*'Physical Condition Assessment'!E106*'PCA Cost Tables - READ ONLY'!O95*'Physical Condition Assessment'!S106*'PCA Cost Tables - READ ONLY'!$G$1*'County Cost Factor - READ ONLY'!$D$40</f>
        <v>#VALUE!</v>
      </c>
      <c r="U106" s="280" t="e">
        <f t="shared" si="10"/>
        <v>#VALUE!</v>
      </c>
      <c r="V106" s="280" t="e">
        <f>T106*'PCA Cost Tables - READ ONLY'!$G$1</f>
        <v>#VALUE!</v>
      </c>
      <c r="W106" s="280" t="e">
        <f>V106*'PCA Cost Tables - READ ONLY'!$G$3</f>
        <v>#VALUE!</v>
      </c>
      <c r="X106" s="281" t="e">
        <f>W106*'PCA Cost Tables - READ ONLY'!$G$3</f>
        <v>#VALUE!</v>
      </c>
      <c r="Y106" s="66"/>
    </row>
    <row r="107" spans="1:25" ht="15.75" thickBot="1" x14ac:dyDescent="0.3">
      <c r="A107" s="7"/>
      <c r="B107" s="8"/>
      <c r="C107" s="256" t="s">
        <v>187</v>
      </c>
      <c r="D107" s="268" t="s">
        <v>188</v>
      </c>
      <c r="E107" s="23"/>
      <c r="F107" s="259"/>
      <c r="G107" s="3"/>
      <c r="H107" s="245" t="s">
        <v>84</v>
      </c>
      <c r="I107" s="6"/>
      <c r="J107" s="245" t="s">
        <v>85</v>
      </c>
      <c r="K107" s="6"/>
      <c r="L107" s="245" t="s">
        <v>86</v>
      </c>
      <c r="M107" s="6"/>
      <c r="N107" s="245" t="s">
        <v>87</v>
      </c>
      <c r="O107" s="3"/>
      <c r="P107" s="245" t="s">
        <v>92</v>
      </c>
      <c r="Q107" s="3"/>
      <c r="R107" s="4" t="s">
        <v>92</v>
      </c>
      <c r="S107" s="23"/>
      <c r="T107" s="279" t="e">
        <f>'Base Information'!$B$23*'Physical Condition Assessment'!E107*'PCA Cost Tables - READ ONLY'!O96*'Physical Condition Assessment'!S107*'PCA Cost Tables - READ ONLY'!$G$1*'County Cost Factor - READ ONLY'!$D$40</f>
        <v>#VALUE!</v>
      </c>
      <c r="U107" s="280" t="e">
        <f t="shared" si="10"/>
        <v>#VALUE!</v>
      </c>
      <c r="V107" s="280" t="e">
        <f>T107*'PCA Cost Tables - READ ONLY'!$G$1</f>
        <v>#VALUE!</v>
      </c>
      <c r="W107" s="280" t="e">
        <f>V107*'PCA Cost Tables - READ ONLY'!$G$3</f>
        <v>#VALUE!</v>
      </c>
      <c r="X107" s="281" t="e">
        <f>W107*'PCA Cost Tables - READ ONLY'!$G$3</f>
        <v>#VALUE!</v>
      </c>
      <c r="Y107" s="66"/>
    </row>
    <row r="108" spans="1:25" ht="15.75" thickBot="1" x14ac:dyDescent="0.3">
      <c r="A108" s="7"/>
      <c r="B108" s="8"/>
      <c r="C108" s="256"/>
      <c r="D108" s="268" t="s">
        <v>189</v>
      </c>
      <c r="E108" s="23"/>
      <c r="F108" s="259"/>
      <c r="G108" s="3"/>
      <c r="H108" s="245" t="s">
        <v>84</v>
      </c>
      <c r="I108" s="6"/>
      <c r="J108" s="245" t="s">
        <v>85</v>
      </c>
      <c r="K108" s="3"/>
      <c r="L108" s="245" t="s">
        <v>86</v>
      </c>
      <c r="M108" s="6"/>
      <c r="N108" s="245" t="s">
        <v>87</v>
      </c>
      <c r="O108" s="3"/>
      <c r="P108" s="245" t="s">
        <v>92</v>
      </c>
      <c r="Q108" s="3"/>
      <c r="R108" s="4" t="s">
        <v>92</v>
      </c>
      <c r="S108" s="23"/>
      <c r="T108" s="279" t="e">
        <f>'Base Information'!$B$23*'Physical Condition Assessment'!E108*'PCA Cost Tables - READ ONLY'!O97*'Physical Condition Assessment'!S108*'PCA Cost Tables - READ ONLY'!$G$1*'County Cost Factor - READ ONLY'!$D$40</f>
        <v>#VALUE!</v>
      </c>
      <c r="U108" s="280" t="e">
        <f t="shared" si="10"/>
        <v>#VALUE!</v>
      </c>
      <c r="V108" s="280" t="e">
        <f>T108*'PCA Cost Tables - READ ONLY'!$G$1</f>
        <v>#VALUE!</v>
      </c>
      <c r="W108" s="280" t="e">
        <f>V108*'PCA Cost Tables - READ ONLY'!$G$3</f>
        <v>#VALUE!</v>
      </c>
      <c r="X108" s="281" t="e">
        <f>W108*'PCA Cost Tables - READ ONLY'!$G$3</f>
        <v>#VALUE!</v>
      </c>
      <c r="Y108" s="66"/>
    </row>
    <row r="109" spans="1:25" ht="15.75" thickBot="1" x14ac:dyDescent="0.3">
      <c r="A109" s="7"/>
      <c r="B109" s="8"/>
      <c r="C109" s="256"/>
      <c r="D109" s="268" t="s">
        <v>190</v>
      </c>
      <c r="E109" s="23"/>
      <c r="F109" s="259"/>
      <c r="G109" s="3"/>
      <c r="H109" s="245" t="s">
        <v>84</v>
      </c>
      <c r="I109" s="3"/>
      <c r="J109" s="245" t="s">
        <v>85</v>
      </c>
      <c r="K109" s="6"/>
      <c r="L109" s="245" t="s">
        <v>86</v>
      </c>
      <c r="M109" s="6"/>
      <c r="N109" s="245" t="s">
        <v>87</v>
      </c>
      <c r="O109" s="3"/>
      <c r="P109" s="245" t="s">
        <v>92</v>
      </c>
      <c r="Q109" s="3"/>
      <c r="R109" s="4" t="s">
        <v>92</v>
      </c>
      <c r="S109" s="23"/>
      <c r="T109" s="279" t="e">
        <f>'Base Information'!$B$23*'Physical Condition Assessment'!E109*'PCA Cost Tables - READ ONLY'!O98*'Physical Condition Assessment'!S109*'PCA Cost Tables - READ ONLY'!$G$1*'County Cost Factor - READ ONLY'!$D$40</f>
        <v>#VALUE!</v>
      </c>
      <c r="U109" s="280" t="e">
        <f t="shared" si="10"/>
        <v>#VALUE!</v>
      </c>
      <c r="V109" s="280" t="e">
        <f>T109*'PCA Cost Tables - READ ONLY'!$G$1</f>
        <v>#VALUE!</v>
      </c>
      <c r="W109" s="280" t="e">
        <f>V109*'PCA Cost Tables - READ ONLY'!$G$3</f>
        <v>#VALUE!</v>
      </c>
      <c r="X109" s="281" t="e">
        <f>W109*'PCA Cost Tables - READ ONLY'!$G$3</f>
        <v>#VALUE!</v>
      </c>
      <c r="Y109" s="66"/>
    </row>
    <row r="110" spans="1:25" ht="15.75" thickBot="1" x14ac:dyDescent="0.3">
      <c r="A110" s="7"/>
      <c r="B110" s="8"/>
      <c r="C110" s="256" t="s">
        <v>191</v>
      </c>
      <c r="D110" s="268"/>
      <c r="E110" s="23"/>
      <c r="F110" s="259"/>
      <c r="G110" s="3"/>
      <c r="H110" s="245" t="s">
        <v>84</v>
      </c>
      <c r="I110" s="6"/>
      <c r="J110" s="245" t="s">
        <v>85</v>
      </c>
      <c r="K110" s="6"/>
      <c r="L110" s="245" t="s">
        <v>86</v>
      </c>
      <c r="M110" s="3"/>
      <c r="N110" s="245" t="s">
        <v>87</v>
      </c>
      <c r="O110" s="3"/>
      <c r="P110" s="245" t="s">
        <v>92</v>
      </c>
      <c r="Q110" s="3"/>
      <c r="R110" s="4" t="s">
        <v>92</v>
      </c>
      <c r="S110" s="23"/>
      <c r="T110" s="279" t="e">
        <f>'Base Information'!$B$23*'Physical Condition Assessment'!E110*'PCA Cost Tables - READ ONLY'!O99*'Physical Condition Assessment'!S110*'PCA Cost Tables - READ ONLY'!$G$1*'County Cost Factor - READ ONLY'!$D$40</f>
        <v>#VALUE!</v>
      </c>
      <c r="U110" s="280" t="e">
        <f t="shared" si="10"/>
        <v>#VALUE!</v>
      </c>
      <c r="V110" s="280" t="e">
        <f>T110*'PCA Cost Tables - READ ONLY'!$G$1</f>
        <v>#VALUE!</v>
      </c>
      <c r="W110" s="280" t="e">
        <f>V110*'PCA Cost Tables - READ ONLY'!$G$3</f>
        <v>#VALUE!</v>
      </c>
      <c r="X110" s="281" t="e">
        <f>W110*'PCA Cost Tables - READ ONLY'!$G$3</f>
        <v>#VALUE!</v>
      </c>
      <c r="Y110" s="66"/>
    </row>
    <row r="111" spans="1:25" ht="15.75" thickBot="1" x14ac:dyDescent="0.3">
      <c r="A111" s="7"/>
      <c r="B111" s="8"/>
      <c r="C111" s="256" t="s">
        <v>192</v>
      </c>
      <c r="D111" s="268"/>
      <c r="E111" s="23"/>
      <c r="F111" s="259"/>
      <c r="G111" s="3"/>
      <c r="H111" s="245" t="s">
        <v>84</v>
      </c>
      <c r="I111" s="6"/>
      <c r="J111" s="245" t="s">
        <v>85</v>
      </c>
      <c r="K111" s="6"/>
      <c r="L111" s="245" t="s">
        <v>86</v>
      </c>
      <c r="M111" s="6"/>
      <c r="N111" s="245" t="s">
        <v>87</v>
      </c>
      <c r="O111" s="3"/>
      <c r="P111" s="245" t="s">
        <v>92</v>
      </c>
      <c r="Q111" s="3"/>
      <c r="R111" s="4" t="s">
        <v>92</v>
      </c>
      <c r="S111" s="123"/>
      <c r="T111" s="279" t="e">
        <f>'Base Information'!$B$23*'Physical Condition Assessment'!E111*'PCA Cost Tables - READ ONLY'!O100*'Physical Condition Assessment'!S111*'PCA Cost Tables - READ ONLY'!$G$1*'County Cost Factor - READ ONLY'!$D$40</f>
        <v>#VALUE!</v>
      </c>
      <c r="U111" s="280" t="e">
        <f t="shared" si="10"/>
        <v>#VALUE!</v>
      </c>
      <c r="V111" s="280" t="e">
        <f>T111*'PCA Cost Tables - READ ONLY'!$G$1</f>
        <v>#VALUE!</v>
      </c>
      <c r="W111" s="280" t="e">
        <f>V111*'PCA Cost Tables - READ ONLY'!$G$3</f>
        <v>#VALUE!</v>
      </c>
      <c r="X111" s="281" t="e">
        <f>W111*'PCA Cost Tables - READ ONLY'!$G$3</f>
        <v>#VALUE!</v>
      </c>
      <c r="Y111" s="124"/>
    </row>
    <row r="112" spans="1:25" ht="15.75" thickBot="1" x14ac:dyDescent="0.3">
      <c r="A112" s="7"/>
      <c r="B112" s="8"/>
      <c r="C112" s="256" t="s">
        <v>193</v>
      </c>
      <c r="D112" s="268" t="s">
        <v>97</v>
      </c>
      <c r="E112" s="38"/>
      <c r="F112" s="259"/>
      <c r="G112" s="6"/>
      <c r="H112" s="245" t="s">
        <v>84</v>
      </c>
      <c r="I112" s="6"/>
      <c r="J112" s="245" t="s">
        <v>85</v>
      </c>
      <c r="K112" s="6"/>
      <c r="L112" s="245" t="s">
        <v>86</v>
      </c>
      <c r="M112" s="6"/>
      <c r="N112" s="245" t="s">
        <v>87</v>
      </c>
      <c r="O112" s="6"/>
      <c r="P112" s="245" t="s">
        <v>92</v>
      </c>
      <c r="Q112" s="6"/>
      <c r="R112" s="4" t="s">
        <v>92</v>
      </c>
      <c r="S112" s="38"/>
      <c r="T112" s="125"/>
      <c r="U112" s="125"/>
      <c r="V112" s="125"/>
      <c r="W112" s="125"/>
      <c r="X112" s="125"/>
      <c r="Y112" s="67"/>
    </row>
    <row r="113" spans="1:25" ht="15.75" thickBot="1" x14ac:dyDescent="0.3">
      <c r="A113" s="7"/>
      <c r="B113" s="257" t="s">
        <v>194</v>
      </c>
      <c r="C113" s="260"/>
      <c r="D113" s="260"/>
      <c r="E113" s="145"/>
      <c r="F113" s="259"/>
      <c r="H113" s="245"/>
      <c r="J113" s="245"/>
      <c r="L113" s="245"/>
      <c r="N113" s="245"/>
      <c r="P113" s="245"/>
      <c r="S113" s="145"/>
      <c r="T113" s="1"/>
      <c r="U113" s="1"/>
      <c r="V113" s="1"/>
      <c r="W113" s="1"/>
      <c r="X113" s="1"/>
      <c r="Y113" s="301"/>
    </row>
    <row r="114" spans="1:25" ht="15.75" thickBot="1" x14ac:dyDescent="0.3">
      <c r="A114" s="7"/>
      <c r="B114" s="8"/>
      <c r="C114" s="256" t="s">
        <v>195</v>
      </c>
      <c r="D114" s="268"/>
      <c r="E114" s="23"/>
      <c r="F114" s="259"/>
      <c r="G114" s="3"/>
      <c r="H114" s="245" t="s">
        <v>84</v>
      </c>
      <c r="I114" s="6"/>
      <c r="J114" s="245" t="s">
        <v>85</v>
      </c>
      <c r="K114" s="3"/>
      <c r="L114" s="245" t="s">
        <v>86</v>
      </c>
      <c r="M114" s="6"/>
      <c r="N114" s="245" t="s">
        <v>87</v>
      </c>
      <c r="O114" s="3"/>
      <c r="P114" s="245" t="s">
        <v>92</v>
      </c>
      <c r="Q114" s="3"/>
      <c r="R114" s="4" t="s">
        <v>92</v>
      </c>
      <c r="S114" s="23"/>
      <c r="T114" s="276" t="e">
        <f>'Base Information'!$B$23*'Physical Condition Assessment'!E114*'PCA Cost Tables - READ ONLY'!O103*'Physical Condition Assessment'!S114*'PCA Cost Tables - READ ONLY'!$G$1*'County Cost Factor - READ ONLY'!$D$40</f>
        <v>#VALUE!</v>
      </c>
      <c r="U114" s="277" t="e">
        <f>V114-T114</f>
        <v>#VALUE!</v>
      </c>
      <c r="V114" s="277" t="e">
        <f>T114*'PCA Cost Tables - READ ONLY'!$G$1</f>
        <v>#VALUE!</v>
      </c>
      <c r="W114" s="277" t="e">
        <f>V114*'PCA Cost Tables - READ ONLY'!$G$3</f>
        <v>#VALUE!</v>
      </c>
      <c r="X114" s="278" t="e">
        <f>W114*'PCA Cost Tables - READ ONLY'!$G$3</f>
        <v>#VALUE!</v>
      </c>
      <c r="Y114" s="66"/>
    </row>
    <row r="115" spans="1:25" ht="15.75" thickBot="1" x14ac:dyDescent="0.3">
      <c r="A115" s="7"/>
      <c r="B115" s="8"/>
      <c r="C115" s="256" t="s">
        <v>196</v>
      </c>
      <c r="D115" s="268"/>
      <c r="E115" s="23"/>
      <c r="F115" s="259"/>
      <c r="G115" s="3"/>
      <c r="H115" s="245" t="s">
        <v>84</v>
      </c>
      <c r="I115" s="6"/>
      <c r="J115" s="245" t="s">
        <v>85</v>
      </c>
      <c r="K115" s="3"/>
      <c r="L115" s="245" t="s">
        <v>86</v>
      </c>
      <c r="M115" s="6"/>
      <c r="N115" s="245" t="s">
        <v>87</v>
      </c>
      <c r="O115" s="3"/>
      <c r="P115" s="245" t="s">
        <v>92</v>
      </c>
      <c r="Q115" s="3"/>
      <c r="R115" s="4" t="s">
        <v>92</v>
      </c>
      <c r="S115" s="23"/>
      <c r="T115" s="279" t="e">
        <f>'Base Information'!$B$23*'Physical Condition Assessment'!E115*'PCA Cost Tables - READ ONLY'!O104*'Physical Condition Assessment'!S115*'PCA Cost Tables - READ ONLY'!$G$1*'County Cost Factor - READ ONLY'!$D$40</f>
        <v>#VALUE!</v>
      </c>
      <c r="U115" s="280" t="e">
        <f t="shared" ref="U115:U116" si="11">V115-T115</f>
        <v>#VALUE!</v>
      </c>
      <c r="V115" s="280" t="e">
        <f>T115*'PCA Cost Tables - READ ONLY'!$G$1</f>
        <v>#VALUE!</v>
      </c>
      <c r="W115" s="280" t="e">
        <f>V115*'PCA Cost Tables - READ ONLY'!$G$3</f>
        <v>#VALUE!</v>
      </c>
      <c r="X115" s="281" t="e">
        <f>W115*'PCA Cost Tables - READ ONLY'!$G$3</f>
        <v>#VALUE!</v>
      </c>
      <c r="Y115" s="66"/>
    </row>
    <row r="116" spans="1:25" ht="15.75" thickBot="1" x14ac:dyDescent="0.3">
      <c r="A116" s="7"/>
      <c r="B116" s="8"/>
      <c r="C116" s="256" t="s">
        <v>197</v>
      </c>
      <c r="D116" s="268"/>
      <c r="E116" s="23"/>
      <c r="F116" s="259"/>
      <c r="G116" s="3"/>
      <c r="H116" s="245" t="s">
        <v>84</v>
      </c>
      <c r="I116" s="6"/>
      <c r="J116" s="245" t="s">
        <v>85</v>
      </c>
      <c r="K116" s="3"/>
      <c r="L116" s="245" t="s">
        <v>86</v>
      </c>
      <c r="M116" s="6"/>
      <c r="N116" s="245" t="s">
        <v>87</v>
      </c>
      <c r="O116" s="3"/>
      <c r="P116" s="245" t="s">
        <v>92</v>
      </c>
      <c r="Q116" s="3"/>
      <c r="R116" s="4" t="s">
        <v>92</v>
      </c>
      <c r="S116" s="123"/>
      <c r="T116" s="279" t="e">
        <f>'Base Information'!$B$23*'Physical Condition Assessment'!E116*'PCA Cost Tables - READ ONLY'!O105*'Physical Condition Assessment'!S116*'PCA Cost Tables - READ ONLY'!$G$1*'County Cost Factor - READ ONLY'!$D$40</f>
        <v>#VALUE!</v>
      </c>
      <c r="U116" s="280" t="e">
        <f t="shared" si="11"/>
        <v>#VALUE!</v>
      </c>
      <c r="V116" s="280" t="e">
        <f>T116*'PCA Cost Tables - READ ONLY'!$G$1</f>
        <v>#VALUE!</v>
      </c>
      <c r="W116" s="280" t="e">
        <f>V116*'PCA Cost Tables - READ ONLY'!$G$3</f>
        <v>#VALUE!</v>
      </c>
      <c r="X116" s="281" t="e">
        <f>W116*'PCA Cost Tables - READ ONLY'!$G$3</f>
        <v>#VALUE!</v>
      </c>
      <c r="Y116" s="124"/>
    </row>
    <row r="117" spans="1:25" ht="15.75" thickBot="1" x14ac:dyDescent="0.3">
      <c r="A117" s="7"/>
      <c r="B117" s="8"/>
      <c r="C117" s="256" t="s">
        <v>198</v>
      </c>
      <c r="D117" s="268" t="s">
        <v>97</v>
      </c>
      <c r="E117" s="38"/>
      <c r="F117" s="259"/>
      <c r="G117" s="6"/>
      <c r="H117" s="245" t="s">
        <v>84</v>
      </c>
      <c r="I117" s="6"/>
      <c r="J117" s="245" t="s">
        <v>85</v>
      </c>
      <c r="K117" s="6"/>
      <c r="L117" s="245" t="s">
        <v>86</v>
      </c>
      <c r="M117" s="6"/>
      <c r="N117" s="245" t="s">
        <v>87</v>
      </c>
      <c r="O117" s="6"/>
      <c r="P117" s="245" t="s">
        <v>92</v>
      </c>
      <c r="Q117" s="6"/>
      <c r="R117" s="4" t="s">
        <v>92</v>
      </c>
      <c r="S117" s="38"/>
      <c r="T117" s="125"/>
      <c r="U117" s="125"/>
      <c r="V117" s="125"/>
      <c r="W117" s="125"/>
      <c r="X117" s="125"/>
      <c r="Y117" s="67"/>
    </row>
    <row r="118" spans="1:25" ht="15.75" thickBot="1" x14ac:dyDescent="0.3">
      <c r="A118" s="7"/>
      <c r="B118" s="257" t="s">
        <v>199</v>
      </c>
      <c r="C118" s="263"/>
      <c r="D118" s="263"/>
      <c r="E118" s="145"/>
      <c r="F118" s="259"/>
      <c r="H118" s="245"/>
      <c r="J118" s="245"/>
      <c r="L118" s="245"/>
      <c r="N118" s="245"/>
      <c r="P118" s="245"/>
      <c r="S118" s="145"/>
      <c r="T118" s="1"/>
      <c r="U118" s="1"/>
      <c r="V118" s="1"/>
      <c r="W118" s="1"/>
      <c r="X118" s="1"/>
      <c r="Y118" s="301"/>
    </row>
    <row r="119" spans="1:25" ht="15.75" thickBot="1" x14ac:dyDescent="0.3">
      <c r="A119" s="7"/>
      <c r="B119" s="8"/>
      <c r="C119" s="256" t="s">
        <v>200</v>
      </c>
      <c r="D119" s="268"/>
      <c r="E119" s="23"/>
      <c r="F119" s="259"/>
      <c r="G119" s="3"/>
      <c r="H119" s="245" t="s">
        <v>84</v>
      </c>
      <c r="I119" s="6"/>
      <c r="J119" s="245" t="s">
        <v>85</v>
      </c>
      <c r="K119" s="3"/>
      <c r="L119" s="245" t="s">
        <v>86</v>
      </c>
      <c r="M119" s="3"/>
      <c r="N119" s="245" t="s">
        <v>87</v>
      </c>
      <c r="O119" s="3"/>
      <c r="P119" s="245" t="s">
        <v>92</v>
      </c>
      <c r="Q119" s="3"/>
      <c r="R119" s="4" t="s">
        <v>92</v>
      </c>
      <c r="S119" s="23"/>
      <c r="T119" s="276" t="e">
        <f>'Base Information'!$B$23*'Physical Condition Assessment'!E119*'PCA Cost Tables - READ ONLY'!O108*'Physical Condition Assessment'!S119*'PCA Cost Tables - READ ONLY'!$G$1*'County Cost Factor - READ ONLY'!$D$40</f>
        <v>#VALUE!</v>
      </c>
      <c r="U119" s="277" t="e">
        <f>V119-T119</f>
        <v>#VALUE!</v>
      </c>
      <c r="V119" s="277" t="e">
        <f>T119*'PCA Cost Tables - READ ONLY'!$G$1</f>
        <v>#VALUE!</v>
      </c>
      <c r="W119" s="277" t="e">
        <f>V119*'PCA Cost Tables - READ ONLY'!$G$3</f>
        <v>#VALUE!</v>
      </c>
      <c r="X119" s="278" t="e">
        <f>W119*'PCA Cost Tables - READ ONLY'!$G$3</f>
        <v>#VALUE!</v>
      </c>
      <c r="Y119" s="66"/>
    </row>
    <row r="120" spans="1:25" ht="15.75" thickBot="1" x14ac:dyDescent="0.3">
      <c r="A120" s="7"/>
      <c r="B120" s="8"/>
      <c r="C120" s="256" t="s">
        <v>201</v>
      </c>
      <c r="D120" s="268"/>
      <c r="E120" s="23"/>
      <c r="F120" s="259"/>
      <c r="G120" s="3"/>
      <c r="H120" s="245" t="s">
        <v>84</v>
      </c>
      <c r="I120" s="6"/>
      <c r="J120" s="245" t="s">
        <v>85</v>
      </c>
      <c r="K120" s="6"/>
      <c r="L120" s="245" t="s">
        <v>86</v>
      </c>
      <c r="M120" s="3"/>
      <c r="N120" s="245" t="s">
        <v>87</v>
      </c>
      <c r="O120" s="3"/>
      <c r="P120" s="245" t="s">
        <v>92</v>
      </c>
      <c r="Q120" s="3"/>
      <c r="R120" s="4" t="s">
        <v>92</v>
      </c>
      <c r="S120" s="23"/>
      <c r="T120" s="279" t="e">
        <f>'Base Information'!$B$23*'Physical Condition Assessment'!E120*'PCA Cost Tables - READ ONLY'!O109*'Physical Condition Assessment'!S120*'PCA Cost Tables - READ ONLY'!$G$1*'County Cost Factor - READ ONLY'!$D$40</f>
        <v>#VALUE!</v>
      </c>
      <c r="U120" s="280" t="e">
        <f t="shared" ref="U120:U127" si="12">V120-T120</f>
        <v>#VALUE!</v>
      </c>
      <c r="V120" s="280" t="e">
        <f>T120*'PCA Cost Tables - READ ONLY'!$G$1</f>
        <v>#VALUE!</v>
      </c>
      <c r="W120" s="280" t="e">
        <f>V120*'PCA Cost Tables - READ ONLY'!$G$3</f>
        <v>#VALUE!</v>
      </c>
      <c r="X120" s="281" t="e">
        <f>W120*'PCA Cost Tables - READ ONLY'!$G$3</f>
        <v>#VALUE!</v>
      </c>
      <c r="Y120" s="66"/>
    </row>
    <row r="121" spans="1:25" ht="15.75" thickBot="1" x14ac:dyDescent="0.3">
      <c r="A121" s="7"/>
      <c r="B121" s="8"/>
      <c r="C121" s="256" t="s">
        <v>202</v>
      </c>
      <c r="D121" s="268" t="s">
        <v>203</v>
      </c>
      <c r="E121" s="23"/>
      <c r="F121" s="259"/>
      <c r="G121" s="3"/>
      <c r="H121" s="245" t="s">
        <v>84</v>
      </c>
      <c r="I121" s="6"/>
      <c r="J121" s="245" t="s">
        <v>85</v>
      </c>
      <c r="K121" s="3"/>
      <c r="L121" s="245" t="s">
        <v>86</v>
      </c>
      <c r="M121" s="3"/>
      <c r="N121" s="245" t="s">
        <v>87</v>
      </c>
      <c r="O121" s="3"/>
      <c r="P121" s="245" t="s">
        <v>92</v>
      </c>
      <c r="Q121" s="3"/>
      <c r="R121" s="4" t="s">
        <v>92</v>
      </c>
      <c r="S121" s="23"/>
      <c r="T121" s="279" t="e">
        <f>'Base Information'!$B$23*'Physical Condition Assessment'!E121*'PCA Cost Tables - READ ONLY'!O110*'Physical Condition Assessment'!S121*'PCA Cost Tables - READ ONLY'!$G$1*'County Cost Factor - READ ONLY'!$D$40</f>
        <v>#VALUE!</v>
      </c>
      <c r="U121" s="280" t="e">
        <f t="shared" si="12"/>
        <v>#VALUE!</v>
      </c>
      <c r="V121" s="280" t="e">
        <f>T121*'PCA Cost Tables - READ ONLY'!$G$1</f>
        <v>#VALUE!</v>
      </c>
      <c r="W121" s="280" t="e">
        <f>V121*'PCA Cost Tables - READ ONLY'!$G$3</f>
        <v>#VALUE!</v>
      </c>
      <c r="X121" s="281" t="e">
        <f>W121*'PCA Cost Tables - READ ONLY'!$G$3</f>
        <v>#VALUE!</v>
      </c>
      <c r="Y121" s="66"/>
    </row>
    <row r="122" spans="1:25" ht="15.75" thickBot="1" x14ac:dyDescent="0.3">
      <c r="A122" s="7"/>
      <c r="B122" s="8"/>
      <c r="C122" s="256"/>
      <c r="D122" s="268" t="s">
        <v>204</v>
      </c>
      <c r="E122" s="23"/>
      <c r="F122" s="259"/>
      <c r="G122" s="3"/>
      <c r="H122" s="245" t="s">
        <v>84</v>
      </c>
      <c r="I122" s="6"/>
      <c r="J122" s="245" t="s">
        <v>85</v>
      </c>
      <c r="K122" s="3"/>
      <c r="L122" s="245" t="s">
        <v>86</v>
      </c>
      <c r="M122" s="3"/>
      <c r="N122" s="245" t="s">
        <v>87</v>
      </c>
      <c r="O122" s="3"/>
      <c r="P122" s="245" t="s">
        <v>92</v>
      </c>
      <c r="Q122" s="3"/>
      <c r="R122" s="4" t="s">
        <v>92</v>
      </c>
      <c r="S122" s="23"/>
      <c r="T122" s="279" t="e">
        <f>'Base Information'!$B$23*'Physical Condition Assessment'!E122*'PCA Cost Tables - READ ONLY'!O111*'Physical Condition Assessment'!S122*'PCA Cost Tables - READ ONLY'!$G$1*'County Cost Factor - READ ONLY'!$D$40</f>
        <v>#VALUE!</v>
      </c>
      <c r="U122" s="280" t="e">
        <f t="shared" si="12"/>
        <v>#VALUE!</v>
      </c>
      <c r="V122" s="280" t="e">
        <f>T122*'PCA Cost Tables - READ ONLY'!$G$1</f>
        <v>#VALUE!</v>
      </c>
      <c r="W122" s="280" t="e">
        <f>V122*'PCA Cost Tables - READ ONLY'!$G$3</f>
        <v>#VALUE!</v>
      </c>
      <c r="X122" s="281" t="e">
        <f>W122*'PCA Cost Tables - READ ONLY'!$G$3</f>
        <v>#VALUE!</v>
      </c>
      <c r="Y122" s="66"/>
    </row>
    <row r="123" spans="1:25" ht="15.75" thickBot="1" x14ac:dyDescent="0.3">
      <c r="A123" s="7"/>
      <c r="B123" s="8"/>
      <c r="C123" s="256"/>
      <c r="D123" s="268" t="s">
        <v>205</v>
      </c>
      <c r="E123" s="23"/>
      <c r="F123" s="259"/>
      <c r="G123" s="3"/>
      <c r="H123" s="245" t="s">
        <v>84</v>
      </c>
      <c r="I123" s="6"/>
      <c r="J123" s="245" t="s">
        <v>85</v>
      </c>
      <c r="K123" s="3"/>
      <c r="L123" s="245" t="s">
        <v>86</v>
      </c>
      <c r="M123" s="3"/>
      <c r="N123" s="245" t="s">
        <v>87</v>
      </c>
      <c r="O123" s="3"/>
      <c r="P123" s="245" t="s">
        <v>92</v>
      </c>
      <c r="Q123" s="3"/>
      <c r="R123" s="4" t="s">
        <v>92</v>
      </c>
      <c r="S123" s="23"/>
      <c r="T123" s="279" t="e">
        <f>'Base Information'!$B$23*'Physical Condition Assessment'!E123*'PCA Cost Tables - READ ONLY'!O112*'Physical Condition Assessment'!S123*'PCA Cost Tables - READ ONLY'!$G$1*'County Cost Factor - READ ONLY'!$D$40</f>
        <v>#VALUE!</v>
      </c>
      <c r="U123" s="280" t="e">
        <f t="shared" si="12"/>
        <v>#VALUE!</v>
      </c>
      <c r="V123" s="280" t="e">
        <f>T123*'PCA Cost Tables - READ ONLY'!$G$1</f>
        <v>#VALUE!</v>
      </c>
      <c r="W123" s="280" t="e">
        <f>V123*'PCA Cost Tables - READ ONLY'!$G$3</f>
        <v>#VALUE!</v>
      </c>
      <c r="X123" s="281" t="e">
        <f>W123*'PCA Cost Tables - READ ONLY'!$G$3</f>
        <v>#VALUE!</v>
      </c>
      <c r="Y123" s="66"/>
    </row>
    <row r="124" spans="1:25" ht="15.75" thickBot="1" x14ac:dyDescent="0.3">
      <c r="A124" s="7"/>
      <c r="B124" s="8"/>
      <c r="C124" s="256"/>
      <c r="D124" s="268" t="s">
        <v>206</v>
      </c>
      <c r="E124" s="23"/>
      <c r="F124" s="259"/>
      <c r="G124" s="3"/>
      <c r="H124" s="245" t="s">
        <v>84</v>
      </c>
      <c r="I124" s="6"/>
      <c r="J124" s="245" t="s">
        <v>85</v>
      </c>
      <c r="K124" s="3"/>
      <c r="L124" s="245" t="s">
        <v>86</v>
      </c>
      <c r="M124" s="3"/>
      <c r="N124" s="245" t="s">
        <v>87</v>
      </c>
      <c r="O124" s="3"/>
      <c r="P124" s="245" t="s">
        <v>92</v>
      </c>
      <c r="Q124" s="3"/>
      <c r="R124" s="4" t="s">
        <v>92</v>
      </c>
      <c r="S124" s="23"/>
      <c r="T124" s="279" t="e">
        <f>'Base Information'!$B$23*'Physical Condition Assessment'!E124*'PCA Cost Tables - READ ONLY'!O113*'Physical Condition Assessment'!S124*'PCA Cost Tables - READ ONLY'!$G$1*'County Cost Factor - READ ONLY'!$D$40</f>
        <v>#VALUE!</v>
      </c>
      <c r="U124" s="280" t="e">
        <f t="shared" si="12"/>
        <v>#VALUE!</v>
      </c>
      <c r="V124" s="280" t="e">
        <f>T124*'PCA Cost Tables - READ ONLY'!$G$1</f>
        <v>#VALUE!</v>
      </c>
      <c r="W124" s="280" t="e">
        <f>V124*'PCA Cost Tables - READ ONLY'!$G$3</f>
        <v>#VALUE!</v>
      </c>
      <c r="X124" s="281" t="e">
        <f>W124*'PCA Cost Tables - READ ONLY'!$G$3</f>
        <v>#VALUE!</v>
      </c>
      <c r="Y124" s="66"/>
    </row>
    <row r="125" spans="1:25" ht="15.75" thickBot="1" x14ac:dyDescent="0.3">
      <c r="A125" s="7"/>
      <c r="B125" s="8"/>
      <c r="C125" s="256"/>
      <c r="D125" s="268" t="s">
        <v>207</v>
      </c>
      <c r="E125" s="23"/>
      <c r="F125" s="259"/>
      <c r="G125" s="3"/>
      <c r="H125" s="245" t="s">
        <v>84</v>
      </c>
      <c r="I125" s="6"/>
      <c r="J125" s="245" t="s">
        <v>85</v>
      </c>
      <c r="K125" s="3"/>
      <c r="L125" s="245" t="s">
        <v>86</v>
      </c>
      <c r="M125" s="3"/>
      <c r="N125" s="245" t="s">
        <v>87</v>
      </c>
      <c r="O125" s="3"/>
      <c r="P125" s="245" t="s">
        <v>92</v>
      </c>
      <c r="Q125" s="3"/>
      <c r="R125" s="4" t="s">
        <v>92</v>
      </c>
      <c r="S125" s="23"/>
      <c r="T125" s="279" t="e">
        <f>'Base Information'!$B$23*'Physical Condition Assessment'!E125*'PCA Cost Tables - READ ONLY'!O114*'Physical Condition Assessment'!S125*'PCA Cost Tables - READ ONLY'!$G$1*'County Cost Factor - READ ONLY'!$D$40</f>
        <v>#VALUE!</v>
      </c>
      <c r="U125" s="280" t="e">
        <f t="shared" si="12"/>
        <v>#VALUE!</v>
      </c>
      <c r="V125" s="280" t="e">
        <f>T125*'PCA Cost Tables - READ ONLY'!$G$1</f>
        <v>#VALUE!</v>
      </c>
      <c r="W125" s="280" t="e">
        <f>V125*'PCA Cost Tables - READ ONLY'!$G$3</f>
        <v>#VALUE!</v>
      </c>
      <c r="X125" s="281" t="e">
        <f>W125*'PCA Cost Tables - READ ONLY'!$G$3</f>
        <v>#VALUE!</v>
      </c>
      <c r="Y125" s="66"/>
    </row>
    <row r="126" spans="1:25" ht="15.75" thickBot="1" x14ac:dyDescent="0.3">
      <c r="A126" s="7"/>
      <c r="B126" s="8"/>
      <c r="C126" s="256"/>
      <c r="D126" s="268" t="s">
        <v>208</v>
      </c>
      <c r="E126" s="23"/>
      <c r="F126" s="259"/>
      <c r="G126" s="3"/>
      <c r="H126" s="245" t="s">
        <v>84</v>
      </c>
      <c r="I126" s="6"/>
      <c r="J126" s="245" t="s">
        <v>85</v>
      </c>
      <c r="K126" s="3"/>
      <c r="L126" s="245" t="s">
        <v>86</v>
      </c>
      <c r="M126" s="3"/>
      <c r="N126" s="245" t="s">
        <v>87</v>
      </c>
      <c r="P126" s="245" t="s">
        <v>92</v>
      </c>
      <c r="Q126" s="3"/>
      <c r="R126" s="4" t="s">
        <v>92</v>
      </c>
      <c r="S126" s="23"/>
      <c r="T126" s="279" t="e">
        <f>'Base Information'!$B$23*'Physical Condition Assessment'!E126*'PCA Cost Tables - READ ONLY'!O115*'Physical Condition Assessment'!S126*'PCA Cost Tables - READ ONLY'!$G$1*'County Cost Factor - READ ONLY'!$D$40</f>
        <v>#VALUE!</v>
      </c>
      <c r="U126" s="280" t="e">
        <f t="shared" si="12"/>
        <v>#VALUE!</v>
      </c>
      <c r="V126" s="280" t="e">
        <f>T126*'PCA Cost Tables - READ ONLY'!$G$1</f>
        <v>#VALUE!</v>
      </c>
      <c r="W126" s="280" t="e">
        <f>V126*'PCA Cost Tables - READ ONLY'!$G$3</f>
        <v>#VALUE!</v>
      </c>
      <c r="X126" s="281" t="e">
        <f>W126*'PCA Cost Tables - READ ONLY'!$G$3</f>
        <v>#VALUE!</v>
      </c>
      <c r="Y126" s="66"/>
    </row>
    <row r="127" spans="1:25" ht="15.75" thickBot="1" x14ac:dyDescent="0.3">
      <c r="A127" s="7"/>
      <c r="B127" s="8"/>
      <c r="C127" s="256"/>
      <c r="D127" s="268" t="s">
        <v>209</v>
      </c>
      <c r="E127" s="23"/>
      <c r="F127" s="259"/>
      <c r="G127" s="3"/>
      <c r="H127" s="245" t="s">
        <v>84</v>
      </c>
      <c r="I127" s="3"/>
      <c r="J127" s="245" t="s">
        <v>85</v>
      </c>
      <c r="K127" s="6"/>
      <c r="L127" s="245" t="s">
        <v>86</v>
      </c>
      <c r="M127" s="3"/>
      <c r="N127" s="245" t="s">
        <v>87</v>
      </c>
      <c r="O127" s="3"/>
      <c r="P127" s="245" t="s">
        <v>92</v>
      </c>
      <c r="Q127" s="3"/>
      <c r="R127" s="4" t="s">
        <v>92</v>
      </c>
      <c r="S127" s="123"/>
      <c r="T127" s="296" t="e">
        <f>'Base Information'!$B$23*'Physical Condition Assessment'!E127*'PCA Cost Tables - READ ONLY'!O116*'Physical Condition Assessment'!S127*'PCA Cost Tables - READ ONLY'!$G$1*'County Cost Factor - READ ONLY'!$D$40</f>
        <v>#VALUE!</v>
      </c>
      <c r="U127" s="297" t="e">
        <f t="shared" si="12"/>
        <v>#VALUE!</v>
      </c>
      <c r="V127" s="297" t="e">
        <f>T127*'PCA Cost Tables - READ ONLY'!$G$1</f>
        <v>#VALUE!</v>
      </c>
      <c r="W127" s="297" t="e">
        <f>V127*'PCA Cost Tables - READ ONLY'!$G$3</f>
        <v>#VALUE!</v>
      </c>
      <c r="X127" s="298" t="e">
        <f>W127*'PCA Cost Tables - READ ONLY'!$G$3</f>
        <v>#VALUE!</v>
      </c>
      <c r="Y127" s="124"/>
    </row>
    <row r="128" spans="1:25" ht="15.75" thickBot="1" x14ac:dyDescent="0.3">
      <c r="A128" s="7"/>
      <c r="B128" s="8"/>
      <c r="C128" s="256" t="s">
        <v>210</v>
      </c>
      <c r="D128" s="268" t="s">
        <v>97</v>
      </c>
      <c r="E128" s="38"/>
      <c r="F128" s="259"/>
      <c r="G128" s="6"/>
      <c r="H128" s="245" t="s">
        <v>84</v>
      </c>
      <c r="I128" s="6"/>
      <c r="J128" s="245" t="s">
        <v>85</v>
      </c>
      <c r="K128" s="6"/>
      <c r="L128" s="245" t="s">
        <v>86</v>
      </c>
      <c r="M128" s="6"/>
      <c r="N128" s="245" t="s">
        <v>87</v>
      </c>
      <c r="O128" s="6"/>
      <c r="P128" s="245" t="s">
        <v>92</v>
      </c>
      <c r="Q128" s="6"/>
      <c r="R128" s="4" t="s">
        <v>92</v>
      </c>
      <c r="S128" s="38"/>
      <c r="T128" s="125"/>
      <c r="U128" s="125"/>
      <c r="V128" s="125"/>
      <c r="W128" s="125"/>
      <c r="X128" s="125"/>
      <c r="Y128" s="67"/>
    </row>
    <row r="129" spans="1:25" hidden="1" x14ac:dyDescent="0.25">
      <c r="A129" s="7"/>
      <c r="B129" s="8"/>
      <c r="E129" s="145"/>
      <c r="F129" s="259"/>
      <c r="H129" s="245"/>
      <c r="J129" s="245"/>
      <c r="L129" s="245"/>
      <c r="N129" s="245"/>
      <c r="P129" s="245"/>
      <c r="S129" s="145"/>
      <c r="T129" s="1"/>
      <c r="U129" s="1"/>
      <c r="V129" s="1"/>
      <c r="W129" s="1"/>
      <c r="X129" s="1"/>
      <c r="Y129" s="261"/>
    </row>
    <row r="130" spans="1:25" x14ac:dyDescent="0.25">
      <c r="A130" s="374" t="s">
        <v>211</v>
      </c>
      <c r="B130" s="375"/>
      <c r="C130" s="375"/>
      <c r="D130" s="253"/>
      <c r="E130" s="253"/>
      <c r="F130" s="253"/>
      <c r="G130" s="254"/>
      <c r="H130" s="255"/>
      <c r="I130" s="254"/>
      <c r="J130" s="255"/>
      <c r="K130" s="254"/>
      <c r="L130" s="255"/>
      <c r="M130" s="254"/>
      <c r="N130" s="255"/>
      <c r="O130" s="254"/>
      <c r="P130" s="255"/>
      <c r="Q130" s="254"/>
      <c r="R130" s="255"/>
      <c r="S130" s="352"/>
      <c r="T130" s="253"/>
      <c r="U130" s="253"/>
      <c r="V130" s="253"/>
      <c r="W130" s="253"/>
      <c r="X130" s="253"/>
      <c r="Y130" s="303"/>
    </row>
    <row r="131" spans="1:25" ht="15.75" thickBot="1" x14ac:dyDescent="0.3">
      <c r="A131" s="7"/>
      <c r="B131" s="257" t="s">
        <v>212</v>
      </c>
      <c r="C131" s="263"/>
      <c r="D131" s="263"/>
      <c r="E131" s="145"/>
      <c r="F131" s="259"/>
      <c r="H131" s="245"/>
      <c r="J131" s="245"/>
      <c r="L131" s="245"/>
      <c r="N131" s="245"/>
      <c r="P131" s="245"/>
      <c r="S131" s="145"/>
      <c r="T131" s="1"/>
      <c r="U131" s="1"/>
      <c r="V131" s="1"/>
      <c r="W131" s="1"/>
      <c r="X131" s="1"/>
      <c r="Y131" s="301"/>
    </row>
    <row r="132" spans="1:25" ht="15.75" thickBot="1" x14ac:dyDescent="0.3">
      <c r="A132" s="7"/>
      <c r="B132" s="8"/>
      <c r="C132" s="256" t="s">
        <v>213</v>
      </c>
      <c r="D132" s="268" t="s">
        <v>214</v>
      </c>
      <c r="E132" s="23"/>
      <c r="F132" s="259"/>
      <c r="G132" s="3"/>
      <c r="H132" s="245" t="s">
        <v>84</v>
      </c>
      <c r="I132" s="3"/>
      <c r="J132" s="245" t="s">
        <v>85</v>
      </c>
      <c r="K132" s="3"/>
      <c r="L132" s="245" t="s">
        <v>86</v>
      </c>
      <c r="M132" s="3"/>
      <c r="N132" s="245" t="s">
        <v>87</v>
      </c>
      <c r="O132" s="3"/>
      <c r="P132" s="245" t="s">
        <v>92</v>
      </c>
      <c r="Q132" s="3"/>
      <c r="R132" s="4" t="s">
        <v>92</v>
      </c>
      <c r="S132" s="23"/>
      <c r="T132" s="276" t="e">
        <f>'Base Information'!$B$23*'Physical Condition Assessment'!E132*'PCA Cost Tables - READ ONLY'!O121*'Physical Condition Assessment'!S132*'PCA Cost Tables - READ ONLY'!$G$1*'County Cost Factor - READ ONLY'!$D$40</f>
        <v>#VALUE!</v>
      </c>
      <c r="U132" s="277" t="e">
        <f>V132-T132</f>
        <v>#VALUE!</v>
      </c>
      <c r="V132" s="277" t="e">
        <f>T132*'PCA Cost Tables - READ ONLY'!$G$1</f>
        <v>#VALUE!</v>
      </c>
      <c r="W132" s="277" t="e">
        <f>V132*'PCA Cost Tables - READ ONLY'!$G$3</f>
        <v>#VALUE!</v>
      </c>
      <c r="X132" s="278" t="e">
        <f>W132*'PCA Cost Tables - READ ONLY'!$G$3</f>
        <v>#VALUE!</v>
      </c>
      <c r="Y132" s="66"/>
    </row>
    <row r="133" spans="1:25" ht="15.75" thickBot="1" x14ac:dyDescent="0.3">
      <c r="A133" s="7"/>
      <c r="B133" s="8"/>
      <c r="C133" s="256"/>
      <c r="D133" s="268" t="s">
        <v>215</v>
      </c>
      <c r="E133" s="23"/>
      <c r="F133" s="259"/>
      <c r="G133" s="3"/>
      <c r="H133" s="245" t="s">
        <v>84</v>
      </c>
      <c r="I133" s="3"/>
      <c r="J133" s="245" t="s">
        <v>85</v>
      </c>
      <c r="K133" s="6"/>
      <c r="L133" s="245" t="s">
        <v>86</v>
      </c>
      <c r="M133" s="3"/>
      <c r="N133" s="245" t="s">
        <v>87</v>
      </c>
      <c r="O133" s="3"/>
      <c r="P133" s="245" t="s">
        <v>92</v>
      </c>
      <c r="Q133" s="3"/>
      <c r="R133" s="4" t="s">
        <v>92</v>
      </c>
      <c r="S133" s="23"/>
      <c r="T133" s="279" t="e">
        <f>'Base Information'!$B$23*'Physical Condition Assessment'!E133*'PCA Cost Tables - READ ONLY'!O122*'Physical Condition Assessment'!S133*'PCA Cost Tables - READ ONLY'!$G$1*'County Cost Factor - READ ONLY'!$D$40</f>
        <v>#VALUE!</v>
      </c>
      <c r="U133" s="280" t="e">
        <f t="shared" ref="U133:U137" si="13">V133-T133</f>
        <v>#VALUE!</v>
      </c>
      <c r="V133" s="280" t="e">
        <f>T133*'PCA Cost Tables - READ ONLY'!$G$1</f>
        <v>#VALUE!</v>
      </c>
      <c r="W133" s="280" t="e">
        <f>V133*'PCA Cost Tables - READ ONLY'!$G$3</f>
        <v>#VALUE!</v>
      </c>
      <c r="X133" s="281" t="e">
        <f>W133*'PCA Cost Tables - READ ONLY'!$G$3</f>
        <v>#VALUE!</v>
      </c>
      <c r="Y133" s="66"/>
    </row>
    <row r="134" spans="1:25" ht="15.75" thickBot="1" x14ac:dyDescent="0.3">
      <c r="A134" s="7"/>
      <c r="B134" s="8"/>
      <c r="C134" s="256" t="s">
        <v>216</v>
      </c>
      <c r="D134" s="268" t="s">
        <v>217</v>
      </c>
      <c r="E134" s="353"/>
      <c r="F134" s="259"/>
      <c r="G134" s="3"/>
      <c r="H134" s="245" t="s">
        <v>84</v>
      </c>
      <c r="I134" s="6"/>
      <c r="J134" s="245" t="s">
        <v>85</v>
      </c>
      <c r="K134" s="3"/>
      <c r="L134" s="245" t="s">
        <v>86</v>
      </c>
      <c r="M134" s="3"/>
      <c r="N134" s="245" t="s">
        <v>87</v>
      </c>
      <c r="O134" s="3"/>
      <c r="P134" s="245" t="s">
        <v>92</v>
      </c>
      <c r="Q134" s="3"/>
      <c r="R134" s="4" t="s">
        <v>92</v>
      </c>
      <c r="S134" s="23"/>
      <c r="T134" s="279" t="e">
        <f>'Physical Condition Assessment'!E134*'PCA Cost Tables - READ ONLY'!O123*'Physical Condition Assessment'!S134*'PCA Cost Tables - READ ONLY'!$G$1*'County Cost Factor - READ ONLY'!$D$40</f>
        <v>#VALUE!</v>
      </c>
      <c r="U134" s="280" t="e">
        <f t="shared" si="13"/>
        <v>#VALUE!</v>
      </c>
      <c r="V134" s="280" t="e">
        <f>T134*'PCA Cost Tables - READ ONLY'!$G$1</f>
        <v>#VALUE!</v>
      </c>
      <c r="W134" s="280" t="e">
        <f>V134*'PCA Cost Tables - READ ONLY'!$G$3</f>
        <v>#VALUE!</v>
      </c>
      <c r="X134" s="281" t="e">
        <f>W134*'PCA Cost Tables - READ ONLY'!$G$3</f>
        <v>#VALUE!</v>
      </c>
      <c r="Y134" s="66"/>
    </row>
    <row r="135" spans="1:25" ht="15.75" thickBot="1" x14ac:dyDescent="0.3">
      <c r="A135" s="7"/>
      <c r="B135" s="8"/>
      <c r="C135" s="256"/>
      <c r="D135" s="268" t="s">
        <v>218</v>
      </c>
      <c r="E135" s="353"/>
      <c r="F135" s="259"/>
      <c r="G135" s="3"/>
      <c r="H135" s="245" t="s">
        <v>84</v>
      </c>
      <c r="I135" s="6"/>
      <c r="J135" s="245" t="s">
        <v>85</v>
      </c>
      <c r="K135" s="3"/>
      <c r="L135" s="245" t="s">
        <v>86</v>
      </c>
      <c r="M135" s="3"/>
      <c r="N135" s="245" t="s">
        <v>87</v>
      </c>
      <c r="O135" s="3"/>
      <c r="P135" s="245" t="s">
        <v>92</v>
      </c>
      <c r="Q135" s="3"/>
      <c r="R135" s="4" t="s">
        <v>92</v>
      </c>
      <c r="S135" s="23"/>
      <c r="T135" s="279" t="e">
        <f>'Physical Condition Assessment'!E135*'PCA Cost Tables - READ ONLY'!O124*'Physical Condition Assessment'!S135*'PCA Cost Tables - READ ONLY'!$G$1*'County Cost Factor - READ ONLY'!$D$40</f>
        <v>#VALUE!</v>
      </c>
      <c r="U135" s="280" t="e">
        <f t="shared" si="13"/>
        <v>#VALUE!</v>
      </c>
      <c r="V135" s="280" t="e">
        <f>T135*'PCA Cost Tables - READ ONLY'!$G$1</f>
        <v>#VALUE!</v>
      </c>
      <c r="W135" s="280" t="e">
        <f>V135*'PCA Cost Tables - READ ONLY'!$G$3</f>
        <v>#VALUE!</v>
      </c>
      <c r="X135" s="281" t="e">
        <f>W135*'PCA Cost Tables - READ ONLY'!$G$3</f>
        <v>#VALUE!</v>
      </c>
      <c r="Y135" s="66"/>
    </row>
    <row r="136" spans="1:25" ht="15.75" thickBot="1" x14ac:dyDescent="0.3">
      <c r="A136" s="7"/>
      <c r="B136" s="8"/>
      <c r="C136" s="256"/>
      <c r="D136" s="268" t="s">
        <v>219</v>
      </c>
      <c r="E136" s="353"/>
      <c r="F136" s="259"/>
      <c r="G136" s="3"/>
      <c r="H136" s="245" t="s">
        <v>84</v>
      </c>
      <c r="I136" s="6"/>
      <c r="J136" s="245" t="s">
        <v>85</v>
      </c>
      <c r="K136" s="3"/>
      <c r="L136" s="245" t="s">
        <v>86</v>
      </c>
      <c r="M136" s="3"/>
      <c r="N136" s="245" t="s">
        <v>87</v>
      </c>
      <c r="O136" s="3"/>
      <c r="P136" s="245" t="s">
        <v>92</v>
      </c>
      <c r="Q136" s="3"/>
      <c r="R136" s="4" t="s">
        <v>92</v>
      </c>
      <c r="S136" s="23"/>
      <c r="T136" s="279" t="e">
        <f>'Physical Condition Assessment'!E136*'PCA Cost Tables - READ ONLY'!O125*'Physical Condition Assessment'!S136*'PCA Cost Tables - READ ONLY'!$G$1*'County Cost Factor - READ ONLY'!$D$40</f>
        <v>#VALUE!</v>
      </c>
      <c r="U136" s="280" t="e">
        <f t="shared" si="13"/>
        <v>#VALUE!</v>
      </c>
      <c r="V136" s="280" t="e">
        <f>T136*'PCA Cost Tables - READ ONLY'!$G$1</f>
        <v>#VALUE!</v>
      </c>
      <c r="W136" s="280" t="e">
        <f>V136*'PCA Cost Tables - READ ONLY'!$G$3</f>
        <v>#VALUE!</v>
      </c>
      <c r="X136" s="281" t="e">
        <f>W136*'PCA Cost Tables - READ ONLY'!$G$3</f>
        <v>#VALUE!</v>
      </c>
      <c r="Y136" s="66" t="s">
        <v>220</v>
      </c>
    </row>
    <row r="137" spans="1:25" ht="15.75" thickBot="1" x14ac:dyDescent="0.3">
      <c r="A137" s="7"/>
      <c r="B137" s="8"/>
      <c r="C137" s="256"/>
      <c r="D137" s="268" t="s">
        <v>221</v>
      </c>
      <c r="E137" s="23"/>
      <c r="F137" s="259"/>
      <c r="G137" s="3"/>
      <c r="H137" s="245" t="s">
        <v>84</v>
      </c>
      <c r="I137" s="3"/>
      <c r="J137" s="245" t="s">
        <v>85</v>
      </c>
      <c r="K137" s="3"/>
      <c r="L137" s="245" t="s">
        <v>86</v>
      </c>
      <c r="M137" s="3"/>
      <c r="N137" s="245" t="s">
        <v>87</v>
      </c>
      <c r="O137" s="3"/>
      <c r="P137" s="245" t="s">
        <v>92</v>
      </c>
      <c r="Q137" s="3"/>
      <c r="S137" s="123"/>
      <c r="T137" s="279" t="e">
        <f>'Base Information'!$B$23*'Physical Condition Assessment'!E137*'PCA Cost Tables - READ ONLY'!O126*'Physical Condition Assessment'!S137*'PCA Cost Tables - READ ONLY'!$G$1*'County Cost Factor - READ ONLY'!$D$40</f>
        <v>#VALUE!</v>
      </c>
      <c r="U137" s="280" t="e">
        <f t="shared" si="13"/>
        <v>#VALUE!</v>
      </c>
      <c r="V137" s="280" t="e">
        <f>T137*'PCA Cost Tables - READ ONLY'!$G$1</f>
        <v>#VALUE!</v>
      </c>
      <c r="W137" s="280" t="e">
        <f>V137*'PCA Cost Tables - READ ONLY'!$G$3</f>
        <v>#VALUE!</v>
      </c>
      <c r="X137" s="281" t="e">
        <f>W137*'PCA Cost Tables - READ ONLY'!$G$3</f>
        <v>#VALUE!</v>
      </c>
      <c r="Y137" s="124"/>
    </row>
    <row r="138" spans="1:25" ht="15.75" thickBot="1" x14ac:dyDescent="0.3">
      <c r="A138" s="7"/>
      <c r="B138" s="8"/>
      <c r="C138" s="256" t="s">
        <v>222</v>
      </c>
      <c r="D138" s="268" t="s">
        <v>97</v>
      </c>
      <c r="E138" s="38"/>
      <c r="F138" s="259"/>
      <c r="G138" s="6"/>
      <c r="H138" s="245" t="s">
        <v>84</v>
      </c>
      <c r="I138" s="6"/>
      <c r="J138" s="245" t="s">
        <v>85</v>
      </c>
      <c r="K138" s="6"/>
      <c r="L138" s="245" t="s">
        <v>86</v>
      </c>
      <c r="M138" s="6"/>
      <c r="N138" s="245" t="s">
        <v>87</v>
      </c>
      <c r="O138" s="6"/>
      <c r="P138" s="245" t="s">
        <v>92</v>
      </c>
      <c r="Q138" s="6"/>
      <c r="R138" s="4" t="s">
        <v>92</v>
      </c>
      <c r="S138" s="38"/>
      <c r="T138" s="126"/>
      <c r="U138" s="126"/>
      <c r="V138" s="126"/>
      <c r="W138" s="126"/>
      <c r="X138" s="126"/>
      <c r="Y138" s="67"/>
    </row>
    <row r="139" spans="1:25" ht="15.75" thickBot="1" x14ac:dyDescent="0.3">
      <c r="A139" s="7"/>
      <c r="B139" s="8"/>
      <c r="C139" s="256" t="s">
        <v>223</v>
      </c>
      <c r="D139" s="268" t="s">
        <v>97</v>
      </c>
      <c r="E139" s="38"/>
      <c r="F139" s="259"/>
      <c r="G139" s="6"/>
      <c r="H139" s="245" t="s">
        <v>84</v>
      </c>
      <c r="I139" s="6"/>
      <c r="J139" s="245" t="s">
        <v>85</v>
      </c>
      <c r="K139" s="6"/>
      <c r="L139" s="245" t="s">
        <v>86</v>
      </c>
      <c r="M139" s="6"/>
      <c r="N139" s="245" t="s">
        <v>87</v>
      </c>
      <c r="O139" s="6"/>
      <c r="P139" s="245" t="s">
        <v>92</v>
      </c>
      <c r="Q139" s="6"/>
      <c r="R139" s="4" t="s">
        <v>92</v>
      </c>
      <c r="S139" s="38"/>
      <c r="T139" s="127"/>
      <c r="U139" s="127"/>
      <c r="V139" s="127"/>
      <c r="W139" s="127"/>
      <c r="X139" s="127"/>
      <c r="Y139" s="67"/>
    </row>
    <row r="140" spans="1:25" ht="15.75" thickBot="1" x14ac:dyDescent="0.3">
      <c r="A140" s="7"/>
      <c r="B140" s="257" t="s">
        <v>224</v>
      </c>
      <c r="C140" s="260"/>
      <c r="D140" s="260"/>
      <c r="E140" s="145"/>
      <c r="F140" s="259"/>
      <c r="H140" s="245"/>
      <c r="J140" s="245"/>
      <c r="L140" s="245"/>
      <c r="N140" s="245"/>
      <c r="P140" s="245"/>
      <c r="S140" s="145"/>
      <c r="T140" s="1"/>
      <c r="U140" s="1"/>
      <c r="V140" s="1"/>
      <c r="W140" s="1"/>
      <c r="X140" s="1"/>
      <c r="Y140" s="301"/>
    </row>
    <row r="141" spans="1:25" ht="15.75" thickBot="1" x14ac:dyDescent="0.3">
      <c r="A141" s="7"/>
      <c r="B141" s="8"/>
      <c r="C141" s="292" t="s">
        <v>225</v>
      </c>
      <c r="D141" s="293"/>
      <c r="E141" s="23"/>
      <c r="F141" s="259"/>
      <c r="G141" s="3"/>
      <c r="H141" s="245" t="s">
        <v>84</v>
      </c>
      <c r="I141" s="3"/>
      <c r="J141" s="245" t="s">
        <v>85</v>
      </c>
      <c r="K141" s="3"/>
      <c r="L141" s="245" t="s">
        <v>86</v>
      </c>
      <c r="M141" s="3"/>
      <c r="N141" s="245" t="s">
        <v>87</v>
      </c>
      <c r="O141" s="3"/>
      <c r="P141" s="245" t="s">
        <v>92</v>
      </c>
      <c r="Q141" s="3"/>
      <c r="R141" s="4" t="s">
        <v>92</v>
      </c>
      <c r="S141" s="23"/>
      <c r="T141" s="276" t="e">
        <f>'Base Information'!$B$23*'Physical Condition Assessment'!E141*'PCA Cost Tables - READ ONLY'!O130*'Physical Condition Assessment'!S141*'PCA Cost Tables - READ ONLY'!$G$1*'County Cost Factor - READ ONLY'!$D$40</f>
        <v>#VALUE!</v>
      </c>
      <c r="U141" s="277" t="e">
        <f>V141-T141</f>
        <v>#VALUE!</v>
      </c>
      <c r="V141" s="277" t="e">
        <f>T141*'PCA Cost Tables - READ ONLY'!$G$1</f>
        <v>#VALUE!</v>
      </c>
      <c r="W141" s="277" t="e">
        <f>V141*'PCA Cost Tables - READ ONLY'!$G$3</f>
        <v>#VALUE!</v>
      </c>
      <c r="X141" s="278" t="e">
        <f>W141*'PCA Cost Tables - READ ONLY'!$G$3</f>
        <v>#VALUE!</v>
      </c>
      <c r="Y141" s="66"/>
    </row>
    <row r="142" spans="1:25" ht="15.75" thickBot="1" x14ac:dyDescent="0.3">
      <c r="A142" s="7"/>
      <c r="B142" s="8"/>
      <c r="C142" s="256" t="s">
        <v>226</v>
      </c>
      <c r="D142" s="268"/>
      <c r="E142" s="23"/>
      <c r="F142" s="259"/>
      <c r="G142" s="3"/>
      <c r="H142" s="245" t="s">
        <v>84</v>
      </c>
      <c r="I142" s="6"/>
      <c r="J142" s="245" t="s">
        <v>85</v>
      </c>
      <c r="K142" s="6"/>
      <c r="L142" s="245" t="s">
        <v>86</v>
      </c>
      <c r="M142" s="6"/>
      <c r="N142" s="245" t="s">
        <v>87</v>
      </c>
      <c r="O142" s="3"/>
      <c r="P142" s="245" t="s">
        <v>92</v>
      </c>
      <c r="Q142" s="3"/>
      <c r="R142" s="4" t="s">
        <v>92</v>
      </c>
      <c r="S142" s="23"/>
      <c r="T142" s="295" t="e">
        <f>'Base Information'!$B$23*'Physical Condition Assessment'!E142*'PCA Cost Tables - READ ONLY'!O131*'Physical Condition Assessment'!S142*'PCA Cost Tables - READ ONLY'!$G$1*'County Cost Factor - READ ONLY'!$D$40</f>
        <v>#VALUE!</v>
      </c>
      <c r="U142" s="286" t="e">
        <f>V142-T142</f>
        <v>#VALUE!</v>
      </c>
      <c r="V142" s="286" t="e">
        <f>T142*'PCA Cost Tables - READ ONLY'!$G$1</f>
        <v>#VALUE!</v>
      </c>
      <c r="W142" s="286" t="e">
        <f>V142*'PCA Cost Tables - READ ONLY'!$G$3</f>
        <v>#VALUE!</v>
      </c>
      <c r="X142" s="287" t="e">
        <f>W142*'PCA Cost Tables - READ ONLY'!$G$3</f>
        <v>#VALUE!</v>
      </c>
      <c r="Y142" s="66"/>
    </row>
    <row r="143" spans="1:25" x14ac:dyDescent="0.25">
      <c r="A143" s="374" t="s">
        <v>815</v>
      </c>
      <c r="B143" s="375"/>
      <c r="C143" s="375"/>
      <c r="D143" s="253"/>
      <c r="E143" s="253"/>
      <c r="F143" s="253"/>
      <c r="G143" s="254"/>
      <c r="H143" s="255"/>
      <c r="I143" s="254"/>
      <c r="J143" s="255"/>
      <c r="K143" s="254"/>
      <c r="L143" s="255"/>
      <c r="M143" s="254"/>
      <c r="N143" s="255"/>
      <c r="O143" s="254"/>
      <c r="P143" s="255"/>
      <c r="Q143" s="254"/>
      <c r="R143" s="255"/>
      <c r="S143" s="352"/>
      <c r="T143" s="294"/>
      <c r="U143" s="294"/>
      <c r="V143" s="294"/>
      <c r="W143" s="294"/>
      <c r="X143" s="294"/>
      <c r="Y143" s="303"/>
    </row>
    <row r="144" spans="1:25" x14ac:dyDescent="0.25">
      <c r="A144" s="264"/>
      <c r="B144" s="260"/>
      <c r="C144" s="260"/>
      <c r="D144" s="260"/>
      <c r="E144" s="260"/>
      <c r="F144" s="260"/>
      <c r="G144" s="265"/>
      <c r="H144" s="245"/>
      <c r="I144" s="265"/>
      <c r="J144" s="245"/>
      <c r="K144" s="265"/>
      <c r="L144" s="245"/>
      <c r="M144" s="265"/>
      <c r="N144" s="245"/>
      <c r="O144" s="265"/>
      <c r="P144" s="245"/>
      <c r="Q144" s="265"/>
      <c r="R144" s="245"/>
      <c r="S144" s="266"/>
      <c r="T144" s="260"/>
      <c r="U144" s="260"/>
      <c r="V144" s="260"/>
      <c r="W144" s="260"/>
      <c r="X144" s="260"/>
      <c r="Y144" s="304"/>
    </row>
    <row r="145" spans="1:25" x14ac:dyDescent="0.25">
      <c r="A145" s="374" t="s">
        <v>228</v>
      </c>
      <c r="B145" s="375"/>
      <c r="C145" s="375"/>
      <c r="D145" s="253"/>
      <c r="E145" s="253"/>
      <c r="F145" s="253"/>
      <c r="G145" s="254"/>
      <c r="H145" s="255"/>
      <c r="I145" s="254"/>
      <c r="J145" s="255"/>
      <c r="K145" s="254"/>
      <c r="L145" s="255"/>
      <c r="M145" s="254"/>
      <c r="N145" s="255"/>
      <c r="O145" s="254"/>
      <c r="P145" s="255"/>
      <c r="Q145" s="254"/>
      <c r="R145" s="255"/>
      <c r="S145" s="352"/>
      <c r="T145" s="253"/>
      <c r="U145" s="253"/>
      <c r="V145" s="253"/>
      <c r="W145" s="253"/>
      <c r="X145" s="253"/>
      <c r="Y145" s="303"/>
    </row>
    <row r="146" spans="1:25" x14ac:dyDescent="0.25">
      <c r="B146" s="262" t="s">
        <v>229</v>
      </c>
      <c r="C146" s="258"/>
      <c r="D146" s="263" t="s">
        <v>97</v>
      </c>
      <c r="E146" s="266"/>
      <c r="F146" s="266"/>
      <c r="G146" s="265"/>
      <c r="H146" s="245"/>
      <c r="I146" s="265"/>
      <c r="J146" s="245"/>
      <c r="K146" s="265"/>
      <c r="L146" s="245"/>
      <c r="M146" s="265"/>
      <c r="N146" s="245"/>
      <c r="O146" s="265"/>
      <c r="P146" s="245"/>
      <c r="Q146" s="265"/>
      <c r="R146" s="245"/>
      <c r="S146" s="266"/>
      <c r="T146" s="260"/>
      <c r="U146" s="260"/>
      <c r="V146" s="260"/>
      <c r="W146" s="260"/>
      <c r="X146" s="260"/>
      <c r="Y146" s="304"/>
    </row>
    <row r="147" spans="1:25" ht="15.75" thickBot="1" x14ac:dyDescent="0.3">
      <c r="B147" s="257" t="s">
        <v>230</v>
      </c>
      <c r="C147" s="260"/>
      <c r="D147" s="260"/>
      <c r="E147" s="145"/>
      <c r="F147" s="259"/>
      <c r="H147" s="245"/>
      <c r="J147" s="245"/>
      <c r="L147" s="245"/>
      <c r="N147" s="245"/>
      <c r="P147" s="245"/>
      <c r="S147" s="145"/>
      <c r="T147" s="1"/>
      <c r="U147" s="1"/>
      <c r="V147" s="1"/>
      <c r="W147" s="1"/>
      <c r="X147" s="1"/>
      <c r="Y147" s="301"/>
    </row>
    <row r="148" spans="1:25" ht="15.75" thickBot="1" x14ac:dyDescent="0.3">
      <c r="B148" s="8"/>
      <c r="C148" s="256" t="s">
        <v>231</v>
      </c>
      <c r="D148" s="268"/>
      <c r="E148" s="353"/>
      <c r="F148" s="259"/>
      <c r="G148" s="3"/>
      <c r="H148" s="245" t="s">
        <v>84</v>
      </c>
      <c r="I148" s="3"/>
      <c r="J148" s="245" t="s">
        <v>85</v>
      </c>
      <c r="K148" s="6"/>
      <c r="L148" s="245" t="s">
        <v>86</v>
      </c>
      <c r="M148" s="3"/>
      <c r="N148" s="245" t="s">
        <v>87</v>
      </c>
      <c r="O148" s="3"/>
      <c r="P148" s="245" t="s">
        <v>92</v>
      </c>
      <c r="Q148" s="3"/>
      <c r="R148" s="4" t="s">
        <v>92</v>
      </c>
      <c r="S148" s="23"/>
      <c r="T148" s="276" t="e">
        <f>'Physical Condition Assessment'!E148*'PCA Cost Tables - READ ONLY'!O137*'Physical Condition Assessment'!S148*'PCA Cost Tables - READ ONLY'!$G$1*'County Cost Factor - READ ONLY'!$D$40</f>
        <v>#VALUE!</v>
      </c>
      <c r="U148" s="277" t="e">
        <f>V148-T148</f>
        <v>#VALUE!</v>
      </c>
      <c r="V148" s="277" t="e">
        <f>T148*'PCA Cost Tables - READ ONLY'!$G$1</f>
        <v>#VALUE!</v>
      </c>
      <c r="W148" s="277" t="e">
        <f>V148*'PCA Cost Tables - READ ONLY'!$G$3</f>
        <v>#VALUE!</v>
      </c>
      <c r="X148" s="278" t="e">
        <f>W148*'PCA Cost Tables - READ ONLY'!$G$3</f>
        <v>#VALUE!</v>
      </c>
      <c r="Y148" s="5" t="s">
        <v>232</v>
      </c>
    </row>
    <row r="149" spans="1:25" ht="15.75" thickBot="1" x14ac:dyDescent="0.3">
      <c r="B149" s="8"/>
      <c r="C149" s="256" t="s">
        <v>233</v>
      </c>
      <c r="D149" s="268"/>
      <c r="E149" s="353"/>
      <c r="F149" s="259"/>
      <c r="G149" s="3"/>
      <c r="H149" s="245" t="s">
        <v>84</v>
      </c>
      <c r="I149" s="3"/>
      <c r="J149" s="245" t="s">
        <v>85</v>
      </c>
      <c r="K149" s="6"/>
      <c r="L149" s="245" t="s">
        <v>86</v>
      </c>
      <c r="M149" s="3"/>
      <c r="N149" s="245" t="s">
        <v>87</v>
      </c>
      <c r="O149" s="3"/>
      <c r="P149" s="245" t="s">
        <v>92</v>
      </c>
      <c r="Q149" s="3"/>
      <c r="R149" s="4" t="s">
        <v>92</v>
      </c>
      <c r="S149" s="23"/>
      <c r="T149" s="279" t="e">
        <f>'Physical Condition Assessment'!E149*'PCA Cost Tables - READ ONLY'!O138*'Physical Condition Assessment'!S149*'PCA Cost Tables - READ ONLY'!$G$1*'County Cost Factor - READ ONLY'!$D$40</f>
        <v>#VALUE!</v>
      </c>
      <c r="U149" s="280" t="e">
        <f t="shared" ref="U149:U160" si="14">V149-T149</f>
        <v>#VALUE!</v>
      </c>
      <c r="V149" s="280" t="e">
        <f>T149*'PCA Cost Tables - READ ONLY'!$G$1</f>
        <v>#VALUE!</v>
      </c>
      <c r="W149" s="280" t="e">
        <f>V149*'PCA Cost Tables - READ ONLY'!$G$3</f>
        <v>#VALUE!</v>
      </c>
      <c r="X149" s="281" t="e">
        <f>W149*'PCA Cost Tables - READ ONLY'!$G$3</f>
        <v>#VALUE!</v>
      </c>
      <c r="Y149" s="5" t="s">
        <v>232</v>
      </c>
    </row>
    <row r="150" spans="1:25" ht="15.75" thickBot="1" x14ac:dyDescent="0.3">
      <c r="B150" s="8"/>
      <c r="C150" s="256" t="s">
        <v>234</v>
      </c>
      <c r="D150" s="268"/>
      <c r="E150" s="353"/>
      <c r="F150" s="259"/>
      <c r="G150" s="3"/>
      <c r="H150" s="245" t="s">
        <v>84</v>
      </c>
      <c r="I150" s="6"/>
      <c r="J150" s="245" t="s">
        <v>85</v>
      </c>
      <c r="K150" s="6"/>
      <c r="L150" s="245" t="s">
        <v>86</v>
      </c>
      <c r="M150" s="3"/>
      <c r="N150" s="245" t="s">
        <v>87</v>
      </c>
      <c r="O150" s="3"/>
      <c r="P150" s="245" t="s">
        <v>92</v>
      </c>
      <c r="Q150" s="3"/>
      <c r="R150" s="4" t="s">
        <v>92</v>
      </c>
      <c r="S150" s="23"/>
      <c r="T150" s="279" t="e">
        <f>'Physical Condition Assessment'!E150*'PCA Cost Tables - READ ONLY'!O139*'Physical Condition Assessment'!S150*'PCA Cost Tables - READ ONLY'!$G$1*'County Cost Factor - READ ONLY'!$D$40</f>
        <v>#VALUE!</v>
      </c>
      <c r="U150" s="280" t="e">
        <f t="shared" si="14"/>
        <v>#VALUE!</v>
      </c>
      <c r="V150" s="280" t="e">
        <f>T150*'PCA Cost Tables - READ ONLY'!$G$1</f>
        <v>#VALUE!</v>
      </c>
      <c r="W150" s="280" t="e">
        <f>V150*'PCA Cost Tables - READ ONLY'!$G$3</f>
        <v>#VALUE!</v>
      </c>
      <c r="X150" s="281" t="e">
        <f>W150*'PCA Cost Tables - READ ONLY'!$G$3</f>
        <v>#VALUE!</v>
      </c>
      <c r="Y150" s="5" t="s">
        <v>232</v>
      </c>
    </row>
    <row r="151" spans="1:25" ht="15.75" thickBot="1" x14ac:dyDescent="0.3">
      <c r="B151" s="8"/>
      <c r="C151" s="256" t="s">
        <v>235</v>
      </c>
      <c r="D151" s="268"/>
      <c r="E151" s="353"/>
      <c r="F151" s="259"/>
      <c r="G151" s="3"/>
      <c r="H151" s="245" t="s">
        <v>84</v>
      </c>
      <c r="I151" s="6"/>
      <c r="J151" s="245" t="s">
        <v>85</v>
      </c>
      <c r="K151" s="6"/>
      <c r="L151" s="245" t="s">
        <v>86</v>
      </c>
      <c r="M151" s="3"/>
      <c r="N151" s="245" t="s">
        <v>87</v>
      </c>
      <c r="O151" s="3"/>
      <c r="P151" s="245" t="s">
        <v>92</v>
      </c>
      <c r="Q151" s="3"/>
      <c r="R151" s="4" t="s">
        <v>92</v>
      </c>
      <c r="S151" s="23"/>
      <c r="T151" s="279" t="e">
        <f>'Physical Condition Assessment'!E151*'PCA Cost Tables - READ ONLY'!O140*'Physical Condition Assessment'!S151*'PCA Cost Tables - READ ONLY'!$G$1*'County Cost Factor - READ ONLY'!$D$40</f>
        <v>#VALUE!</v>
      </c>
      <c r="U151" s="280" t="e">
        <f t="shared" si="14"/>
        <v>#VALUE!</v>
      </c>
      <c r="V151" s="280" t="e">
        <f>T151*'PCA Cost Tables - READ ONLY'!$G$1</f>
        <v>#VALUE!</v>
      </c>
      <c r="W151" s="280" t="e">
        <f>V151*'PCA Cost Tables - READ ONLY'!$G$3</f>
        <v>#VALUE!</v>
      </c>
      <c r="X151" s="281" t="e">
        <f>W151*'PCA Cost Tables - READ ONLY'!$G$3</f>
        <v>#VALUE!</v>
      </c>
      <c r="Y151" s="5" t="s">
        <v>236</v>
      </c>
    </row>
    <row r="152" spans="1:25" ht="15.75" thickBot="1" x14ac:dyDescent="0.3">
      <c r="C152" s="256" t="s">
        <v>237</v>
      </c>
      <c r="D152" s="268"/>
      <c r="E152" s="353"/>
      <c r="F152" s="259"/>
      <c r="G152" s="3"/>
      <c r="H152" s="245" t="s">
        <v>84</v>
      </c>
      <c r="I152" s="6"/>
      <c r="J152" s="245" t="s">
        <v>85</v>
      </c>
      <c r="K152" s="6"/>
      <c r="L152" s="245" t="s">
        <v>86</v>
      </c>
      <c r="M152" s="6"/>
      <c r="N152" s="245" t="s">
        <v>87</v>
      </c>
      <c r="O152" s="3"/>
      <c r="P152" s="245" t="s">
        <v>92</v>
      </c>
      <c r="Q152" s="3"/>
      <c r="R152" s="4" t="s">
        <v>92</v>
      </c>
      <c r="S152" s="23"/>
      <c r="T152" s="279" t="e">
        <f>'Physical Condition Assessment'!E152*'PCA Cost Tables - READ ONLY'!O141*'Physical Condition Assessment'!S152*'PCA Cost Tables - READ ONLY'!$G$1*'County Cost Factor - READ ONLY'!$D$40</f>
        <v>#VALUE!</v>
      </c>
      <c r="U152" s="280" t="e">
        <f t="shared" si="14"/>
        <v>#VALUE!</v>
      </c>
      <c r="V152" s="280" t="e">
        <f>T152*'PCA Cost Tables - READ ONLY'!$G$1</f>
        <v>#VALUE!</v>
      </c>
      <c r="W152" s="280" t="e">
        <f>V152*'PCA Cost Tables - READ ONLY'!$G$3</f>
        <v>#VALUE!</v>
      </c>
      <c r="X152" s="281" t="e">
        <f>W152*'PCA Cost Tables - READ ONLY'!$G$3</f>
        <v>#VALUE!</v>
      </c>
      <c r="Y152" s="5" t="s">
        <v>238</v>
      </c>
    </row>
    <row r="153" spans="1:25" ht="15.75" thickBot="1" x14ac:dyDescent="0.3">
      <c r="B153" s="257" t="s">
        <v>239</v>
      </c>
      <c r="C153" s="260"/>
      <c r="D153" s="260"/>
      <c r="E153" s="145"/>
      <c r="F153" s="259"/>
      <c r="H153" s="245"/>
      <c r="J153" s="245"/>
      <c r="L153" s="245"/>
      <c r="N153" s="245"/>
      <c r="P153" s="245"/>
      <c r="S153" s="145"/>
      <c r="T153" s="1"/>
      <c r="U153" s="1"/>
      <c r="V153" s="1"/>
      <c r="W153" s="1"/>
      <c r="X153" s="1"/>
      <c r="Y153" s="301"/>
    </row>
    <row r="154" spans="1:25" ht="15.75" thickBot="1" x14ac:dyDescent="0.3">
      <c r="C154" s="256" t="s">
        <v>240</v>
      </c>
      <c r="D154" s="268" t="s">
        <v>241</v>
      </c>
      <c r="E154" s="353"/>
      <c r="F154" s="259"/>
      <c r="G154" s="3"/>
      <c r="H154" s="245" t="s">
        <v>84</v>
      </c>
      <c r="I154" s="6"/>
      <c r="J154" s="245" t="s">
        <v>85</v>
      </c>
      <c r="K154" s="6"/>
      <c r="L154" s="245" t="s">
        <v>86</v>
      </c>
      <c r="M154" s="6"/>
      <c r="N154" s="245" t="s">
        <v>87</v>
      </c>
      <c r="O154" s="3"/>
      <c r="P154" s="245" t="s">
        <v>92</v>
      </c>
      <c r="Q154" s="3"/>
      <c r="R154" s="4" t="s">
        <v>92</v>
      </c>
      <c r="S154" s="23"/>
      <c r="T154" s="276" t="e">
        <f>'Physical Condition Assessment'!E154*'PCA Cost Tables - READ ONLY'!O143*'Physical Condition Assessment'!S154*'PCA Cost Tables - READ ONLY'!$G$1*'County Cost Factor - READ ONLY'!$D$40</f>
        <v>#VALUE!</v>
      </c>
      <c r="U154" s="277" t="e">
        <f t="shared" si="14"/>
        <v>#VALUE!</v>
      </c>
      <c r="V154" s="277" t="e">
        <f>T154*'PCA Cost Tables - READ ONLY'!$G$1</f>
        <v>#VALUE!</v>
      </c>
      <c r="W154" s="277" t="e">
        <f>V154*'PCA Cost Tables - READ ONLY'!$G$3</f>
        <v>#VALUE!</v>
      </c>
      <c r="X154" s="278" t="e">
        <f>W154*'PCA Cost Tables - READ ONLY'!$G$3</f>
        <v>#VALUE!</v>
      </c>
      <c r="Y154" s="66" t="s">
        <v>243</v>
      </c>
    </row>
    <row r="155" spans="1:25" ht="15.75" thickBot="1" x14ac:dyDescent="0.3">
      <c r="C155" s="256"/>
      <c r="D155" s="268" t="s">
        <v>242</v>
      </c>
      <c r="E155" s="353"/>
      <c r="F155" s="259"/>
      <c r="G155" s="3"/>
      <c r="H155" s="245" t="s">
        <v>84</v>
      </c>
      <c r="I155" s="6"/>
      <c r="J155" s="245" t="s">
        <v>85</v>
      </c>
      <c r="K155" s="6"/>
      <c r="L155" s="245" t="s">
        <v>86</v>
      </c>
      <c r="M155" s="6"/>
      <c r="N155" s="245" t="s">
        <v>87</v>
      </c>
      <c r="O155" s="3"/>
      <c r="P155" s="245" t="s">
        <v>92</v>
      </c>
      <c r="Q155" s="3"/>
      <c r="R155" s="4" t="s">
        <v>92</v>
      </c>
      <c r="S155" s="23"/>
      <c r="T155" s="279" t="e">
        <f>'Physical Condition Assessment'!E155*'PCA Cost Tables - READ ONLY'!O144*'Physical Condition Assessment'!S155*'PCA Cost Tables - READ ONLY'!$G$1*'County Cost Factor - READ ONLY'!$D$40</f>
        <v>#VALUE!</v>
      </c>
      <c r="U155" s="280" t="e">
        <f t="shared" si="14"/>
        <v>#VALUE!</v>
      </c>
      <c r="V155" s="280" t="e">
        <f>T155*'PCA Cost Tables - READ ONLY'!$G$1</f>
        <v>#VALUE!</v>
      </c>
      <c r="W155" s="280" t="e">
        <f>V155*'PCA Cost Tables - READ ONLY'!$G$3</f>
        <v>#VALUE!</v>
      </c>
      <c r="X155" s="281" t="e">
        <f>W155*'PCA Cost Tables - READ ONLY'!$G$3</f>
        <v>#VALUE!</v>
      </c>
      <c r="Y155" s="66" t="s">
        <v>859</v>
      </c>
    </row>
    <row r="156" spans="1:25" ht="15.75" thickBot="1" x14ac:dyDescent="0.3">
      <c r="C156" s="256" t="s">
        <v>244</v>
      </c>
      <c r="D156" s="268"/>
      <c r="E156" s="353"/>
      <c r="F156" s="259"/>
      <c r="G156" s="3"/>
      <c r="H156" s="245" t="s">
        <v>84</v>
      </c>
      <c r="I156" s="6"/>
      <c r="J156" s="245" t="s">
        <v>85</v>
      </c>
      <c r="K156" s="6"/>
      <c r="L156" s="245" t="s">
        <v>86</v>
      </c>
      <c r="M156" s="6"/>
      <c r="N156" s="245" t="s">
        <v>87</v>
      </c>
      <c r="O156" s="3"/>
      <c r="P156" s="245" t="s">
        <v>92</v>
      </c>
      <c r="Q156" s="3"/>
      <c r="R156" s="4" t="s">
        <v>92</v>
      </c>
      <c r="S156" s="23"/>
      <c r="T156" s="279" t="e">
        <f>'Physical Condition Assessment'!E156*'PCA Cost Tables - READ ONLY'!O145*'Physical Condition Assessment'!S156*'PCA Cost Tables - READ ONLY'!$G$1*'County Cost Factor - READ ONLY'!$D$40</f>
        <v>#VALUE!</v>
      </c>
      <c r="U156" s="280" t="e">
        <f t="shared" si="14"/>
        <v>#VALUE!</v>
      </c>
      <c r="V156" s="280" t="e">
        <f>T156*'PCA Cost Tables - READ ONLY'!$G$1</f>
        <v>#VALUE!</v>
      </c>
      <c r="W156" s="280" t="e">
        <f>V156*'PCA Cost Tables - READ ONLY'!$G$3</f>
        <v>#VALUE!</v>
      </c>
      <c r="X156" s="281" t="e">
        <f>W156*'PCA Cost Tables - READ ONLY'!$G$3</f>
        <v>#VALUE!</v>
      </c>
      <c r="Y156" s="66" t="s">
        <v>860</v>
      </c>
    </row>
    <row r="157" spans="1:25" ht="15.75" thickBot="1" x14ac:dyDescent="0.3">
      <c r="C157" s="256" t="s">
        <v>245</v>
      </c>
      <c r="D157" s="268"/>
      <c r="E157" s="353"/>
      <c r="F157" s="259"/>
      <c r="G157" s="3"/>
      <c r="H157" s="245" t="s">
        <v>84</v>
      </c>
      <c r="I157" s="3"/>
      <c r="J157" s="245" t="s">
        <v>85</v>
      </c>
      <c r="K157" s="3"/>
      <c r="L157" s="245" t="s">
        <v>86</v>
      </c>
      <c r="M157" s="3"/>
      <c r="N157" s="245" t="s">
        <v>87</v>
      </c>
      <c r="O157" s="3"/>
      <c r="P157" s="245" t="s">
        <v>92</v>
      </c>
      <c r="Q157" s="3"/>
      <c r="R157" s="4" t="s">
        <v>92</v>
      </c>
      <c r="S157" s="23"/>
      <c r="T157" s="279" t="e">
        <f>'Physical Condition Assessment'!E157*'PCA Cost Tables - READ ONLY'!O146*'Physical Condition Assessment'!S157*'PCA Cost Tables - READ ONLY'!$G$1*'County Cost Factor - READ ONLY'!$D$40</f>
        <v>#VALUE!</v>
      </c>
      <c r="U157" s="280" t="e">
        <f t="shared" si="14"/>
        <v>#VALUE!</v>
      </c>
      <c r="V157" s="280" t="e">
        <f>T157*'PCA Cost Tables - READ ONLY'!$G$1</f>
        <v>#VALUE!</v>
      </c>
      <c r="W157" s="280" t="e">
        <f>V157*'PCA Cost Tables - READ ONLY'!$G$3</f>
        <v>#VALUE!</v>
      </c>
      <c r="X157" s="281" t="e">
        <f>W157*'PCA Cost Tables - READ ONLY'!$G$3</f>
        <v>#VALUE!</v>
      </c>
      <c r="Y157" s="66" t="s">
        <v>246</v>
      </c>
    </row>
    <row r="158" spans="1:25" ht="15.75" thickBot="1" x14ac:dyDescent="0.3">
      <c r="C158" s="256" t="s">
        <v>247</v>
      </c>
      <c r="D158" s="268"/>
      <c r="E158" s="353"/>
      <c r="F158" s="259"/>
      <c r="G158" s="3"/>
      <c r="H158" s="245" t="s">
        <v>84</v>
      </c>
      <c r="I158" s="6"/>
      <c r="J158" s="245" t="s">
        <v>85</v>
      </c>
      <c r="K158" s="6"/>
      <c r="L158" s="245" t="s">
        <v>86</v>
      </c>
      <c r="M158" s="6"/>
      <c r="N158" s="245" t="s">
        <v>87</v>
      </c>
      <c r="O158" s="3"/>
      <c r="P158" s="245" t="s">
        <v>92</v>
      </c>
      <c r="Q158" s="3"/>
      <c r="R158" s="4" t="s">
        <v>92</v>
      </c>
      <c r="S158" s="23"/>
      <c r="T158" s="279" t="e">
        <f>'Physical Condition Assessment'!E158*'PCA Cost Tables - READ ONLY'!O147*'Physical Condition Assessment'!S158*'PCA Cost Tables - READ ONLY'!$G$1*'County Cost Factor - READ ONLY'!$D$40</f>
        <v>#VALUE!</v>
      </c>
      <c r="U158" s="280" t="e">
        <f t="shared" si="14"/>
        <v>#VALUE!</v>
      </c>
      <c r="V158" s="280" t="e">
        <f>T158*'PCA Cost Tables - READ ONLY'!$G$1</f>
        <v>#VALUE!</v>
      </c>
      <c r="W158" s="280" t="e">
        <f>V158*'PCA Cost Tables - READ ONLY'!$G$3</f>
        <v>#VALUE!</v>
      </c>
      <c r="X158" s="281" t="e">
        <f>W158*'PCA Cost Tables - READ ONLY'!$G$3</f>
        <v>#VALUE!</v>
      </c>
      <c r="Y158" s="66" t="s">
        <v>861</v>
      </c>
    </row>
    <row r="159" spans="1:25" ht="15.75" thickBot="1" x14ac:dyDescent="0.3">
      <c r="C159" s="256" t="s">
        <v>248</v>
      </c>
      <c r="D159" s="268"/>
      <c r="E159" s="353"/>
      <c r="F159" s="259"/>
      <c r="G159" s="3"/>
      <c r="H159" s="245" t="s">
        <v>84</v>
      </c>
      <c r="I159" s="6"/>
      <c r="J159" s="245" t="s">
        <v>85</v>
      </c>
      <c r="K159" s="6"/>
      <c r="L159" s="245" t="s">
        <v>86</v>
      </c>
      <c r="M159" s="6"/>
      <c r="N159" s="245" t="s">
        <v>87</v>
      </c>
      <c r="O159" s="3"/>
      <c r="P159" s="245" t="s">
        <v>92</v>
      </c>
      <c r="Q159" s="3"/>
      <c r="R159" s="4" t="s">
        <v>92</v>
      </c>
      <c r="S159" s="23"/>
      <c r="T159" s="279" t="e">
        <f>'Physical Condition Assessment'!E159*'PCA Cost Tables - READ ONLY'!O148*'Physical Condition Assessment'!S159*'PCA Cost Tables - READ ONLY'!$G$1*'County Cost Factor - READ ONLY'!$D$40</f>
        <v>#VALUE!</v>
      </c>
      <c r="U159" s="280" t="e">
        <f t="shared" si="14"/>
        <v>#VALUE!</v>
      </c>
      <c r="V159" s="280" t="e">
        <f>T159*'PCA Cost Tables - READ ONLY'!$G$1</f>
        <v>#VALUE!</v>
      </c>
      <c r="W159" s="280" t="e">
        <f>V159*'PCA Cost Tables - READ ONLY'!$G$3</f>
        <v>#VALUE!</v>
      </c>
      <c r="X159" s="281" t="e">
        <f>W159*'PCA Cost Tables - READ ONLY'!$G$3</f>
        <v>#VALUE!</v>
      </c>
      <c r="Y159" s="66" t="s">
        <v>862</v>
      </c>
    </row>
    <row r="160" spans="1:25" ht="15.75" thickBot="1" x14ac:dyDescent="0.3">
      <c r="C160" s="256" t="s">
        <v>249</v>
      </c>
      <c r="D160" s="268"/>
      <c r="E160" s="353"/>
      <c r="F160" s="259"/>
      <c r="G160" s="3"/>
      <c r="H160" s="245" t="s">
        <v>84</v>
      </c>
      <c r="I160" s="6"/>
      <c r="J160" s="245" t="s">
        <v>85</v>
      </c>
      <c r="K160" s="6"/>
      <c r="L160" s="245" t="s">
        <v>86</v>
      </c>
      <c r="M160" s="6"/>
      <c r="N160" s="245" t="s">
        <v>87</v>
      </c>
      <c r="O160" s="3"/>
      <c r="P160" s="245" t="s">
        <v>92</v>
      </c>
      <c r="Q160" s="3"/>
      <c r="R160" s="4" t="s">
        <v>92</v>
      </c>
      <c r="S160" s="23"/>
      <c r="T160" s="282" t="e">
        <f>'Physical Condition Assessment'!E160*'PCA Cost Tables - READ ONLY'!O149*'Physical Condition Assessment'!S160*'PCA Cost Tables - READ ONLY'!$G$1*'County Cost Factor - READ ONLY'!$D$40</f>
        <v>#VALUE!</v>
      </c>
      <c r="U160" s="283" t="e">
        <f t="shared" si="14"/>
        <v>#VALUE!</v>
      </c>
      <c r="V160" s="283" t="e">
        <f>T160*'PCA Cost Tables - READ ONLY'!$G$1</f>
        <v>#VALUE!</v>
      </c>
      <c r="W160" s="283" t="e">
        <f>V160*'PCA Cost Tables - READ ONLY'!$G$3</f>
        <v>#VALUE!</v>
      </c>
      <c r="X160" s="284" t="e">
        <f>W160*'PCA Cost Tables - READ ONLY'!$G$3</f>
        <v>#VALUE!</v>
      </c>
      <c r="Y160" s="66" t="s">
        <v>863</v>
      </c>
    </row>
    <row r="161" spans="1:25" ht="15.75" thickBot="1" x14ac:dyDescent="0.3">
      <c r="C161" s="256" t="s">
        <v>250</v>
      </c>
      <c r="D161" s="268" t="s">
        <v>97</v>
      </c>
      <c r="E161" s="38"/>
      <c r="F161" s="259"/>
      <c r="G161" s="6"/>
      <c r="H161" s="245" t="s">
        <v>84</v>
      </c>
      <c r="I161" s="6"/>
      <c r="J161" s="245" t="s">
        <v>85</v>
      </c>
      <c r="K161" s="6"/>
      <c r="L161" s="245" t="s">
        <v>86</v>
      </c>
      <c r="M161" s="6"/>
      <c r="N161" s="245" t="s">
        <v>87</v>
      </c>
      <c r="O161" s="6"/>
      <c r="P161" s="245" t="s">
        <v>92</v>
      </c>
      <c r="Q161" s="6"/>
      <c r="R161" s="4" t="s">
        <v>92</v>
      </c>
      <c r="S161" s="38"/>
      <c r="T161" s="125"/>
      <c r="U161" s="125"/>
      <c r="V161" s="125"/>
      <c r="W161" s="125"/>
      <c r="X161" s="125"/>
      <c r="Y161" s="67"/>
    </row>
    <row r="162" spans="1:25" ht="15.75" thickBot="1" x14ac:dyDescent="0.3">
      <c r="B162" s="257" t="s">
        <v>251</v>
      </c>
      <c r="C162" s="260"/>
      <c r="D162" s="260"/>
      <c r="E162" s="145"/>
      <c r="F162" s="259"/>
      <c r="H162" s="245"/>
      <c r="J162" s="245"/>
      <c r="L162" s="245"/>
      <c r="N162" s="245"/>
      <c r="P162" s="245"/>
      <c r="S162" s="145"/>
      <c r="T162" s="1"/>
      <c r="U162" s="1"/>
      <c r="V162" s="1"/>
      <c r="W162" s="1"/>
      <c r="X162" s="1"/>
      <c r="Y162" s="301"/>
    </row>
    <row r="163" spans="1:25" ht="15.75" thickBot="1" x14ac:dyDescent="0.3">
      <c r="C163" s="256" t="s">
        <v>252</v>
      </c>
      <c r="D163" s="268" t="s">
        <v>253</v>
      </c>
      <c r="E163" s="353"/>
      <c r="F163" s="259"/>
      <c r="G163" s="3"/>
      <c r="H163" s="245" t="s">
        <v>84</v>
      </c>
      <c r="I163" s="6"/>
      <c r="J163" s="245" t="s">
        <v>85</v>
      </c>
      <c r="K163" s="6"/>
      <c r="L163" s="245" t="s">
        <v>86</v>
      </c>
      <c r="M163" s="3"/>
      <c r="N163" s="245" t="s">
        <v>87</v>
      </c>
      <c r="O163" s="3"/>
      <c r="P163" s="245" t="s">
        <v>92</v>
      </c>
      <c r="Q163" s="3"/>
      <c r="R163" s="4" t="s">
        <v>92</v>
      </c>
      <c r="S163" s="23"/>
      <c r="T163" s="365" t="e">
        <f>'Physical Condition Assessment'!E163*'PCA Cost Tables - READ ONLY'!O152*'Physical Condition Assessment'!S163*'PCA Cost Tables - READ ONLY'!$G$1*'County Cost Factor - READ ONLY'!$D$40</f>
        <v>#VALUE!</v>
      </c>
      <c r="U163" s="277" t="e">
        <f>V163-T163</f>
        <v>#VALUE!</v>
      </c>
      <c r="V163" s="277" t="e">
        <f>T163*'PCA Cost Tables - READ ONLY'!$G$1</f>
        <v>#VALUE!</v>
      </c>
      <c r="W163" s="277" t="e">
        <f>V163*'PCA Cost Tables - READ ONLY'!$G$3</f>
        <v>#VALUE!</v>
      </c>
      <c r="X163" s="278" t="e">
        <f>W163*'PCA Cost Tables - READ ONLY'!$G$3</f>
        <v>#VALUE!</v>
      </c>
      <c r="Y163" s="66"/>
    </row>
    <row r="164" spans="1:25" ht="15.75" thickBot="1" x14ac:dyDescent="0.3">
      <c r="C164" s="256"/>
      <c r="D164" s="268" t="s">
        <v>254</v>
      </c>
      <c r="E164" s="353"/>
      <c r="F164" s="259"/>
      <c r="G164" s="3"/>
      <c r="H164" s="245" t="s">
        <v>84</v>
      </c>
      <c r="I164" s="3"/>
      <c r="J164" s="245" t="s">
        <v>85</v>
      </c>
      <c r="K164" s="3"/>
      <c r="L164" s="245" t="s">
        <v>86</v>
      </c>
      <c r="M164" s="3"/>
      <c r="N164" s="245" t="s">
        <v>87</v>
      </c>
      <c r="O164" s="3"/>
      <c r="P164" s="245" t="s">
        <v>92</v>
      </c>
      <c r="Q164" s="3"/>
      <c r="R164" s="4" t="s">
        <v>92</v>
      </c>
      <c r="S164" s="23"/>
      <c r="T164" s="279" t="e">
        <f>'Physical Condition Assessment'!E164*'PCA Cost Tables - READ ONLY'!O153*'Physical Condition Assessment'!S164*'PCA Cost Tables - READ ONLY'!$G$1*'County Cost Factor - READ ONLY'!$D$40</f>
        <v>#VALUE!</v>
      </c>
      <c r="U164" s="280" t="e">
        <f t="shared" ref="U164:U166" si="15">V164-T164</f>
        <v>#VALUE!</v>
      </c>
      <c r="V164" s="280" t="e">
        <f>T164*'PCA Cost Tables - READ ONLY'!$G$1</f>
        <v>#VALUE!</v>
      </c>
      <c r="W164" s="280" t="e">
        <f>V164*'PCA Cost Tables - READ ONLY'!$G$3</f>
        <v>#VALUE!</v>
      </c>
      <c r="X164" s="281" t="e">
        <f>W164*'PCA Cost Tables - READ ONLY'!$G$3</f>
        <v>#VALUE!</v>
      </c>
      <c r="Y164" s="66"/>
    </row>
    <row r="165" spans="1:25" ht="15.75" thickBot="1" x14ac:dyDescent="0.3">
      <c r="C165" s="256" t="s">
        <v>255</v>
      </c>
      <c r="D165" s="268"/>
      <c r="E165" s="353"/>
      <c r="F165" s="259"/>
      <c r="G165" s="3"/>
      <c r="H165" s="245" t="s">
        <v>84</v>
      </c>
      <c r="I165" s="6"/>
      <c r="J165" s="245" t="s">
        <v>85</v>
      </c>
      <c r="K165" s="3"/>
      <c r="L165" s="245" t="s">
        <v>86</v>
      </c>
      <c r="M165" s="6"/>
      <c r="N165" s="245" t="s">
        <v>87</v>
      </c>
      <c r="O165" s="3"/>
      <c r="P165" s="245" t="s">
        <v>92</v>
      </c>
      <c r="Q165" s="3"/>
      <c r="R165" s="4" t="s">
        <v>92</v>
      </c>
      <c r="S165" s="23"/>
      <c r="T165" s="367" t="e">
        <f>'Physical Condition Assessment'!E165*'PCA Cost Tables - READ ONLY'!O154*'Physical Condition Assessment'!S165*'PCA Cost Tables - READ ONLY'!$G$1*'County Cost Factor - READ ONLY'!$D$40</f>
        <v>#VALUE!</v>
      </c>
      <c r="U165" s="280" t="e">
        <f t="shared" si="15"/>
        <v>#VALUE!</v>
      </c>
      <c r="V165" s="280" t="e">
        <f>T165*'PCA Cost Tables - READ ONLY'!$G$1</f>
        <v>#VALUE!</v>
      </c>
      <c r="W165" s="280" t="e">
        <f>V165*'PCA Cost Tables - READ ONLY'!$G$3</f>
        <v>#VALUE!</v>
      </c>
      <c r="X165" s="281" t="e">
        <f>W165*'PCA Cost Tables - READ ONLY'!$G$3</f>
        <v>#VALUE!</v>
      </c>
      <c r="Y165" s="66"/>
    </row>
    <row r="166" spans="1:25" ht="15.75" thickBot="1" x14ac:dyDescent="0.3">
      <c r="C166" s="256" t="s">
        <v>256</v>
      </c>
      <c r="D166" s="268"/>
      <c r="E166" s="353"/>
      <c r="F166" s="259"/>
      <c r="G166" s="3"/>
      <c r="H166" s="245" t="s">
        <v>84</v>
      </c>
      <c r="I166" s="6"/>
      <c r="J166" s="245" t="s">
        <v>85</v>
      </c>
      <c r="K166" s="6"/>
      <c r="L166" s="245" t="s">
        <v>86</v>
      </c>
      <c r="M166" s="6"/>
      <c r="N166" s="245" t="s">
        <v>87</v>
      </c>
      <c r="O166" s="3"/>
      <c r="P166" s="245" t="s">
        <v>92</v>
      </c>
      <c r="Q166" s="3"/>
      <c r="R166" s="4" t="s">
        <v>92</v>
      </c>
      <c r="S166" s="123"/>
      <c r="T166" s="368" t="e">
        <f>'Physical Condition Assessment'!E166*'PCA Cost Tables - READ ONLY'!O155*'Physical Condition Assessment'!S166*'PCA Cost Tables - READ ONLY'!$G$1*'County Cost Factor - READ ONLY'!$D$40</f>
        <v>#VALUE!</v>
      </c>
      <c r="U166" s="283" t="e">
        <f t="shared" si="15"/>
        <v>#VALUE!</v>
      </c>
      <c r="V166" s="283" t="e">
        <f>T166*'PCA Cost Tables - READ ONLY'!$G$1</f>
        <v>#VALUE!</v>
      </c>
      <c r="W166" s="283" t="e">
        <f>V166*'PCA Cost Tables - READ ONLY'!$G$3</f>
        <v>#VALUE!</v>
      </c>
      <c r="X166" s="284" t="e">
        <f>W166*'PCA Cost Tables - READ ONLY'!$G$3</f>
        <v>#VALUE!</v>
      </c>
      <c r="Y166" s="124"/>
    </row>
    <row r="167" spans="1:25" ht="15.75" thickBot="1" x14ac:dyDescent="0.3">
      <c r="C167" s="256" t="s">
        <v>258</v>
      </c>
      <c r="D167" s="268" t="s">
        <v>97</v>
      </c>
      <c r="E167" s="38"/>
      <c r="F167" s="259"/>
      <c r="G167" s="6"/>
      <c r="H167" s="245" t="s">
        <v>84</v>
      </c>
      <c r="I167" s="6"/>
      <c r="J167" s="245" t="s">
        <v>85</v>
      </c>
      <c r="K167" s="6"/>
      <c r="L167" s="245" t="s">
        <v>86</v>
      </c>
      <c r="M167" s="6"/>
      <c r="N167" s="245" t="s">
        <v>87</v>
      </c>
      <c r="O167" s="6"/>
      <c r="P167" s="245" t="s">
        <v>92</v>
      </c>
      <c r="Q167" s="6" t="s">
        <v>257</v>
      </c>
      <c r="R167" s="4" t="s">
        <v>92</v>
      </c>
      <c r="S167" s="38"/>
      <c r="T167" s="125"/>
      <c r="U167" s="125"/>
      <c r="V167" s="125"/>
      <c r="W167" s="125"/>
      <c r="X167" s="125"/>
      <c r="Y167" s="67"/>
    </row>
    <row r="168" spans="1:25" x14ac:dyDescent="0.25">
      <c r="B168" s="257" t="s">
        <v>259</v>
      </c>
      <c r="C168" s="258"/>
      <c r="D168" s="260" t="s">
        <v>97</v>
      </c>
      <c r="E168" s="145"/>
      <c r="F168" s="259"/>
      <c r="H168" s="245"/>
      <c r="J168" s="245"/>
      <c r="L168" s="245"/>
      <c r="N168" s="245"/>
      <c r="P168" s="245"/>
      <c r="S168" s="145"/>
      <c r="T168" s="1"/>
      <c r="U168" s="1"/>
      <c r="V168" s="1"/>
      <c r="W168" s="1"/>
      <c r="X168" s="1"/>
      <c r="Y168" s="301"/>
    </row>
    <row r="169" spans="1:25" x14ac:dyDescent="0.25">
      <c r="A169" s="374" t="s">
        <v>260</v>
      </c>
      <c r="B169" s="376"/>
      <c r="C169" s="376"/>
      <c r="D169" s="267"/>
      <c r="E169" s="250"/>
      <c r="F169" s="250"/>
      <c r="G169" s="251"/>
      <c r="H169" s="252"/>
      <c r="I169" s="251"/>
      <c r="J169" s="252"/>
      <c r="K169" s="251"/>
      <c r="L169" s="252"/>
      <c r="M169" s="251"/>
      <c r="N169" s="252"/>
      <c r="O169" s="251"/>
      <c r="P169" s="252"/>
      <c r="Q169" s="251"/>
      <c r="R169" s="252"/>
      <c r="S169" s="250"/>
      <c r="T169" s="250"/>
      <c r="U169" s="250"/>
      <c r="V169" s="250"/>
      <c r="W169" s="250"/>
      <c r="X169" s="250"/>
      <c r="Y169" s="302"/>
    </row>
    <row r="170" spans="1:25" ht="30.75" thickBot="1" x14ac:dyDescent="0.3">
      <c r="A170" s="29"/>
      <c r="B170" s="30" t="s">
        <v>262</v>
      </c>
      <c r="C170" s="31"/>
      <c r="D170" s="32"/>
      <c r="E170" s="32"/>
      <c r="F170" s="32"/>
      <c r="G170" s="33"/>
      <c r="H170" s="40"/>
      <c r="I170" s="33"/>
      <c r="J170" s="40"/>
      <c r="K170" s="136"/>
      <c r="L170" s="28" t="s">
        <v>263</v>
      </c>
      <c r="M170" s="34"/>
      <c r="N170" s="28" t="s">
        <v>264</v>
      </c>
      <c r="O170" s="34"/>
      <c r="P170" s="28" t="s">
        <v>825</v>
      </c>
      <c r="Q170" s="34"/>
      <c r="R170" s="28" t="s">
        <v>261</v>
      </c>
      <c r="S170" s="219"/>
      <c r="T170" s="28" t="s">
        <v>819</v>
      </c>
      <c r="U170" s="28" t="s">
        <v>826</v>
      </c>
      <c r="V170" s="28" t="s">
        <v>265</v>
      </c>
      <c r="W170" s="28" t="s">
        <v>265</v>
      </c>
      <c r="X170" s="28" t="s">
        <v>265</v>
      </c>
      <c r="Y170" s="275" t="s">
        <v>64</v>
      </c>
    </row>
    <row r="171" spans="1:25" ht="15.75" thickBot="1" x14ac:dyDescent="0.3">
      <c r="C171" s="383"/>
      <c r="D171" s="384"/>
      <c r="E171" s="384"/>
      <c r="F171" s="384"/>
      <c r="G171" s="384"/>
      <c r="H171" s="384"/>
      <c r="I171" s="384"/>
      <c r="J171" s="385"/>
      <c r="K171" s="273"/>
      <c r="L171" s="5"/>
      <c r="M171" s="273"/>
      <c r="N171" s="3"/>
      <c r="O171" s="273"/>
      <c r="P171" s="41"/>
      <c r="R171" s="5"/>
      <c r="S171" s="289"/>
      <c r="T171" s="285">
        <f t="shared" ref="T171:T177" si="16">P171*N171</f>
        <v>0</v>
      </c>
      <c r="U171" s="285" t="e">
        <f>V171-T171</f>
        <v>#VALUE!</v>
      </c>
      <c r="V171" s="286" t="e">
        <f>T171*'PCA Cost Tables - READ ONLY'!$G$1</f>
        <v>#VALUE!</v>
      </c>
      <c r="W171" s="286" t="e">
        <f>V171*'PCA Cost Tables - READ ONLY'!$G$3</f>
        <v>#VALUE!</v>
      </c>
      <c r="X171" s="287" t="e">
        <f>W171*'PCA Cost Tables - READ ONLY'!$G$3</f>
        <v>#VALUE!</v>
      </c>
      <c r="Y171" s="66"/>
    </row>
    <row r="172" spans="1:25" ht="15.75" thickBot="1" x14ac:dyDescent="0.3">
      <c r="C172" s="383"/>
      <c r="D172" s="384"/>
      <c r="E172" s="384"/>
      <c r="F172" s="384"/>
      <c r="G172" s="384"/>
      <c r="H172" s="384"/>
      <c r="I172" s="384"/>
      <c r="J172" s="385"/>
      <c r="K172" s="274"/>
      <c r="L172" s="5"/>
      <c r="M172" s="274"/>
      <c r="N172" s="3"/>
      <c r="O172" s="274"/>
      <c r="P172" s="41"/>
      <c r="R172" s="5"/>
      <c r="S172" s="290"/>
      <c r="T172" s="288">
        <f t="shared" si="16"/>
        <v>0</v>
      </c>
      <c r="U172" s="288" t="e">
        <f t="shared" ref="U172:U177" si="17">V172-T172</f>
        <v>#VALUE!</v>
      </c>
      <c r="V172" s="280" t="e">
        <f>T172*'PCA Cost Tables - READ ONLY'!$G$1</f>
        <v>#VALUE!</v>
      </c>
      <c r="W172" s="280" t="e">
        <f>V172*'PCA Cost Tables - READ ONLY'!$G$3</f>
        <v>#VALUE!</v>
      </c>
      <c r="X172" s="281" t="e">
        <f>W172*'PCA Cost Tables - READ ONLY'!$G$3</f>
        <v>#VALUE!</v>
      </c>
      <c r="Y172" s="66"/>
    </row>
    <row r="173" spans="1:25" ht="15.75" thickBot="1" x14ac:dyDescent="0.3">
      <c r="C173" s="383"/>
      <c r="D173" s="384"/>
      <c r="E173" s="384"/>
      <c r="F173" s="384"/>
      <c r="G173" s="384"/>
      <c r="H173" s="384"/>
      <c r="I173" s="384"/>
      <c r="J173" s="385"/>
      <c r="K173" s="274"/>
      <c r="L173" s="5"/>
      <c r="M173" s="274"/>
      <c r="N173" s="3"/>
      <c r="O173" s="274"/>
      <c r="P173" s="41"/>
      <c r="R173" s="5"/>
      <c r="S173" s="290"/>
      <c r="T173" s="288">
        <f t="shared" si="16"/>
        <v>0</v>
      </c>
      <c r="U173" s="288" t="e">
        <f t="shared" si="17"/>
        <v>#VALUE!</v>
      </c>
      <c r="V173" s="280" t="e">
        <f>T173*'PCA Cost Tables - READ ONLY'!$G$1</f>
        <v>#VALUE!</v>
      </c>
      <c r="W173" s="280" t="e">
        <f>V173*'PCA Cost Tables - READ ONLY'!$G$3</f>
        <v>#VALUE!</v>
      </c>
      <c r="X173" s="281" t="e">
        <f>W173*'PCA Cost Tables - READ ONLY'!$G$3</f>
        <v>#VALUE!</v>
      </c>
      <c r="Y173" s="66"/>
    </row>
    <row r="174" spans="1:25" ht="15.75" thickBot="1" x14ac:dyDescent="0.3">
      <c r="C174" s="383"/>
      <c r="D174" s="384"/>
      <c r="E174" s="384"/>
      <c r="F174" s="384"/>
      <c r="G174" s="384"/>
      <c r="H174" s="384"/>
      <c r="I174" s="384"/>
      <c r="J174" s="385"/>
      <c r="K174" s="274"/>
      <c r="L174" s="5"/>
      <c r="M174" s="274"/>
      <c r="N174" s="3"/>
      <c r="O174" s="274"/>
      <c r="P174" s="41"/>
      <c r="R174" s="5"/>
      <c r="S174" s="290"/>
      <c r="T174" s="288">
        <f t="shared" si="16"/>
        <v>0</v>
      </c>
      <c r="U174" s="288" t="e">
        <f t="shared" si="17"/>
        <v>#VALUE!</v>
      </c>
      <c r="V174" s="280" t="e">
        <f>T174*'PCA Cost Tables - READ ONLY'!$G$1</f>
        <v>#VALUE!</v>
      </c>
      <c r="W174" s="280" t="e">
        <f>V174*'PCA Cost Tables - READ ONLY'!$G$3</f>
        <v>#VALUE!</v>
      </c>
      <c r="X174" s="281" t="e">
        <f>W174*'PCA Cost Tables - READ ONLY'!$G$3</f>
        <v>#VALUE!</v>
      </c>
      <c r="Y174" s="66"/>
    </row>
    <row r="175" spans="1:25" ht="15.75" thickBot="1" x14ac:dyDescent="0.3">
      <c r="C175" s="383"/>
      <c r="D175" s="384"/>
      <c r="E175" s="384"/>
      <c r="F175" s="384"/>
      <c r="G175" s="384"/>
      <c r="H175" s="384"/>
      <c r="I175" s="384"/>
      <c r="J175" s="385"/>
      <c r="K175" s="274"/>
      <c r="L175" s="5"/>
      <c r="M175" s="274"/>
      <c r="N175" s="3"/>
      <c r="O175" s="274"/>
      <c r="P175" s="41"/>
      <c r="R175" s="5"/>
      <c r="S175" s="290"/>
      <c r="T175" s="288">
        <f t="shared" si="16"/>
        <v>0</v>
      </c>
      <c r="U175" s="288" t="e">
        <f t="shared" si="17"/>
        <v>#VALUE!</v>
      </c>
      <c r="V175" s="280" t="e">
        <f>T175*'PCA Cost Tables - READ ONLY'!$G$1</f>
        <v>#VALUE!</v>
      </c>
      <c r="W175" s="280" t="e">
        <f>V175*'PCA Cost Tables - READ ONLY'!$G$3</f>
        <v>#VALUE!</v>
      </c>
      <c r="X175" s="281" t="e">
        <f>W175*'PCA Cost Tables - READ ONLY'!$G$3</f>
        <v>#VALUE!</v>
      </c>
      <c r="Y175" s="66"/>
    </row>
    <row r="176" spans="1:25" ht="15.75" thickBot="1" x14ac:dyDescent="0.3">
      <c r="C176" s="383"/>
      <c r="D176" s="384"/>
      <c r="E176" s="384"/>
      <c r="F176" s="384"/>
      <c r="G176" s="384"/>
      <c r="H176" s="384"/>
      <c r="I176" s="384"/>
      <c r="J176" s="385"/>
      <c r="K176" s="274"/>
      <c r="L176" s="5"/>
      <c r="M176" s="274"/>
      <c r="N176" s="3"/>
      <c r="O176" s="274"/>
      <c r="P176" s="41"/>
      <c r="R176" s="5"/>
      <c r="S176" s="290"/>
      <c r="T176" s="288">
        <f t="shared" si="16"/>
        <v>0</v>
      </c>
      <c r="U176" s="288" t="e">
        <f t="shared" si="17"/>
        <v>#VALUE!</v>
      </c>
      <c r="V176" s="280" t="e">
        <f>T176*'PCA Cost Tables - READ ONLY'!$G$1</f>
        <v>#VALUE!</v>
      </c>
      <c r="W176" s="280" t="e">
        <f>V176*'PCA Cost Tables - READ ONLY'!$G$3</f>
        <v>#VALUE!</v>
      </c>
      <c r="X176" s="281" t="e">
        <f>W176*'PCA Cost Tables - READ ONLY'!$G$3</f>
        <v>#VALUE!</v>
      </c>
      <c r="Y176" s="66"/>
    </row>
    <row r="177" spans="3:25" ht="15.75" thickBot="1" x14ac:dyDescent="0.3">
      <c r="C177" s="383"/>
      <c r="D177" s="384"/>
      <c r="E177" s="384"/>
      <c r="F177" s="384"/>
      <c r="G177" s="384"/>
      <c r="H177" s="384"/>
      <c r="I177" s="384"/>
      <c r="J177" s="385"/>
      <c r="K177" s="291"/>
      <c r="L177" s="5"/>
      <c r="M177" s="291"/>
      <c r="N177" s="3"/>
      <c r="O177" s="291"/>
      <c r="P177" s="41"/>
      <c r="R177" s="5"/>
      <c r="S177" s="306"/>
      <c r="T177" s="288">
        <f t="shared" si="16"/>
        <v>0</v>
      </c>
      <c r="U177" s="288" t="e">
        <f t="shared" si="17"/>
        <v>#VALUE!</v>
      </c>
      <c r="V177" s="280" t="e">
        <f>T177*'PCA Cost Tables - READ ONLY'!$G$1</f>
        <v>#VALUE!</v>
      </c>
      <c r="W177" s="280" t="e">
        <f>V177*'PCA Cost Tables - READ ONLY'!$G$3</f>
        <v>#VALUE!</v>
      </c>
      <c r="X177" s="281" t="e">
        <f>W177*'PCA Cost Tables - READ ONLY'!$G$3</f>
        <v>#VALUE!</v>
      </c>
      <c r="Y177" s="66"/>
    </row>
    <row r="178" spans="3:25" x14ac:dyDescent="0.25">
      <c r="T178" s="27"/>
      <c r="U178" s="27"/>
      <c r="V178" s="27"/>
      <c r="W178" s="27"/>
      <c r="X178" s="27"/>
    </row>
    <row r="179" spans="3:25" x14ac:dyDescent="0.25">
      <c r="T179" s="27"/>
      <c r="U179" s="27"/>
      <c r="V179" s="27"/>
      <c r="W179" s="27"/>
      <c r="X179" s="27"/>
    </row>
    <row r="180" spans="3:25" x14ac:dyDescent="0.25">
      <c r="R180" s="19"/>
      <c r="T180" s="27"/>
      <c r="U180" s="27"/>
      <c r="V180" s="27"/>
      <c r="W180" s="27"/>
      <c r="X180" s="27"/>
    </row>
    <row r="181" spans="3:25" x14ac:dyDescent="0.25">
      <c r="L181" s="420" t="s">
        <v>266</v>
      </c>
      <c r="N181" s="393" t="s">
        <v>267</v>
      </c>
      <c r="O181" s="394"/>
      <c r="P181" s="394"/>
      <c r="Q181" s="394"/>
      <c r="R181" s="394"/>
      <c r="S181" s="394"/>
      <c r="T181" s="311" t="e">
        <f>SUM(T21:T180)</f>
        <v>#VALUE!</v>
      </c>
      <c r="U181" s="26"/>
      <c r="V181" s="26"/>
      <c r="W181" s="26"/>
      <c r="X181" s="26"/>
    </row>
    <row r="182" spans="3:25" x14ac:dyDescent="0.25">
      <c r="L182" s="421"/>
      <c r="N182" s="391" t="s">
        <v>268</v>
      </c>
      <c r="O182" s="392"/>
      <c r="P182" s="392"/>
      <c r="Q182" s="392"/>
      <c r="R182" s="392"/>
      <c r="S182" s="392"/>
      <c r="T182" s="312" t="e">
        <f>(T181*'PCA Cost Tables - READ ONLY'!$G$2)-T181</f>
        <v>#VALUE!</v>
      </c>
      <c r="U182" s="26"/>
      <c r="V182" s="26"/>
      <c r="W182" s="26"/>
      <c r="X182" s="26"/>
    </row>
    <row r="183" spans="3:25" x14ac:dyDescent="0.25">
      <c r="L183" s="421"/>
      <c r="N183" s="391" t="s">
        <v>269</v>
      </c>
      <c r="O183" s="392"/>
      <c r="P183" s="392"/>
      <c r="Q183" s="392"/>
      <c r="R183" s="392"/>
      <c r="S183" s="392"/>
      <c r="T183" s="311" t="e">
        <f>T182+T181</f>
        <v>#VALUE!</v>
      </c>
      <c r="U183" s="26"/>
      <c r="V183" s="26"/>
      <c r="W183" s="26"/>
      <c r="X183" s="26"/>
      <c r="Y183" s="68"/>
    </row>
    <row r="184" spans="3:25" ht="30" customHeight="1" x14ac:dyDescent="0.25">
      <c r="L184" s="421"/>
      <c r="N184" s="418" t="s">
        <v>270</v>
      </c>
      <c r="O184" s="419"/>
      <c r="P184" s="419"/>
      <c r="Q184" s="241"/>
      <c r="R184" s="241"/>
      <c r="S184" s="313">
        <f>'Escalation Calcs - READ ONLY'!B13</f>
        <v>46331</v>
      </c>
      <c r="T184" s="314" t="e">
        <f>T183*'PCA Cost Tables - READ ONLY'!$G$1</f>
        <v>#VALUE!</v>
      </c>
      <c r="U184" s="377" t="s">
        <v>822</v>
      </c>
      <c r="V184" s="378"/>
      <c r="W184" s="378"/>
      <c r="X184" s="379"/>
      <c r="Y184" s="271"/>
    </row>
    <row r="185" spans="3:25" x14ac:dyDescent="0.25">
      <c r="L185" s="421"/>
      <c r="N185" s="391" t="s">
        <v>271</v>
      </c>
      <c r="O185" s="392"/>
      <c r="P185" s="392"/>
      <c r="Q185" s="241"/>
      <c r="R185" s="241"/>
      <c r="S185" s="272">
        <f>EDATE(S184,12)</f>
        <v>46696</v>
      </c>
      <c r="T185" s="269" t="e">
        <f>T184*'PCA Cost Tables - READ ONLY'!$G$3</f>
        <v>#VALUE!</v>
      </c>
      <c r="U185" s="380" t="s">
        <v>823</v>
      </c>
      <c r="V185" s="381"/>
      <c r="W185" s="381"/>
      <c r="X185" s="382"/>
    </row>
    <row r="186" spans="3:25" x14ac:dyDescent="0.25">
      <c r="L186" s="422"/>
      <c r="N186" s="395" t="s">
        <v>271</v>
      </c>
      <c r="O186" s="396"/>
      <c r="P186" s="396"/>
      <c r="Q186" s="309"/>
      <c r="R186" s="309"/>
      <c r="S186" s="310">
        <f>EDATE(S185,12)</f>
        <v>47062</v>
      </c>
      <c r="T186" s="270" t="e">
        <f>T185*'PCA Cost Tables - READ ONLY'!$G$3</f>
        <v>#VALUE!</v>
      </c>
      <c r="U186" s="388" t="s">
        <v>824</v>
      </c>
      <c r="V186" s="389"/>
      <c r="W186" s="389"/>
      <c r="X186" s="390"/>
    </row>
    <row r="187" spans="3:25" x14ac:dyDescent="0.25">
      <c r="L187" s="19"/>
      <c r="P187" s="19"/>
      <c r="R187" s="19"/>
      <c r="S187" s="25"/>
      <c r="T187" s="220"/>
      <c r="U187" s="26"/>
      <c r="V187" s="26"/>
      <c r="W187" s="26"/>
      <c r="X187" s="26"/>
      <c r="Y187" s="68"/>
    </row>
    <row r="188" spans="3:25" x14ac:dyDescent="0.25">
      <c r="L188" s="19"/>
      <c r="P188" s="19"/>
      <c r="R188" s="19"/>
      <c r="S188" s="25"/>
      <c r="T188" s="220"/>
      <c r="U188" s="26"/>
      <c r="V188" s="26"/>
      <c r="W188" s="26"/>
      <c r="X188" s="26"/>
      <c r="Y188" s="68"/>
    </row>
    <row r="189" spans="3:25" ht="30" x14ac:dyDescent="0.25">
      <c r="L189" s="307" t="s">
        <v>272</v>
      </c>
      <c r="N189" s="386" t="s">
        <v>273</v>
      </c>
      <c r="O189" s="387"/>
      <c r="P189" s="387"/>
      <c r="Q189" s="387"/>
      <c r="R189" s="387"/>
      <c r="S189" s="387"/>
      <c r="T189" s="315">
        <f>('Building Type Budget-READ ONLY'!$E$23*'Base Information'!$B$23)</f>
        <v>0</v>
      </c>
      <c r="U189" s="45"/>
      <c r="V189" s="45"/>
      <c r="W189" s="45"/>
      <c r="X189" s="45"/>
      <c r="Y189" s="69"/>
    </row>
    <row r="190" spans="3:25" x14ac:dyDescent="0.25">
      <c r="N190" s="395" t="s">
        <v>274</v>
      </c>
      <c r="O190" s="396"/>
      <c r="P190" s="396"/>
      <c r="Q190" s="396"/>
      <c r="R190" s="396"/>
      <c r="S190" s="396"/>
      <c r="T190" s="308" t="str">
        <f>IFERROR((T184/('Building Type Budget-READ ONLY'!$E$23*'Base Information'!$B$23)),"n/a")</f>
        <v>n/a</v>
      </c>
      <c r="U190" s="44"/>
      <c r="V190" s="44"/>
      <c r="W190" s="44"/>
      <c r="X190" s="44"/>
    </row>
    <row r="191" spans="3:25" x14ac:dyDescent="0.25">
      <c r="S191" s="25"/>
    </row>
  </sheetData>
  <mergeCells count="46">
    <mergeCell ref="A19:C19"/>
    <mergeCell ref="A27:C27"/>
    <mergeCell ref="A7:B10"/>
    <mergeCell ref="A12:B15"/>
    <mergeCell ref="A1:B1"/>
    <mergeCell ref="A2:B2"/>
    <mergeCell ref="A3:B3"/>
    <mergeCell ref="A4:B4"/>
    <mergeCell ref="A5:B5"/>
    <mergeCell ref="N190:S190"/>
    <mergeCell ref="F1:T1"/>
    <mergeCell ref="G2:T2"/>
    <mergeCell ref="G3:T3"/>
    <mergeCell ref="G4:T4"/>
    <mergeCell ref="G8:J8"/>
    <mergeCell ref="G10:J10"/>
    <mergeCell ref="G12:J12"/>
    <mergeCell ref="G13:J13"/>
    <mergeCell ref="G15:J15"/>
    <mergeCell ref="F9:J9"/>
    <mergeCell ref="F14:J14"/>
    <mergeCell ref="N184:P184"/>
    <mergeCell ref="L181:L186"/>
    <mergeCell ref="N182:S182"/>
    <mergeCell ref="G17:P17"/>
    <mergeCell ref="A169:C169"/>
    <mergeCell ref="U184:X184"/>
    <mergeCell ref="U185:X185"/>
    <mergeCell ref="C171:J171"/>
    <mergeCell ref="N189:S189"/>
    <mergeCell ref="C172:J172"/>
    <mergeCell ref="C173:J173"/>
    <mergeCell ref="C174:J174"/>
    <mergeCell ref="C175:J175"/>
    <mergeCell ref="U186:X186"/>
    <mergeCell ref="N183:S183"/>
    <mergeCell ref="N181:S181"/>
    <mergeCell ref="N185:P185"/>
    <mergeCell ref="N186:P186"/>
    <mergeCell ref="C176:J176"/>
    <mergeCell ref="C177:J177"/>
    <mergeCell ref="A57:C57"/>
    <mergeCell ref="A86:C86"/>
    <mergeCell ref="A130:C130"/>
    <mergeCell ref="A143:C143"/>
    <mergeCell ref="A145:C145"/>
  </mergeCells>
  <dataValidations count="1">
    <dataValidation type="list" allowBlank="1" showInputMessage="1" showErrorMessage="1" sqref="G163:G166 I164 K164:K165 M163:M164 O163:O166 I157 K157 M157 O154:O160 G154:G160 G148:G152 I148:I149 M148:M151 O148:O152 O141:O142 M141 K141 I141 G141:G142 I137 K134:K137 M132:M137 O132:O137 K132 I132:I133 G132:G137 I127 G119:G127 K119 K121:K126 M119:M127 G114:G116 K114:K116 O114:O116 I109 I106 I98:I99 K99 K101:K102 K105:K106 K108 M110 M105 M99:M103 G98:G111 O98:O111 G92:G95 G88:G90 I88 I93:I94 K95 K92:K93 K88:K90 M88 O92:O95 O88:O90 I82:I84 K81:K83 I78:I79 I76 I71:I74 K72 M76 O71:O85 O65:O69 M65:M67 I68 I66 G65:G69 G71:G85 G59:G62 K61:K62 M60:M62 O59:O62 G50:G56 I50:I52 K50:K55 M50:M52 O50:O56 G36:G48 K36:K48 M36:M48 O37:O48 G29:G34 K29:K31 M32:M34 O29:O34 G21:G23 G26 I26 I21:I22 K23 K26 M21:M23 M26 O127 O119:O125" xr:uid="{00000000-0002-0000-0400-000000000000}">
      <formula1>"- -, X"</formula1>
    </dataValidation>
  </dataValidations>
  <pageMargins left="0.7" right="0.7" top="0.75" bottom="0.75" header="0.3" footer="0.3"/>
  <pageSetup paperSize="17" scale="63" fitToHeight="0" orientation="landscape" useFirstPageNumber="1" r:id="rId1"/>
  <headerFooter>
    <oddHeader>&amp;C&amp;"-,Bold"&amp;K000000&amp;A</oddHeader>
    <oddFooter>&amp;LPage &amp;P&amp;RState of Oregon
School Facilities Assessment Template
7/31/2023</oddFooter>
  </headerFooter>
  <rowBreaks count="4" manualBreakCount="4">
    <brk id="56" max="19" man="1"/>
    <brk id="96" max="19" man="1"/>
    <brk id="137" max="19" man="1"/>
    <brk id="168" max="19" man="1"/>
  </rowBreaks>
  <ignoredErrors>
    <ignoredError sqref="D9 D14"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9E3F7"/>
    <pageSetUpPr fitToPage="1"/>
  </sheetPr>
  <dimension ref="A1:P59"/>
  <sheetViews>
    <sheetView showGridLines="0" zoomScaleNormal="100" zoomScaleSheetLayoutView="100" zoomScalePageLayoutView="40" workbookViewId="0">
      <selection activeCell="A6" sqref="A6:F6"/>
    </sheetView>
  </sheetViews>
  <sheetFormatPr defaultColWidth="9.140625" defaultRowHeight="12.75" x14ac:dyDescent="0.25"/>
  <cols>
    <col min="1" max="1" width="4.5703125" style="79" customWidth="1"/>
    <col min="2" max="2" width="79.42578125" style="79" customWidth="1"/>
    <col min="3" max="5" width="4.7109375" style="79" customWidth="1"/>
    <col min="6" max="6" width="23.7109375" style="79" customWidth="1"/>
    <col min="7" max="16384" width="9.140625" style="79"/>
  </cols>
  <sheetData>
    <row r="1" spans="1:7" ht="15" customHeight="1" x14ac:dyDescent="0.25">
      <c r="A1" s="443" t="s">
        <v>6</v>
      </c>
      <c r="B1" s="444"/>
      <c r="C1" s="445" t="str">
        <f>IF('Base Information'!$B$3="","(autofill)",'Base Information'!$B$3)</f>
        <v>(autofill)</v>
      </c>
      <c r="D1" s="445" t="str">
        <f>IF('Base Information'!$B$3="","(autofill)",'Base Information'!$B$3)</f>
        <v>(autofill)</v>
      </c>
      <c r="E1" s="445" t="str">
        <f>IF('Base Information'!$B$3="","(autofill)",'Base Information'!$B$3)</f>
        <v>(autofill)</v>
      </c>
      <c r="F1" s="446" t="str">
        <f>IF('Base Information'!$B$3="","(autofill)",'Base Information'!$B$3)</f>
        <v>(autofill)</v>
      </c>
    </row>
    <row r="2" spans="1:7" ht="15" customHeight="1" x14ac:dyDescent="0.25">
      <c r="A2" s="447" t="s">
        <v>7</v>
      </c>
      <c r="B2" s="448"/>
      <c r="C2" s="449" t="str">
        <f>IF('Base Information'!$B$5="","(autofill)",'Base Information'!$B$5)</f>
        <v>(autofill)</v>
      </c>
      <c r="D2" s="449" t="str">
        <f>IF('Base Information'!$B$5="","(autofill)",'Base Information'!$B$5)</f>
        <v>(autofill)</v>
      </c>
      <c r="E2" s="449" t="str">
        <f>IF('Base Information'!$B$5="","(autofill)",'Base Information'!$B$5)</f>
        <v>(autofill)</v>
      </c>
      <c r="F2" s="450" t="str">
        <f>IF('Base Information'!$B$5="","(autofill)",'Base Information'!$B$5)</f>
        <v>(autofill)</v>
      </c>
    </row>
    <row r="3" spans="1:7" ht="15" customHeight="1" x14ac:dyDescent="0.25">
      <c r="A3" s="447" t="s">
        <v>9</v>
      </c>
      <c r="B3" s="448"/>
      <c r="C3" s="449" t="str">
        <f>IF('Base Information'!$B$7="","(autofill)",'Base Information'!$B$7)</f>
        <v>(autofill)</v>
      </c>
      <c r="D3" s="449" t="str">
        <f>IF('Base Information'!$B$7="","(autofill)",'Base Information'!$B$7)</f>
        <v>(autofill)</v>
      </c>
      <c r="E3" s="449" t="str">
        <f>IF('Base Information'!$B$7="","(autofill)",'Base Information'!$B$7)</f>
        <v>(autofill)</v>
      </c>
      <c r="F3" s="450" t="str">
        <f>IF('Base Information'!$B$7="","(autofill)",'Base Information'!$B$7)</f>
        <v>(autofill)</v>
      </c>
    </row>
    <row r="4" spans="1:7" ht="15" customHeight="1" x14ac:dyDescent="0.25">
      <c r="A4" s="447" t="s">
        <v>11</v>
      </c>
      <c r="B4" s="448"/>
      <c r="C4" s="449" t="str">
        <f>IF('Base Information'!$B$9="","(autofill)",'Base Information'!$B$9)</f>
        <v>(autofill)</v>
      </c>
      <c r="D4" s="449" t="str">
        <f>IF('Base Information'!$B$9="","(autofill)",'Base Information'!$B$9)</f>
        <v>(autofill)</v>
      </c>
      <c r="E4" s="449" t="str">
        <f>IF('Base Information'!$B$9="","(autofill)",'Base Information'!$B$9)</f>
        <v>(autofill)</v>
      </c>
      <c r="F4" s="450" t="str">
        <f>IF('Base Information'!$B$9="","(autofill)",'Base Information'!$B$9)</f>
        <v>(autofill)</v>
      </c>
    </row>
    <row r="5" spans="1:7" ht="15" customHeight="1" thickBot="1" x14ac:dyDescent="0.3">
      <c r="A5" s="451" t="s">
        <v>33</v>
      </c>
      <c r="B5" s="452"/>
      <c r="C5" s="453" t="str">
        <f>IF('Base Information'!$B$32="0/0/0000","(autofill)",'Base Information'!$B$32)</f>
        <v>(autofill)</v>
      </c>
      <c r="D5" s="449" t="str">
        <f>IF('Base Information'!$B$32="","(autofill)",'Base Information'!$B$32)</f>
        <v>0/0/0000</v>
      </c>
      <c r="E5" s="449" t="str">
        <f>IF('Base Information'!$B$32="","(autofill)",'Base Information'!$B$32)</f>
        <v>0/0/0000</v>
      </c>
      <c r="F5" s="450" t="str">
        <f>IF('Base Information'!$B$32="","(autofill)",'Base Information'!$B$32)</f>
        <v>0/0/0000</v>
      </c>
      <c r="G5" s="143"/>
    </row>
    <row r="6" spans="1:7" ht="21.95" customHeight="1" x14ac:dyDescent="0.25">
      <c r="A6" s="454" t="s">
        <v>275</v>
      </c>
      <c r="B6" s="455"/>
      <c r="C6" s="455"/>
      <c r="D6" s="455"/>
      <c r="E6" s="455"/>
      <c r="F6" s="456"/>
    </row>
    <row r="7" spans="1:7" ht="3" customHeight="1" x14ac:dyDescent="0.25">
      <c r="A7" s="440"/>
      <c r="B7" s="441"/>
      <c r="C7" s="441"/>
      <c r="D7" s="441"/>
      <c r="E7" s="441"/>
      <c r="F7" s="442"/>
    </row>
    <row r="8" spans="1:7" ht="17.25" customHeight="1" x14ac:dyDescent="0.25">
      <c r="A8" s="345"/>
      <c r="B8" s="337"/>
      <c r="C8" s="103" t="s">
        <v>276</v>
      </c>
      <c r="D8" s="88" t="s">
        <v>277</v>
      </c>
      <c r="E8" s="88" t="s">
        <v>278</v>
      </c>
      <c r="F8" s="90" t="s">
        <v>279</v>
      </c>
    </row>
    <row r="9" spans="1:7" ht="3" customHeight="1" x14ac:dyDescent="0.25">
      <c r="A9" s="440"/>
      <c r="B9" s="441"/>
      <c r="C9" s="441"/>
      <c r="D9" s="441"/>
      <c r="E9" s="441"/>
      <c r="F9" s="442"/>
    </row>
    <row r="10" spans="1:7" ht="17.25" customHeight="1" x14ac:dyDescent="0.25">
      <c r="A10" s="328">
        <v>1</v>
      </c>
      <c r="B10" s="104" t="s">
        <v>280</v>
      </c>
      <c r="C10" s="329"/>
      <c r="D10" s="329"/>
      <c r="E10" s="329"/>
      <c r="F10" s="330"/>
    </row>
    <row r="11" spans="1:7" ht="17.25" customHeight="1" x14ac:dyDescent="0.25">
      <c r="A11" s="328">
        <v>2</v>
      </c>
      <c r="B11" s="104" t="s">
        <v>788</v>
      </c>
      <c r="C11" s="329"/>
      <c r="D11" s="329"/>
      <c r="E11" s="329"/>
      <c r="F11" s="330"/>
    </row>
    <row r="12" spans="1:7" ht="17.25" customHeight="1" x14ac:dyDescent="0.25">
      <c r="A12" s="328">
        <v>3</v>
      </c>
      <c r="B12" s="104" t="s">
        <v>281</v>
      </c>
      <c r="C12" s="329"/>
      <c r="D12" s="329"/>
      <c r="E12" s="329"/>
      <c r="F12" s="330"/>
    </row>
    <row r="13" spans="1:7" ht="17.25" customHeight="1" x14ac:dyDescent="0.25">
      <c r="A13" s="328">
        <v>4</v>
      </c>
      <c r="B13" s="104" t="s">
        <v>789</v>
      </c>
      <c r="C13" s="329"/>
      <c r="D13" s="329"/>
      <c r="E13" s="329"/>
      <c r="F13" s="330"/>
    </row>
    <row r="14" spans="1:7" ht="17.25" customHeight="1" x14ac:dyDescent="0.25">
      <c r="A14" s="328">
        <v>5</v>
      </c>
      <c r="B14" s="104" t="s">
        <v>282</v>
      </c>
      <c r="C14" s="329"/>
      <c r="D14" s="329"/>
      <c r="E14" s="329"/>
      <c r="F14" s="330"/>
    </row>
    <row r="15" spans="1:7" ht="17.25" customHeight="1" x14ac:dyDescent="0.25">
      <c r="A15" s="328">
        <v>6</v>
      </c>
      <c r="B15" s="104" t="s">
        <v>790</v>
      </c>
      <c r="C15" s="329"/>
      <c r="D15" s="329"/>
      <c r="E15" s="329"/>
      <c r="F15" s="330"/>
    </row>
    <row r="16" spans="1:7" ht="17.25" customHeight="1" x14ac:dyDescent="0.25">
      <c r="A16" s="328">
        <v>7</v>
      </c>
      <c r="B16" s="104" t="s">
        <v>283</v>
      </c>
      <c r="C16" s="329"/>
      <c r="D16" s="329"/>
      <c r="E16" s="329"/>
      <c r="F16" s="330"/>
    </row>
    <row r="17" spans="1:16" ht="17.25" customHeight="1" x14ac:dyDescent="0.25">
      <c r="A17" s="348">
        <v>8</v>
      </c>
      <c r="B17" s="349" t="s">
        <v>284</v>
      </c>
      <c r="C17" s="350"/>
      <c r="D17" s="350"/>
      <c r="E17" s="350"/>
      <c r="F17" s="351"/>
    </row>
    <row r="18" spans="1:16" ht="17.25" customHeight="1" x14ac:dyDescent="0.25">
      <c r="A18" s="328"/>
      <c r="B18" s="105" t="s">
        <v>285</v>
      </c>
      <c r="C18" s="329"/>
      <c r="D18" s="329"/>
      <c r="E18" s="329"/>
      <c r="F18" s="330"/>
    </row>
    <row r="19" spans="1:16" ht="17.25" customHeight="1" x14ac:dyDescent="0.25">
      <c r="A19" s="328"/>
      <c r="B19" s="105" t="s">
        <v>286</v>
      </c>
      <c r="C19" s="329"/>
      <c r="D19" s="329"/>
      <c r="E19" s="329"/>
      <c r="F19" s="330"/>
    </row>
    <row r="20" spans="1:16" ht="17.25" customHeight="1" x14ac:dyDescent="0.25">
      <c r="A20" s="328"/>
      <c r="B20" s="105" t="s">
        <v>287</v>
      </c>
      <c r="C20" s="329"/>
      <c r="D20" s="329"/>
      <c r="E20" s="329"/>
      <c r="F20" s="330"/>
    </row>
    <row r="21" spans="1:16" ht="17.25" customHeight="1" x14ac:dyDescent="0.25">
      <c r="A21" s="328"/>
      <c r="B21" s="105" t="s">
        <v>288</v>
      </c>
      <c r="C21" s="329"/>
      <c r="D21" s="329"/>
      <c r="E21" s="329"/>
      <c r="F21" s="330"/>
      <c r="P21" s="82"/>
    </row>
    <row r="22" spans="1:16" ht="17.25" customHeight="1" x14ac:dyDescent="0.25">
      <c r="A22" s="328"/>
      <c r="B22" s="105" t="s">
        <v>289</v>
      </c>
      <c r="C22" s="329"/>
      <c r="D22" s="329"/>
      <c r="E22" s="329"/>
      <c r="F22" s="330"/>
    </row>
    <row r="23" spans="1:16" ht="17.25" customHeight="1" x14ac:dyDescent="0.25">
      <c r="A23" s="328">
        <v>9</v>
      </c>
      <c r="B23" s="104" t="s">
        <v>290</v>
      </c>
      <c r="C23" s="329"/>
      <c r="D23" s="329"/>
      <c r="E23" s="329"/>
      <c r="F23" s="330"/>
    </row>
    <row r="24" spans="1:16" ht="17.25" customHeight="1" x14ac:dyDescent="0.25">
      <c r="A24" s="328">
        <v>10</v>
      </c>
      <c r="B24" s="104" t="s">
        <v>291</v>
      </c>
      <c r="C24" s="329"/>
      <c r="D24" s="329"/>
      <c r="E24" s="329"/>
      <c r="F24" s="330"/>
    </row>
    <row r="25" spans="1:16" ht="17.25" customHeight="1" x14ac:dyDescent="0.25">
      <c r="A25" s="328">
        <v>11</v>
      </c>
      <c r="B25" s="104" t="s">
        <v>292</v>
      </c>
      <c r="C25" s="329"/>
      <c r="D25" s="329"/>
      <c r="E25" s="329"/>
      <c r="F25" s="330"/>
    </row>
    <row r="26" spans="1:16" ht="17.25" customHeight="1" x14ac:dyDescent="0.25">
      <c r="A26" s="328">
        <v>12</v>
      </c>
      <c r="B26" s="104" t="s">
        <v>293</v>
      </c>
      <c r="C26" s="329"/>
      <c r="D26" s="329"/>
      <c r="E26" s="329"/>
      <c r="F26" s="330"/>
    </row>
    <row r="27" spans="1:16" ht="17.25" customHeight="1" x14ac:dyDescent="0.25">
      <c r="A27" s="328">
        <v>13</v>
      </c>
      <c r="B27" s="104" t="s">
        <v>294</v>
      </c>
      <c r="C27" s="329"/>
      <c r="D27" s="329"/>
      <c r="E27" s="329"/>
      <c r="F27" s="330"/>
    </row>
    <row r="28" spans="1:16" ht="17.25" customHeight="1" x14ac:dyDescent="0.25">
      <c r="A28" s="328">
        <v>14</v>
      </c>
      <c r="B28" s="104" t="s">
        <v>295</v>
      </c>
      <c r="C28" s="329"/>
      <c r="D28" s="329"/>
      <c r="E28" s="329"/>
      <c r="F28" s="330"/>
    </row>
    <row r="29" spans="1:16" ht="17.25" customHeight="1" x14ac:dyDescent="0.25">
      <c r="A29" s="328">
        <v>15</v>
      </c>
      <c r="B29" s="104" t="s">
        <v>793</v>
      </c>
      <c r="C29" s="329"/>
      <c r="D29" s="329"/>
      <c r="E29" s="329"/>
      <c r="F29" s="330"/>
    </row>
    <row r="30" spans="1:16" ht="17.25" customHeight="1" x14ac:dyDescent="0.25">
      <c r="A30" s="328">
        <v>16</v>
      </c>
      <c r="B30" s="104" t="s">
        <v>296</v>
      </c>
      <c r="C30" s="329"/>
      <c r="D30" s="329"/>
      <c r="E30" s="329"/>
      <c r="F30" s="330"/>
    </row>
    <row r="31" spans="1:16" ht="17.25" customHeight="1" x14ac:dyDescent="0.25">
      <c r="A31" s="328">
        <v>17</v>
      </c>
      <c r="B31" s="104" t="s">
        <v>791</v>
      </c>
      <c r="C31" s="329"/>
      <c r="D31" s="329"/>
      <c r="E31" s="329"/>
      <c r="F31" s="330"/>
    </row>
    <row r="32" spans="1:16" ht="17.25" customHeight="1" x14ac:dyDescent="0.25">
      <c r="A32" s="328">
        <v>18</v>
      </c>
      <c r="B32" s="104" t="s">
        <v>792</v>
      </c>
      <c r="C32" s="329"/>
      <c r="D32" s="329"/>
      <c r="E32" s="329"/>
      <c r="F32" s="330"/>
    </row>
    <row r="33" spans="1:6" ht="17.25" customHeight="1" x14ac:dyDescent="0.25">
      <c r="A33" s="328">
        <v>19</v>
      </c>
      <c r="B33" s="104" t="s">
        <v>794</v>
      </c>
      <c r="C33" s="329"/>
      <c r="D33" s="329"/>
      <c r="E33" s="329"/>
      <c r="F33" s="330"/>
    </row>
    <row r="34" spans="1:6" ht="17.25" customHeight="1" x14ac:dyDescent="0.25">
      <c r="A34" s="328">
        <v>20</v>
      </c>
      <c r="B34" s="104" t="s">
        <v>795</v>
      </c>
      <c r="C34" s="329"/>
      <c r="D34" s="329"/>
      <c r="E34" s="329"/>
      <c r="F34" s="330"/>
    </row>
    <row r="35" spans="1:6" ht="17.25" customHeight="1" x14ac:dyDescent="0.25">
      <c r="A35" s="328">
        <v>21</v>
      </c>
      <c r="B35" s="104" t="s">
        <v>297</v>
      </c>
      <c r="C35" s="329"/>
      <c r="D35" s="329"/>
      <c r="E35" s="329"/>
      <c r="F35" s="330"/>
    </row>
    <row r="36" spans="1:6" ht="17.25" customHeight="1" x14ac:dyDescent="0.25">
      <c r="A36" s="348">
        <v>22</v>
      </c>
      <c r="B36" s="349" t="s">
        <v>298</v>
      </c>
      <c r="C36" s="350"/>
      <c r="D36" s="350"/>
      <c r="E36" s="350"/>
      <c r="F36" s="351"/>
    </row>
    <row r="37" spans="1:6" ht="17.25" customHeight="1" x14ac:dyDescent="0.25">
      <c r="A37" s="328"/>
      <c r="B37" s="105" t="s">
        <v>299</v>
      </c>
      <c r="C37" s="329"/>
      <c r="D37" s="329"/>
      <c r="E37" s="329"/>
      <c r="F37" s="330"/>
    </row>
    <row r="38" spans="1:6" ht="17.25" customHeight="1" x14ac:dyDescent="0.25">
      <c r="A38" s="328"/>
      <c r="B38" s="105" t="s">
        <v>889</v>
      </c>
      <c r="C38" s="329"/>
      <c r="D38" s="329"/>
      <c r="E38" s="329"/>
      <c r="F38" s="330"/>
    </row>
    <row r="39" spans="1:6" ht="17.25" customHeight="1" x14ac:dyDescent="0.25">
      <c r="A39" s="328">
        <v>23</v>
      </c>
      <c r="B39" s="104" t="s">
        <v>300</v>
      </c>
      <c r="C39" s="329"/>
      <c r="D39" s="329"/>
      <c r="E39" s="329"/>
      <c r="F39" s="330"/>
    </row>
    <row r="40" spans="1:6" ht="17.25" customHeight="1" x14ac:dyDescent="0.25">
      <c r="A40" s="328">
        <v>24</v>
      </c>
      <c r="B40" s="104" t="s">
        <v>301</v>
      </c>
      <c r="C40" s="329"/>
      <c r="D40" s="329"/>
      <c r="E40" s="329"/>
      <c r="F40" s="330"/>
    </row>
    <row r="41" spans="1:6" ht="17.25" customHeight="1" x14ac:dyDescent="0.25">
      <c r="A41" s="348">
        <v>25</v>
      </c>
      <c r="B41" s="349" t="s">
        <v>796</v>
      </c>
      <c r="C41" s="350"/>
      <c r="D41" s="350"/>
      <c r="E41" s="350"/>
      <c r="F41" s="351"/>
    </row>
    <row r="42" spans="1:6" ht="17.25" customHeight="1" x14ac:dyDescent="0.25">
      <c r="A42" s="328"/>
      <c r="B42" s="105" t="s">
        <v>302</v>
      </c>
      <c r="C42" s="329"/>
      <c r="D42" s="329"/>
      <c r="E42" s="329"/>
      <c r="F42" s="330"/>
    </row>
    <row r="43" spans="1:6" ht="17.25" customHeight="1" x14ac:dyDescent="0.25">
      <c r="A43" s="328"/>
      <c r="B43" s="105" t="s">
        <v>303</v>
      </c>
      <c r="C43" s="329"/>
      <c r="D43" s="329"/>
      <c r="E43" s="329"/>
      <c r="F43" s="330"/>
    </row>
    <row r="44" spans="1:6" ht="17.25" customHeight="1" x14ac:dyDescent="0.25">
      <c r="A44" s="328"/>
      <c r="B44" s="105" t="s">
        <v>797</v>
      </c>
      <c r="C44" s="329"/>
      <c r="D44" s="329"/>
      <c r="E44" s="329"/>
      <c r="F44" s="330"/>
    </row>
    <row r="45" spans="1:6" ht="17.25" customHeight="1" x14ac:dyDescent="0.25">
      <c r="A45" s="328"/>
      <c r="B45" s="105" t="s">
        <v>801</v>
      </c>
      <c r="C45" s="329"/>
      <c r="D45" s="329"/>
      <c r="E45" s="329"/>
      <c r="F45" s="330"/>
    </row>
    <row r="46" spans="1:6" ht="17.25" customHeight="1" x14ac:dyDescent="0.25">
      <c r="A46" s="328"/>
      <c r="B46" s="105" t="s">
        <v>304</v>
      </c>
      <c r="C46" s="329"/>
      <c r="D46" s="329"/>
      <c r="E46" s="329"/>
      <c r="F46" s="330"/>
    </row>
    <row r="47" spans="1:6" ht="17.25" customHeight="1" x14ac:dyDescent="0.25">
      <c r="A47" s="328"/>
      <c r="B47" s="105" t="s">
        <v>798</v>
      </c>
      <c r="C47" s="329"/>
      <c r="D47" s="329"/>
      <c r="E47" s="329"/>
      <c r="F47" s="330"/>
    </row>
    <row r="48" spans="1:6" ht="17.25" customHeight="1" x14ac:dyDescent="0.25">
      <c r="A48" s="328"/>
      <c r="B48" s="105" t="s">
        <v>799</v>
      </c>
      <c r="C48" s="329"/>
      <c r="D48" s="329"/>
      <c r="E48" s="329"/>
      <c r="F48" s="330"/>
    </row>
    <row r="49" spans="1:6" ht="17.25" customHeight="1" x14ac:dyDescent="0.25">
      <c r="A49" s="328"/>
      <c r="B49" s="105" t="s">
        <v>800</v>
      </c>
      <c r="C49" s="329"/>
      <c r="D49" s="329"/>
      <c r="E49" s="329"/>
      <c r="F49" s="330"/>
    </row>
    <row r="50" spans="1:6" ht="17.25" customHeight="1" x14ac:dyDescent="0.25">
      <c r="A50" s="328"/>
      <c r="B50" s="105" t="s">
        <v>305</v>
      </c>
      <c r="C50" s="329"/>
      <c r="D50" s="329"/>
      <c r="E50" s="329"/>
      <c r="F50" s="330"/>
    </row>
    <row r="51" spans="1:6" ht="17.25" customHeight="1" x14ac:dyDescent="0.25">
      <c r="A51" s="328">
        <v>26</v>
      </c>
      <c r="B51" s="104" t="s">
        <v>306</v>
      </c>
      <c r="C51" s="329"/>
      <c r="D51" s="329"/>
      <c r="E51" s="329"/>
      <c r="F51" s="330"/>
    </row>
    <row r="52" spans="1:6" ht="17.25" customHeight="1" x14ac:dyDescent="0.25">
      <c r="A52" s="348">
        <v>27</v>
      </c>
      <c r="B52" s="349" t="s">
        <v>307</v>
      </c>
      <c r="C52" s="350"/>
      <c r="D52" s="350"/>
      <c r="E52" s="350"/>
      <c r="F52" s="351"/>
    </row>
    <row r="53" spans="1:6" ht="17.25" customHeight="1" x14ac:dyDescent="0.25">
      <c r="A53" s="328"/>
      <c r="B53" s="105" t="s">
        <v>890</v>
      </c>
      <c r="C53" s="329"/>
      <c r="D53" s="329"/>
      <c r="E53" s="329"/>
      <c r="F53" s="330"/>
    </row>
    <row r="54" spans="1:6" ht="17.25" customHeight="1" x14ac:dyDescent="0.25">
      <c r="A54" s="328"/>
      <c r="B54" s="105" t="s">
        <v>308</v>
      </c>
      <c r="C54" s="329"/>
      <c r="D54" s="329"/>
      <c r="E54" s="329"/>
      <c r="F54" s="330"/>
    </row>
    <row r="55" spans="1:6" ht="17.25" customHeight="1" x14ac:dyDescent="0.25">
      <c r="A55" s="328"/>
      <c r="B55" s="105" t="s">
        <v>309</v>
      </c>
      <c r="C55" s="329"/>
      <c r="D55" s="329"/>
      <c r="E55" s="329"/>
      <c r="F55" s="330"/>
    </row>
    <row r="56" spans="1:6" ht="17.25" customHeight="1" x14ac:dyDescent="0.25">
      <c r="A56" s="328"/>
      <c r="B56" s="105" t="s">
        <v>310</v>
      </c>
      <c r="C56" s="329"/>
      <c r="D56" s="329"/>
      <c r="E56" s="329"/>
      <c r="F56" s="330"/>
    </row>
    <row r="57" spans="1:6" ht="17.25" customHeight="1" x14ac:dyDescent="0.25">
      <c r="A57" s="328"/>
      <c r="B57" s="105" t="s">
        <v>311</v>
      </c>
      <c r="C57" s="329"/>
      <c r="D57" s="329"/>
      <c r="E57" s="329"/>
      <c r="F57" s="330"/>
    </row>
    <row r="58" spans="1:6" ht="17.25" customHeight="1" x14ac:dyDescent="0.25">
      <c r="A58" s="328">
        <v>28</v>
      </c>
      <c r="B58" s="104" t="s">
        <v>891</v>
      </c>
      <c r="C58" s="329"/>
      <c r="D58" s="329"/>
      <c r="E58" s="329"/>
      <c r="F58" s="330"/>
    </row>
    <row r="59" spans="1:6" ht="17.25" customHeight="1" thickBot="1" x14ac:dyDescent="0.3">
      <c r="A59" s="331">
        <v>29</v>
      </c>
      <c r="B59" s="106" t="s">
        <v>312</v>
      </c>
      <c r="C59" s="332"/>
      <c r="D59" s="332"/>
      <c r="E59" s="332"/>
      <c r="F59" s="333"/>
    </row>
  </sheetData>
  <mergeCells count="13">
    <mergeCell ref="A9:F9"/>
    <mergeCell ref="A1:B1"/>
    <mergeCell ref="C1:F1"/>
    <mergeCell ref="A2:B2"/>
    <mergeCell ref="C2:F2"/>
    <mergeCell ref="A3:B3"/>
    <mergeCell ref="C3:F3"/>
    <mergeCell ref="A4:B4"/>
    <mergeCell ref="C4:F4"/>
    <mergeCell ref="A5:B5"/>
    <mergeCell ref="C5:F5"/>
    <mergeCell ref="A7:F7"/>
    <mergeCell ref="A6:F6"/>
  </mergeCells>
  <pageMargins left="0.7" right="0.7" top="0.75" bottom="0.75" header="0.3" footer="0.3"/>
  <pageSetup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9E3F7"/>
    <pageSetUpPr fitToPage="1"/>
  </sheetPr>
  <dimension ref="A1:G31"/>
  <sheetViews>
    <sheetView showGridLines="0" zoomScaleNormal="100" zoomScaleSheetLayoutView="55" zoomScalePageLayoutView="40" workbookViewId="0">
      <selection activeCell="A6" sqref="A6:F6"/>
    </sheetView>
  </sheetViews>
  <sheetFormatPr defaultColWidth="9.140625" defaultRowHeight="12.75" x14ac:dyDescent="0.25"/>
  <cols>
    <col min="1" max="1" width="4.5703125" style="79" customWidth="1"/>
    <col min="2" max="2" width="79.42578125" style="79" customWidth="1"/>
    <col min="3" max="5" width="4.7109375" style="79" customWidth="1"/>
    <col min="6" max="6" width="23.7109375" style="79" customWidth="1"/>
    <col min="7" max="16384" width="9.140625" style="79"/>
  </cols>
  <sheetData>
    <row r="1" spans="1:7" ht="15" x14ac:dyDescent="0.25">
      <c r="A1" s="443" t="s">
        <v>6</v>
      </c>
      <c r="B1" s="444"/>
      <c r="C1" s="445" t="str">
        <f>IF('Base Information'!$B$3="","(autofill)",'Base Information'!$B$3)</f>
        <v>(autofill)</v>
      </c>
      <c r="D1" s="445" t="str">
        <f>IF('Base Information'!$B$3="","(autofill)",'Base Information'!$B$3)</f>
        <v>(autofill)</v>
      </c>
      <c r="E1" s="445" t="str">
        <f>IF('Base Information'!$B$3="","(autofill)",'Base Information'!$B$3)</f>
        <v>(autofill)</v>
      </c>
      <c r="F1" s="446" t="str">
        <f>IF('Base Information'!$B$3="","(autofill)",'Base Information'!$B$3)</f>
        <v>(autofill)</v>
      </c>
    </row>
    <row r="2" spans="1:7" ht="15" x14ac:dyDescent="0.25">
      <c r="A2" s="447" t="s">
        <v>7</v>
      </c>
      <c r="B2" s="448"/>
      <c r="C2" s="449" t="str">
        <f>IF('Base Information'!$B$5="","(autofill)",'Base Information'!$B$5)</f>
        <v>(autofill)</v>
      </c>
      <c r="D2" s="449" t="str">
        <f>IF('Base Information'!$B$5="","(autofill)",'Base Information'!$B$5)</f>
        <v>(autofill)</v>
      </c>
      <c r="E2" s="449" t="str">
        <f>IF('Base Information'!$B$5="","(autofill)",'Base Information'!$B$5)</f>
        <v>(autofill)</v>
      </c>
      <c r="F2" s="450" t="str">
        <f>IF('Base Information'!$B$5="","(autofill)",'Base Information'!$B$5)</f>
        <v>(autofill)</v>
      </c>
    </row>
    <row r="3" spans="1:7" ht="15" x14ac:dyDescent="0.25">
      <c r="A3" s="447" t="s">
        <v>9</v>
      </c>
      <c r="B3" s="448"/>
      <c r="C3" s="449" t="str">
        <f>IF('Base Information'!$B$7="","(autofill)",'Base Information'!$B$7)</f>
        <v>(autofill)</v>
      </c>
      <c r="D3" s="449" t="str">
        <f>IF('Base Information'!$B$7="","(autofill)",'Base Information'!$B$7)</f>
        <v>(autofill)</v>
      </c>
      <c r="E3" s="449" t="str">
        <f>IF('Base Information'!$B$7="","(autofill)",'Base Information'!$B$7)</f>
        <v>(autofill)</v>
      </c>
      <c r="F3" s="450" t="str">
        <f>IF('Base Information'!$B$7="","(autofill)",'Base Information'!$B$7)</f>
        <v>(autofill)</v>
      </c>
    </row>
    <row r="4" spans="1:7" ht="15" x14ac:dyDescent="0.25">
      <c r="A4" s="447" t="s">
        <v>11</v>
      </c>
      <c r="B4" s="448"/>
      <c r="C4" s="449" t="str">
        <f>IF('Base Information'!$B$9="","(autofill)",'Base Information'!$B$9)</f>
        <v>(autofill)</v>
      </c>
      <c r="D4" s="449" t="str">
        <f>IF('Base Information'!$B$9="","(autofill)",'Base Information'!$B$9)</f>
        <v>(autofill)</v>
      </c>
      <c r="E4" s="449" t="str">
        <f>IF('Base Information'!$B$9="","(autofill)",'Base Information'!$B$9)</f>
        <v>(autofill)</v>
      </c>
      <c r="F4" s="450" t="str">
        <f>IF('Base Information'!$B$9="","(autofill)",'Base Information'!$B$9)</f>
        <v>(autofill)</v>
      </c>
    </row>
    <row r="5" spans="1:7" ht="15.75" thickBot="1" x14ac:dyDescent="0.3">
      <c r="A5" s="451" t="s">
        <v>33</v>
      </c>
      <c r="B5" s="452"/>
      <c r="C5" s="453" t="str">
        <f>IF('Base Information'!$B$32="0/0/0000","(autofill)",'Base Information'!$B$32)</f>
        <v>(autofill)</v>
      </c>
      <c r="D5" s="449" t="str">
        <f>IF('Base Information'!$B$32="","(autofill)",'Base Information'!$B$32)</f>
        <v>0/0/0000</v>
      </c>
      <c r="E5" s="449" t="str">
        <f>IF('Base Information'!$B$32="","(autofill)",'Base Information'!$B$32)</f>
        <v>0/0/0000</v>
      </c>
      <c r="F5" s="450" t="str">
        <f>IF('Base Information'!$B$32="","(autofill)",'Base Information'!$B$32)</f>
        <v>0/0/0000</v>
      </c>
      <c r="G5" s="143"/>
    </row>
    <row r="6" spans="1:7" ht="21.95" customHeight="1" x14ac:dyDescent="0.25">
      <c r="A6" s="454" t="s">
        <v>313</v>
      </c>
      <c r="B6" s="455"/>
      <c r="C6" s="455"/>
      <c r="D6" s="455"/>
      <c r="E6" s="455"/>
      <c r="F6" s="456"/>
    </row>
    <row r="7" spans="1:7" ht="3" customHeight="1" x14ac:dyDescent="0.25">
      <c r="A7" s="440"/>
      <c r="B7" s="441"/>
      <c r="C7" s="441"/>
      <c r="D7" s="441"/>
      <c r="E7" s="441"/>
      <c r="F7" s="442"/>
    </row>
    <row r="8" spans="1:7" ht="17.25" customHeight="1" x14ac:dyDescent="0.25">
      <c r="A8" s="345"/>
      <c r="B8" s="337"/>
      <c r="C8" s="88" t="s">
        <v>276</v>
      </c>
      <c r="D8" s="88" t="s">
        <v>277</v>
      </c>
      <c r="E8" s="88" t="s">
        <v>278</v>
      </c>
      <c r="F8" s="90" t="s">
        <v>279</v>
      </c>
    </row>
    <row r="9" spans="1:7" ht="3" customHeight="1" x14ac:dyDescent="0.25">
      <c r="A9" s="440"/>
      <c r="B9" s="441"/>
      <c r="C9" s="441"/>
      <c r="D9" s="441"/>
      <c r="E9" s="441"/>
      <c r="F9" s="442"/>
    </row>
    <row r="10" spans="1:7" ht="32.1" customHeight="1" x14ac:dyDescent="0.25">
      <c r="A10" s="107">
        <v>1</v>
      </c>
      <c r="B10" s="104" t="s">
        <v>314</v>
      </c>
      <c r="C10" s="80"/>
      <c r="D10" s="80"/>
      <c r="E10" s="80"/>
      <c r="F10" s="81"/>
    </row>
    <row r="11" spans="1:7" ht="32.1" customHeight="1" x14ac:dyDescent="0.25">
      <c r="A11" s="107">
        <v>2</v>
      </c>
      <c r="B11" s="104" t="s">
        <v>846</v>
      </c>
      <c r="C11" s="80"/>
      <c r="D11" s="80"/>
      <c r="E11" s="80"/>
      <c r="F11" s="81"/>
    </row>
    <row r="12" spans="1:7" ht="17.25" customHeight="1" x14ac:dyDescent="0.25">
      <c r="A12" s="107">
        <v>3</v>
      </c>
      <c r="B12" s="104" t="s">
        <v>315</v>
      </c>
      <c r="C12" s="80"/>
      <c r="D12" s="80"/>
      <c r="E12" s="80"/>
      <c r="F12" s="81"/>
    </row>
    <row r="13" spans="1:7" ht="32.1" customHeight="1" x14ac:dyDescent="0.25">
      <c r="A13" s="107">
        <v>4</v>
      </c>
      <c r="B13" s="104" t="s">
        <v>316</v>
      </c>
      <c r="C13" s="80"/>
      <c r="D13" s="80"/>
      <c r="E13" s="80"/>
      <c r="F13" s="81"/>
    </row>
    <row r="14" spans="1:7" ht="17.25" customHeight="1" x14ac:dyDescent="0.25">
      <c r="A14" s="107">
        <v>5</v>
      </c>
      <c r="B14" s="104" t="s">
        <v>317</v>
      </c>
      <c r="C14" s="80"/>
      <c r="D14" s="80"/>
      <c r="E14" s="80"/>
      <c r="F14" s="81"/>
    </row>
    <row r="15" spans="1:7" ht="32.1" customHeight="1" x14ac:dyDescent="0.25">
      <c r="A15" s="107">
        <v>6</v>
      </c>
      <c r="B15" s="104" t="s">
        <v>318</v>
      </c>
      <c r="C15" s="80"/>
      <c r="D15" s="80"/>
      <c r="E15" s="80"/>
      <c r="F15" s="81"/>
    </row>
    <row r="16" spans="1:7" ht="17.25" customHeight="1" x14ac:dyDescent="0.25">
      <c r="A16" s="107">
        <v>7</v>
      </c>
      <c r="B16" s="104" t="s">
        <v>319</v>
      </c>
      <c r="C16" s="80"/>
      <c r="D16" s="80"/>
      <c r="E16" s="80"/>
      <c r="F16" s="81"/>
    </row>
    <row r="17" spans="1:6" ht="17.25" customHeight="1" x14ac:dyDescent="0.25">
      <c r="A17" s="107">
        <v>8</v>
      </c>
      <c r="B17" s="104" t="s">
        <v>320</v>
      </c>
      <c r="C17" s="80"/>
      <c r="D17" s="80"/>
      <c r="E17" s="80"/>
      <c r="F17" s="81"/>
    </row>
    <row r="18" spans="1:6" ht="17.25" customHeight="1" x14ac:dyDescent="0.25">
      <c r="A18" s="107">
        <v>9</v>
      </c>
      <c r="B18" s="104" t="s">
        <v>321</v>
      </c>
      <c r="C18" s="80"/>
      <c r="D18" s="80"/>
      <c r="E18" s="80"/>
      <c r="F18" s="81"/>
    </row>
    <row r="19" spans="1:6" ht="17.25" customHeight="1" x14ac:dyDescent="0.25">
      <c r="A19" s="107">
        <v>10</v>
      </c>
      <c r="B19" s="104" t="s">
        <v>322</v>
      </c>
      <c r="C19" s="80"/>
      <c r="D19" s="80"/>
      <c r="E19" s="80"/>
      <c r="F19" s="81"/>
    </row>
    <row r="20" spans="1:6" ht="17.25" customHeight="1" x14ac:dyDescent="0.25">
      <c r="A20" s="107">
        <v>11</v>
      </c>
      <c r="B20" s="104" t="s">
        <v>323</v>
      </c>
      <c r="C20" s="80"/>
      <c r="D20" s="80"/>
      <c r="E20" s="80"/>
      <c r="F20" s="81"/>
    </row>
    <row r="21" spans="1:6" ht="32.1" customHeight="1" x14ac:dyDescent="0.25">
      <c r="A21" s="107">
        <v>12</v>
      </c>
      <c r="B21" s="104" t="s">
        <v>324</v>
      </c>
      <c r="C21" s="80"/>
      <c r="D21" s="80"/>
      <c r="E21" s="80"/>
      <c r="F21" s="81"/>
    </row>
    <row r="22" spans="1:6" ht="32.1" customHeight="1" x14ac:dyDescent="0.25">
      <c r="A22" s="107">
        <v>13</v>
      </c>
      <c r="B22" s="104" t="s">
        <v>325</v>
      </c>
      <c r="C22" s="80"/>
      <c r="D22" s="80"/>
      <c r="E22" s="80"/>
      <c r="F22" s="81"/>
    </row>
    <row r="23" spans="1:6" ht="32.1" customHeight="1" x14ac:dyDescent="0.25">
      <c r="A23" s="107">
        <v>14</v>
      </c>
      <c r="B23" s="104" t="s">
        <v>326</v>
      </c>
      <c r="C23" s="80"/>
      <c r="D23" s="80"/>
      <c r="E23" s="80"/>
      <c r="F23" s="81"/>
    </row>
    <row r="24" spans="1:6" ht="32.1" customHeight="1" x14ac:dyDescent="0.25">
      <c r="A24" s="107">
        <v>15</v>
      </c>
      <c r="B24" s="104" t="s">
        <v>327</v>
      </c>
      <c r="C24" s="80"/>
      <c r="D24" s="80"/>
      <c r="E24" s="80"/>
      <c r="F24" s="81"/>
    </row>
    <row r="25" spans="1:6" ht="17.25" customHeight="1" x14ac:dyDescent="0.25">
      <c r="A25" s="107">
        <v>16</v>
      </c>
      <c r="B25" s="104" t="s">
        <v>328</v>
      </c>
      <c r="C25" s="80"/>
      <c r="D25" s="80"/>
      <c r="E25" s="80"/>
      <c r="F25" s="81"/>
    </row>
    <row r="26" spans="1:6" ht="17.25" customHeight="1" x14ac:dyDescent="0.25">
      <c r="A26" s="107">
        <v>17</v>
      </c>
      <c r="B26" s="104" t="s">
        <v>329</v>
      </c>
      <c r="C26" s="80"/>
      <c r="D26" s="80"/>
      <c r="E26" s="80"/>
      <c r="F26" s="81"/>
    </row>
    <row r="27" spans="1:6" ht="32.1" customHeight="1" x14ac:dyDescent="0.25">
      <c r="A27" s="107">
        <v>18</v>
      </c>
      <c r="B27" s="104" t="s">
        <v>330</v>
      </c>
      <c r="C27" s="80"/>
      <c r="D27" s="80"/>
      <c r="E27" s="80"/>
      <c r="F27" s="81"/>
    </row>
    <row r="28" spans="1:6" ht="17.25" customHeight="1" x14ac:dyDescent="0.25">
      <c r="A28" s="107">
        <v>19</v>
      </c>
      <c r="B28" s="104" t="s">
        <v>331</v>
      </c>
      <c r="C28" s="80"/>
      <c r="D28" s="80"/>
      <c r="E28" s="80"/>
      <c r="F28" s="81"/>
    </row>
    <row r="29" spans="1:6" ht="17.25" customHeight="1" x14ac:dyDescent="0.25">
      <c r="A29" s="107">
        <v>20</v>
      </c>
      <c r="B29" s="104" t="s">
        <v>332</v>
      </c>
      <c r="C29" s="80"/>
      <c r="D29" s="80"/>
      <c r="E29" s="80"/>
      <c r="F29" s="81"/>
    </row>
    <row r="30" spans="1:6" ht="32.1" customHeight="1" x14ac:dyDescent="0.25">
      <c r="A30" s="107">
        <v>21</v>
      </c>
      <c r="B30" s="104" t="s">
        <v>333</v>
      </c>
      <c r="C30" s="80"/>
      <c r="D30" s="80"/>
      <c r="E30" s="80"/>
      <c r="F30" s="81"/>
    </row>
    <row r="31" spans="1:6" ht="32.1" customHeight="1" thickBot="1" x14ac:dyDescent="0.3">
      <c r="A31" s="108">
        <v>22</v>
      </c>
      <c r="B31" s="106" t="s">
        <v>334</v>
      </c>
      <c r="C31" s="83"/>
      <c r="D31" s="83"/>
      <c r="E31" s="83"/>
      <c r="F31" s="84"/>
    </row>
  </sheetData>
  <mergeCells count="13">
    <mergeCell ref="A7:F7"/>
    <mergeCell ref="A9:F9"/>
    <mergeCell ref="A4:B4"/>
    <mergeCell ref="C4:F4"/>
    <mergeCell ref="A5:B5"/>
    <mergeCell ref="C5:F5"/>
    <mergeCell ref="A6:F6"/>
    <mergeCell ref="A1:B1"/>
    <mergeCell ref="C1:F1"/>
    <mergeCell ref="A2:B2"/>
    <mergeCell ref="C2:F2"/>
    <mergeCell ref="A3:B3"/>
    <mergeCell ref="C3:F3"/>
  </mergeCells>
  <pageMargins left="0.7" right="0.7" top="0.75" bottom="0.75" header="0.3" footer="0.3"/>
  <pageSetup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9E3F7"/>
    <pageSetUpPr fitToPage="1"/>
  </sheetPr>
  <dimension ref="A1:G37"/>
  <sheetViews>
    <sheetView showGridLines="0" zoomScaleNormal="100" workbookViewId="0">
      <selection activeCell="A6" sqref="A6:F6"/>
    </sheetView>
  </sheetViews>
  <sheetFormatPr defaultColWidth="9.140625" defaultRowHeight="15" x14ac:dyDescent="0.25"/>
  <cols>
    <col min="1" max="1" width="4.5703125" style="85" customWidth="1"/>
    <col min="2" max="2" width="79.42578125" style="85" customWidth="1"/>
    <col min="3" max="5" width="4.7109375" style="85" customWidth="1"/>
    <col min="6" max="6" width="23.7109375" style="89" customWidth="1"/>
    <col min="7" max="16384" width="9.140625" style="85"/>
  </cols>
  <sheetData>
    <row r="1" spans="1:7" x14ac:dyDescent="0.25">
      <c r="A1" s="443" t="s">
        <v>6</v>
      </c>
      <c r="B1" s="444"/>
      <c r="C1" s="445" t="str">
        <f>IF('Base Information'!$B$3="","(autofill)",'Base Information'!$B$3)</f>
        <v>(autofill)</v>
      </c>
      <c r="D1" s="445" t="str">
        <f>IF('Base Information'!$B$3="","(autofill)",'Base Information'!$B$3)</f>
        <v>(autofill)</v>
      </c>
      <c r="E1" s="445" t="str">
        <f>IF('Base Information'!$B$3="","(autofill)",'Base Information'!$B$3)</f>
        <v>(autofill)</v>
      </c>
      <c r="F1" s="446" t="str">
        <f>IF('Base Information'!$B$3="","(autofill)",'Base Information'!$B$3)</f>
        <v>(autofill)</v>
      </c>
    </row>
    <row r="2" spans="1:7" x14ac:dyDescent="0.25">
      <c r="A2" s="447" t="s">
        <v>7</v>
      </c>
      <c r="B2" s="448"/>
      <c r="C2" s="449" t="str">
        <f>IF('Base Information'!$B$5="","(autofill)",'Base Information'!$B$5)</f>
        <v>(autofill)</v>
      </c>
      <c r="D2" s="449" t="str">
        <f>IF('Base Information'!$B$5="","(autofill)",'Base Information'!$B$5)</f>
        <v>(autofill)</v>
      </c>
      <c r="E2" s="449" t="str">
        <f>IF('Base Information'!$B$5="","(autofill)",'Base Information'!$B$5)</f>
        <v>(autofill)</v>
      </c>
      <c r="F2" s="450" t="str">
        <f>IF('Base Information'!$B$5="","(autofill)",'Base Information'!$B$5)</f>
        <v>(autofill)</v>
      </c>
    </row>
    <row r="3" spans="1:7" x14ac:dyDescent="0.25">
      <c r="A3" s="447" t="s">
        <v>9</v>
      </c>
      <c r="B3" s="448"/>
      <c r="C3" s="449" t="str">
        <f>IF('Base Information'!$B$7="","(autofill)",'Base Information'!$B$7)</f>
        <v>(autofill)</v>
      </c>
      <c r="D3" s="449" t="str">
        <f>IF('Base Information'!$B$7="","(autofill)",'Base Information'!$B$7)</f>
        <v>(autofill)</v>
      </c>
      <c r="E3" s="449" t="str">
        <f>IF('Base Information'!$B$7="","(autofill)",'Base Information'!$B$7)</f>
        <v>(autofill)</v>
      </c>
      <c r="F3" s="450" t="str">
        <f>IF('Base Information'!$B$7="","(autofill)",'Base Information'!$B$7)</f>
        <v>(autofill)</v>
      </c>
    </row>
    <row r="4" spans="1:7" x14ac:dyDescent="0.25">
      <c r="A4" s="447" t="s">
        <v>11</v>
      </c>
      <c r="B4" s="448"/>
      <c r="C4" s="449" t="str">
        <f>IF('Base Information'!$B$9="","(autofill)",'Base Information'!$B$9)</f>
        <v>(autofill)</v>
      </c>
      <c r="D4" s="449" t="str">
        <f>IF('Base Information'!$B$9="","(autofill)",'Base Information'!$B$9)</f>
        <v>(autofill)</v>
      </c>
      <c r="E4" s="449" t="str">
        <f>IF('Base Information'!$B$9="","(autofill)",'Base Information'!$B$9)</f>
        <v>(autofill)</v>
      </c>
      <c r="F4" s="450" t="str">
        <f>IF('Base Information'!$B$9="","(autofill)",'Base Information'!$B$9)</f>
        <v>(autofill)</v>
      </c>
    </row>
    <row r="5" spans="1:7" ht="15.75" thickBot="1" x14ac:dyDescent="0.3">
      <c r="A5" s="451" t="s">
        <v>33</v>
      </c>
      <c r="B5" s="452"/>
      <c r="C5" s="453" t="str">
        <f>IF('Base Information'!$B$32="0/0/0000","(autofill)",'Base Information'!$B$32)</f>
        <v>(autofill)</v>
      </c>
      <c r="D5" s="449" t="str">
        <f>IF('Base Information'!$B$32="","(autofill)",'Base Information'!$B$32)</f>
        <v>0/0/0000</v>
      </c>
      <c r="E5" s="449" t="str">
        <f>IF('Base Information'!$B$32="","(autofill)",'Base Information'!$B$32)</f>
        <v>0/0/0000</v>
      </c>
      <c r="F5" s="450" t="str">
        <f>IF('Base Information'!$B$32="","(autofill)",'Base Information'!$B$32)</f>
        <v>0/0/0000</v>
      </c>
      <c r="G5" s="143"/>
    </row>
    <row r="6" spans="1:7" ht="21.95" customHeight="1" x14ac:dyDescent="0.25">
      <c r="A6" s="463" t="s">
        <v>335</v>
      </c>
      <c r="B6" s="464"/>
      <c r="C6" s="464"/>
      <c r="D6" s="464"/>
      <c r="E6" s="464"/>
      <c r="F6" s="465"/>
    </row>
    <row r="7" spans="1:7" s="79" customFormat="1" ht="3" customHeight="1" x14ac:dyDescent="0.25">
      <c r="A7" s="460"/>
      <c r="B7" s="461"/>
      <c r="C7" s="461"/>
      <c r="D7" s="461"/>
      <c r="E7" s="461"/>
      <c r="F7" s="462"/>
    </row>
    <row r="8" spans="1:7" s="79" customFormat="1" ht="17.25" customHeight="1" x14ac:dyDescent="0.25">
      <c r="A8" s="345"/>
      <c r="B8" s="337"/>
      <c r="C8" s="111" t="s">
        <v>276</v>
      </c>
      <c r="D8" s="111" t="s">
        <v>277</v>
      </c>
      <c r="E8" s="111" t="s">
        <v>278</v>
      </c>
      <c r="F8" s="112" t="s">
        <v>279</v>
      </c>
    </row>
    <row r="9" spans="1:7" s="79" customFormat="1" ht="3" customHeight="1" x14ac:dyDescent="0.25">
      <c r="A9" s="457"/>
      <c r="B9" s="458"/>
      <c r="C9" s="458"/>
      <c r="D9" s="458"/>
      <c r="E9" s="458"/>
      <c r="F9" s="459"/>
    </row>
    <row r="10" spans="1:7" ht="17.25" customHeight="1" x14ac:dyDescent="0.25">
      <c r="A10" s="343">
        <v>1</v>
      </c>
      <c r="B10" s="344" t="s">
        <v>833</v>
      </c>
      <c r="C10" s="335"/>
      <c r="D10" s="335"/>
      <c r="E10" s="335"/>
      <c r="F10" s="336"/>
    </row>
    <row r="11" spans="1:7" ht="17.25" customHeight="1" x14ac:dyDescent="0.25">
      <c r="A11" s="109"/>
      <c r="B11" s="342" t="s">
        <v>827</v>
      </c>
      <c r="C11" s="86"/>
      <c r="D11" s="86"/>
      <c r="E11" s="86"/>
      <c r="F11" s="81"/>
    </row>
    <row r="12" spans="1:7" ht="17.25" customHeight="1" x14ac:dyDescent="0.25">
      <c r="A12" s="109"/>
      <c r="B12" s="342" t="s">
        <v>828</v>
      </c>
      <c r="C12" s="86"/>
      <c r="D12" s="86"/>
      <c r="E12" s="86"/>
      <c r="F12" s="81"/>
    </row>
    <row r="13" spans="1:7" ht="17.25" customHeight="1" x14ac:dyDescent="0.25">
      <c r="A13" s="109"/>
      <c r="B13" s="342" t="s">
        <v>829</v>
      </c>
      <c r="C13" s="86"/>
      <c r="D13" s="86"/>
      <c r="E13" s="86"/>
      <c r="F13" s="81"/>
    </row>
    <row r="14" spans="1:7" ht="17.25" customHeight="1" x14ac:dyDescent="0.25">
      <c r="A14" s="109"/>
      <c r="B14" s="342" t="s">
        <v>830</v>
      </c>
      <c r="C14" s="86"/>
      <c r="D14" s="86"/>
      <c r="E14" s="86"/>
      <c r="F14" s="81"/>
    </row>
    <row r="15" spans="1:7" ht="17.25" customHeight="1" x14ac:dyDescent="0.25">
      <c r="A15" s="109"/>
      <c r="B15" s="342" t="s">
        <v>831</v>
      </c>
      <c r="C15" s="86"/>
      <c r="D15" s="86"/>
      <c r="E15" s="86"/>
      <c r="F15" s="81"/>
    </row>
    <row r="16" spans="1:7" ht="17.25" customHeight="1" x14ac:dyDescent="0.25">
      <c r="A16" s="343">
        <v>2</v>
      </c>
      <c r="B16" s="344" t="s">
        <v>832</v>
      </c>
      <c r="C16" s="335"/>
      <c r="D16" s="335"/>
      <c r="E16" s="335"/>
      <c r="F16" s="336"/>
    </row>
    <row r="17" spans="1:6" ht="17.25" customHeight="1" x14ac:dyDescent="0.25">
      <c r="A17" s="109"/>
      <c r="B17" s="342" t="s">
        <v>827</v>
      </c>
      <c r="C17" s="86"/>
      <c r="D17" s="86"/>
      <c r="E17" s="86"/>
      <c r="F17" s="81"/>
    </row>
    <row r="18" spans="1:6" ht="17.25" customHeight="1" x14ac:dyDescent="0.25">
      <c r="A18" s="109"/>
      <c r="B18" s="342" t="s">
        <v>828</v>
      </c>
      <c r="C18" s="86"/>
      <c r="D18" s="86"/>
      <c r="E18" s="86"/>
      <c r="F18" s="81"/>
    </row>
    <row r="19" spans="1:6" ht="17.25" customHeight="1" x14ac:dyDescent="0.25">
      <c r="A19" s="109"/>
      <c r="B19" s="342" t="s">
        <v>829</v>
      </c>
      <c r="C19" s="86"/>
      <c r="D19" s="86"/>
      <c r="E19" s="86"/>
      <c r="F19" s="81"/>
    </row>
    <row r="20" spans="1:6" ht="17.25" customHeight="1" x14ac:dyDescent="0.25">
      <c r="A20" s="109"/>
      <c r="B20" s="342" t="s">
        <v>830</v>
      </c>
      <c r="C20" s="86"/>
      <c r="D20" s="86"/>
      <c r="E20" s="86"/>
      <c r="F20" s="81"/>
    </row>
    <row r="21" spans="1:6" ht="17.25" customHeight="1" x14ac:dyDescent="0.25">
      <c r="A21" s="109"/>
      <c r="B21" s="342" t="s">
        <v>831</v>
      </c>
      <c r="C21" s="86"/>
      <c r="D21" s="86"/>
      <c r="E21" s="86"/>
      <c r="F21" s="81"/>
    </row>
    <row r="22" spans="1:6" ht="17.25" customHeight="1" x14ac:dyDescent="0.25">
      <c r="A22" s="343">
        <v>3</v>
      </c>
      <c r="B22" s="344" t="s">
        <v>336</v>
      </c>
      <c r="C22" s="335"/>
      <c r="D22" s="335"/>
      <c r="E22" s="335"/>
      <c r="F22" s="336"/>
    </row>
    <row r="23" spans="1:6" ht="17.25" customHeight="1" x14ac:dyDescent="0.25">
      <c r="A23" s="109"/>
      <c r="B23" s="342" t="s">
        <v>834</v>
      </c>
      <c r="C23" s="86"/>
      <c r="D23" s="86"/>
      <c r="E23" s="86"/>
      <c r="F23" s="81"/>
    </row>
    <row r="24" spans="1:6" ht="17.25" customHeight="1" x14ac:dyDescent="0.25">
      <c r="A24" s="109"/>
      <c r="B24" s="342" t="s">
        <v>337</v>
      </c>
      <c r="C24" s="86"/>
      <c r="D24" s="86"/>
      <c r="E24" s="86"/>
      <c r="F24" s="81"/>
    </row>
    <row r="25" spans="1:6" ht="17.25" customHeight="1" x14ac:dyDescent="0.25">
      <c r="A25" s="338"/>
      <c r="B25" s="339" t="s">
        <v>338</v>
      </c>
      <c r="C25" s="340"/>
      <c r="D25" s="340"/>
      <c r="E25" s="340"/>
      <c r="F25" s="341"/>
    </row>
    <row r="26" spans="1:6" ht="17.25" customHeight="1" x14ac:dyDescent="0.25">
      <c r="A26" s="109"/>
      <c r="B26" s="347" t="s">
        <v>835</v>
      </c>
      <c r="C26" s="86"/>
      <c r="D26" s="86"/>
      <c r="E26" s="86"/>
      <c r="F26" s="81"/>
    </row>
    <row r="27" spans="1:6" ht="17.25" customHeight="1" x14ac:dyDescent="0.25">
      <c r="A27" s="109"/>
      <c r="B27" s="347" t="s">
        <v>836</v>
      </c>
      <c r="C27" s="86"/>
      <c r="D27" s="86"/>
      <c r="E27" s="86"/>
      <c r="F27" s="81"/>
    </row>
    <row r="28" spans="1:6" ht="17.25" customHeight="1" x14ac:dyDescent="0.25">
      <c r="A28" s="109"/>
      <c r="B28" s="347" t="s">
        <v>837</v>
      </c>
      <c r="C28" s="86"/>
      <c r="D28" s="86"/>
      <c r="E28" s="86"/>
      <c r="F28" s="81"/>
    </row>
    <row r="29" spans="1:6" ht="17.25" customHeight="1" x14ac:dyDescent="0.25">
      <c r="A29" s="343">
        <v>4</v>
      </c>
      <c r="B29" s="344" t="s">
        <v>339</v>
      </c>
      <c r="C29" s="335"/>
      <c r="D29" s="335"/>
      <c r="E29" s="335"/>
      <c r="F29" s="336"/>
    </row>
    <row r="30" spans="1:6" ht="17.25" customHeight="1" x14ac:dyDescent="0.25">
      <c r="A30" s="109"/>
      <c r="B30" s="342" t="s">
        <v>340</v>
      </c>
      <c r="C30" s="86"/>
      <c r="D30" s="86"/>
      <c r="E30" s="86"/>
      <c r="F30" s="81"/>
    </row>
    <row r="31" spans="1:6" ht="17.25" customHeight="1" x14ac:dyDescent="0.25">
      <c r="A31" s="109"/>
      <c r="B31" s="342" t="s">
        <v>341</v>
      </c>
      <c r="C31" s="86"/>
      <c r="D31" s="86"/>
      <c r="E31" s="86"/>
      <c r="F31" s="81"/>
    </row>
    <row r="32" spans="1:6" ht="17.25" customHeight="1" x14ac:dyDescent="0.25">
      <c r="A32" s="109"/>
      <c r="B32" s="342" t="s">
        <v>342</v>
      </c>
      <c r="C32" s="86"/>
      <c r="D32" s="86"/>
      <c r="E32" s="86"/>
      <c r="F32" s="81"/>
    </row>
    <row r="33" spans="1:6" ht="17.25" customHeight="1" x14ac:dyDescent="0.25">
      <c r="A33" s="109"/>
      <c r="B33" s="342" t="s">
        <v>343</v>
      </c>
      <c r="C33" s="86"/>
      <c r="D33" s="86"/>
      <c r="E33" s="86"/>
      <c r="F33" s="81"/>
    </row>
    <row r="34" spans="1:6" ht="17.25" customHeight="1" x14ac:dyDescent="0.25">
      <c r="A34" s="343">
        <v>5</v>
      </c>
      <c r="B34" s="344" t="s">
        <v>344</v>
      </c>
      <c r="C34" s="335"/>
      <c r="D34" s="335"/>
      <c r="E34" s="335"/>
      <c r="F34" s="336"/>
    </row>
    <row r="35" spans="1:6" ht="17.25" customHeight="1" x14ac:dyDescent="0.25">
      <c r="A35" s="109"/>
      <c r="B35" s="342" t="s">
        <v>345</v>
      </c>
      <c r="C35" s="86"/>
      <c r="D35" s="86"/>
      <c r="E35" s="86"/>
      <c r="F35" s="81"/>
    </row>
    <row r="36" spans="1:6" ht="17.25" customHeight="1" x14ac:dyDescent="0.25">
      <c r="A36" s="109"/>
      <c r="B36" s="342" t="s">
        <v>346</v>
      </c>
      <c r="C36" s="86"/>
      <c r="D36" s="86"/>
      <c r="E36" s="86"/>
      <c r="F36" s="81"/>
    </row>
    <row r="37" spans="1:6" ht="17.25" customHeight="1" thickBot="1" x14ac:dyDescent="0.3">
      <c r="A37" s="110"/>
      <c r="B37" s="346" t="s">
        <v>347</v>
      </c>
      <c r="C37" s="87"/>
      <c r="D37" s="87"/>
      <c r="E37" s="87"/>
      <c r="F37" s="84"/>
    </row>
  </sheetData>
  <mergeCells count="13">
    <mergeCell ref="A9:F9"/>
    <mergeCell ref="A7:F7"/>
    <mergeCell ref="A1:B1"/>
    <mergeCell ref="C1:F1"/>
    <mergeCell ref="A2:B2"/>
    <mergeCell ref="C2:F2"/>
    <mergeCell ref="A3:B3"/>
    <mergeCell ref="C3:F3"/>
    <mergeCell ref="A4:B4"/>
    <mergeCell ref="C4:F4"/>
    <mergeCell ref="A5:B5"/>
    <mergeCell ref="C5:F5"/>
    <mergeCell ref="A6:F6"/>
  </mergeCells>
  <pageMargins left="0.7" right="0.7" top="0.75" bottom="0.75" header="0.3" footer="0.3"/>
  <pageSetup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9E3F7"/>
    <pageSetUpPr fitToPage="1"/>
  </sheetPr>
  <dimension ref="A1:G33"/>
  <sheetViews>
    <sheetView showGridLines="0" zoomScaleNormal="100" zoomScaleSheetLayoutView="55" zoomScalePageLayoutView="55" workbookViewId="0">
      <selection activeCell="A6" sqref="A6:F6"/>
    </sheetView>
  </sheetViews>
  <sheetFormatPr defaultColWidth="9.140625" defaultRowHeight="12.75" x14ac:dyDescent="0.25"/>
  <cols>
    <col min="1" max="1" width="4.5703125" style="79" customWidth="1"/>
    <col min="2" max="2" width="79.42578125" style="79" customWidth="1"/>
    <col min="3" max="5" width="4.7109375" style="91" customWidth="1"/>
    <col min="6" max="6" width="23.7109375" style="79" customWidth="1"/>
    <col min="7" max="16384" width="9.140625" style="79"/>
  </cols>
  <sheetData>
    <row r="1" spans="1:7" s="85" customFormat="1" ht="15" x14ac:dyDescent="0.25">
      <c r="A1" s="443" t="s">
        <v>6</v>
      </c>
      <c r="B1" s="444"/>
      <c r="C1" s="445" t="str">
        <f>IF('Base Information'!$B$3="","(autofill)",'Base Information'!$B$3)</f>
        <v>(autofill)</v>
      </c>
      <c r="D1" s="445" t="str">
        <f>IF('Base Information'!$B$3="","(autofill)",'Base Information'!$B$3)</f>
        <v>(autofill)</v>
      </c>
      <c r="E1" s="445" t="str">
        <f>IF('Base Information'!$B$3="","(autofill)",'Base Information'!$B$3)</f>
        <v>(autofill)</v>
      </c>
      <c r="F1" s="446" t="str">
        <f>IF('Base Information'!$B$3="","(autofill)",'Base Information'!$B$3)</f>
        <v>(autofill)</v>
      </c>
    </row>
    <row r="2" spans="1:7" s="85" customFormat="1" ht="15" x14ac:dyDescent="0.25">
      <c r="A2" s="447" t="s">
        <v>7</v>
      </c>
      <c r="B2" s="448"/>
      <c r="C2" s="449" t="str">
        <f>IF('Base Information'!$B$5="","(autofill)",'Base Information'!$B$5)</f>
        <v>(autofill)</v>
      </c>
      <c r="D2" s="449" t="str">
        <f>IF('Base Information'!$B$5="","(autofill)",'Base Information'!$B$5)</f>
        <v>(autofill)</v>
      </c>
      <c r="E2" s="449" t="str">
        <f>IF('Base Information'!$B$5="","(autofill)",'Base Information'!$B$5)</f>
        <v>(autofill)</v>
      </c>
      <c r="F2" s="450" t="str">
        <f>IF('Base Information'!$B$5="","(autofill)",'Base Information'!$B$5)</f>
        <v>(autofill)</v>
      </c>
    </row>
    <row r="3" spans="1:7" s="85" customFormat="1" ht="15" x14ac:dyDescent="0.25">
      <c r="A3" s="447" t="s">
        <v>9</v>
      </c>
      <c r="B3" s="448"/>
      <c r="C3" s="449" t="str">
        <f>IF('Base Information'!$B$7="","(autofill)",'Base Information'!$B$7)</f>
        <v>(autofill)</v>
      </c>
      <c r="D3" s="449" t="str">
        <f>IF('Base Information'!$B$7="","(autofill)",'Base Information'!$B$7)</f>
        <v>(autofill)</v>
      </c>
      <c r="E3" s="449" t="str">
        <f>IF('Base Information'!$B$7="","(autofill)",'Base Information'!$B$7)</f>
        <v>(autofill)</v>
      </c>
      <c r="F3" s="450" t="str">
        <f>IF('Base Information'!$B$7="","(autofill)",'Base Information'!$B$7)</f>
        <v>(autofill)</v>
      </c>
    </row>
    <row r="4" spans="1:7" s="85" customFormat="1" ht="15" x14ac:dyDescent="0.25">
      <c r="A4" s="447" t="s">
        <v>11</v>
      </c>
      <c r="B4" s="448"/>
      <c r="C4" s="449" t="str">
        <f>IF('Base Information'!$B$9="","(autofill)",'Base Information'!$B$9)</f>
        <v>(autofill)</v>
      </c>
      <c r="D4" s="449" t="str">
        <f>IF('Base Information'!$B$9="","(autofill)",'Base Information'!$B$9)</f>
        <v>(autofill)</v>
      </c>
      <c r="E4" s="449" t="str">
        <f>IF('Base Information'!$B$9="","(autofill)",'Base Information'!$B$9)</f>
        <v>(autofill)</v>
      </c>
      <c r="F4" s="450" t="str">
        <f>IF('Base Information'!$B$9="","(autofill)",'Base Information'!$B$9)</f>
        <v>(autofill)</v>
      </c>
    </row>
    <row r="5" spans="1:7" s="85" customFormat="1" ht="15.75" thickBot="1" x14ac:dyDescent="0.3">
      <c r="A5" s="451" t="s">
        <v>33</v>
      </c>
      <c r="B5" s="452"/>
      <c r="C5" s="453" t="str">
        <f>IF('Base Information'!$B$32="0/0/0000","(autofill)",'Base Information'!$B$32)</f>
        <v>(autofill)</v>
      </c>
      <c r="D5" s="449" t="str">
        <f>IF('Base Information'!$B$32="","(autofill)",'Base Information'!$B$32)</f>
        <v>0/0/0000</v>
      </c>
      <c r="E5" s="449" t="str">
        <f>IF('Base Information'!$B$32="","(autofill)",'Base Information'!$B$32)</f>
        <v>0/0/0000</v>
      </c>
      <c r="F5" s="450" t="str">
        <f>IF('Base Information'!$B$32="","(autofill)",'Base Information'!$B$32)</f>
        <v>0/0/0000</v>
      </c>
      <c r="G5" s="143"/>
    </row>
    <row r="6" spans="1:7" ht="21.95" customHeight="1" x14ac:dyDescent="0.25">
      <c r="A6" s="454" t="s">
        <v>348</v>
      </c>
      <c r="B6" s="455"/>
      <c r="C6" s="455"/>
      <c r="D6" s="455"/>
      <c r="E6" s="455"/>
      <c r="F6" s="456"/>
    </row>
    <row r="7" spans="1:7" ht="3" customHeight="1" x14ac:dyDescent="0.25">
      <c r="A7" s="466"/>
      <c r="B7" s="467"/>
      <c r="C7" s="467"/>
      <c r="D7" s="467"/>
      <c r="E7" s="467"/>
      <c r="F7" s="468"/>
    </row>
    <row r="8" spans="1:7" ht="17.25" customHeight="1" x14ac:dyDescent="0.25">
      <c r="A8" s="345"/>
      <c r="B8" s="337"/>
      <c r="C8" s="88" t="s">
        <v>276</v>
      </c>
      <c r="D8" s="88" t="s">
        <v>277</v>
      </c>
      <c r="E8" s="88" t="s">
        <v>278</v>
      </c>
      <c r="F8" s="90" t="s">
        <v>279</v>
      </c>
    </row>
    <row r="9" spans="1:7" ht="3" customHeight="1" x14ac:dyDescent="0.25">
      <c r="A9" s="114"/>
      <c r="B9" s="115"/>
      <c r="C9" s="115"/>
      <c r="D9" s="115"/>
      <c r="E9" s="115"/>
      <c r="F9" s="113"/>
    </row>
    <row r="10" spans="1:7" s="85" customFormat="1" ht="17.25" customHeight="1" x14ac:dyDescent="0.25">
      <c r="A10" s="343">
        <v>1</v>
      </c>
      <c r="B10" s="344" t="s">
        <v>349</v>
      </c>
      <c r="C10" s="335"/>
      <c r="D10" s="335"/>
      <c r="E10" s="335"/>
      <c r="F10" s="336"/>
    </row>
    <row r="11" spans="1:7" ht="17.25" customHeight="1" x14ac:dyDescent="0.25">
      <c r="A11" s="109"/>
      <c r="B11" s="116" t="s">
        <v>350</v>
      </c>
      <c r="C11" s="86"/>
      <c r="D11" s="86"/>
      <c r="E11" s="86"/>
      <c r="F11" s="81"/>
    </row>
    <row r="12" spans="1:7" ht="17.25" customHeight="1" x14ac:dyDescent="0.25">
      <c r="A12" s="109"/>
      <c r="B12" s="116" t="s">
        <v>351</v>
      </c>
      <c r="C12" s="86"/>
      <c r="D12" s="86"/>
      <c r="E12" s="86"/>
      <c r="F12" s="81"/>
    </row>
    <row r="13" spans="1:7" ht="17.25" customHeight="1" x14ac:dyDescent="0.25">
      <c r="A13" s="109"/>
      <c r="B13" s="116" t="s">
        <v>352</v>
      </c>
      <c r="C13" s="86"/>
      <c r="D13" s="86"/>
      <c r="E13" s="86"/>
      <c r="F13" s="81"/>
    </row>
    <row r="14" spans="1:7" s="85" customFormat="1" ht="17.25" customHeight="1" x14ac:dyDescent="0.25">
      <c r="A14" s="343">
        <v>2</v>
      </c>
      <c r="B14" s="344" t="s">
        <v>353</v>
      </c>
      <c r="C14" s="335"/>
      <c r="D14" s="335"/>
      <c r="E14" s="335"/>
      <c r="F14" s="336"/>
    </row>
    <row r="15" spans="1:7" ht="17.25" customHeight="1" x14ac:dyDescent="0.25">
      <c r="A15" s="109"/>
      <c r="B15" s="116" t="s">
        <v>354</v>
      </c>
      <c r="C15" s="86"/>
      <c r="D15" s="86"/>
      <c r="E15" s="86"/>
      <c r="F15" s="81"/>
    </row>
    <row r="16" spans="1:7" ht="17.25" customHeight="1" x14ac:dyDescent="0.25">
      <c r="A16" s="109"/>
      <c r="B16" s="116" t="s">
        <v>355</v>
      </c>
      <c r="C16" s="86"/>
      <c r="D16" s="86"/>
      <c r="E16" s="86"/>
      <c r="F16" s="81"/>
    </row>
    <row r="17" spans="1:6" ht="17.25" customHeight="1" x14ac:dyDescent="0.25">
      <c r="A17" s="109"/>
      <c r="B17" s="116" t="s">
        <v>356</v>
      </c>
      <c r="C17" s="86"/>
      <c r="D17" s="86"/>
      <c r="E17" s="86"/>
      <c r="F17" s="81"/>
    </row>
    <row r="18" spans="1:6" s="85" customFormat="1" ht="17.25" customHeight="1" x14ac:dyDescent="0.25">
      <c r="A18" s="343">
        <v>3</v>
      </c>
      <c r="B18" s="344" t="s">
        <v>357</v>
      </c>
      <c r="C18" s="335"/>
      <c r="D18" s="335"/>
      <c r="E18" s="335"/>
      <c r="F18" s="336"/>
    </row>
    <row r="19" spans="1:6" ht="17.25" customHeight="1" x14ac:dyDescent="0.25">
      <c r="A19" s="109"/>
      <c r="B19" s="116" t="s">
        <v>358</v>
      </c>
      <c r="C19" s="86"/>
      <c r="D19" s="86"/>
      <c r="E19" s="86"/>
      <c r="F19" s="81"/>
    </row>
    <row r="20" spans="1:6" ht="17.25" customHeight="1" x14ac:dyDescent="0.25">
      <c r="A20" s="109"/>
      <c r="B20" s="116" t="s">
        <v>359</v>
      </c>
      <c r="C20" s="86"/>
      <c r="D20" s="86"/>
      <c r="E20" s="86"/>
      <c r="F20" s="81"/>
    </row>
    <row r="21" spans="1:6" ht="17.25" customHeight="1" x14ac:dyDescent="0.25">
      <c r="A21" s="109"/>
      <c r="B21" s="116" t="s">
        <v>360</v>
      </c>
      <c r="C21" s="86"/>
      <c r="D21" s="86"/>
      <c r="E21" s="86"/>
      <c r="F21" s="81"/>
    </row>
    <row r="22" spans="1:6" s="85" customFormat="1" ht="17.25" customHeight="1" x14ac:dyDescent="0.25">
      <c r="A22" s="343">
        <v>4</v>
      </c>
      <c r="B22" s="344" t="s">
        <v>361</v>
      </c>
      <c r="C22" s="335"/>
      <c r="D22" s="335"/>
      <c r="E22" s="335"/>
      <c r="F22" s="336"/>
    </row>
    <row r="23" spans="1:6" ht="17.25" customHeight="1" x14ac:dyDescent="0.25">
      <c r="A23" s="109"/>
      <c r="B23" s="116" t="s">
        <v>838</v>
      </c>
      <c r="C23" s="86"/>
      <c r="D23" s="86"/>
      <c r="E23" s="86"/>
      <c r="F23" s="81"/>
    </row>
    <row r="24" spans="1:6" ht="17.25" customHeight="1" x14ac:dyDescent="0.25">
      <c r="A24" s="109"/>
      <c r="B24" s="116" t="s">
        <v>362</v>
      </c>
      <c r="C24" s="86"/>
      <c r="D24" s="86"/>
      <c r="E24" s="86"/>
      <c r="F24" s="81"/>
    </row>
    <row r="25" spans="1:6" ht="17.25" customHeight="1" x14ac:dyDescent="0.25">
      <c r="A25" s="109"/>
      <c r="B25" s="116" t="s">
        <v>363</v>
      </c>
      <c r="C25" s="86"/>
      <c r="D25" s="86"/>
      <c r="E25" s="86"/>
      <c r="F25" s="81"/>
    </row>
    <row r="26" spans="1:6" s="85" customFormat="1" ht="17.25" customHeight="1" x14ac:dyDescent="0.25">
      <c r="A26" s="343">
        <v>5</v>
      </c>
      <c r="B26" s="344" t="s">
        <v>839</v>
      </c>
      <c r="C26" s="335"/>
      <c r="D26" s="335"/>
      <c r="E26" s="335"/>
      <c r="F26" s="336"/>
    </row>
    <row r="27" spans="1:6" ht="17.25" customHeight="1" x14ac:dyDescent="0.25">
      <c r="A27" s="109"/>
      <c r="B27" s="116" t="s">
        <v>364</v>
      </c>
      <c r="C27" s="86"/>
      <c r="D27" s="86"/>
      <c r="E27" s="86"/>
      <c r="F27" s="81"/>
    </row>
    <row r="28" spans="1:6" ht="17.25" customHeight="1" x14ac:dyDescent="0.25">
      <c r="A28" s="109"/>
      <c r="B28" s="116" t="s">
        <v>365</v>
      </c>
      <c r="C28" s="86"/>
      <c r="D28" s="86"/>
      <c r="E28" s="86"/>
      <c r="F28" s="81"/>
    </row>
    <row r="29" spans="1:6" ht="17.25" customHeight="1" x14ac:dyDescent="0.25">
      <c r="A29" s="109"/>
      <c r="B29" s="116" t="s">
        <v>366</v>
      </c>
      <c r="C29" s="86"/>
      <c r="D29" s="86"/>
      <c r="E29" s="86"/>
      <c r="F29" s="81"/>
    </row>
    <row r="30" spans="1:6" s="85" customFormat="1" ht="17.25" customHeight="1" x14ac:dyDescent="0.25">
      <c r="A30" s="343">
        <v>6</v>
      </c>
      <c r="B30" s="344" t="s">
        <v>367</v>
      </c>
      <c r="C30" s="335"/>
      <c r="D30" s="335"/>
      <c r="E30" s="335"/>
      <c r="F30" s="336"/>
    </row>
    <row r="31" spans="1:6" ht="17.25" customHeight="1" x14ac:dyDescent="0.25">
      <c r="A31" s="109"/>
      <c r="B31" s="116" t="s">
        <v>840</v>
      </c>
      <c r="C31" s="86"/>
      <c r="D31" s="86"/>
      <c r="E31" s="86"/>
      <c r="F31" s="81"/>
    </row>
    <row r="32" spans="1:6" ht="17.25" customHeight="1" x14ac:dyDescent="0.25">
      <c r="A32" s="109"/>
      <c r="B32" s="116" t="s">
        <v>841</v>
      </c>
      <c r="C32" s="86"/>
      <c r="D32" s="86"/>
      <c r="E32" s="86"/>
      <c r="F32" s="81"/>
    </row>
    <row r="33" spans="1:6" ht="17.25" customHeight="1" thickBot="1" x14ac:dyDescent="0.3">
      <c r="A33" s="110"/>
      <c r="B33" s="117" t="s">
        <v>842</v>
      </c>
      <c r="C33" s="87"/>
      <c r="D33" s="87"/>
      <c r="E33" s="87"/>
      <c r="F33" s="84"/>
    </row>
  </sheetData>
  <mergeCells count="12">
    <mergeCell ref="A7:F7"/>
    <mergeCell ref="A1:B1"/>
    <mergeCell ref="C1:F1"/>
    <mergeCell ref="A2:B2"/>
    <mergeCell ref="C2:F2"/>
    <mergeCell ref="A3:B3"/>
    <mergeCell ref="C3:F3"/>
    <mergeCell ref="A4:B4"/>
    <mergeCell ref="C4:F4"/>
    <mergeCell ref="A5:B5"/>
    <mergeCell ref="C5:F5"/>
    <mergeCell ref="A6:F6"/>
  </mergeCells>
  <pageMargins left="0.7" right="0.7" top="0.75" bottom="0.75" header="0.3" footer="0.3"/>
  <pageSetup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2023-08-16T22:28:06+00:00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D302B3D-DC39-4AFC-B2BF-54F6E4CA8BAD}">
  <ds:schemaRefs>
    <ds:schemaRef ds:uri="http://schemas.microsoft.com/sharepoint/v3/contenttype/forms"/>
  </ds:schemaRefs>
</ds:datastoreItem>
</file>

<file path=customXml/itemProps2.xml><?xml version="1.0" encoding="utf-8"?>
<ds:datastoreItem xmlns:ds="http://schemas.openxmlformats.org/officeDocument/2006/customXml" ds:itemID="{E92FF335-0437-4ECF-BC24-90F695EC6753}"/>
</file>

<file path=customXml/itemProps3.xml><?xml version="1.0" encoding="utf-8"?>
<ds:datastoreItem xmlns:ds="http://schemas.openxmlformats.org/officeDocument/2006/customXml" ds:itemID="{1CFF589C-DC12-4C9D-8EA2-CC1613465DF8}">
  <ds:schemaRefs>
    <ds:schemaRef ds:uri="http://purl.org/dc/terms/"/>
    <ds:schemaRef ds:uri="edb5ef48-5285-463e-a2b9-308f2d437c3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54031767-dd6d-417c-ab73-583408f47564"/>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General Guidance</vt:lpstr>
      <vt:lpstr>Base Information</vt:lpstr>
      <vt:lpstr>Structure Types</vt:lpstr>
      <vt:lpstr>Renovations, Additions &amp; Prtbls</vt:lpstr>
      <vt:lpstr>Physical Condition Assessment</vt:lpstr>
      <vt:lpstr>Security</vt:lpstr>
      <vt:lpstr>ADA</vt:lpstr>
      <vt:lpstr>IT</vt:lpstr>
      <vt:lpstr>Harmful Substances</vt:lpstr>
      <vt:lpstr>IAQ</vt:lpstr>
      <vt:lpstr>PCA Cost Tables - READ ONLY</vt:lpstr>
      <vt:lpstr>Building Type Budget-READ ONLY</vt:lpstr>
      <vt:lpstr>County Cost Factor - READ ONLY</vt:lpstr>
      <vt:lpstr>Escalation Calcs - READ ONLY</vt:lpstr>
      <vt:lpstr>County Names</vt:lpstr>
      <vt:lpstr>District Names</vt:lpstr>
      <vt:lpstr>Buildings</vt:lpstr>
      <vt:lpstr>Counties</vt:lpstr>
      <vt:lpstr>ADA!Print_Area</vt:lpstr>
      <vt:lpstr>'Base Information'!Print_Area</vt:lpstr>
      <vt:lpstr>'Building Type Budget-READ ONLY'!Print_Area</vt:lpstr>
      <vt:lpstr>'County Cost Factor - READ ONLY'!Print_Area</vt:lpstr>
      <vt:lpstr>'Escalation Calcs - READ ONLY'!Print_Area</vt:lpstr>
      <vt:lpstr>'Harmful Substances'!Print_Area</vt:lpstr>
      <vt:lpstr>IAQ!Print_Area</vt:lpstr>
      <vt:lpstr>IT!Print_Area</vt:lpstr>
      <vt:lpstr>'PCA Cost Tables - READ ONLY'!Print_Area</vt:lpstr>
      <vt:lpstr>'Physical Condition Assessment'!Print_Area</vt:lpstr>
      <vt:lpstr>Security!Print_Area</vt:lpstr>
      <vt:lpstr>'PCA Cost Tables - READ ONLY'!Print_Titles</vt:lpstr>
      <vt:lpstr>'Physical Condition Assessment'!Print_Titles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TAP Facility Assessment Template</dc:title>
  <dc:subject/>
  <dc:creator/>
  <cp:keywords/>
  <dc:description/>
  <cp:lastModifiedBy/>
  <cp:revision>1</cp:revision>
  <dcterms:created xsi:type="dcterms:W3CDTF">2023-07-31T23:13:27Z</dcterms:created>
  <dcterms:modified xsi:type="dcterms:W3CDTF">2023-12-20T21:05:12Z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y fmtid="{D5CDD505-2E9C-101B-9397-08002B2CF9AE}" pid="3" name="MSIP_Label_61f40bdc-19d8-4b8e-be88-e9eb9bcca8b8_Enabled">
    <vt:lpwstr>true</vt:lpwstr>
  </property>
  <property fmtid="{D5CDD505-2E9C-101B-9397-08002B2CF9AE}" pid="4" name="MSIP_Label_61f40bdc-19d8-4b8e-be88-e9eb9bcca8b8_SetDate">
    <vt:lpwstr>2023-10-26T22:50:00Z</vt:lpwstr>
  </property>
  <property fmtid="{D5CDD505-2E9C-101B-9397-08002B2CF9AE}" pid="5" name="MSIP_Label_61f40bdc-19d8-4b8e-be88-e9eb9bcca8b8_Method">
    <vt:lpwstr>Privileged</vt:lpwstr>
  </property>
  <property fmtid="{D5CDD505-2E9C-101B-9397-08002B2CF9AE}" pid="6" name="MSIP_Label_61f40bdc-19d8-4b8e-be88-e9eb9bcca8b8_Name">
    <vt:lpwstr>Level 1 - Published (Items)</vt:lpwstr>
  </property>
  <property fmtid="{D5CDD505-2E9C-101B-9397-08002B2CF9AE}" pid="7" name="MSIP_Label_61f40bdc-19d8-4b8e-be88-e9eb9bcca8b8_SiteId">
    <vt:lpwstr>b4f51418-b269-49a2-935a-fa54bf584fc8</vt:lpwstr>
  </property>
  <property fmtid="{D5CDD505-2E9C-101B-9397-08002B2CF9AE}" pid="8" name="MSIP_Label_61f40bdc-19d8-4b8e-be88-e9eb9bcca8b8_ActionId">
    <vt:lpwstr>1ea542c5-be1f-4aac-84f3-8d87953db2dc</vt:lpwstr>
  </property>
  <property fmtid="{D5CDD505-2E9C-101B-9397-08002B2CF9AE}" pid="9" name="MSIP_Label_61f40bdc-19d8-4b8e-be88-e9eb9bcca8b8_ContentBits">
    <vt:lpwstr>0</vt:lpwstr>
  </property>
</Properties>
</file>