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23.xml" ContentType="application/vnd.openxmlformats-officedocument.spreadsheetml.table+xml"/>
  <Override PartName="/xl/tables/table4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22.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4.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46.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codeName="ThisWorkbook"/>
  <mc:AlternateContent xmlns:mc="http://schemas.openxmlformats.org/markup-compatibility/2006">
    <mc:Choice Requires="x15">
      <x15ac:absPath xmlns:x15ac="http://schemas.microsoft.com/office/spreadsheetml/2010/11/ac" url="I:\21st CCLC\Budget Form\"/>
    </mc:Choice>
  </mc:AlternateContent>
  <xr:revisionPtr revIDLastSave="0" documentId="13_ncr:1_{12F90C97-3CCE-484D-BDF7-94E2CA359C8A}" xr6:coauthVersionLast="47" xr6:coauthVersionMax="47" xr10:uidLastSave="{00000000-0000-0000-0000-000000000000}"/>
  <bookViews>
    <workbookView xWindow="-120" yWindow="-120" windowWidth="29040" windowHeight="15840" tabRatio="866" xr2:uid="{00000000-000D-0000-FFFF-FFFF00000000}"/>
  </bookViews>
  <sheets>
    <sheet name="INSTRUCTIONS" sheetId="6" r:id="rId1"/>
    <sheet name="Budget Requirements" sheetId="18" r:id="rId2"/>
    <sheet name="Program Budget" sheetId="43" r:id="rId3"/>
    <sheet name="Site 1 Budget" sheetId="50" r:id="rId4"/>
    <sheet name="Site 2 Budget" sheetId="51" r:id="rId5"/>
    <sheet name="Site 3 Budget" sheetId="52" r:id="rId6"/>
    <sheet name="Site 4 Budget" sheetId="53" r:id="rId7"/>
    <sheet name="Site 5 Budget" sheetId="54" r:id="rId8"/>
    <sheet name="Site 6 Budget" sheetId="55" state="hidden" r:id="rId9"/>
    <sheet name="Site 7 Budget" sheetId="56" state="hidden" r:id="rId10"/>
    <sheet name="Site 8 Budget" sheetId="57" state="hidden" r:id="rId11"/>
    <sheet name="Site 9 Budget" sheetId="58" state="hidden" r:id="rId12"/>
    <sheet name="Site 10 Budget" sheetId="59" state="hidden" r:id="rId13"/>
    <sheet name="Site 11 Budget" sheetId="60" state="hidden" r:id="rId14"/>
    <sheet name="Site 12 Budget" sheetId="61" state="hidden" r:id="rId15"/>
    <sheet name="Overall Budget Summary" sheetId="40" r:id="rId16"/>
    <sheet name="Entity IDs" sheetId="41" r:id="rId17"/>
    <sheet name="Fx &amp; Obj Codes" sheetId="26" r:id="rId18"/>
    <sheet name="Dropdowns (DO NOT EDIT)" sheetId="44" state="hidden" r:id="rId19"/>
  </sheets>
  <definedNames>
    <definedName name="AllowableUses">'Budget Requirements'!$A$104</definedName>
    <definedName name="BudgetCategories">'Budget Requirements'!$A$63</definedName>
    <definedName name="BudgetRequirements">'Budget Requirements'!$A$57</definedName>
    <definedName name="CapExpenditures">'Budget Requirements'!$A$44</definedName>
    <definedName name="Categories_List">'Dropdowns (DO NOT EDIT)'!$F$3:$F$15</definedName>
    <definedName name="Contracted_List">'Dropdowns (DO NOT EDIT)'!$D$3:$D$5</definedName>
    <definedName name="FxObjCodes">'Budget Requirements'!$A$74</definedName>
    <definedName name="_xlnm.Print_Area" localSheetId="1">'Budget Requirements'!$B$2:$D$129</definedName>
    <definedName name="_xlnm.Print_Area" localSheetId="15">'Overall Budget Summary'!$A$1:$M$31</definedName>
    <definedName name="_xlnm.Print_Area" localSheetId="2">'Program Budget'!$B$2:$O$90</definedName>
    <definedName name="_xlnm.Print_Area" localSheetId="3">'Site 1 Budget'!$B$2:$O$87</definedName>
    <definedName name="_xlnm.Print_Area" localSheetId="12">'Site 10 Budget'!$B$2:$O$87</definedName>
    <definedName name="_xlnm.Print_Area" localSheetId="13">'Site 11 Budget'!$B$2:$O$87</definedName>
    <definedName name="_xlnm.Print_Area" localSheetId="14">'Site 12 Budget'!$B$2:$O$87</definedName>
    <definedName name="_xlnm.Print_Area" localSheetId="4">'Site 2 Budget'!$B$2:$O$87</definedName>
    <definedName name="_xlnm.Print_Area" localSheetId="5">'Site 3 Budget'!$B$2:$O$87</definedName>
    <definedName name="_xlnm.Print_Area" localSheetId="6">'Site 4 Budget'!$B$2:$O$87</definedName>
    <definedName name="_xlnm.Print_Area" localSheetId="7">'Site 5 Budget'!$B$2:$O$87</definedName>
    <definedName name="_xlnm.Print_Area" localSheetId="8">'Site 6 Budget'!$B$2:$O$87</definedName>
    <definedName name="_xlnm.Print_Area" localSheetId="9">'Site 7 Budget'!$B$2:$O$87</definedName>
    <definedName name="_xlnm.Print_Area" localSheetId="10">'Site 8 Budget'!$B$2:$O$87</definedName>
    <definedName name="_xlnm.Print_Area" localSheetId="11">'Site 9 Budget'!$B$2:$O$87</definedName>
    <definedName name="Program_List">'Dropdowns (DO NOT EDIT)'!$B$3:$B$5</definedName>
    <definedName name="ProgramGoals">'Budget Requirements'!$A$28</definedName>
    <definedName name="SupplementNotSupplant">'Budget Requirements'!$A$88</definedName>
    <definedName name="TailoredBudgeting">'Budget Requirements'!$A$39</definedName>
    <definedName name="UnallowableUses">'Budget Requirements'!$A$129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40" l="1"/>
  <c r="W12" i="61"/>
  <c r="V12" i="61"/>
  <c r="U12" i="61"/>
  <c r="T12" i="61"/>
  <c r="S12" i="61"/>
  <c r="W12" i="60"/>
  <c r="V12" i="60"/>
  <c r="U12" i="60"/>
  <c r="T12" i="60"/>
  <c r="S12" i="60"/>
  <c r="W12" i="59"/>
  <c r="V12" i="59"/>
  <c r="U12" i="59"/>
  <c r="T12" i="59"/>
  <c r="S12" i="59"/>
  <c r="W12" i="58"/>
  <c r="V12" i="58"/>
  <c r="U12" i="58"/>
  <c r="T12" i="58"/>
  <c r="S12" i="58"/>
  <c r="W12" i="57"/>
  <c r="V12" i="57"/>
  <c r="U12" i="57"/>
  <c r="T12" i="57"/>
  <c r="S12" i="57"/>
  <c r="W12" i="56"/>
  <c r="V12" i="56"/>
  <c r="U12" i="56"/>
  <c r="T12" i="56"/>
  <c r="S12" i="56"/>
  <c r="W12" i="55"/>
  <c r="V12" i="55"/>
  <c r="U12" i="55"/>
  <c r="T12" i="55"/>
  <c r="S12" i="55"/>
  <c r="W12" i="54"/>
  <c r="V12" i="54"/>
  <c r="U12" i="54"/>
  <c r="T12" i="54"/>
  <c r="S12" i="54"/>
  <c r="W12" i="53"/>
  <c r="V12" i="53"/>
  <c r="U12" i="53"/>
  <c r="T12" i="53"/>
  <c r="S12" i="53"/>
  <c r="W12" i="52"/>
  <c r="V12" i="52"/>
  <c r="U12" i="52"/>
  <c r="T12" i="52"/>
  <c r="S12" i="52"/>
  <c r="W12" i="51"/>
  <c r="V12" i="51"/>
  <c r="U12" i="51"/>
  <c r="T12" i="51"/>
  <c r="S12" i="51"/>
  <c r="W12" i="50"/>
  <c r="V12" i="50"/>
  <c r="U12" i="50"/>
  <c r="T12" i="50"/>
  <c r="S12" i="50"/>
  <c r="W15" i="43"/>
  <c r="V15" i="43"/>
  <c r="U15" i="43"/>
  <c r="T15" i="43"/>
  <c r="S15" i="43"/>
  <c r="M7" i="43"/>
  <c r="L7" i="43"/>
  <c r="K7" i="43"/>
  <c r="J7" i="43"/>
  <c r="I7" i="43"/>
  <c r="M12" i="50"/>
  <c r="L12" i="50"/>
  <c r="K12" i="50"/>
  <c r="J12" i="50"/>
  <c r="I12" i="50"/>
  <c r="M7" i="50"/>
  <c r="L7" i="50"/>
  <c r="K7" i="50"/>
  <c r="J7" i="50"/>
  <c r="I7" i="50"/>
  <c r="M12" i="51"/>
  <c r="L12" i="51"/>
  <c r="K12" i="51"/>
  <c r="J12" i="51"/>
  <c r="I12" i="51"/>
  <c r="M7" i="51"/>
  <c r="L7" i="51"/>
  <c r="K7" i="51"/>
  <c r="J7" i="51"/>
  <c r="I7" i="51"/>
  <c r="M12" i="52"/>
  <c r="L12" i="52"/>
  <c r="K12" i="52"/>
  <c r="J12" i="52"/>
  <c r="I12" i="52"/>
  <c r="M7" i="52"/>
  <c r="L7" i="52"/>
  <c r="K7" i="52"/>
  <c r="J7" i="52"/>
  <c r="I7" i="52"/>
  <c r="M12" i="53"/>
  <c r="L12" i="53"/>
  <c r="K12" i="53"/>
  <c r="J12" i="53"/>
  <c r="I12" i="53"/>
  <c r="M7" i="53"/>
  <c r="L7" i="53"/>
  <c r="K7" i="53"/>
  <c r="J7" i="53"/>
  <c r="I7" i="53"/>
  <c r="M12" i="54"/>
  <c r="L12" i="54"/>
  <c r="K12" i="54"/>
  <c r="J12" i="54"/>
  <c r="I12" i="54"/>
  <c r="M7" i="54"/>
  <c r="L7" i="54"/>
  <c r="K7" i="54"/>
  <c r="J7" i="54"/>
  <c r="I7" i="54"/>
  <c r="M12" i="55"/>
  <c r="L12" i="55"/>
  <c r="K12" i="55"/>
  <c r="J12" i="55"/>
  <c r="I12" i="55"/>
  <c r="M7" i="55"/>
  <c r="L7" i="55"/>
  <c r="K7" i="55"/>
  <c r="J7" i="55"/>
  <c r="I7" i="55"/>
  <c r="M12" i="56"/>
  <c r="L12" i="56"/>
  <c r="K12" i="56"/>
  <c r="J12" i="56"/>
  <c r="I12" i="56"/>
  <c r="M7" i="56"/>
  <c r="L7" i="56"/>
  <c r="K7" i="56"/>
  <c r="J7" i="56"/>
  <c r="I7" i="56"/>
  <c r="M12" i="57"/>
  <c r="L12" i="57"/>
  <c r="K12" i="57"/>
  <c r="J12" i="57"/>
  <c r="I12" i="57"/>
  <c r="M7" i="57"/>
  <c r="L7" i="57"/>
  <c r="K7" i="57"/>
  <c r="J7" i="57"/>
  <c r="I7" i="57"/>
  <c r="M12" i="58"/>
  <c r="L12" i="58"/>
  <c r="K12" i="58"/>
  <c r="J12" i="58"/>
  <c r="I12" i="58"/>
  <c r="M7" i="58"/>
  <c r="L7" i="58"/>
  <c r="K7" i="58"/>
  <c r="J7" i="58"/>
  <c r="I7" i="58"/>
  <c r="M12" i="59"/>
  <c r="L12" i="59"/>
  <c r="K12" i="59"/>
  <c r="J12" i="59"/>
  <c r="I12" i="59"/>
  <c r="M7" i="59"/>
  <c r="L7" i="59"/>
  <c r="K7" i="59"/>
  <c r="J7" i="59"/>
  <c r="I7" i="59"/>
  <c r="M12" i="60"/>
  <c r="L12" i="60"/>
  <c r="K12" i="60"/>
  <c r="J12" i="60"/>
  <c r="I12" i="60"/>
  <c r="M7" i="60"/>
  <c r="L7" i="60"/>
  <c r="K7" i="60"/>
  <c r="J7" i="60"/>
  <c r="I7" i="60"/>
  <c r="I8" i="60"/>
  <c r="I9" i="60"/>
  <c r="I10" i="60"/>
  <c r="M7" i="61"/>
  <c r="L7" i="61"/>
  <c r="K7" i="61"/>
  <c r="J7" i="61"/>
  <c r="I7" i="61"/>
  <c r="H27" i="40"/>
  <c r="G27" i="40"/>
  <c r="F27" i="40"/>
  <c r="E27" i="40"/>
  <c r="D27" i="40"/>
  <c r="H12" i="40"/>
  <c r="G12" i="40"/>
  <c r="F12" i="40"/>
  <c r="E12" i="40"/>
  <c r="D12" i="40"/>
  <c r="N87" i="61" l="1"/>
  <c r="N86" i="61"/>
  <c r="N85" i="61"/>
  <c r="N84" i="61"/>
  <c r="N83" i="61"/>
  <c r="N82" i="61"/>
  <c r="N81" i="61"/>
  <c r="N80" i="61"/>
  <c r="N79" i="61"/>
  <c r="N78" i="61"/>
  <c r="N77" i="61"/>
  <c r="N76" i="61"/>
  <c r="N75" i="61"/>
  <c r="N74" i="61"/>
  <c r="N73" i="61"/>
  <c r="N72" i="61"/>
  <c r="N71" i="61"/>
  <c r="N70" i="61"/>
  <c r="N69" i="61"/>
  <c r="N68" i="61"/>
  <c r="N67" i="61"/>
  <c r="N66" i="61"/>
  <c r="N65" i="61"/>
  <c r="N64" i="61"/>
  <c r="N63" i="61"/>
  <c r="N62" i="61"/>
  <c r="N61" i="61"/>
  <c r="N60" i="61"/>
  <c r="N59" i="61"/>
  <c r="N58" i="61"/>
  <c r="N57" i="61"/>
  <c r="N56" i="61"/>
  <c r="N55" i="61"/>
  <c r="N54" i="61"/>
  <c r="N53" i="61"/>
  <c r="N52" i="61"/>
  <c r="N51" i="61"/>
  <c r="N50" i="61"/>
  <c r="N49" i="61"/>
  <c r="N48" i="61"/>
  <c r="N47" i="61"/>
  <c r="N46" i="61"/>
  <c r="N45" i="61"/>
  <c r="N44" i="61"/>
  <c r="N43" i="61"/>
  <c r="N42" i="61"/>
  <c r="N41" i="61"/>
  <c r="N40" i="61"/>
  <c r="N39" i="61"/>
  <c r="N38" i="61"/>
  <c r="N37" i="61"/>
  <c r="N36" i="61"/>
  <c r="N35" i="61"/>
  <c r="N34" i="61"/>
  <c r="N33" i="61"/>
  <c r="N32" i="61"/>
  <c r="N31" i="61"/>
  <c r="W30" i="61"/>
  <c r="V30" i="61"/>
  <c r="U30" i="61"/>
  <c r="T30" i="61"/>
  <c r="S30" i="61"/>
  <c r="R30" i="61"/>
  <c r="X30" i="61" s="1"/>
  <c r="N30" i="61"/>
  <c r="W29" i="61"/>
  <c r="W31" i="61" s="1"/>
  <c r="V29" i="61"/>
  <c r="V31" i="61" s="1"/>
  <c r="U29" i="61"/>
  <c r="U31" i="61" s="1"/>
  <c r="T29" i="61"/>
  <c r="T31" i="61" s="1"/>
  <c r="S29" i="61"/>
  <c r="S31" i="61" s="1"/>
  <c r="R29" i="61"/>
  <c r="X29" i="61" s="1"/>
  <c r="N29" i="61"/>
  <c r="N28" i="61"/>
  <c r="W27" i="61" a="1"/>
  <c r="W27" i="61" s="1"/>
  <c r="V27" i="61" a="1"/>
  <c r="V27" i="61" s="1"/>
  <c r="U27" i="61" a="1"/>
  <c r="U27" i="61" s="1"/>
  <c r="T27" i="61"/>
  <c r="T27" i="61" a="1"/>
  <c r="S27" i="61" a="1"/>
  <c r="S27" i="61" s="1"/>
  <c r="R27" i="61" a="1"/>
  <c r="R27" i="61" s="1"/>
  <c r="X27" i="61" s="1"/>
  <c r="N27" i="61"/>
  <c r="W26" i="61"/>
  <c r="W28" i="61" s="1"/>
  <c r="W26" i="61" a="1"/>
  <c r="V26" i="61" a="1"/>
  <c r="V26" i="61" s="1"/>
  <c r="V28" i="61" s="1"/>
  <c r="U26" i="61" a="1"/>
  <c r="U26" i="61" s="1"/>
  <c r="U28" i="61" s="1"/>
  <c r="T26" i="61" a="1"/>
  <c r="T26" i="61" s="1"/>
  <c r="T28" i="61" s="1"/>
  <c r="S26" i="61"/>
  <c r="S28" i="61" s="1"/>
  <c r="S26" i="61" a="1"/>
  <c r="R26" i="61" a="1"/>
  <c r="R26" i="61" s="1"/>
  <c r="N26" i="61"/>
  <c r="N25" i="61"/>
  <c r="W24" i="61"/>
  <c r="V24" i="61"/>
  <c r="U24" i="61"/>
  <c r="T24" i="61"/>
  <c r="S24" i="61"/>
  <c r="R24" i="61"/>
  <c r="X24" i="61" s="1"/>
  <c r="N24" i="61"/>
  <c r="W23" i="61" a="1"/>
  <c r="W23" i="61" s="1"/>
  <c r="V23" i="61"/>
  <c r="V23" i="61" a="1"/>
  <c r="U23" i="61" a="1"/>
  <c r="U23" i="61" s="1"/>
  <c r="T23" i="61" a="1"/>
  <c r="T23" i="61" s="1"/>
  <c r="S23" i="61" a="1"/>
  <c r="S23" i="61" s="1"/>
  <c r="R23" i="61"/>
  <c r="X23" i="61" s="1"/>
  <c r="R23" i="61" a="1"/>
  <c r="N23" i="61"/>
  <c r="W22" i="61" a="1"/>
  <c r="W22" i="61" s="1"/>
  <c r="V22" i="61" a="1"/>
  <c r="V22" i="61" s="1"/>
  <c r="U22" i="61"/>
  <c r="U22" i="61" a="1"/>
  <c r="T22" i="61" a="1"/>
  <c r="T22" i="61" s="1"/>
  <c r="S22" i="61" a="1"/>
  <c r="S22" i="61" s="1"/>
  <c r="R22" i="61" a="1"/>
  <c r="R22" i="61" s="1"/>
  <c r="N22" i="61"/>
  <c r="W21" i="61" a="1"/>
  <c r="W21" i="61" s="1"/>
  <c r="V21" i="61" a="1"/>
  <c r="V21" i="61" s="1"/>
  <c r="U21" i="61" a="1"/>
  <c r="U21" i="61" s="1"/>
  <c r="T21" i="61"/>
  <c r="T21" i="61" a="1"/>
  <c r="S21" i="61" a="1"/>
  <c r="S21" i="61" s="1"/>
  <c r="R21" i="61" a="1"/>
  <c r="R21" i="61" s="1"/>
  <c r="N21" i="61"/>
  <c r="W20" i="61"/>
  <c r="W20" i="61" a="1"/>
  <c r="V20" i="61" a="1"/>
  <c r="V20" i="61" s="1"/>
  <c r="U20" i="61" a="1"/>
  <c r="U20" i="61" s="1"/>
  <c r="T20" i="61" a="1"/>
  <c r="T20" i="61" s="1"/>
  <c r="S20" i="61"/>
  <c r="S20" i="61" a="1"/>
  <c r="R20" i="61" a="1"/>
  <c r="R20" i="61" s="1"/>
  <c r="N20" i="61"/>
  <c r="W19" i="61" a="1"/>
  <c r="W19" i="61" s="1"/>
  <c r="V19" i="61"/>
  <c r="V19" i="61" a="1"/>
  <c r="U19" i="61" a="1"/>
  <c r="U19" i="61" s="1"/>
  <c r="T19" i="61" a="1"/>
  <c r="T19" i="61" s="1"/>
  <c r="S19" i="61" a="1"/>
  <c r="S19" i="61" s="1"/>
  <c r="R19" i="61"/>
  <c r="R19" i="61" a="1"/>
  <c r="N19" i="61"/>
  <c r="W18" i="61" a="1"/>
  <c r="W18" i="61" s="1"/>
  <c r="V18" i="61" a="1"/>
  <c r="V18" i="61" s="1"/>
  <c r="U18" i="61"/>
  <c r="U18" i="61" a="1"/>
  <c r="T18" i="61" a="1"/>
  <c r="T18" i="61" s="1"/>
  <c r="S18" i="61" a="1"/>
  <c r="S18" i="61" s="1"/>
  <c r="R18" i="61" a="1"/>
  <c r="R18" i="61" s="1"/>
  <c r="N18" i="61"/>
  <c r="W17" i="61" a="1"/>
  <c r="W17" i="61" s="1"/>
  <c r="V17" i="61" a="1"/>
  <c r="V17" i="61" s="1"/>
  <c r="U17" i="61" a="1"/>
  <c r="U17" i="61" s="1"/>
  <c r="T17" i="61"/>
  <c r="T17" i="61" a="1"/>
  <c r="S17" i="61" a="1"/>
  <c r="S17" i="61" s="1"/>
  <c r="R17" i="61" a="1"/>
  <c r="R17" i="61" s="1"/>
  <c r="N17" i="61"/>
  <c r="W16" i="61"/>
  <c r="W16" i="61" a="1"/>
  <c r="V16" i="61" a="1"/>
  <c r="V16" i="61" s="1"/>
  <c r="U16" i="61" a="1"/>
  <c r="U16" i="61" s="1"/>
  <c r="T16" i="61" a="1"/>
  <c r="T16" i="61" s="1"/>
  <c r="S16" i="61"/>
  <c r="S16" i="61" a="1"/>
  <c r="R16" i="61" a="1"/>
  <c r="R16" i="61" s="1"/>
  <c r="N16" i="61"/>
  <c r="W15" i="61" a="1"/>
  <c r="W15" i="61" s="1"/>
  <c r="V15" i="61"/>
  <c r="V15" i="61" a="1"/>
  <c r="U15" i="61" a="1"/>
  <c r="U15" i="61" s="1"/>
  <c r="T15" i="61" a="1"/>
  <c r="T15" i="61" s="1"/>
  <c r="S15" i="61" a="1"/>
  <c r="S15" i="61" s="1"/>
  <c r="R15" i="61"/>
  <c r="X15" i="61" s="1"/>
  <c r="R15" i="61" a="1"/>
  <c r="N15" i="61"/>
  <c r="W14" i="61" a="1"/>
  <c r="W14" i="61" s="1"/>
  <c r="V14" i="61" a="1"/>
  <c r="V14" i="61" s="1"/>
  <c r="U14" i="61"/>
  <c r="U14" i="61" a="1"/>
  <c r="T14" i="61" a="1"/>
  <c r="T14" i="61" s="1"/>
  <c r="S14" i="61" a="1"/>
  <c r="S14" i="61" s="1"/>
  <c r="R14" i="61" a="1"/>
  <c r="R14" i="61" s="1"/>
  <c r="N14" i="61"/>
  <c r="W13" i="61" a="1"/>
  <c r="W13" i="61" s="1"/>
  <c r="V13" i="61" a="1"/>
  <c r="V13" i="61" s="1"/>
  <c r="V25" i="61" s="1"/>
  <c r="U13" i="61" a="1"/>
  <c r="U13" i="61" s="1"/>
  <c r="T13" i="61"/>
  <c r="T13" i="61" a="1"/>
  <c r="S13" i="61" a="1"/>
  <c r="S13" i="61" s="1"/>
  <c r="R13" i="61" a="1"/>
  <c r="R13" i="61" s="1"/>
  <c r="N13" i="61"/>
  <c r="N10" i="61"/>
  <c r="M10" i="61"/>
  <c r="L10" i="61"/>
  <c r="K10" i="61"/>
  <c r="J10" i="61"/>
  <c r="I10" i="61"/>
  <c r="H10" i="61"/>
  <c r="N9" i="61"/>
  <c r="M9" i="61"/>
  <c r="L9" i="61"/>
  <c r="K9" i="61"/>
  <c r="J9" i="61"/>
  <c r="I9" i="61"/>
  <c r="H9" i="61"/>
  <c r="M8" i="61"/>
  <c r="L8" i="61"/>
  <c r="N8" i="61" s="1"/>
  <c r="K8" i="61"/>
  <c r="J8" i="61"/>
  <c r="I8" i="61"/>
  <c r="H8" i="61"/>
  <c r="C4" i="61"/>
  <c r="N87" i="60"/>
  <c r="N86" i="60"/>
  <c r="N85" i="60"/>
  <c r="N84" i="60"/>
  <c r="N83" i="60"/>
  <c r="N82" i="60"/>
  <c r="N81" i="60"/>
  <c r="N80" i="60"/>
  <c r="N79" i="60"/>
  <c r="N78" i="60"/>
  <c r="N77" i="60"/>
  <c r="N76" i="60"/>
  <c r="N75" i="60"/>
  <c r="N74" i="60"/>
  <c r="N73" i="60"/>
  <c r="N72" i="60"/>
  <c r="N71" i="60"/>
  <c r="N70" i="60"/>
  <c r="N69" i="60"/>
  <c r="N68" i="60"/>
  <c r="N67" i="60"/>
  <c r="N66" i="60"/>
  <c r="N65" i="60"/>
  <c r="N64" i="60"/>
  <c r="N63" i="60"/>
  <c r="N62" i="60"/>
  <c r="N61" i="60"/>
  <c r="N60" i="60"/>
  <c r="N59" i="60"/>
  <c r="N58" i="60"/>
  <c r="N57" i="60"/>
  <c r="N56" i="60"/>
  <c r="N55" i="60"/>
  <c r="N54" i="60"/>
  <c r="N53" i="60"/>
  <c r="N52" i="60"/>
  <c r="N51" i="60"/>
  <c r="N50" i="60"/>
  <c r="N49" i="60"/>
  <c r="N48" i="60"/>
  <c r="N47" i="60"/>
  <c r="N46" i="60"/>
  <c r="N45" i="60"/>
  <c r="N44" i="60"/>
  <c r="N43" i="60"/>
  <c r="N42" i="60"/>
  <c r="N41" i="60"/>
  <c r="N40" i="60"/>
  <c r="N39" i="60"/>
  <c r="N38" i="60"/>
  <c r="N37" i="60"/>
  <c r="N36" i="60"/>
  <c r="N35" i="60"/>
  <c r="N34" i="60"/>
  <c r="N33" i="60"/>
  <c r="N32" i="60"/>
  <c r="N31" i="60"/>
  <c r="W30" i="60"/>
  <c r="V30" i="60"/>
  <c r="U30" i="60"/>
  <c r="T30" i="60"/>
  <c r="S30" i="60"/>
  <c r="R30" i="60"/>
  <c r="X30" i="60" s="1"/>
  <c r="N30" i="60"/>
  <c r="W29" i="60"/>
  <c r="W31" i="60" s="1"/>
  <c r="V29" i="60"/>
  <c r="V31" i="60" s="1"/>
  <c r="U29" i="60"/>
  <c r="U31" i="60" s="1"/>
  <c r="T29" i="60"/>
  <c r="T31" i="60" s="1"/>
  <c r="S29" i="60"/>
  <c r="S31" i="60" s="1"/>
  <c r="R29" i="60"/>
  <c r="X29" i="60" s="1"/>
  <c r="N29" i="60"/>
  <c r="N28" i="60"/>
  <c r="W27" i="60" a="1"/>
  <c r="W27" i="60" s="1"/>
  <c r="V27" i="60"/>
  <c r="V27" i="60" a="1"/>
  <c r="U27" i="60" a="1"/>
  <c r="U27" i="60" s="1"/>
  <c r="T27" i="60"/>
  <c r="T27" i="60" a="1"/>
  <c r="S27" i="60" a="1"/>
  <c r="S27" i="60" s="1"/>
  <c r="R27" i="60"/>
  <c r="X27" i="60" s="1"/>
  <c r="R27" i="60" a="1"/>
  <c r="N27" i="60"/>
  <c r="W26" i="60"/>
  <c r="W28" i="60" s="1"/>
  <c r="W26" i="60" a="1"/>
  <c r="V26" i="60" a="1"/>
  <c r="V26" i="60" s="1"/>
  <c r="V28" i="60" s="1"/>
  <c r="U26" i="60"/>
  <c r="U26" i="60" a="1"/>
  <c r="T26" i="60" a="1"/>
  <c r="T26" i="60" s="1"/>
  <c r="T28" i="60" s="1"/>
  <c r="S26" i="60"/>
  <c r="S26" i="60" a="1"/>
  <c r="R26" i="60" a="1"/>
  <c r="R26" i="60" s="1"/>
  <c r="N26" i="60"/>
  <c r="N25" i="60"/>
  <c r="W24" i="60"/>
  <c r="V24" i="60"/>
  <c r="U24" i="60"/>
  <c r="T24" i="60"/>
  <c r="S24" i="60"/>
  <c r="R24" i="60"/>
  <c r="X24" i="60" s="1"/>
  <c r="N24" i="60"/>
  <c r="W23" i="60" a="1"/>
  <c r="W23" i="60" s="1"/>
  <c r="V23" i="60"/>
  <c r="V23" i="60" a="1"/>
  <c r="U23" i="60" a="1"/>
  <c r="U23" i="60" s="1"/>
  <c r="T23" i="60"/>
  <c r="T23" i="60" a="1"/>
  <c r="S23" i="60" a="1"/>
  <c r="S23" i="60" s="1"/>
  <c r="R23" i="60"/>
  <c r="R23" i="60" a="1"/>
  <c r="N23" i="60"/>
  <c r="W22" i="60"/>
  <c r="W22" i="60" a="1"/>
  <c r="V22" i="60" a="1"/>
  <c r="V22" i="60" s="1"/>
  <c r="U22" i="60"/>
  <c r="U22" i="60" a="1"/>
  <c r="T22" i="60" a="1"/>
  <c r="T22" i="60" s="1"/>
  <c r="S22" i="60"/>
  <c r="S22" i="60" a="1"/>
  <c r="R22" i="60" a="1"/>
  <c r="R22" i="60" s="1"/>
  <c r="X22" i="60" s="1"/>
  <c r="N22" i="60"/>
  <c r="W21" i="60" a="1"/>
  <c r="W21" i="60" s="1"/>
  <c r="V21" i="60"/>
  <c r="V21" i="60" a="1"/>
  <c r="U21" i="60" a="1"/>
  <c r="U21" i="60" s="1"/>
  <c r="T21" i="60"/>
  <c r="T21" i="60" a="1"/>
  <c r="S21" i="60" a="1"/>
  <c r="S21" i="60" s="1"/>
  <c r="R21" i="60"/>
  <c r="X21" i="60" s="1"/>
  <c r="R21" i="60" a="1"/>
  <c r="N21" i="60"/>
  <c r="W20" i="60"/>
  <c r="W20" i="60" a="1"/>
  <c r="V20" i="60" a="1"/>
  <c r="V20" i="60" s="1"/>
  <c r="U20" i="60"/>
  <c r="U20" i="60" a="1"/>
  <c r="T20" i="60" a="1"/>
  <c r="T20" i="60" s="1"/>
  <c r="S20" i="60"/>
  <c r="S20" i="60" a="1"/>
  <c r="R20" i="60" a="1"/>
  <c r="R20" i="60" s="1"/>
  <c r="N20" i="60"/>
  <c r="W19" i="60" a="1"/>
  <c r="W19" i="60" s="1"/>
  <c r="V19" i="60"/>
  <c r="V19" i="60" a="1"/>
  <c r="U19" i="60" a="1"/>
  <c r="U19" i="60" s="1"/>
  <c r="T19" i="60"/>
  <c r="T19" i="60" a="1"/>
  <c r="S19" i="60" a="1"/>
  <c r="S19" i="60" s="1"/>
  <c r="R19" i="60"/>
  <c r="R19" i="60" a="1"/>
  <c r="N19" i="60"/>
  <c r="W18" i="60"/>
  <c r="W18" i="60" a="1"/>
  <c r="V18" i="60" a="1"/>
  <c r="V18" i="60" s="1"/>
  <c r="U18" i="60"/>
  <c r="U18" i="60" a="1"/>
  <c r="T18" i="60" a="1"/>
  <c r="T18" i="60" s="1"/>
  <c r="S18" i="60"/>
  <c r="S18" i="60" a="1"/>
  <c r="R18" i="60" a="1"/>
  <c r="R18" i="60" s="1"/>
  <c r="X18" i="60" s="1"/>
  <c r="N18" i="60"/>
  <c r="W17" i="60" a="1"/>
  <c r="W17" i="60" s="1"/>
  <c r="V17" i="60"/>
  <c r="V17" i="60" a="1"/>
  <c r="U17" i="60" a="1"/>
  <c r="U17" i="60" s="1"/>
  <c r="T17" i="60"/>
  <c r="T17" i="60" a="1"/>
  <c r="S17" i="60" a="1"/>
  <c r="S17" i="60" s="1"/>
  <c r="R17" i="60"/>
  <c r="X17" i="60" s="1"/>
  <c r="R17" i="60" a="1"/>
  <c r="N17" i="60"/>
  <c r="W16" i="60"/>
  <c r="W16" i="60" a="1"/>
  <c r="V16" i="60" a="1"/>
  <c r="V16" i="60" s="1"/>
  <c r="U16" i="60"/>
  <c r="U16" i="60" a="1"/>
  <c r="T16" i="60" a="1"/>
  <c r="T16" i="60" s="1"/>
  <c r="S16" i="60"/>
  <c r="S16" i="60" a="1"/>
  <c r="R16" i="60" a="1"/>
  <c r="R16" i="60" s="1"/>
  <c r="N16" i="60"/>
  <c r="W15" i="60" a="1"/>
  <c r="W15" i="60" s="1"/>
  <c r="V15" i="60"/>
  <c r="V15" i="60" a="1"/>
  <c r="U15" i="60" a="1"/>
  <c r="U15" i="60" s="1"/>
  <c r="T15" i="60"/>
  <c r="T15" i="60" a="1"/>
  <c r="S15" i="60" a="1"/>
  <c r="S15" i="60" s="1"/>
  <c r="R15" i="60"/>
  <c r="R15" i="60" a="1"/>
  <c r="N15" i="60"/>
  <c r="W14" i="60"/>
  <c r="W14" i="60" a="1"/>
  <c r="V14" i="60" a="1"/>
  <c r="V14" i="60" s="1"/>
  <c r="U14" i="60"/>
  <c r="U14" i="60" a="1"/>
  <c r="T14" i="60" a="1"/>
  <c r="T14" i="60" s="1"/>
  <c r="S14" i="60"/>
  <c r="S14" i="60" a="1"/>
  <c r="R14" i="60" a="1"/>
  <c r="R14" i="60" s="1"/>
  <c r="X14" i="60" s="1"/>
  <c r="N14" i="60"/>
  <c r="W13" i="60" a="1"/>
  <c r="W13" i="60" s="1"/>
  <c r="V13" i="60"/>
  <c r="V13" i="60" a="1"/>
  <c r="U13" i="60" a="1"/>
  <c r="U13" i="60" s="1"/>
  <c r="T13" i="60"/>
  <c r="T13" i="60" a="1"/>
  <c r="S13" i="60" a="1"/>
  <c r="S13" i="60" s="1"/>
  <c r="S25" i="60" s="1"/>
  <c r="R13" i="60"/>
  <c r="X13" i="60" s="1"/>
  <c r="R13" i="60" a="1"/>
  <c r="N13" i="60"/>
  <c r="M10" i="60"/>
  <c r="L10" i="60"/>
  <c r="K10" i="60"/>
  <c r="J10" i="60"/>
  <c r="H10" i="60"/>
  <c r="N10" i="60" s="1"/>
  <c r="N9" i="60"/>
  <c r="M9" i="60"/>
  <c r="L9" i="60"/>
  <c r="K9" i="60"/>
  <c r="J9" i="60"/>
  <c r="H9" i="60"/>
  <c r="M8" i="60"/>
  <c r="N8" i="60" s="1"/>
  <c r="L8" i="60"/>
  <c r="K8" i="60"/>
  <c r="J8" i="60"/>
  <c r="H8" i="60"/>
  <c r="C4" i="60"/>
  <c r="N87" i="59"/>
  <c r="N86" i="59"/>
  <c r="N85" i="59"/>
  <c r="N84" i="59"/>
  <c r="N83" i="59"/>
  <c r="N82" i="59"/>
  <c r="N81" i="59"/>
  <c r="N80" i="59"/>
  <c r="N79" i="59"/>
  <c r="N78" i="59"/>
  <c r="N77" i="59"/>
  <c r="N76" i="59"/>
  <c r="N75" i="59"/>
  <c r="N74" i="59"/>
  <c r="N73" i="59"/>
  <c r="N72" i="59"/>
  <c r="N71" i="59"/>
  <c r="N70" i="59"/>
  <c r="N69" i="59"/>
  <c r="N68" i="59"/>
  <c r="N67" i="59"/>
  <c r="N66" i="59"/>
  <c r="N65" i="59"/>
  <c r="N64" i="59"/>
  <c r="N63" i="59"/>
  <c r="N62" i="59"/>
  <c r="N61" i="59"/>
  <c r="N60" i="59"/>
  <c r="N59" i="59"/>
  <c r="N58" i="59"/>
  <c r="N57" i="59"/>
  <c r="N56" i="59"/>
  <c r="N55" i="59"/>
  <c r="N54" i="59"/>
  <c r="N53" i="59"/>
  <c r="N52" i="59"/>
  <c r="N51" i="59"/>
  <c r="N50" i="59"/>
  <c r="N49" i="59"/>
  <c r="N48" i="59"/>
  <c r="N47" i="59"/>
  <c r="N46" i="59"/>
  <c r="N45" i="59"/>
  <c r="N44" i="59"/>
  <c r="N43" i="59"/>
  <c r="N42" i="59"/>
  <c r="N41" i="59"/>
  <c r="N40" i="59"/>
  <c r="N39" i="59"/>
  <c r="N38" i="59"/>
  <c r="N37" i="59"/>
  <c r="N36" i="59"/>
  <c r="N35" i="59"/>
  <c r="N34" i="59"/>
  <c r="N33" i="59"/>
  <c r="N32" i="59"/>
  <c r="N31" i="59"/>
  <c r="W30" i="59"/>
  <c r="V30" i="59"/>
  <c r="U30" i="59"/>
  <c r="T30" i="59"/>
  <c r="S30" i="59"/>
  <c r="R30" i="59"/>
  <c r="X30" i="59" s="1"/>
  <c r="N30" i="59"/>
  <c r="W29" i="59"/>
  <c r="W31" i="59" s="1"/>
  <c r="V29" i="59"/>
  <c r="V31" i="59" s="1"/>
  <c r="U29" i="59"/>
  <c r="U31" i="59" s="1"/>
  <c r="T29" i="59"/>
  <c r="T31" i="59" s="1"/>
  <c r="S29" i="59"/>
  <c r="S31" i="59" s="1"/>
  <c r="R29" i="59"/>
  <c r="X29" i="59" s="1"/>
  <c r="N29" i="59"/>
  <c r="N28" i="59"/>
  <c r="W27" i="59" a="1"/>
  <c r="W27" i="59" s="1"/>
  <c r="V27" i="59"/>
  <c r="V27" i="59" a="1"/>
  <c r="U27" i="59" a="1"/>
  <c r="U27" i="59" s="1"/>
  <c r="T27" i="59"/>
  <c r="T27" i="59" a="1"/>
  <c r="S27" i="59" a="1"/>
  <c r="S27" i="59" s="1"/>
  <c r="R27" i="59"/>
  <c r="X27" i="59" s="1"/>
  <c r="R27" i="59" a="1"/>
  <c r="N27" i="59"/>
  <c r="W26" i="59"/>
  <c r="W28" i="59" s="1"/>
  <c r="W26" i="59" a="1"/>
  <c r="V26" i="59" a="1"/>
  <c r="V26" i="59" s="1"/>
  <c r="V28" i="59" s="1"/>
  <c r="U26" i="59"/>
  <c r="U26" i="59" a="1"/>
  <c r="T26" i="59" a="1"/>
  <c r="T26" i="59" s="1"/>
  <c r="T28" i="59" s="1"/>
  <c r="S26" i="59"/>
  <c r="S26" i="59" a="1"/>
  <c r="R26" i="59" a="1"/>
  <c r="R26" i="59" s="1"/>
  <c r="N26" i="59"/>
  <c r="N25" i="59"/>
  <c r="W24" i="59"/>
  <c r="V24" i="59"/>
  <c r="U24" i="59"/>
  <c r="T24" i="59"/>
  <c r="S24" i="59"/>
  <c r="R24" i="59"/>
  <c r="X24" i="59" s="1"/>
  <c r="N24" i="59"/>
  <c r="W23" i="59" a="1"/>
  <c r="W23" i="59" s="1"/>
  <c r="V23" i="59"/>
  <c r="V23" i="59" a="1"/>
  <c r="U23" i="59" a="1"/>
  <c r="U23" i="59" s="1"/>
  <c r="T23" i="59"/>
  <c r="T23" i="59" a="1"/>
  <c r="S23" i="59" a="1"/>
  <c r="S23" i="59" s="1"/>
  <c r="R23" i="59"/>
  <c r="R23" i="59" a="1"/>
  <c r="N23" i="59"/>
  <c r="W22" i="59"/>
  <c r="W22" i="59" a="1"/>
  <c r="V22" i="59" a="1"/>
  <c r="V22" i="59" s="1"/>
  <c r="U22" i="59"/>
  <c r="U22" i="59" a="1"/>
  <c r="T22" i="59" a="1"/>
  <c r="T22" i="59" s="1"/>
  <c r="S22" i="59"/>
  <c r="S22" i="59" a="1"/>
  <c r="R22" i="59" a="1"/>
  <c r="R22" i="59" s="1"/>
  <c r="X22" i="59" s="1"/>
  <c r="N22" i="59"/>
  <c r="W21" i="59" a="1"/>
  <c r="W21" i="59" s="1"/>
  <c r="V21" i="59"/>
  <c r="V21" i="59" a="1"/>
  <c r="U21" i="59" a="1"/>
  <c r="U21" i="59" s="1"/>
  <c r="T21" i="59"/>
  <c r="T21" i="59" a="1"/>
  <c r="S21" i="59" a="1"/>
  <c r="S21" i="59" s="1"/>
  <c r="R21" i="59"/>
  <c r="X21" i="59" s="1"/>
  <c r="R21" i="59" a="1"/>
  <c r="N21" i="59"/>
  <c r="W20" i="59"/>
  <c r="W20" i="59" a="1"/>
  <c r="V20" i="59" a="1"/>
  <c r="V20" i="59" s="1"/>
  <c r="U20" i="59"/>
  <c r="U20" i="59" a="1"/>
  <c r="T20" i="59" a="1"/>
  <c r="T20" i="59" s="1"/>
  <c r="S20" i="59"/>
  <c r="S20" i="59" a="1"/>
  <c r="R20" i="59" a="1"/>
  <c r="R20" i="59" s="1"/>
  <c r="N20" i="59"/>
  <c r="W19" i="59" a="1"/>
  <c r="W19" i="59" s="1"/>
  <c r="V19" i="59"/>
  <c r="V19" i="59" a="1"/>
  <c r="U19" i="59" a="1"/>
  <c r="U19" i="59" s="1"/>
  <c r="T19" i="59"/>
  <c r="T19" i="59" a="1"/>
  <c r="S19" i="59" a="1"/>
  <c r="S19" i="59" s="1"/>
  <c r="R19" i="59"/>
  <c r="R19" i="59" a="1"/>
  <c r="N19" i="59"/>
  <c r="W18" i="59"/>
  <c r="W18" i="59" a="1"/>
  <c r="V18" i="59" a="1"/>
  <c r="V18" i="59" s="1"/>
  <c r="U18" i="59"/>
  <c r="U18" i="59" a="1"/>
  <c r="T18" i="59" a="1"/>
  <c r="T18" i="59" s="1"/>
  <c r="S18" i="59"/>
  <c r="S18" i="59" a="1"/>
  <c r="R18" i="59" a="1"/>
  <c r="R18" i="59" s="1"/>
  <c r="X18" i="59" s="1"/>
  <c r="N18" i="59"/>
  <c r="W17" i="59" a="1"/>
  <c r="W17" i="59" s="1"/>
  <c r="V17" i="59"/>
  <c r="V17" i="59" a="1"/>
  <c r="U17" i="59" a="1"/>
  <c r="U17" i="59" s="1"/>
  <c r="T17" i="59"/>
  <c r="T17" i="59" a="1"/>
  <c r="S17" i="59" a="1"/>
  <c r="S17" i="59" s="1"/>
  <c r="R17" i="59"/>
  <c r="X17" i="59" s="1"/>
  <c r="R17" i="59" a="1"/>
  <c r="N17" i="59"/>
  <c r="W16" i="59"/>
  <c r="W16" i="59" a="1"/>
  <c r="V16" i="59" a="1"/>
  <c r="V16" i="59" s="1"/>
  <c r="U16" i="59"/>
  <c r="U16" i="59" a="1"/>
  <c r="T16" i="59" a="1"/>
  <c r="T16" i="59" s="1"/>
  <c r="S16" i="59"/>
  <c r="S16" i="59" a="1"/>
  <c r="R16" i="59" a="1"/>
  <c r="R16" i="59" s="1"/>
  <c r="N16" i="59"/>
  <c r="W15" i="59" a="1"/>
  <c r="W15" i="59" s="1"/>
  <c r="V15" i="59"/>
  <c r="V15" i="59" a="1"/>
  <c r="U15" i="59" a="1"/>
  <c r="U15" i="59" s="1"/>
  <c r="T15" i="59"/>
  <c r="T15" i="59" a="1"/>
  <c r="S15" i="59" a="1"/>
  <c r="S15" i="59" s="1"/>
  <c r="R15" i="59"/>
  <c r="R15" i="59" a="1"/>
  <c r="N15" i="59"/>
  <c r="W14" i="59"/>
  <c r="W14" i="59" a="1"/>
  <c r="V14" i="59" a="1"/>
  <c r="V14" i="59" s="1"/>
  <c r="U14" i="59"/>
  <c r="U14" i="59" a="1"/>
  <c r="T14" i="59" a="1"/>
  <c r="T14" i="59" s="1"/>
  <c r="S14" i="59"/>
  <c r="S14" i="59" a="1"/>
  <c r="R14" i="59" a="1"/>
  <c r="R14" i="59" s="1"/>
  <c r="X14" i="59" s="1"/>
  <c r="N14" i="59"/>
  <c r="W13" i="59" a="1"/>
  <c r="W13" i="59" s="1"/>
  <c r="W25" i="59" s="1"/>
  <c r="V13" i="59"/>
  <c r="V13" i="59" a="1"/>
  <c r="U13" i="59" a="1"/>
  <c r="U13" i="59" s="1"/>
  <c r="T13" i="59"/>
  <c r="T13" i="59" a="1"/>
  <c r="S13" i="59" a="1"/>
  <c r="S13" i="59" s="1"/>
  <c r="S25" i="59" s="1"/>
  <c r="R13" i="59"/>
  <c r="X13" i="59" s="1"/>
  <c r="R13" i="59" a="1"/>
  <c r="N13" i="59"/>
  <c r="M10" i="59"/>
  <c r="L10" i="59"/>
  <c r="K10" i="59"/>
  <c r="J10" i="59"/>
  <c r="I10" i="59"/>
  <c r="H10" i="59"/>
  <c r="N10" i="59" s="1"/>
  <c r="M9" i="59"/>
  <c r="L9" i="59"/>
  <c r="K9" i="59"/>
  <c r="J9" i="59"/>
  <c r="N9" i="59" s="1"/>
  <c r="I9" i="59"/>
  <c r="H9" i="59"/>
  <c r="M8" i="59"/>
  <c r="L8" i="59"/>
  <c r="K8" i="59"/>
  <c r="J8" i="59"/>
  <c r="I8" i="59"/>
  <c r="N8" i="59" s="1"/>
  <c r="H8" i="59"/>
  <c r="C4" i="59"/>
  <c r="N87" i="58"/>
  <c r="N86" i="58"/>
  <c r="N85" i="58"/>
  <c r="N84" i="58"/>
  <c r="N83" i="58"/>
  <c r="N82" i="58"/>
  <c r="N81" i="58"/>
  <c r="N80" i="58"/>
  <c r="N79" i="58"/>
  <c r="N78" i="58"/>
  <c r="N77" i="58"/>
  <c r="N76" i="58"/>
  <c r="N75" i="58"/>
  <c r="N74" i="58"/>
  <c r="N73" i="58"/>
  <c r="N72" i="58"/>
  <c r="N71" i="58"/>
  <c r="N70" i="58"/>
  <c r="N69" i="58"/>
  <c r="N68" i="58"/>
  <c r="N67" i="58"/>
  <c r="N66" i="58"/>
  <c r="N65" i="58"/>
  <c r="N64" i="58"/>
  <c r="N63" i="58"/>
  <c r="N62" i="58"/>
  <c r="N61" i="58"/>
  <c r="N60" i="58"/>
  <c r="N59" i="58"/>
  <c r="N58" i="58"/>
  <c r="N57" i="58"/>
  <c r="N56" i="58"/>
  <c r="N55" i="58"/>
  <c r="N54" i="58"/>
  <c r="N53" i="58"/>
  <c r="N52" i="58"/>
  <c r="N51" i="58"/>
  <c r="N50" i="58"/>
  <c r="N49" i="58"/>
  <c r="N48" i="58"/>
  <c r="N47" i="58"/>
  <c r="N46" i="58"/>
  <c r="N45" i="58"/>
  <c r="N44" i="58"/>
  <c r="N43" i="58"/>
  <c r="N42" i="58"/>
  <c r="N41" i="58"/>
  <c r="N40" i="58"/>
  <c r="N39" i="58"/>
  <c r="N38" i="58"/>
  <c r="N37" i="58"/>
  <c r="N36" i="58"/>
  <c r="N35" i="58"/>
  <c r="N34" i="58"/>
  <c r="N33" i="58"/>
  <c r="N32" i="58"/>
  <c r="N31" i="58"/>
  <c r="W30" i="58"/>
  <c r="V30" i="58"/>
  <c r="U30" i="58"/>
  <c r="T30" i="58"/>
  <c r="S30" i="58"/>
  <c r="R30" i="58"/>
  <c r="X30" i="58" s="1"/>
  <c r="N30" i="58"/>
  <c r="W29" i="58"/>
  <c r="W31" i="58" s="1"/>
  <c r="V29" i="58"/>
  <c r="V31" i="58" s="1"/>
  <c r="U29" i="58"/>
  <c r="U31" i="58" s="1"/>
  <c r="T29" i="58"/>
  <c r="T31" i="58" s="1"/>
  <c r="S29" i="58"/>
  <c r="S31" i="58" s="1"/>
  <c r="R29" i="58"/>
  <c r="X29" i="58" s="1"/>
  <c r="N29" i="58"/>
  <c r="N28" i="58"/>
  <c r="W27" i="58" a="1"/>
  <c r="W27" i="58" s="1"/>
  <c r="V27" i="58" a="1"/>
  <c r="V27" i="58" s="1"/>
  <c r="U27" i="58"/>
  <c r="U27" i="58" a="1"/>
  <c r="T27" i="58"/>
  <c r="T27" i="58" a="1"/>
  <c r="S27" i="58" a="1"/>
  <c r="S27" i="58" s="1"/>
  <c r="R27" i="58" a="1"/>
  <c r="R27" i="58" s="1"/>
  <c r="N27" i="58"/>
  <c r="W26" i="58"/>
  <c r="W28" i="58" s="1"/>
  <c r="W26" i="58" a="1"/>
  <c r="V26" i="58" a="1"/>
  <c r="V26" i="58" s="1"/>
  <c r="U26" i="58" a="1"/>
  <c r="U26" i="58" s="1"/>
  <c r="U28" i="58" s="1"/>
  <c r="T26" i="58"/>
  <c r="T28" i="58" s="1"/>
  <c r="T26" i="58" a="1"/>
  <c r="S26" i="58"/>
  <c r="S28" i="58" s="1"/>
  <c r="S26" i="58" a="1"/>
  <c r="R26" i="58" a="1"/>
  <c r="R26" i="58" s="1"/>
  <c r="N26" i="58"/>
  <c r="N25" i="58"/>
  <c r="W24" i="58"/>
  <c r="V24" i="58"/>
  <c r="U24" i="58"/>
  <c r="X24" i="58" s="1"/>
  <c r="T24" i="58"/>
  <c r="S24" i="58"/>
  <c r="R24" i="58"/>
  <c r="N24" i="58"/>
  <c r="W23" i="58" a="1"/>
  <c r="W23" i="58" s="1"/>
  <c r="V23" i="58"/>
  <c r="V23" i="58" a="1"/>
  <c r="U23" i="58" a="1"/>
  <c r="U23" i="58" s="1"/>
  <c r="T23" i="58" a="1"/>
  <c r="T23" i="58" s="1"/>
  <c r="S23" i="58" a="1"/>
  <c r="S23" i="58" s="1"/>
  <c r="R23" i="58"/>
  <c r="X23" i="58" s="1"/>
  <c r="R23" i="58" a="1"/>
  <c r="N23" i="58"/>
  <c r="W22" i="58" a="1"/>
  <c r="W22" i="58" s="1"/>
  <c r="V22" i="58" a="1"/>
  <c r="V22" i="58" s="1"/>
  <c r="U22" i="58"/>
  <c r="U22" i="58" a="1"/>
  <c r="T22" i="58" a="1"/>
  <c r="T22" i="58" s="1"/>
  <c r="S22" i="58" a="1"/>
  <c r="S22" i="58" s="1"/>
  <c r="R22" i="58" a="1"/>
  <c r="R22" i="58" s="1"/>
  <c r="N22" i="58"/>
  <c r="W21" i="58" a="1"/>
  <c r="W21" i="58" s="1"/>
  <c r="V21" i="58" a="1"/>
  <c r="V21" i="58" s="1"/>
  <c r="U21" i="58" a="1"/>
  <c r="U21" i="58" s="1"/>
  <c r="T21" i="58"/>
  <c r="T21" i="58" a="1"/>
  <c r="S21" i="58" a="1"/>
  <c r="S21" i="58" s="1"/>
  <c r="R21" i="58" a="1"/>
  <c r="R21" i="58" s="1"/>
  <c r="N21" i="58"/>
  <c r="W20" i="58"/>
  <c r="W20" i="58" a="1"/>
  <c r="V20" i="58" a="1"/>
  <c r="V20" i="58" s="1"/>
  <c r="U20" i="58" a="1"/>
  <c r="U20" i="58" s="1"/>
  <c r="T20" i="58" a="1"/>
  <c r="T20" i="58" s="1"/>
  <c r="S20" i="58"/>
  <c r="S20" i="58" a="1"/>
  <c r="R20" i="58" a="1"/>
  <c r="R20" i="58" s="1"/>
  <c r="N20" i="58"/>
  <c r="W19" i="58" a="1"/>
  <c r="W19" i="58" s="1"/>
  <c r="V19" i="58"/>
  <c r="V19" i="58" a="1"/>
  <c r="U19" i="58" a="1"/>
  <c r="U19" i="58" s="1"/>
  <c r="T19" i="58" a="1"/>
  <c r="T19" i="58" s="1"/>
  <c r="S19" i="58" a="1"/>
  <c r="S19" i="58" s="1"/>
  <c r="R19" i="58"/>
  <c r="R19" i="58" a="1"/>
  <c r="N19" i="58"/>
  <c r="W18" i="58" a="1"/>
  <c r="W18" i="58" s="1"/>
  <c r="V18" i="58" a="1"/>
  <c r="V18" i="58" s="1"/>
  <c r="U18" i="58"/>
  <c r="U18" i="58" a="1"/>
  <c r="T18" i="58" a="1"/>
  <c r="T18" i="58" s="1"/>
  <c r="S18" i="58" a="1"/>
  <c r="S18" i="58" s="1"/>
  <c r="R18" i="58" a="1"/>
  <c r="R18" i="58" s="1"/>
  <c r="N18" i="58"/>
  <c r="W17" i="58" a="1"/>
  <c r="W17" i="58" s="1"/>
  <c r="V17" i="58" a="1"/>
  <c r="V17" i="58" s="1"/>
  <c r="U17" i="58" a="1"/>
  <c r="U17" i="58" s="1"/>
  <c r="T17" i="58"/>
  <c r="T17" i="58" a="1"/>
  <c r="S17" i="58" a="1"/>
  <c r="S17" i="58" s="1"/>
  <c r="R17" i="58" a="1"/>
  <c r="R17" i="58" s="1"/>
  <c r="N17" i="58"/>
  <c r="W16" i="58"/>
  <c r="W16" i="58" a="1"/>
  <c r="V16" i="58" a="1"/>
  <c r="V16" i="58" s="1"/>
  <c r="U16" i="58" a="1"/>
  <c r="U16" i="58" s="1"/>
  <c r="T16" i="58" a="1"/>
  <c r="T16" i="58" s="1"/>
  <c r="S16" i="58"/>
  <c r="S16" i="58" a="1"/>
  <c r="R16" i="58" a="1"/>
  <c r="R16" i="58" s="1"/>
  <c r="X16" i="58" s="1"/>
  <c r="N16" i="58"/>
  <c r="W15" i="58" a="1"/>
  <c r="W15" i="58" s="1"/>
  <c r="V15" i="58"/>
  <c r="V15" i="58" a="1"/>
  <c r="U15" i="58" a="1"/>
  <c r="U15" i="58" s="1"/>
  <c r="T15" i="58" a="1"/>
  <c r="T15" i="58" s="1"/>
  <c r="S15" i="58" a="1"/>
  <c r="S15" i="58" s="1"/>
  <c r="R15" i="58"/>
  <c r="X15" i="58" s="1"/>
  <c r="R15" i="58" a="1"/>
  <c r="N15" i="58"/>
  <c r="W14" i="58" a="1"/>
  <c r="W14" i="58" s="1"/>
  <c r="V14" i="58" a="1"/>
  <c r="V14" i="58" s="1"/>
  <c r="U14" i="58"/>
  <c r="U14" i="58" a="1"/>
  <c r="T14" i="58" a="1"/>
  <c r="T14" i="58" s="1"/>
  <c r="S14" i="58" a="1"/>
  <c r="S14" i="58" s="1"/>
  <c r="R14" i="58" a="1"/>
  <c r="R14" i="58" s="1"/>
  <c r="N14" i="58"/>
  <c r="W13" i="58" a="1"/>
  <c r="W13" i="58" s="1"/>
  <c r="V13" i="58" a="1"/>
  <c r="V13" i="58" s="1"/>
  <c r="U13" i="58" a="1"/>
  <c r="U13" i="58" s="1"/>
  <c r="T13" i="58"/>
  <c r="T13" i="58" a="1"/>
  <c r="S13" i="58" a="1"/>
  <c r="S13" i="58" s="1"/>
  <c r="S25" i="58" s="1"/>
  <c r="R13" i="58" a="1"/>
  <c r="R13" i="58" s="1"/>
  <c r="N13" i="58"/>
  <c r="M10" i="58"/>
  <c r="L10" i="58"/>
  <c r="K10" i="58"/>
  <c r="J10" i="58"/>
  <c r="I10" i="58"/>
  <c r="H10" i="58"/>
  <c r="N10" i="58" s="1"/>
  <c r="N9" i="58"/>
  <c r="M9" i="58"/>
  <c r="L9" i="58"/>
  <c r="K9" i="58"/>
  <c r="J9" i="58"/>
  <c r="I9" i="58"/>
  <c r="H9" i="58"/>
  <c r="M8" i="58"/>
  <c r="N8" i="58" s="1"/>
  <c r="L8" i="58"/>
  <c r="K8" i="58"/>
  <c r="J8" i="58"/>
  <c r="I8" i="58"/>
  <c r="H8" i="58"/>
  <c r="C4" i="58"/>
  <c r="N87" i="57"/>
  <c r="N86" i="57"/>
  <c r="N85" i="57"/>
  <c r="N84" i="57"/>
  <c r="N83" i="57"/>
  <c r="N82" i="57"/>
  <c r="N81" i="57"/>
  <c r="N80" i="57"/>
  <c r="N79" i="57"/>
  <c r="N78" i="57"/>
  <c r="N77" i="57"/>
  <c r="N76" i="57"/>
  <c r="N75" i="57"/>
  <c r="N74" i="57"/>
  <c r="N73" i="57"/>
  <c r="N72" i="57"/>
  <c r="N71" i="57"/>
  <c r="N70" i="57"/>
  <c r="N69" i="57"/>
  <c r="N68" i="57"/>
  <c r="N67" i="57"/>
  <c r="N66" i="57"/>
  <c r="N65" i="57"/>
  <c r="N64" i="57"/>
  <c r="N63" i="57"/>
  <c r="N62" i="57"/>
  <c r="N61" i="57"/>
  <c r="N60" i="57"/>
  <c r="N59" i="57"/>
  <c r="N58" i="57"/>
  <c r="N57" i="57"/>
  <c r="N56" i="57"/>
  <c r="N55" i="57"/>
  <c r="N54" i="57"/>
  <c r="N53" i="57"/>
  <c r="N52" i="57"/>
  <c r="N51" i="57"/>
  <c r="N50" i="57"/>
  <c r="N49" i="57"/>
  <c r="N48" i="57"/>
  <c r="N47" i="57"/>
  <c r="N46" i="57"/>
  <c r="N45" i="57"/>
  <c r="N44" i="57"/>
  <c r="N43" i="57"/>
  <c r="N42" i="57"/>
  <c r="N41" i="57"/>
  <c r="N40" i="57"/>
  <c r="N39" i="57"/>
  <c r="N38" i="57"/>
  <c r="N37" i="57"/>
  <c r="N36" i="57"/>
  <c r="N35" i="57"/>
  <c r="N34" i="57"/>
  <c r="N33" i="57"/>
  <c r="N32" i="57"/>
  <c r="N31" i="57"/>
  <c r="W30" i="57"/>
  <c r="V30" i="57"/>
  <c r="U30" i="57"/>
  <c r="T30" i="57"/>
  <c r="S30" i="57"/>
  <c r="R30" i="57"/>
  <c r="X30" i="57" s="1"/>
  <c r="N30" i="57"/>
  <c r="W29" i="57"/>
  <c r="W31" i="57" s="1"/>
  <c r="V29" i="57"/>
  <c r="V31" i="57" s="1"/>
  <c r="U29" i="57"/>
  <c r="U31" i="57" s="1"/>
  <c r="T29" i="57"/>
  <c r="T31" i="57" s="1"/>
  <c r="S29" i="57"/>
  <c r="S31" i="57" s="1"/>
  <c r="R29" i="57"/>
  <c r="X29" i="57" s="1"/>
  <c r="N29" i="57"/>
  <c r="N28" i="57"/>
  <c r="W27" i="57" a="1"/>
  <c r="W27" i="57" s="1"/>
  <c r="V27" i="57" a="1"/>
  <c r="V27" i="57" s="1"/>
  <c r="U27" i="57" a="1"/>
  <c r="U27" i="57" s="1"/>
  <c r="T27" i="57"/>
  <c r="T27" i="57" a="1"/>
  <c r="S27" i="57" a="1"/>
  <c r="S27" i="57" s="1"/>
  <c r="R27" i="57" a="1"/>
  <c r="R27" i="57" s="1"/>
  <c r="N27" i="57"/>
  <c r="W26" i="57"/>
  <c r="W28" i="57" s="1"/>
  <c r="W26" i="57" a="1"/>
  <c r="V26" i="57" a="1"/>
  <c r="V26" i="57" s="1"/>
  <c r="V28" i="57" s="1"/>
  <c r="U26" i="57" a="1"/>
  <c r="U26" i="57" s="1"/>
  <c r="T26" i="57" a="1"/>
  <c r="T26" i="57" s="1"/>
  <c r="T28" i="57" s="1"/>
  <c r="S26" i="57"/>
  <c r="S28" i="57" s="1"/>
  <c r="S26" i="57" a="1"/>
  <c r="R26" i="57" a="1"/>
  <c r="R26" i="57" s="1"/>
  <c r="N26" i="57"/>
  <c r="N25" i="57"/>
  <c r="W24" i="57"/>
  <c r="V24" i="57"/>
  <c r="U24" i="57"/>
  <c r="T24" i="57"/>
  <c r="S24" i="57"/>
  <c r="R24" i="57"/>
  <c r="X24" i="57" s="1"/>
  <c r="N24" i="57"/>
  <c r="W23" i="57" a="1"/>
  <c r="W23" i="57" s="1"/>
  <c r="V23" i="57"/>
  <c r="V23" i="57" a="1"/>
  <c r="U23" i="57" a="1"/>
  <c r="U23" i="57" s="1"/>
  <c r="T23" i="57" a="1"/>
  <c r="T23" i="57" s="1"/>
  <c r="S23" i="57" a="1"/>
  <c r="S23" i="57" s="1"/>
  <c r="R23" i="57"/>
  <c r="R23" i="57" a="1"/>
  <c r="N23" i="57"/>
  <c r="W22" i="57" a="1"/>
  <c r="W22" i="57" s="1"/>
  <c r="V22" i="57" a="1"/>
  <c r="V22" i="57" s="1"/>
  <c r="U22" i="57"/>
  <c r="U22" i="57" a="1"/>
  <c r="T22" i="57" a="1"/>
  <c r="T22" i="57" s="1"/>
  <c r="S22" i="57" a="1"/>
  <c r="S22" i="57" s="1"/>
  <c r="R22" i="57" a="1"/>
  <c r="R22" i="57" s="1"/>
  <c r="X22" i="57" s="1"/>
  <c r="N22" i="57"/>
  <c r="W21" i="57" a="1"/>
  <c r="W21" i="57" s="1"/>
  <c r="V21" i="57" a="1"/>
  <c r="V21" i="57" s="1"/>
  <c r="U21" i="57" a="1"/>
  <c r="U21" i="57" s="1"/>
  <c r="T21" i="57"/>
  <c r="T21" i="57" a="1"/>
  <c r="S21" i="57" a="1"/>
  <c r="S21" i="57" s="1"/>
  <c r="R21" i="57" a="1"/>
  <c r="R21" i="57" s="1"/>
  <c r="N21" i="57"/>
  <c r="W20" i="57"/>
  <c r="W20" i="57" a="1"/>
  <c r="V20" i="57" a="1"/>
  <c r="V20" i="57" s="1"/>
  <c r="U20" i="57" a="1"/>
  <c r="U20" i="57" s="1"/>
  <c r="T20" i="57" a="1"/>
  <c r="T20" i="57" s="1"/>
  <c r="S20" i="57"/>
  <c r="S20" i="57" a="1"/>
  <c r="R20" i="57" a="1"/>
  <c r="R20" i="57" s="1"/>
  <c r="N20" i="57"/>
  <c r="W19" i="57" a="1"/>
  <c r="W19" i="57" s="1"/>
  <c r="V19" i="57"/>
  <c r="V19" i="57" a="1"/>
  <c r="U19" i="57" a="1"/>
  <c r="U19" i="57" s="1"/>
  <c r="T19" i="57" a="1"/>
  <c r="T19" i="57" s="1"/>
  <c r="S19" i="57" a="1"/>
  <c r="S19" i="57" s="1"/>
  <c r="R19" i="57"/>
  <c r="R19" i="57" a="1"/>
  <c r="N19" i="57"/>
  <c r="W18" i="57" a="1"/>
  <c r="W18" i="57" s="1"/>
  <c r="V18" i="57" a="1"/>
  <c r="V18" i="57" s="1"/>
  <c r="U18" i="57"/>
  <c r="U18" i="57" a="1"/>
  <c r="T18" i="57" a="1"/>
  <c r="T18" i="57" s="1"/>
  <c r="S18" i="57" a="1"/>
  <c r="S18" i="57" s="1"/>
  <c r="R18" i="57" a="1"/>
  <c r="R18" i="57" s="1"/>
  <c r="N18" i="57"/>
  <c r="W17" i="57" a="1"/>
  <c r="W17" i="57" s="1"/>
  <c r="V17" i="57" a="1"/>
  <c r="V17" i="57" s="1"/>
  <c r="U17" i="57" a="1"/>
  <c r="U17" i="57" s="1"/>
  <c r="T17" i="57"/>
  <c r="T17" i="57" a="1"/>
  <c r="S17" i="57" a="1"/>
  <c r="S17" i="57" s="1"/>
  <c r="R17" i="57" a="1"/>
  <c r="R17" i="57" s="1"/>
  <c r="N17" i="57"/>
  <c r="W16" i="57"/>
  <c r="W16" i="57" a="1"/>
  <c r="V16" i="57" a="1"/>
  <c r="V16" i="57" s="1"/>
  <c r="U16" i="57" a="1"/>
  <c r="U16" i="57" s="1"/>
  <c r="T16" i="57" a="1"/>
  <c r="T16" i="57" s="1"/>
  <c r="S16" i="57"/>
  <c r="S16" i="57" a="1"/>
  <c r="R16" i="57" a="1"/>
  <c r="R16" i="57" s="1"/>
  <c r="N16" i="57"/>
  <c r="W15" i="57" a="1"/>
  <c r="W15" i="57" s="1"/>
  <c r="V15" i="57"/>
  <c r="V15" i="57" a="1"/>
  <c r="U15" i="57" a="1"/>
  <c r="U15" i="57" s="1"/>
  <c r="T15" i="57" a="1"/>
  <c r="T15" i="57" s="1"/>
  <c r="S15" i="57" a="1"/>
  <c r="S15" i="57" s="1"/>
  <c r="R15" i="57"/>
  <c r="R15" i="57" a="1"/>
  <c r="N15" i="57"/>
  <c r="W14" i="57" a="1"/>
  <c r="W14" i="57" s="1"/>
  <c r="V14" i="57" a="1"/>
  <c r="V14" i="57" s="1"/>
  <c r="U14" i="57"/>
  <c r="U14" i="57" a="1"/>
  <c r="T14" i="57" a="1"/>
  <c r="T14" i="57" s="1"/>
  <c r="S14" i="57" a="1"/>
  <c r="S14" i="57" s="1"/>
  <c r="R14" i="57" a="1"/>
  <c r="R14" i="57" s="1"/>
  <c r="X14" i="57" s="1"/>
  <c r="N14" i="57"/>
  <c r="W13" i="57" a="1"/>
  <c r="W13" i="57" s="1"/>
  <c r="V13" i="57" a="1"/>
  <c r="V13" i="57" s="1"/>
  <c r="U13" i="57" a="1"/>
  <c r="U13" i="57" s="1"/>
  <c r="T13" i="57"/>
  <c r="T13" i="57" a="1"/>
  <c r="S13" i="57" a="1"/>
  <c r="S13" i="57" s="1"/>
  <c r="R13" i="57" a="1"/>
  <c r="R13" i="57" s="1"/>
  <c r="N13" i="57"/>
  <c r="M10" i="57"/>
  <c r="L10" i="57"/>
  <c r="K10" i="57"/>
  <c r="J10" i="57"/>
  <c r="I10" i="57"/>
  <c r="H10" i="57"/>
  <c r="N10" i="57" s="1"/>
  <c r="N9" i="57"/>
  <c r="M9" i="57"/>
  <c r="L9" i="57"/>
  <c r="K9" i="57"/>
  <c r="J9" i="57"/>
  <c r="I9" i="57"/>
  <c r="H9" i="57"/>
  <c r="M8" i="57"/>
  <c r="L8" i="57"/>
  <c r="K8" i="57"/>
  <c r="J8" i="57"/>
  <c r="I8" i="57"/>
  <c r="H8" i="57"/>
  <c r="N8" i="57" s="1"/>
  <c r="C4" i="57"/>
  <c r="N87" i="56"/>
  <c r="N86" i="56"/>
  <c r="N85" i="56"/>
  <c r="N84" i="56"/>
  <c r="N83" i="56"/>
  <c r="N82" i="56"/>
  <c r="N81" i="56"/>
  <c r="N80" i="56"/>
  <c r="N79" i="56"/>
  <c r="N78" i="56"/>
  <c r="N77" i="56"/>
  <c r="N76" i="56"/>
  <c r="N75" i="56"/>
  <c r="N74" i="56"/>
  <c r="N73" i="56"/>
  <c r="N72" i="56"/>
  <c r="N71" i="56"/>
  <c r="N70" i="56"/>
  <c r="N69" i="56"/>
  <c r="N68" i="56"/>
  <c r="N67" i="56"/>
  <c r="N66" i="56"/>
  <c r="N65" i="56"/>
  <c r="N64" i="56"/>
  <c r="N63" i="56"/>
  <c r="N62" i="56"/>
  <c r="N61" i="56"/>
  <c r="N60" i="56"/>
  <c r="N59" i="56"/>
  <c r="N58" i="56"/>
  <c r="N57" i="56"/>
  <c r="N56" i="56"/>
  <c r="N55" i="56"/>
  <c r="N54" i="56"/>
  <c r="N53" i="56"/>
  <c r="N52" i="56"/>
  <c r="N51" i="56"/>
  <c r="N50" i="56"/>
  <c r="N49" i="56"/>
  <c r="N48" i="56"/>
  <c r="N47" i="56"/>
  <c r="N46" i="56"/>
  <c r="N45" i="56"/>
  <c r="N44" i="56"/>
  <c r="N43" i="56"/>
  <c r="N42" i="56"/>
  <c r="N41" i="56"/>
  <c r="N40" i="56"/>
  <c r="N39" i="56"/>
  <c r="N38" i="56"/>
  <c r="N37" i="56"/>
  <c r="N36" i="56"/>
  <c r="N35" i="56"/>
  <c r="N34" i="56"/>
  <c r="N33" i="56"/>
  <c r="N32" i="56"/>
  <c r="N31" i="56"/>
  <c r="W30" i="56"/>
  <c r="V30" i="56"/>
  <c r="U30" i="56"/>
  <c r="T30" i="56"/>
  <c r="S30" i="56"/>
  <c r="R30" i="56"/>
  <c r="X30" i="56" s="1"/>
  <c r="N30" i="56"/>
  <c r="W29" i="56"/>
  <c r="W31" i="56" s="1"/>
  <c r="V29" i="56"/>
  <c r="V31" i="56" s="1"/>
  <c r="U29" i="56"/>
  <c r="U31" i="56" s="1"/>
  <c r="T29" i="56"/>
  <c r="T31" i="56" s="1"/>
  <c r="S29" i="56"/>
  <c r="S31" i="56" s="1"/>
  <c r="R29" i="56"/>
  <c r="X29" i="56" s="1"/>
  <c r="N29" i="56"/>
  <c r="N28" i="56"/>
  <c r="W27" i="56"/>
  <c r="W27" i="56" a="1"/>
  <c r="V27" i="56"/>
  <c r="V27" i="56" a="1"/>
  <c r="U27" i="56" a="1"/>
  <c r="U27" i="56" s="1"/>
  <c r="T27" i="56"/>
  <c r="T27" i="56" a="1"/>
  <c r="S27" i="56"/>
  <c r="S27" i="56" a="1"/>
  <c r="R27" i="56"/>
  <c r="X27" i="56" s="1"/>
  <c r="R27" i="56" a="1"/>
  <c r="N27" i="56"/>
  <c r="W26" i="56"/>
  <c r="W28" i="56" s="1"/>
  <c r="W26" i="56" a="1"/>
  <c r="V26" i="56"/>
  <c r="V28" i="56" s="1"/>
  <c r="V26" i="56" a="1"/>
  <c r="U26" i="56"/>
  <c r="U28" i="56" s="1"/>
  <c r="U26" i="56" a="1"/>
  <c r="T26" i="56" a="1"/>
  <c r="T26" i="56" s="1"/>
  <c r="T28" i="56" s="1"/>
  <c r="S26" i="56"/>
  <c r="S28" i="56" s="1"/>
  <c r="S26" i="56" a="1"/>
  <c r="R26" i="56"/>
  <c r="R28" i="56" s="1"/>
  <c r="X28" i="56" s="1"/>
  <c r="R26" i="56" a="1"/>
  <c r="N26" i="56"/>
  <c r="N25" i="56"/>
  <c r="W24" i="56"/>
  <c r="V24" i="56"/>
  <c r="U24" i="56"/>
  <c r="T24" i="56"/>
  <c r="S24" i="56"/>
  <c r="R24" i="56"/>
  <c r="X24" i="56" s="1"/>
  <c r="N24" i="56"/>
  <c r="W23" i="56" a="1"/>
  <c r="W23" i="56" s="1"/>
  <c r="V23" i="56"/>
  <c r="V23" i="56" a="1"/>
  <c r="U23" i="56"/>
  <c r="U23" i="56" a="1"/>
  <c r="T23" i="56"/>
  <c r="T23" i="56" a="1"/>
  <c r="S23" i="56" a="1"/>
  <c r="S23" i="56" s="1"/>
  <c r="R23" i="56"/>
  <c r="R23" i="56" a="1"/>
  <c r="N23" i="56"/>
  <c r="W22" i="56"/>
  <c r="W22" i="56" a="1"/>
  <c r="V22" i="56" a="1"/>
  <c r="V22" i="56" s="1"/>
  <c r="U22" i="56"/>
  <c r="U22" i="56" a="1"/>
  <c r="T22" i="56"/>
  <c r="T22" i="56" a="1"/>
  <c r="S22" i="56"/>
  <c r="S22" i="56" a="1"/>
  <c r="R22" i="56" a="1"/>
  <c r="R22" i="56" s="1"/>
  <c r="N22" i="56"/>
  <c r="W21" i="56"/>
  <c r="W21" i="56" a="1"/>
  <c r="V21" i="56"/>
  <c r="V21" i="56" a="1"/>
  <c r="U21" i="56" a="1"/>
  <c r="U21" i="56" s="1"/>
  <c r="T21" i="56"/>
  <c r="T21" i="56" a="1"/>
  <c r="S21" i="56"/>
  <c r="S21" i="56" a="1"/>
  <c r="R21" i="56"/>
  <c r="X21" i="56" s="1"/>
  <c r="R21" i="56" a="1"/>
  <c r="N21" i="56"/>
  <c r="W20" i="56"/>
  <c r="W20" i="56" a="1"/>
  <c r="V20" i="56"/>
  <c r="V20" i="56" a="1"/>
  <c r="U20" i="56"/>
  <c r="U20" i="56" a="1"/>
  <c r="T20" i="56" a="1"/>
  <c r="T20" i="56" s="1"/>
  <c r="S20" i="56"/>
  <c r="S20" i="56" a="1"/>
  <c r="R20" i="56"/>
  <c r="X20" i="56" s="1"/>
  <c r="R20" i="56" a="1"/>
  <c r="N20" i="56"/>
  <c r="W19" i="56" a="1"/>
  <c r="W19" i="56" s="1"/>
  <c r="V19" i="56"/>
  <c r="V19" i="56" a="1"/>
  <c r="U19" i="56" a="1"/>
  <c r="U19" i="56" s="1"/>
  <c r="T19" i="56"/>
  <c r="T19" i="56" a="1"/>
  <c r="S19" i="56" a="1"/>
  <c r="S19" i="56" s="1"/>
  <c r="R19" i="56"/>
  <c r="X19" i="56" s="1"/>
  <c r="R19" i="56" a="1"/>
  <c r="N19" i="56"/>
  <c r="W18" i="56"/>
  <c r="W18" i="56" a="1"/>
  <c r="V18" i="56" a="1"/>
  <c r="V18" i="56" s="1"/>
  <c r="U18" i="56"/>
  <c r="U18" i="56" a="1"/>
  <c r="T18" i="56" a="1"/>
  <c r="T18" i="56" s="1"/>
  <c r="S18" i="56" a="1"/>
  <c r="S18" i="56" s="1"/>
  <c r="R18" i="56" a="1"/>
  <c r="R18" i="56" s="1"/>
  <c r="N18" i="56"/>
  <c r="W17" i="56" a="1"/>
  <c r="W17" i="56" s="1"/>
  <c r="V17" i="56" a="1"/>
  <c r="V17" i="56" s="1"/>
  <c r="U17" i="56" a="1"/>
  <c r="U17" i="56" s="1"/>
  <c r="T17" i="56"/>
  <c r="T17" i="56" a="1"/>
  <c r="S17" i="56" a="1"/>
  <c r="S17" i="56" s="1"/>
  <c r="R17" i="56" a="1"/>
  <c r="R17" i="56" s="1"/>
  <c r="X17" i="56" s="1"/>
  <c r="N17" i="56"/>
  <c r="W16" i="56"/>
  <c r="W16" i="56" a="1"/>
  <c r="V16" i="56" a="1"/>
  <c r="V16" i="56" s="1"/>
  <c r="U16" i="56" a="1"/>
  <c r="U16" i="56" s="1"/>
  <c r="T16" i="56" a="1"/>
  <c r="T16" i="56" s="1"/>
  <c r="S16" i="56"/>
  <c r="S16" i="56" a="1"/>
  <c r="R16" i="56" a="1"/>
  <c r="R16" i="56" s="1"/>
  <c r="N16" i="56"/>
  <c r="W15" i="56" a="1"/>
  <c r="W15" i="56" s="1"/>
  <c r="V15" i="56"/>
  <c r="V15" i="56" a="1"/>
  <c r="U15" i="56" a="1"/>
  <c r="U15" i="56" s="1"/>
  <c r="T15" i="56" a="1"/>
  <c r="T15" i="56" s="1"/>
  <c r="S15" i="56" a="1"/>
  <c r="S15" i="56" s="1"/>
  <c r="R15" i="56"/>
  <c r="R15" i="56" a="1"/>
  <c r="N15" i="56"/>
  <c r="W14" i="56" a="1"/>
  <c r="W14" i="56" s="1"/>
  <c r="V14" i="56" a="1"/>
  <c r="V14" i="56" s="1"/>
  <c r="U14" i="56"/>
  <c r="U14" i="56" a="1"/>
  <c r="T14" i="56" a="1"/>
  <c r="T14" i="56" s="1"/>
  <c r="S14" i="56" a="1"/>
  <c r="S14" i="56" s="1"/>
  <c r="R14" i="56" a="1"/>
  <c r="R14" i="56" s="1"/>
  <c r="N14" i="56"/>
  <c r="W13" i="56" a="1"/>
  <c r="W13" i="56" s="1"/>
  <c r="W25" i="56" s="1"/>
  <c r="V13" i="56" a="1"/>
  <c r="V13" i="56" s="1"/>
  <c r="U13" i="56" a="1"/>
  <c r="U13" i="56" s="1"/>
  <c r="U25" i="56" s="1"/>
  <c r="T13" i="56"/>
  <c r="T13" i="56" a="1"/>
  <c r="S13" i="56" a="1"/>
  <c r="S13" i="56" s="1"/>
  <c r="R13" i="56" a="1"/>
  <c r="R13" i="56" s="1"/>
  <c r="N13" i="56"/>
  <c r="M10" i="56"/>
  <c r="L10" i="56"/>
  <c r="K10" i="56"/>
  <c r="J10" i="56"/>
  <c r="I10" i="56"/>
  <c r="H10" i="56"/>
  <c r="N10" i="56" s="1"/>
  <c r="N9" i="56"/>
  <c r="M9" i="56"/>
  <c r="L9" i="56"/>
  <c r="K9" i="56"/>
  <c r="J9" i="56"/>
  <c r="I9" i="56"/>
  <c r="H9" i="56"/>
  <c r="M8" i="56"/>
  <c r="L8" i="56"/>
  <c r="K8" i="56"/>
  <c r="J8" i="56"/>
  <c r="I8" i="56"/>
  <c r="H8" i="56"/>
  <c r="N8" i="56" s="1"/>
  <c r="C4" i="56"/>
  <c r="N87" i="55"/>
  <c r="N86" i="55"/>
  <c r="N85" i="55"/>
  <c r="N84" i="55"/>
  <c r="N83" i="55"/>
  <c r="N82" i="55"/>
  <c r="N81" i="55"/>
  <c r="N80" i="55"/>
  <c r="N79" i="55"/>
  <c r="N78" i="55"/>
  <c r="N77" i="55"/>
  <c r="N76" i="55"/>
  <c r="N75" i="55"/>
  <c r="N74" i="55"/>
  <c r="N73" i="55"/>
  <c r="N72" i="55"/>
  <c r="N71" i="55"/>
  <c r="N70" i="55"/>
  <c r="N69" i="55"/>
  <c r="N68" i="55"/>
  <c r="N67" i="55"/>
  <c r="N66" i="55"/>
  <c r="N65" i="55"/>
  <c r="N64" i="55"/>
  <c r="N63" i="55"/>
  <c r="N62" i="55"/>
  <c r="N61" i="55"/>
  <c r="N60" i="55"/>
  <c r="N59" i="55"/>
  <c r="N58" i="55"/>
  <c r="N57" i="55"/>
  <c r="N56" i="55"/>
  <c r="N55" i="55"/>
  <c r="N54" i="55"/>
  <c r="N53" i="55"/>
  <c r="N52" i="55"/>
  <c r="N51" i="55"/>
  <c r="N50" i="55"/>
  <c r="N49" i="55"/>
  <c r="N48" i="55"/>
  <c r="N47" i="55"/>
  <c r="N46" i="55"/>
  <c r="N45" i="55"/>
  <c r="N44" i="55"/>
  <c r="N43" i="55"/>
  <c r="N42" i="55"/>
  <c r="N41" i="55"/>
  <c r="N40" i="55"/>
  <c r="N39" i="55"/>
  <c r="N38" i="55"/>
  <c r="N37" i="55"/>
  <c r="N36" i="55"/>
  <c r="N35" i="55"/>
  <c r="N34" i="55"/>
  <c r="N33" i="55"/>
  <c r="N32" i="55"/>
  <c r="N31" i="55"/>
  <c r="W30" i="55"/>
  <c r="V30" i="55"/>
  <c r="U30" i="55"/>
  <c r="T30" i="55"/>
  <c r="S30" i="55"/>
  <c r="R30" i="55"/>
  <c r="X30" i="55" s="1"/>
  <c r="N30" i="55"/>
  <c r="W29" i="55"/>
  <c r="W31" i="55" s="1"/>
  <c r="V29" i="55"/>
  <c r="V31" i="55" s="1"/>
  <c r="U29" i="55"/>
  <c r="U31" i="55" s="1"/>
  <c r="T29" i="55"/>
  <c r="T31" i="55" s="1"/>
  <c r="S29" i="55"/>
  <c r="S31" i="55" s="1"/>
  <c r="R29" i="55"/>
  <c r="X29" i="55" s="1"/>
  <c r="N29" i="55"/>
  <c r="N28" i="55"/>
  <c r="W27" i="55" a="1"/>
  <c r="W27" i="55" s="1"/>
  <c r="V27" i="55" a="1"/>
  <c r="V27" i="55" s="1"/>
  <c r="U27" i="55" a="1"/>
  <c r="U27" i="55" s="1"/>
  <c r="T27" i="55"/>
  <c r="T27" i="55" a="1"/>
  <c r="S27" i="55" a="1"/>
  <c r="S27" i="55" s="1"/>
  <c r="R27" i="55" a="1"/>
  <c r="R27" i="55" s="1"/>
  <c r="X27" i="55" s="1"/>
  <c r="N27" i="55"/>
  <c r="W26" i="55"/>
  <c r="W28" i="55" s="1"/>
  <c r="W26" i="55" a="1"/>
  <c r="V26" i="55" a="1"/>
  <c r="V26" i="55" s="1"/>
  <c r="V28" i="55" s="1"/>
  <c r="U26" i="55" a="1"/>
  <c r="U26" i="55" s="1"/>
  <c r="U28" i="55" s="1"/>
  <c r="T26" i="55" a="1"/>
  <c r="T26" i="55" s="1"/>
  <c r="T28" i="55" s="1"/>
  <c r="S26" i="55"/>
  <c r="S28" i="55" s="1"/>
  <c r="S26" i="55" a="1"/>
  <c r="R26" i="55" a="1"/>
  <c r="R26" i="55" s="1"/>
  <c r="N26" i="55"/>
  <c r="N25" i="55"/>
  <c r="W24" i="55"/>
  <c r="V24" i="55"/>
  <c r="U24" i="55"/>
  <c r="T24" i="55"/>
  <c r="S24" i="55"/>
  <c r="R24" i="55"/>
  <c r="X24" i="55" s="1"/>
  <c r="N24" i="55"/>
  <c r="W23" i="55" a="1"/>
  <c r="W23" i="55" s="1"/>
  <c r="V23" i="55"/>
  <c r="V23" i="55" a="1"/>
  <c r="U23" i="55" a="1"/>
  <c r="U23" i="55" s="1"/>
  <c r="T23" i="55" a="1"/>
  <c r="T23" i="55" s="1"/>
  <c r="S23" i="55" a="1"/>
  <c r="S23" i="55" s="1"/>
  <c r="R23" i="55"/>
  <c r="X23" i="55" s="1"/>
  <c r="R23" i="55" a="1"/>
  <c r="N23" i="55"/>
  <c r="W22" i="55" a="1"/>
  <c r="W22" i="55" s="1"/>
  <c r="V22" i="55" a="1"/>
  <c r="V22" i="55" s="1"/>
  <c r="U22" i="55"/>
  <c r="U22" i="55" a="1"/>
  <c r="T22" i="55" a="1"/>
  <c r="T22" i="55" s="1"/>
  <c r="S22" i="55" a="1"/>
  <c r="S22" i="55" s="1"/>
  <c r="R22" i="55" a="1"/>
  <c r="R22" i="55" s="1"/>
  <c r="N22" i="55"/>
  <c r="W21" i="55" a="1"/>
  <c r="W21" i="55" s="1"/>
  <c r="V21" i="55" a="1"/>
  <c r="V21" i="55" s="1"/>
  <c r="U21" i="55" a="1"/>
  <c r="U21" i="55" s="1"/>
  <c r="T21" i="55"/>
  <c r="T21" i="55" a="1"/>
  <c r="S21" i="55" a="1"/>
  <c r="S21" i="55" s="1"/>
  <c r="R21" i="55" a="1"/>
  <c r="R21" i="55" s="1"/>
  <c r="N21" i="55"/>
  <c r="W20" i="55"/>
  <c r="W20" i="55" a="1"/>
  <c r="V20" i="55" a="1"/>
  <c r="V20" i="55" s="1"/>
  <c r="U20" i="55" a="1"/>
  <c r="U20" i="55" s="1"/>
  <c r="T20" i="55" a="1"/>
  <c r="T20" i="55" s="1"/>
  <c r="S20" i="55"/>
  <c r="S20" i="55" a="1"/>
  <c r="R20" i="55" a="1"/>
  <c r="R20" i="55" s="1"/>
  <c r="N20" i="55"/>
  <c r="W19" i="55" a="1"/>
  <c r="W19" i="55" s="1"/>
  <c r="V19" i="55"/>
  <c r="V19" i="55" a="1"/>
  <c r="U19" i="55" a="1"/>
  <c r="U19" i="55" s="1"/>
  <c r="T19" i="55" a="1"/>
  <c r="T19" i="55" s="1"/>
  <c r="S19" i="55" a="1"/>
  <c r="S19" i="55" s="1"/>
  <c r="R19" i="55"/>
  <c r="R19" i="55" a="1"/>
  <c r="N19" i="55"/>
  <c r="W18" i="55" a="1"/>
  <c r="W18" i="55" s="1"/>
  <c r="V18" i="55" a="1"/>
  <c r="V18" i="55" s="1"/>
  <c r="U18" i="55"/>
  <c r="U18" i="55" a="1"/>
  <c r="T18" i="55" a="1"/>
  <c r="T18" i="55" s="1"/>
  <c r="S18" i="55" a="1"/>
  <c r="S18" i="55" s="1"/>
  <c r="R18" i="55" a="1"/>
  <c r="R18" i="55" s="1"/>
  <c r="N18" i="55"/>
  <c r="W17" i="55" a="1"/>
  <c r="W17" i="55" s="1"/>
  <c r="V17" i="55" a="1"/>
  <c r="V17" i="55" s="1"/>
  <c r="U17" i="55" a="1"/>
  <c r="U17" i="55" s="1"/>
  <c r="T17" i="55"/>
  <c r="T17" i="55" a="1"/>
  <c r="S17" i="55" a="1"/>
  <c r="S17" i="55" s="1"/>
  <c r="R17" i="55" a="1"/>
  <c r="R17" i="55" s="1"/>
  <c r="N17" i="55"/>
  <c r="W16" i="55"/>
  <c r="W16" i="55" a="1"/>
  <c r="V16" i="55" a="1"/>
  <c r="V16" i="55" s="1"/>
  <c r="U16" i="55" a="1"/>
  <c r="U16" i="55" s="1"/>
  <c r="T16" i="55" a="1"/>
  <c r="T16" i="55" s="1"/>
  <c r="S16" i="55"/>
  <c r="S16" i="55" a="1"/>
  <c r="R16" i="55" a="1"/>
  <c r="R16" i="55" s="1"/>
  <c r="N16" i="55"/>
  <c r="W15" i="55" a="1"/>
  <c r="W15" i="55" s="1"/>
  <c r="V15" i="55"/>
  <c r="V15" i="55" a="1"/>
  <c r="U15" i="55" a="1"/>
  <c r="U15" i="55" s="1"/>
  <c r="T15" i="55" a="1"/>
  <c r="T15" i="55" s="1"/>
  <c r="S15" i="55" a="1"/>
  <c r="S15" i="55" s="1"/>
  <c r="R15" i="55"/>
  <c r="R15" i="55" a="1"/>
  <c r="N15" i="55"/>
  <c r="W14" i="55" a="1"/>
  <c r="W14" i="55" s="1"/>
  <c r="V14" i="55" a="1"/>
  <c r="V14" i="55" s="1"/>
  <c r="U14" i="55"/>
  <c r="U14" i="55" a="1"/>
  <c r="T14" i="55" a="1"/>
  <c r="T14" i="55" s="1"/>
  <c r="S14" i="55" a="1"/>
  <c r="S14" i="55" s="1"/>
  <c r="R14" i="55" a="1"/>
  <c r="R14" i="55" s="1"/>
  <c r="N14" i="55"/>
  <c r="W13" i="55" a="1"/>
  <c r="W13" i="55" s="1"/>
  <c r="W25" i="55" s="1"/>
  <c r="V13" i="55" a="1"/>
  <c r="V13" i="55" s="1"/>
  <c r="V25" i="55" s="1"/>
  <c r="U13" i="55" a="1"/>
  <c r="U13" i="55" s="1"/>
  <c r="T13" i="55"/>
  <c r="T13" i="55" a="1"/>
  <c r="S13" i="55" a="1"/>
  <c r="S13" i="55" s="1"/>
  <c r="R13" i="55" a="1"/>
  <c r="R13" i="55" s="1"/>
  <c r="N13" i="55"/>
  <c r="M10" i="55"/>
  <c r="L10" i="55"/>
  <c r="K10" i="55"/>
  <c r="J10" i="55"/>
  <c r="I10" i="55"/>
  <c r="H10" i="55"/>
  <c r="N10" i="55" s="1"/>
  <c r="N9" i="55"/>
  <c r="M9" i="55"/>
  <c r="L9" i="55"/>
  <c r="K9" i="55"/>
  <c r="J9" i="55"/>
  <c r="I9" i="55"/>
  <c r="H9" i="55"/>
  <c r="M8" i="55"/>
  <c r="N8" i="55" s="1"/>
  <c r="L8" i="55"/>
  <c r="K8" i="55"/>
  <c r="J8" i="55"/>
  <c r="I8" i="55"/>
  <c r="H8" i="55"/>
  <c r="C4" i="55"/>
  <c r="N87" i="54"/>
  <c r="N86" i="54"/>
  <c r="N85" i="54"/>
  <c r="N84" i="54"/>
  <c r="N83" i="54"/>
  <c r="N82" i="54"/>
  <c r="N81" i="54"/>
  <c r="N80" i="54"/>
  <c r="N79" i="54"/>
  <c r="N78" i="54"/>
  <c r="N77" i="54"/>
  <c r="N76" i="54"/>
  <c r="N75" i="54"/>
  <c r="N74" i="54"/>
  <c r="N73" i="54"/>
  <c r="N72" i="54"/>
  <c r="N71" i="54"/>
  <c r="N70" i="54"/>
  <c r="N69" i="54"/>
  <c r="N68" i="54"/>
  <c r="N67" i="54"/>
  <c r="N66" i="54"/>
  <c r="N65" i="54"/>
  <c r="N64" i="54"/>
  <c r="N63" i="54"/>
  <c r="N62" i="54"/>
  <c r="N61" i="54"/>
  <c r="N60" i="54"/>
  <c r="N59" i="54"/>
  <c r="N58" i="54"/>
  <c r="N57" i="54"/>
  <c r="N56" i="54"/>
  <c r="N55" i="54"/>
  <c r="N54" i="54"/>
  <c r="N53" i="54"/>
  <c r="N52" i="54"/>
  <c r="N51" i="54"/>
  <c r="N50" i="54"/>
  <c r="N49" i="54"/>
  <c r="N48" i="54"/>
  <c r="N47" i="54"/>
  <c r="N46" i="54"/>
  <c r="N45" i="54"/>
  <c r="N44" i="54"/>
  <c r="N43" i="54"/>
  <c r="N42" i="54"/>
  <c r="N41" i="54"/>
  <c r="N40" i="54"/>
  <c r="N39" i="54"/>
  <c r="N38" i="54"/>
  <c r="N37" i="54"/>
  <c r="N36" i="54"/>
  <c r="N35" i="54"/>
  <c r="N34" i="54"/>
  <c r="N33" i="54"/>
  <c r="N32" i="54"/>
  <c r="N31" i="54"/>
  <c r="W30" i="54"/>
  <c r="V30" i="54"/>
  <c r="U30" i="54"/>
  <c r="T30" i="54"/>
  <c r="S30" i="54"/>
  <c r="R30" i="54"/>
  <c r="X30" i="54" s="1"/>
  <c r="N30" i="54"/>
  <c r="W29" i="54"/>
  <c r="W31" i="54" s="1"/>
  <c r="V29" i="54"/>
  <c r="V31" i="54" s="1"/>
  <c r="U29" i="54"/>
  <c r="U31" i="54" s="1"/>
  <c r="T29" i="54"/>
  <c r="T31" i="54" s="1"/>
  <c r="S29" i="54"/>
  <c r="S31" i="54" s="1"/>
  <c r="R29" i="54"/>
  <c r="X29" i="54" s="1"/>
  <c r="N29" i="54"/>
  <c r="N28" i="54"/>
  <c r="W27" i="54" a="1"/>
  <c r="W27" i="54" s="1"/>
  <c r="V27" i="54" a="1"/>
  <c r="V27" i="54" s="1"/>
  <c r="U27" i="54"/>
  <c r="U27" i="54" a="1"/>
  <c r="T27" i="54"/>
  <c r="T27" i="54" a="1"/>
  <c r="S27" i="54" a="1"/>
  <c r="S27" i="54" s="1"/>
  <c r="R27" i="54" a="1"/>
  <c r="R27" i="54" s="1"/>
  <c r="X27" i="54" s="1"/>
  <c r="N27" i="54"/>
  <c r="W26" i="54"/>
  <c r="W26" i="54" a="1"/>
  <c r="V26" i="54" a="1"/>
  <c r="V26" i="54" s="1"/>
  <c r="V28" i="54" s="1"/>
  <c r="U26" i="54" a="1"/>
  <c r="U26" i="54" s="1"/>
  <c r="U28" i="54" s="1"/>
  <c r="T26" i="54"/>
  <c r="T28" i="54" s="1"/>
  <c r="T26" i="54" a="1"/>
  <c r="S26" i="54"/>
  <c r="S28" i="54" s="1"/>
  <c r="S26" i="54" a="1"/>
  <c r="R26" i="54" a="1"/>
  <c r="R26" i="54" s="1"/>
  <c r="N26" i="54"/>
  <c r="N25" i="54"/>
  <c r="W24" i="54"/>
  <c r="V24" i="54"/>
  <c r="U24" i="54"/>
  <c r="T24" i="54"/>
  <c r="S24" i="54"/>
  <c r="R24" i="54"/>
  <c r="X24" i="54" s="1"/>
  <c r="N24" i="54"/>
  <c r="W23" i="54"/>
  <c r="W23" i="54" a="1"/>
  <c r="V23" i="54"/>
  <c r="V23" i="54" a="1"/>
  <c r="U23" i="54" a="1"/>
  <c r="U23" i="54" s="1"/>
  <c r="T23" i="54" a="1"/>
  <c r="T23" i="54" s="1"/>
  <c r="S23" i="54"/>
  <c r="S23" i="54" a="1"/>
  <c r="R23" i="54"/>
  <c r="R23" i="54" a="1"/>
  <c r="N23" i="54"/>
  <c r="W22" i="54" a="1"/>
  <c r="W22" i="54" s="1"/>
  <c r="V22" i="54"/>
  <c r="V22" i="54" a="1"/>
  <c r="U22" i="54"/>
  <c r="U22" i="54" a="1"/>
  <c r="T22" i="54" a="1"/>
  <c r="T22" i="54" s="1"/>
  <c r="S22" i="54" a="1"/>
  <c r="S22" i="54" s="1"/>
  <c r="R22" i="54"/>
  <c r="R22" i="54" a="1"/>
  <c r="N22" i="54"/>
  <c r="W21" i="54" a="1"/>
  <c r="W21" i="54" s="1"/>
  <c r="V21" i="54" a="1"/>
  <c r="V21" i="54" s="1"/>
  <c r="U21" i="54"/>
  <c r="U21" i="54" a="1"/>
  <c r="T21" i="54"/>
  <c r="T21" i="54" a="1"/>
  <c r="S21" i="54" a="1"/>
  <c r="S21" i="54" s="1"/>
  <c r="R21" i="54" a="1"/>
  <c r="R21" i="54" s="1"/>
  <c r="X21" i="54" s="1"/>
  <c r="N21" i="54"/>
  <c r="W20" i="54"/>
  <c r="W20" i="54" a="1"/>
  <c r="V20" i="54" a="1"/>
  <c r="V20" i="54" s="1"/>
  <c r="U20" i="54" a="1"/>
  <c r="U20" i="54" s="1"/>
  <c r="T20" i="54"/>
  <c r="T20" i="54" a="1"/>
  <c r="S20" i="54"/>
  <c r="S20" i="54" a="1"/>
  <c r="R20" i="54" a="1"/>
  <c r="R20" i="54" s="1"/>
  <c r="N20" i="54"/>
  <c r="W19" i="54"/>
  <c r="W19" i="54" a="1"/>
  <c r="V19" i="54"/>
  <c r="V19" i="54" a="1"/>
  <c r="U19" i="54" a="1"/>
  <c r="U19" i="54" s="1"/>
  <c r="T19" i="54" a="1"/>
  <c r="T19" i="54" s="1"/>
  <c r="S19" i="54"/>
  <c r="S19" i="54" a="1"/>
  <c r="R19" i="54"/>
  <c r="R19" i="54" a="1"/>
  <c r="N19" i="54"/>
  <c r="W18" i="54" a="1"/>
  <c r="W18" i="54" s="1"/>
  <c r="V18" i="54"/>
  <c r="V18" i="54" a="1"/>
  <c r="U18" i="54"/>
  <c r="U18" i="54" a="1"/>
  <c r="T18" i="54" a="1"/>
  <c r="T18" i="54" s="1"/>
  <c r="S18" i="54" a="1"/>
  <c r="S18" i="54" s="1"/>
  <c r="R18" i="54"/>
  <c r="R18" i="54" a="1"/>
  <c r="N18" i="54"/>
  <c r="W17" i="54" a="1"/>
  <c r="W17" i="54" s="1"/>
  <c r="V17" i="54" a="1"/>
  <c r="V17" i="54" s="1"/>
  <c r="U17" i="54"/>
  <c r="U17" i="54" a="1"/>
  <c r="T17" i="54"/>
  <c r="T17" i="54" a="1"/>
  <c r="S17" i="54" a="1"/>
  <c r="S17" i="54" s="1"/>
  <c r="R17" i="54" a="1"/>
  <c r="R17" i="54" s="1"/>
  <c r="X17" i="54" s="1"/>
  <c r="N17" i="54"/>
  <c r="W16" i="54"/>
  <c r="W16" i="54" a="1"/>
  <c r="V16" i="54" a="1"/>
  <c r="V16" i="54" s="1"/>
  <c r="U16" i="54" a="1"/>
  <c r="U16" i="54" s="1"/>
  <c r="T16" i="54"/>
  <c r="T16" i="54" a="1"/>
  <c r="S16" i="54"/>
  <c r="S16" i="54" a="1"/>
  <c r="R16" i="54" a="1"/>
  <c r="R16" i="54" s="1"/>
  <c r="N16" i="54"/>
  <c r="W15" i="54"/>
  <c r="W15" i="54" a="1"/>
  <c r="V15" i="54"/>
  <c r="V15" i="54" a="1"/>
  <c r="U15" i="54" a="1"/>
  <c r="U15" i="54" s="1"/>
  <c r="T15" i="54" a="1"/>
  <c r="T15" i="54" s="1"/>
  <c r="S15" i="54"/>
  <c r="S15" i="54" a="1"/>
  <c r="R15" i="54"/>
  <c r="R15" i="54" a="1"/>
  <c r="N15" i="54"/>
  <c r="W14" i="54" a="1"/>
  <c r="W14" i="54" s="1"/>
  <c r="V14" i="54"/>
  <c r="V14" i="54" a="1"/>
  <c r="U14" i="54"/>
  <c r="U14" i="54" a="1"/>
  <c r="T14" i="54" a="1"/>
  <c r="T14" i="54" s="1"/>
  <c r="S14" i="54" a="1"/>
  <c r="S14" i="54" s="1"/>
  <c r="R14" i="54"/>
  <c r="R14" i="54" a="1"/>
  <c r="N14" i="54"/>
  <c r="W13" i="54" a="1"/>
  <c r="W13" i="54" s="1"/>
  <c r="V13" i="54" a="1"/>
  <c r="V13" i="54" s="1"/>
  <c r="U13" i="54"/>
  <c r="U13" i="54" a="1"/>
  <c r="T13" i="54"/>
  <c r="T13" i="54" a="1"/>
  <c r="S13" i="54" a="1"/>
  <c r="S13" i="54" s="1"/>
  <c r="S25" i="54" s="1"/>
  <c r="R13" i="54" a="1"/>
  <c r="R13" i="54" s="1"/>
  <c r="N13" i="54"/>
  <c r="M10" i="54"/>
  <c r="L10" i="54"/>
  <c r="K10" i="54"/>
  <c r="J10" i="54"/>
  <c r="I10" i="54"/>
  <c r="H10" i="54"/>
  <c r="N10" i="54" s="1"/>
  <c r="N9" i="54"/>
  <c r="M9" i="54"/>
  <c r="L9" i="54"/>
  <c r="K9" i="54"/>
  <c r="J9" i="54"/>
  <c r="I9" i="54"/>
  <c r="H9" i="54"/>
  <c r="M8" i="54"/>
  <c r="L8" i="54"/>
  <c r="N8" i="54" s="1"/>
  <c r="K8" i="54"/>
  <c r="J8" i="54"/>
  <c r="I8" i="54"/>
  <c r="H8" i="54"/>
  <c r="C4" i="54"/>
  <c r="N87" i="53"/>
  <c r="N86" i="53"/>
  <c r="N85" i="53"/>
  <c r="N84" i="53"/>
  <c r="N83" i="53"/>
  <c r="N82" i="53"/>
  <c r="N81" i="53"/>
  <c r="N80" i="53"/>
  <c r="N79" i="53"/>
  <c r="N78" i="53"/>
  <c r="N77" i="53"/>
  <c r="N76" i="53"/>
  <c r="N75" i="53"/>
  <c r="N74" i="53"/>
  <c r="N73" i="53"/>
  <c r="N72" i="53"/>
  <c r="N71" i="53"/>
  <c r="N70" i="53"/>
  <c r="N69" i="53"/>
  <c r="N68" i="53"/>
  <c r="N67" i="53"/>
  <c r="N66" i="53"/>
  <c r="N65" i="53"/>
  <c r="N64" i="53"/>
  <c r="N63" i="53"/>
  <c r="N62" i="53"/>
  <c r="N61" i="53"/>
  <c r="N60" i="53"/>
  <c r="N59" i="53"/>
  <c r="N58" i="53"/>
  <c r="N57" i="53"/>
  <c r="N56" i="53"/>
  <c r="N55" i="53"/>
  <c r="N54" i="53"/>
  <c r="N53" i="53"/>
  <c r="N52" i="53"/>
  <c r="N51" i="53"/>
  <c r="N50" i="53"/>
  <c r="N49" i="53"/>
  <c r="N48" i="53"/>
  <c r="N47" i="53"/>
  <c r="N46" i="53"/>
  <c r="N45" i="53"/>
  <c r="N44" i="53"/>
  <c r="N43" i="53"/>
  <c r="N42" i="53"/>
  <c r="N41" i="53"/>
  <c r="N40" i="53"/>
  <c r="N39" i="53"/>
  <c r="N38" i="53"/>
  <c r="N37" i="53"/>
  <c r="N36" i="53"/>
  <c r="N35" i="53"/>
  <c r="N34" i="53"/>
  <c r="N33" i="53"/>
  <c r="N32" i="53"/>
  <c r="N31" i="53"/>
  <c r="W30" i="53"/>
  <c r="V30" i="53"/>
  <c r="U30" i="53"/>
  <c r="T30" i="53"/>
  <c r="S30" i="53"/>
  <c r="R30" i="53"/>
  <c r="X30" i="53" s="1"/>
  <c r="N30" i="53"/>
  <c r="W29" i="53"/>
  <c r="W31" i="53" s="1"/>
  <c r="V29" i="53"/>
  <c r="V31" i="53" s="1"/>
  <c r="U29" i="53"/>
  <c r="U31" i="53" s="1"/>
  <c r="T29" i="53"/>
  <c r="T31" i="53" s="1"/>
  <c r="S29" i="53"/>
  <c r="S31" i="53" s="1"/>
  <c r="R29" i="53"/>
  <c r="X29" i="53" s="1"/>
  <c r="N29" i="53"/>
  <c r="N28" i="53"/>
  <c r="W27" i="53" a="1"/>
  <c r="W27" i="53" s="1"/>
  <c r="V27" i="53"/>
  <c r="V27" i="53" a="1"/>
  <c r="U27" i="53" a="1"/>
  <c r="U27" i="53" s="1"/>
  <c r="T27" i="53"/>
  <c r="T27" i="53" a="1"/>
  <c r="S27" i="53" a="1"/>
  <c r="S27" i="53" s="1"/>
  <c r="R27" i="53"/>
  <c r="X27" i="53" s="1"/>
  <c r="R27" i="53" a="1"/>
  <c r="N27" i="53"/>
  <c r="W26" i="53"/>
  <c r="W28" i="53" s="1"/>
  <c r="W26" i="53" a="1"/>
  <c r="V26" i="53" a="1"/>
  <c r="V26" i="53" s="1"/>
  <c r="V28" i="53" s="1"/>
  <c r="U26" i="53"/>
  <c r="U26" i="53" a="1"/>
  <c r="T26" i="53" a="1"/>
  <c r="T26" i="53" s="1"/>
  <c r="T28" i="53" s="1"/>
  <c r="S26" i="53"/>
  <c r="S26" i="53" a="1"/>
  <c r="R26" i="53" a="1"/>
  <c r="R26" i="53" s="1"/>
  <c r="N26" i="53"/>
  <c r="N25" i="53"/>
  <c r="W24" i="53"/>
  <c r="V24" i="53"/>
  <c r="U24" i="53"/>
  <c r="T24" i="53"/>
  <c r="S24" i="53"/>
  <c r="R24" i="53"/>
  <c r="X24" i="53" s="1"/>
  <c r="N24" i="53"/>
  <c r="W23" i="53" a="1"/>
  <c r="W23" i="53" s="1"/>
  <c r="V23" i="53"/>
  <c r="V23" i="53" a="1"/>
  <c r="U23" i="53" a="1"/>
  <c r="U23" i="53" s="1"/>
  <c r="T23" i="53"/>
  <c r="T23" i="53" a="1"/>
  <c r="S23" i="53" a="1"/>
  <c r="S23" i="53" s="1"/>
  <c r="R23" i="53"/>
  <c r="R23" i="53" a="1"/>
  <c r="N23" i="53"/>
  <c r="W22" i="53"/>
  <c r="W22" i="53" a="1"/>
  <c r="V22" i="53" a="1"/>
  <c r="V22" i="53" s="1"/>
  <c r="U22" i="53"/>
  <c r="U22" i="53" a="1"/>
  <c r="T22" i="53" a="1"/>
  <c r="T22" i="53" s="1"/>
  <c r="S22" i="53"/>
  <c r="S22" i="53" a="1"/>
  <c r="R22" i="53" a="1"/>
  <c r="R22" i="53" s="1"/>
  <c r="N22" i="53"/>
  <c r="W21" i="53" a="1"/>
  <c r="W21" i="53" s="1"/>
  <c r="V21" i="53"/>
  <c r="V21" i="53" a="1"/>
  <c r="U21" i="53" a="1"/>
  <c r="U21" i="53" s="1"/>
  <c r="T21" i="53"/>
  <c r="T21" i="53" a="1"/>
  <c r="S21" i="53" a="1"/>
  <c r="S21" i="53" s="1"/>
  <c r="R21" i="53"/>
  <c r="X21" i="53" s="1"/>
  <c r="R21" i="53" a="1"/>
  <c r="N21" i="53"/>
  <c r="W20" i="53"/>
  <c r="W20" i="53" a="1"/>
  <c r="V20" i="53" a="1"/>
  <c r="V20" i="53" s="1"/>
  <c r="U20" i="53"/>
  <c r="U20" i="53" a="1"/>
  <c r="T20" i="53" a="1"/>
  <c r="T20" i="53" s="1"/>
  <c r="S20" i="53"/>
  <c r="S20" i="53" a="1"/>
  <c r="R20" i="53" a="1"/>
  <c r="R20" i="53" s="1"/>
  <c r="N20" i="53"/>
  <c r="W19" i="53" a="1"/>
  <c r="W19" i="53" s="1"/>
  <c r="V19" i="53"/>
  <c r="V19" i="53" a="1"/>
  <c r="U19" i="53" a="1"/>
  <c r="U19" i="53" s="1"/>
  <c r="T19" i="53"/>
  <c r="T19" i="53" a="1"/>
  <c r="S19" i="53" a="1"/>
  <c r="S19" i="53" s="1"/>
  <c r="R19" i="53"/>
  <c r="R19" i="53" a="1"/>
  <c r="N19" i="53"/>
  <c r="W18" i="53"/>
  <c r="W18" i="53" a="1"/>
  <c r="V18" i="53" a="1"/>
  <c r="V18" i="53" s="1"/>
  <c r="U18" i="53"/>
  <c r="U18" i="53" a="1"/>
  <c r="T18" i="53" a="1"/>
  <c r="T18" i="53" s="1"/>
  <c r="S18" i="53"/>
  <c r="S18" i="53" a="1"/>
  <c r="R18" i="53" a="1"/>
  <c r="R18" i="53" s="1"/>
  <c r="N18" i="53"/>
  <c r="W17" i="53" a="1"/>
  <c r="W17" i="53" s="1"/>
  <c r="V17" i="53"/>
  <c r="V17" i="53" a="1"/>
  <c r="U17" i="53" a="1"/>
  <c r="U17" i="53" s="1"/>
  <c r="T17" i="53"/>
  <c r="T17" i="53" a="1"/>
  <c r="S17" i="53" a="1"/>
  <c r="S17" i="53" s="1"/>
  <c r="R17" i="53"/>
  <c r="X17" i="53" s="1"/>
  <c r="R17" i="53" a="1"/>
  <c r="N17" i="53"/>
  <c r="W16" i="53"/>
  <c r="W16" i="53" a="1"/>
  <c r="V16" i="53" a="1"/>
  <c r="V16" i="53" s="1"/>
  <c r="U16" i="53"/>
  <c r="U16" i="53" a="1"/>
  <c r="T16" i="53" a="1"/>
  <c r="T16" i="53" s="1"/>
  <c r="S16" i="53"/>
  <c r="S16" i="53" a="1"/>
  <c r="R16" i="53" a="1"/>
  <c r="R16" i="53" s="1"/>
  <c r="N16" i="53"/>
  <c r="W15" i="53" a="1"/>
  <c r="W15" i="53" s="1"/>
  <c r="V15" i="53"/>
  <c r="V15" i="53" a="1"/>
  <c r="U15" i="53" a="1"/>
  <c r="U15" i="53" s="1"/>
  <c r="T15" i="53"/>
  <c r="T15" i="53" a="1"/>
  <c r="S15" i="53" a="1"/>
  <c r="S15" i="53" s="1"/>
  <c r="R15" i="53"/>
  <c r="R15" i="53" a="1"/>
  <c r="N15" i="53"/>
  <c r="W14" i="53"/>
  <c r="W14" i="53" a="1"/>
  <c r="V14" i="53" a="1"/>
  <c r="V14" i="53" s="1"/>
  <c r="U14" i="53"/>
  <c r="U14" i="53" a="1"/>
  <c r="T14" i="53" a="1"/>
  <c r="T14" i="53" s="1"/>
  <c r="S14" i="53"/>
  <c r="S14" i="53" a="1"/>
  <c r="R14" i="53" a="1"/>
  <c r="R14" i="53" s="1"/>
  <c r="X14" i="53" s="1"/>
  <c r="N14" i="53"/>
  <c r="W13" i="53" a="1"/>
  <c r="W13" i="53" s="1"/>
  <c r="W25" i="53" s="1"/>
  <c r="V13" i="53"/>
  <c r="V13" i="53" a="1"/>
  <c r="U13" i="53" a="1"/>
  <c r="U13" i="53" s="1"/>
  <c r="T13" i="53"/>
  <c r="T13" i="53" a="1"/>
  <c r="S13" i="53" a="1"/>
  <c r="S13" i="53" s="1"/>
  <c r="S25" i="53" s="1"/>
  <c r="R13" i="53" a="1"/>
  <c r="R13" i="53" s="1"/>
  <c r="N13" i="53"/>
  <c r="M10" i="53"/>
  <c r="L10" i="53"/>
  <c r="K10" i="53"/>
  <c r="J10" i="53"/>
  <c r="I10" i="53"/>
  <c r="H10" i="53"/>
  <c r="N10" i="53" s="1"/>
  <c r="N9" i="53"/>
  <c r="M9" i="53"/>
  <c r="L9" i="53"/>
  <c r="K9" i="53"/>
  <c r="J9" i="53"/>
  <c r="I9" i="53"/>
  <c r="H9" i="53"/>
  <c r="M8" i="53"/>
  <c r="N8" i="53" s="1"/>
  <c r="L8" i="53"/>
  <c r="K8" i="53"/>
  <c r="J8" i="53"/>
  <c r="I8" i="53"/>
  <c r="H8" i="53"/>
  <c r="C4" i="53"/>
  <c r="N87" i="52"/>
  <c r="N86" i="52"/>
  <c r="N85" i="52"/>
  <c r="N84" i="52"/>
  <c r="N83" i="52"/>
  <c r="N82" i="52"/>
  <c r="N81" i="52"/>
  <c r="N80" i="52"/>
  <c r="N79" i="52"/>
  <c r="N78" i="52"/>
  <c r="N77" i="52"/>
  <c r="N76" i="52"/>
  <c r="N75" i="52"/>
  <c r="N74" i="52"/>
  <c r="N73" i="52"/>
  <c r="N72" i="52"/>
  <c r="N71" i="52"/>
  <c r="N70" i="52"/>
  <c r="N69" i="52"/>
  <c r="N68" i="52"/>
  <c r="N67" i="52"/>
  <c r="N66" i="52"/>
  <c r="N65" i="52"/>
  <c r="N64" i="52"/>
  <c r="N63" i="52"/>
  <c r="N62" i="52"/>
  <c r="N61" i="52"/>
  <c r="N60" i="52"/>
  <c r="N59" i="52"/>
  <c r="N58" i="52"/>
  <c r="N57" i="52"/>
  <c r="N56" i="52"/>
  <c r="N55" i="52"/>
  <c r="N54" i="52"/>
  <c r="N53" i="52"/>
  <c r="N52" i="52"/>
  <c r="N51" i="52"/>
  <c r="N50" i="52"/>
  <c r="N49" i="52"/>
  <c r="N48" i="52"/>
  <c r="N47" i="52"/>
  <c r="N46" i="52"/>
  <c r="N45" i="52"/>
  <c r="N44" i="52"/>
  <c r="N43" i="52"/>
  <c r="N42" i="52"/>
  <c r="N41" i="52"/>
  <c r="N40" i="52"/>
  <c r="N39" i="52"/>
  <c r="N38" i="52"/>
  <c r="N37" i="52"/>
  <c r="N36" i="52"/>
  <c r="N35" i="52"/>
  <c r="N34" i="52"/>
  <c r="N33" i="52"/>
  <c r="N32" i="52"/>
  <c r="N31" i="52"/>
  <c r="W30" i="52"/>
  <c r="V30" i="52"/>
  <c r="U30" i="52"/>
  <c r="T30" i="52"/>
  <c r="S30" i="52"/>
  <c r="X30" i="52" s="1"/>
  <c r="R30" i="52"/>
  <c r="N30" i="52"/>
  <c r="W29" i="52"/>
  <c r="W31" i="52" s="1"/>
  <c r="V29" i="52"/>
  <c r="V31" i="52" s="1"/>
  <c r="U29" i="52"/>
  <c r="U31" i="52" s="1"/>
  <c r="T29" i="52"/>
  <c r="T31" i="52" s="1"/>
  <c r="S29" i="52"/>
  <c r="X29" i="52" s="1"/>
  <c r="R29" i="52"/>
  <c r="R31" i="52" s="1"/>
  <c r="N29" i="52"/>
  <c r="N28" i="52"/>
  <c r="W27" i="52" a="1"/>
  <c r="W27" i="52" s="1"/>
  <c r="V27" i="52" a="1"/>
  <c r="V27" i="52" s="1"/>
  <c r="U27" i="52" a="1"/>
  <c r="U27" i="52" s="1"/>
  <c r="T27" i="52" a="1"/>
  <c r="T27" i="52" s="1"/>
  <c r="S27" i="52" a="1"/>
  <c r="S27" i="52" s="1"/>
  <c r="R27" i="52" a="1"/>
  <c r="R27" i="52" s="1"/>
  <c r="X27" i="52" s="1"/>
  <c r="N27" i="52"/>
  <c r="W26" i="52" a="1"/>
  <c r="W26" i="52" s="1"/>
  <c r="W28" i="52" s="1"/>
  <c r="V26" i="52" a="1"/>
  <c r="V26" i="52" s="1"/>
  <c r="U26" i="52" a="1"/>
  <c r="U26" i="52" s="1"/>
  <c r="U28" i="52" s="1"/>
  <c r="T26" i="52" a="1"/>
  <c r="T26" i="52" s="1"/>
  <c r="S26" i="52" a="1"/>
  <c r="S26" i="52" s="1"/>
  <c r="S28" i="52" s="1"/>
  <c r="R26" i="52" a="1"/>
  <c r="R26" i="52" s="1"/>
  <c r="N26" i="52"/>
  <c r="N25" i="52"/>
  <c r="W24" i="52"/>
  <c r="V24" i="52"/>
  <c r="U24" i="52"/>
  <c r="X24" i="52" s="1"/>
  <c r="T24" i="52"/>
  <c r="S24" i="52"/>
  <c r="R24" i="52"/>
  <c r="N24" i="52"/>
  <c r="W23" i="52" a="1"/>
  <c r="W23" i="52" s="1"/>
  <c r="V23" i="52"/>
  <c r="V23" i="52" a="1"/>
  <c r="U23" i="52" a="1"/>
  <c r="U23" i="52" s="1"/>
  <c r="T23" i="52" a="1"/>
  <c r="T23" i="52" s="1"/>
  <c r="S23" i="52" a="1"/>
  <c r="S23" i="52" s="1"/>
  <c r="R23" i="52"/>
  <c r="R23" i="52" a="1"/>
  <c r="N23" i="52"/>
  <c r="W22" i="52" a="1"/>
  <c r="W22" i="52" s="1"/>
  <c r="V22" i="52" a="1"/>
  <c r="V22" i="52" s="1"/>
  <c r="U22" i="52"/>
  <c r="U22" i="52" a="1"/>
  <c r="T22" i="52" a="1"/>
  <c r="T22" i="52" s="1"/>
  <c r="S22" i="52" a="1"/>
  <c r="S22" i="52" s="1"/>
  <c r="R22" i="52" a="1"/>
  <c r="R22" i="52" s="1"/>
  <c r="N22" i="52"/>
  <c r="W21" i="52" a="1"/>
  <c r="W21" i="52" s="1"/>
  <c r="V21" i="52" a="1"/>
  <c r="V21" i="52" s="1"/>
  <c r="U21" i="52" a="1"/>
  <c r="U21" i="52" s="1"/>
  <c r="T21" i="52"/>
  <c r="T21" i="52" a="1"/>
  <c r="S21" i="52" a="1"/>
  <c r="S21" i="52" s="1"/>
  <c r="R21" i="52" a="1"/>
  <c r="R21" i="52" s="1"/>
  <c r="N21" i="52"/>
  <c r="W20" i="52"/>
  <c r="W20" i="52" a="1"/>
  <c r="V20" i="52" a="1"/>
  <c r="V20" i="52" s="1"/>
  <c r="U20" i="52" a="1"/>
  <c r="U20" i="52" s="1"/>
  <c r="T20" i="52" a="1"/>
  <c r="T20" i="52" s="1"/>
  <c r="S20" i="52"/>
  <c r="S20" i="52" a="1"/>
  <c r="R20" i="52" a="1"/>
  <c r="R20" i="52" s="1"/>
  <c r="X20" i="52" s="1"/>
  <c r="N20" i="52"/>
  <c r="W19" i="52" a="1"/>
  <c r="W19" i="52" s="1"/>
  <c r="V19" i="52"/>
  <c r="V19" i="52" a="1"/>
  <c r="U19" i="52" a="1"/>
  <c r="U19" i="52" s="1"/>
  <c r="T19" i="52" a="1"/>
  <c r="T19" i="52" s="1"/>
  <c r="S19" i="52" a="1"/>
  <c r="S19" i="52" s="1"/>
  <c r="R19" i="52"/>
  <c r="X19" i="52" s="1"/>
  <c r="R19" i="52" a="1"/>
  <c r="N19" i="52"/>
  <c r="W18" i="52" a="1"/>
  <c r="W18" i="52" s="1"/>
  <c r="V18" i="52" a="1"/>
  <c r="V18" i="52" s="1"/>
  <c r="U18" i="52"/>
  <c r="U18" i="52" a="1"/>
  <c r="T18" i="52" a="1"/>
  <c r="T18" i="52" s="1"/>
  <c r="S18" i="52" a="1"/>
  <c r="S18" i="52" s="1"/>
  <c r="R18" i="52" a="1"/>
  <c r="R18" i="52" s="1"/>
  <c r="X18" i="52" s="1"/>
  <c r="N18" i="52"/>
  <c r="W17" i="52" a="1"/>
  <c r="W17" i="52" s="1"/>
  <c r="V17" i="52" a="1"/>
  <c r="V17" i="52" s="1"/>
  <c r="U17" i="52" a="1"/>
  <c r="U17" i="52" s="1"/>
  <c r="T17" i="52"/>
  <c r="T17" i="52" a="1"/>
  <c r="S17" i="52" a="1"/>
  <c r="S17" i="52" s="1"/>
  <c r="R17" i="52" a="1"/>
  <c r="R17" i="52" s="1"/>
  <c r="X17" i="52" s="1"/>
  <c r="N17" i="52"/>
  <c r="W16" i="52"/>
  <c r="W16" i="52" a="1"/>
  <c r="V16" i="52" a="1"/>
  <c r="V16" i="52" s="1"/>
  <c r="U16" i="52" a="1"/>
  <c r="U16" i="52" s="1"/>
  <c r="T16" i="52" a="1"/>
  <c r="T16" i="52" s="1"/>
  <c r="S16" i="52"/>
  <c r="S16" i="52" a="1"/>
  <c r="R16" i="52" a="1"/>
  <c r="R16" i="52" s="1"/>
  <c r="N16" i="52"/>
  <c r="W15" i="52" a="1"/>
  <c r="W15" i="52" s="1"/>
  <c r="V15" i="52"/>
  <c r="V15" i="52" a="1"/>
  <c r="U15" i="52" a="1"/>
  <c r="U15" i="52" s="1"/>
  <c r="T15" i="52" a="1"/>
  <c r="T15" i="52" s="1"/>
  <c r="S15" i="52" a="1"/>
  <c r="S15" i="52" s="1"/>
  <c r="R15" i="52"/>
  <c r="R15" i="52" a="1"/>
  <c r="N15" i="52"/>
  <c r="W14" i="52" a="1"/>
  <c r="W14" i="52" s="1"/>
  <c r="V14" i="52" a="1"/>
  <c r="V14" i="52" s="1"/>
  <c r="U14" i="52"/>
  <c r="U14" i="52" a="1"/>
  <c r="T14" i="52" a="1"/>
  <c r="T14" i="52" s="1"/>
  <c r="S14" i="52" a="1"/>
  <c r="S14" i="52" s="1"/>
  <c r="R14" i="52" a="1"/>
  <c r="R14" i="52" s="1"/>
  <c r="N14" i="52"/>
  <c r="W13" i="52" a="1"/>
  <c r="W13" i="52" s="1"/>
  <c r="V13" i="52" a="1"/>
  <c r="V13" i="52" s="1"/>
  <c r="U13" i="52" a="1"/>
  <c r="U13" i="52" s="1"/>
  <c r="U25" i="52" s="1"/>
  <c r="T13" i="52"/>
  <c r="T13" i="52" a="1"/>
  <c r="S13" i="52" a="1"/>
  <c r="S13" i="52" s="1"/>
  <c r="R13" i="52" a="1"/>
  <c r="R13" i="52" s="1"/>
  <c r="N13" i="52"/>
  <c r="M10" i="52"/>
  <c r="L10" i="52"/>
  <c r="K10" i="52"/>
  <c r="J10" i="52"/>
  <c r="I10" i="52"/>
  <c r="H10" i="52"/>
  <c r="N10" i="52" s="1"/>
  <c r="N9" i="52"/>
  <c r="M9" i="52"/>
  <c r="L9" i="52"/>
  <c r="K9" i="52"/>
  <c r="J9" i="52"/>
  <c r="I9" i="52"/>
  <c r="H9" i="52"/>
  <c r="M8" i="52"/>
  <c r="N8" i="52" s="1"/>
  <c r="L8" i="52"/>
  <c r="K8" i="52"/>
  <c r="J8" i="52"/>
  <c r="I8" i="52"/>
  <c r="H8" i="52"/>
  <c r="C4" i="52"/>
  <c r="W25" i="61" l="1"/>
  <c r="R28" i="61"/>
  <c r="X28" i="61" s="1"/>
  <c r="X26" i="61"/>
  <c r="X13" i="61"/>
  <c r="R25" i="61"/>
  <c r="X14" i="61"/>
  <c r="X17" i="61"/>
  <c r="X18" i="61"/>
  <c r="S25" i="61"/>
  <c r="T25" i="61"/>
  <c r="X19" i="61"/>
  <c r="X20" i="61"/>
  <c r="X16" i="61"/>
  <c r="U25" i="61"/>
  <c r="X21" i="61"/>
  <c r="X22" i="61"/>
  <c r="R31" i="61"/>
  <c r="X31" i="61" s="1"/>
  <c r="U28" i="60"/>
  <c r="T25" i="60"/>
  <c r="X15" i="60"/>
  <c r="X23" i="60"/>
  <c r="X16" i="60"/>
  <c r="U25" i="60"/>
  <c r="X19" i="60"/>
  <c r="X20" i="60"/>
  <c r="R28" i="60"/>
  <c r="X26" i="60"/>
  <c r="W25" i="60"/>
  <c r="V25" i="60"/>
  <c r="S28" i="60"/>
  <c r="R25" i="60"/>
  <c r="X25" i="60" s="1"/>
  <c r="R31" i="60"/>
  <c r="X31" i="60" s="1"/>
  <c r="U28" i="59"/>
  <c r="T25" i="59"/>
  <c r="U25" i="59"/>
  <c r="X23" i="59"/>
  <c r="X16" i="59"/>
  <c r="X20" i="59"/>
  <c r="X26" i="59"/>
  <c r="R28" i="59"/>
  <c r="X28" i="59" s="1"/>
  <c r="X15" i="59"/>
  <c r="V25" i="59"/>
  <c r="X19" i="59"/>
  <c r="S28" i="59"/>
  <c r="R31" i="59"/>
  <c r="X31" i="59" s="1"/>
  <c r="R25" i="59"/>
  <c r="X25" i="59" s="1"/>
  <c r="X27" i="58"/>
  <c r="X13" i="58"/>
  <c r="R25" i="58"/>
  <c r="X14" i="58"/>
  <c r="X17" i="58"/>
  <c r="X18" i="58"/>
  <c r="T25" i="58"/>
  <c r="X19" i="58"/>
  <c r="X20" i="58"/>
  <c r="V28" i="58"/>
  <c r="U25" i="58"/>
  <c r="X21" i="58"/>
  <c r="X22" i="58"/>
  <c r="V25" i="58"/>
  <c r="R28" i="58"/>
  <c r="X26" i="58"/>
  <c r="W25" i="58"/>
  <c r="R31" i="58"/>
  <c r="X31" i="58" s="1"/>
  <c r="V25" i="57"/>
  <c r="X23" i="57"/>
  <c r="R28" i="57"/>
  <c r="X26" i="57"/>
  <c r="W25" i="57"/>
  <c r="X27" i="57"/>
  <c r="X13" i="57"/>
  <c r="R25" i="57"/>
  <c r="X25" i="57" s="1"/>
  <c r="S25" i="57"/>
  <c r="X15" i="57"/>
  <c r="X16" i="57"/>
  <c r="U28" i="57"/>
  <c r="X17" i="57"/>
  <c r="X18" i="57"/>
  <c r="T25" i="57"/>
  <c r="X19" i="57"/>
  <c r="X20" i="57"/>
  <c r="U25" i="57"/>
  <c r="X21" i="57"/>
  <c r="R31" i="57"/>
  <c r="X31" i="57" s="1"/>
  <c r="X18" i="56"/>
  <c r="T25" i="56"/>
  <c r="V25" i="56"/>
  <c r="X22" i="56"/>
  <c r="X13" i="56"/>
  <c r="R25" i="56"/>
  <c r="X25" i="56" s="1"/>
  <c r="X14" i="56"/>
  <c r="S25" i="56"/>
  <c r="X15" i="56"/>
  <c r="X16" i="56"/>
  <c r="X23" i="56"/>
  <c r="X26" i="56"/>
  <c r="R31" i="56"/>
  <c r="X31" i="56" s="1"/>
  <c r="R28" i="55"/>
  <c r="X28" i="55" s="1"/>
  <c r="X26" i="55"/>
  <c r="X13" i="55"/>
  <c r="R25" i="55"/>
  <c r="X14" i="55"/>
  <c r="S25" i="55"/>
  <c r="X17" i="55"/>
  <c r="X18" i="55"/>
  <c r="X15" i="55"/>
  <c r="T25" i="55"/>
  <c r="X19" i="55"/>
  <c r="X20" i="55"/>
  <c r="X16" i="55"/>
  <c r="U25" i="55"/>
  <c r="X21" i="55"/>
  <c r="X22" i="55"/>
  <c r="R31" i="55"/>
  <c r="X31" i="55" s="1"/>
  <c r="X14" i="54"/>
  <c r="X18" i="54"/>
  <c r="X22" i="54"/>
  <c r="T25" i="54"/>
  <c r="X15" i="54"/>
  <c r="X19" i="54"/>
  <c r="X23" i="54"/>
  <c r="V25" i="54"/>
  <c r="U25" i="54"/>
  <c r="X16" i="54"/>
  <c r="X20" i="54"/>
  <c r="R28" i="54"/>
  <c r="X26" i="54"/>
  <c r="W28" i="54"/>
  <c r="X13" i="54"/>
  <c r="R25" i="54"/>
  <c r="X25" i="54" s="1"/>
  <c r="W25" i="54"/>
  <c r="R31" i="54"/>
  <c r="X31" i="54" s="1"/>
  <c r="X13" i="53"/>
  <c r="R25" i="53"/>
  <c r="X18" i="53"/>
  <c r="X22" i="53"/>
  <c r="U28" i="53"/>
  <c r="T25" i="53"/>
  <c r="X19" i="53"/>
  <c r="X16" i="53"/>
  <c r="X20" i="53"/>
  <c r="R28" i="53"/>
  <c r="X26" i="53"/>
  <c r="U25" i="53"/>
  <c r="X23" i="53"/>
  <c r="V25" i="53"/>
  <c r="X15" i="53"/>
  <c r="S28" i="53"/>
  <c r="R31" i="53"/>
  <c r="X31" i="53" s="1"/>
  <c r="X22" i="52"/>
  <c r="V25" i="52"/>
  <c r="X23" i="52"/>
  <c r="X26" i="52"/>
  <c r="R28" i="52"/>
  <c r="T28" i="52"/>
  <c r="X31" i="52"/>
  <c r="X13" i="52"/>
  <c r="R25" i="52"/>
  <c r="X14" i="52"/>
  <c r="T25" i="52"/>
  <c r="X21" i="52"/>
  <c r="W25" i="52"/>
  <c r="S25" i="52"/>
  <c r="X15" i="52"/>
  <c r="X16" i="52"/>
  <c r="V28" i="52"/>
  <c r="S31" i="52"/>
  <c r="X25" i="61" l="1"/>
  <c r="X28" i="60"/>
  <c r="X28" i="58"/>
  <c r="X25" i="58"/>
  <c r="X28" i="57"/>
  <c r="X25" i="55"/>
  <c r="X28" i="54"/>
  <c r="X28" i="53"/>
  <c r="X25" i="53"/>
  <c r="X28" i="52"/>
  <c r="X25" i="52"/>
  <c r="N87" i="51" l="1"/>
  <c r="N86" i="51"/>
  <c r="N85" i="51"/>
  <c r="N84" i="51"/>
  <c r="N83" i="51"/>
  <c r="N82" i="51"/>
  <c r="N81" i="51"/>
  <c r="N80" i="51"/>
  <c r="N79" i="51"/>
  <c r="N78" i="51"/>
  <c r="N77" i="51"/>
  <c r="N76" i="51"/>
  <c r="N75" i="51"/>
  <c r="N74" i="51"/>
  <c r="N73" i="51"/>
  <c r="N72" i="51"/>
  <c r="N71" i="51"/>
  <c r="N70" i="51"/>
  <c r="N69" i="51"/>
  <c r="N68" i="51"/>
  <c r="N67" i="51"/>
  <c r="N66" i="51"/>
  <c r="N65" i="51"/>
  <c r="N64" i="51"/>
  <c r="N63" i="51"/>
  <c r="N62" i="51"/>
  <c r="N61" i="51"/>
  <c r="N60" i="51"/>
  <c r="N59" i="51"/>
  <c r="N58" i="51"/>
  <c r="N57" i="51"/>
  <c r="N56" i="51"/>
  <c r="N55" i="51"/>
  <c r="N54" i="51"/>
  <c r="N53" i="51"/>
  <c r="N52" i="51"/>
  <c r="N51" i="51"/>
  <c r="N50" i="51"/>
  <c r="N49" i="51"/>
  <c r="N48" i="51"/>
  <c r="N47" i="51"/>
  <c r="N46" i="51"/>
  <c r="N45" i="51"/>
  <c r="N44" i="51"/>
  <c r="N43" i="51"/>
  <c r="N42" i="51"/>
  <c r="N41" i="51"/>
  <c r="N40" i="51"/>
  <c r="N39" i="51"/>
  <c r="N38" i="51"/>
  <c r="N37" i="51"/>
  <c r="N36" i="51"/>
  <c r="N35" i="51"/>
  <c r="N34" i="51"/>
  <c r="N33" i="51"/>
  <c r="N32" i="51"/>
  <c r="N31" i="51"/>
  <c r="W30" i="51"/>
  <c r="V30" i="51"/>
  <c r="U30" i="51"/>
  <c r="T30" i="51"/>
  <c r="S30" i="51"/>
  <c r="R30" i="51"/>
  <c r="N30" i="51"/>
  <c r="W29" i="51"/>
  <c r="V29" i="51"/>
  <c r="V31" i="51" s="1"/>
  <c r="U29" i="51"/>
  <c r="T29" i="51"/>
  <c r="T31" i="51" s="1"/>
  <c r="S29" i="51"/>
  <c r="S31" i="51" s="1"/>
  <c r="R29" i="51"/>
  <c r="N29" i="51"/>
  <c r="N28" i="51"/>
  <c r="W27" i="51" a="1"/>
  <c r="W27" i="51" s="1"/>
  <c r="V27" i="51" a="1"/>
  <c r="V27" i="51" s="1"/>
  <c r="U27" i="51" a="1"/>
  <c r="U27" i="51" s="1"/>
  <c r="T27" i="51" a="1"/>
  <c r="T27" i="51" s="1"/>
  <c r="S27" i="51" a="1"/>
  <c r="S27" i="51" s="1"/>
  <c r="R27" i="51" a="1"/>
  <c r="R27" i="51" s="1"/>
  <c r="N27" i="51"/>
  <c r="W26" i="51" a="1"/>
  <c r="W26" i="51" s="1"/>
  <c r="W28" i="51" s="1"/>
  <c r="V26" i="51" a="1"/>
  <c r="V26" i="51" s="1"/>
  <c r="U26" i="51" a="1"/>
  <c r="U26" i="51" s="1"/>
  <c r="U28" i="51" s="1"/>
  <c r="T26" i="51" a="1"/>
  <c r="T26" i="51" s="1"/>
  <c r="S26" i="51" a="1"/>
  <c r="S26" i="51" s="1"/>
  <c r="R26" i="51" a="1"/>
  <c r="R26" i="51" s="1"/>
  <c r="N26" i="51"/>
  <c r="N25" i="51"/>
  <c r="W24" i="51"/>
  <c r="V24" i="51"/>
  <c r="U24" i="51"/>
  <c r="T24" i="51"/>
  <c r="S24" i="51"/>
  <c r="R24" i="51"/>
  <c r="N24" i="51"/>
  <c r="W23" i="51" a="1"/>
  <c r="W23" i="51" s="1"/>
  <c r="V23" i="51" a="1"/>
  <c r="V23" i="51" s="1"/>
  <c r="U23" i="51" a="1"/>
  <c r="U23" i="51" s="1"/>
  <c r="T23" i="51" a="1"/>
  <c r="T23" i="51" s="1"/>
  <c r="S23" i="51" a="1"/>
  <c r="S23" i="51" s="1"/>
  <c r="R23" i="51" a="1"/>
  <c r="R23" i="51" s="1"/>
  <c r="N23" i="51"/>
  <c r="W22" i="51" a="1"/>
  <c r="W22" i="51" s="1"/>
  <c r="V22" i="51" a="1"/>
  <c r="V22" i="51" s="1"/>
  <c r="U22" i="51" a="1"/>
  <c r="U22" i="51" s="1"/>
  <c r="T22" i="51" a="1"/>
  <c r="T22" i="51" s="1"/>
  <c r="S22" i="51" a="1"/>
  <c r="S22" i="51" s="1"/>
  <c r="R22" i="51" a="1"/>
  <c r="R22" i="51" s="1"/>
  <c r="N22" i="51"/>
  <c r="W21" i="51" a="1"/>
  <c r="W21" i="51" s="1"/>
  <c r="V21" i="51" a="1"/>
  <c r="V21" i="51" s="1"/>
  <c r="U21" i="51" a="1"/>
  <c r="U21" i="51" s="1"/>
  <c r="T21" i="51" a="1"/>
  <c r="T21" i="51" s="1"/>
  <c r="S21" i="51" a="1"/>
  <c r="S21" i="51" s="1"/>
  <c r="R21" i="51" a="1"/>
  <c r="R21" i="51" s="1"/>
  <c r="N21" i="51"/>
  <c r="W20" i="51" a="1"/>
  <c r="W20" i="51" s="1"/>
  <c r="V20" i="51" a="1"/>
  <c r="V20" i="51" s="1"/>
  <c r="U20" i="51" a="1"/>
  <c r="U20" i="51" s="1"/>
  <c r="T20" i="51" a="1"/>
  <c r="T20" i="51" s="1"/>
  <c r="S20" i="51" a="1"/>
  <c r="S20" i="51" s="1"/>
  <c r="R20" i="51" a="1"/>
  <c r="R20" i="51" s="1"/>
  <c r="N20" i="51"/>
  <c r="W19" i="51" a="1"/>
  <c r="W19" i="51" s="1"/>
  <c r="V19" i="51" a="1"/>
  <c r="V19" i="51" s="1"/>
  <c r="U19" i="51" a="1"/>
  <c r="U19" i="51" s="1"/>
  <c r="T19" i="51" a="1"/>
  <c r="T19" i="51" s="1"/>
  <c r="S19" i="51" a="1"/>
  <c r="S19" i="51" s="1"/>
  <c r="R19" i="51" a="1"/>
  <c r="R19" i="51" s="1"/>
  <c r="N19" i="51"/>
  <c r="W18" i="51" a="1"/>
  <c r="W18" i="51" s="1"/>
  <c r="V18" i="51" a="1"/>
  <c r="V18" i="51" s="1"/>
  <c r="U18" i="51" a="1"/>
  <c r="U18" i="51" s="1"/>
  <c r="T18" i="51" a="1"/>
  <c r="T18" i="51" s="1"/>
  <c r="S18" i="51" a="1"/>
  <c r="S18" i="51" s="1"/>
  <c r="R18" i="51" a="1"/>
  <c r="R18" i="51" s="1"/>
  <c r="N18" i="51"/>
  <c r="W17" i="51" a="1"/>
  <c r="W17" i="51" s="1"/>
  <c r="V17" i="51" a="1"/>
  <c r="V17" i="51" s="1"/>
  <c r="U17" i="51" a="1"/>
  <c r="U17" i="51" s="1"/>
  <c r="T17" i="51" a="1"/>
  <c r="T17" i="51" s="1"/>
  <c r="S17" i="51" a="1"/>
  <c r="S17" i="51" s="1"/>
  <c r="R17" i="51" a="1"/>
  <c r="R17" i="51" s="1"/>
  <c r="N17" i="51"/>
  <c r="W16" i="51" a="1"/>
  <c r="W16" i="51" s="1"/>
  <c r="V16" i="51" a="1"/>
  <c r="V16" i="51" s="1"/>
  <c r="U16" i="51" a="1"/>
  <c r="U16" i="51" s="1"/>
  <c r="T16" i="51" a="1"/>
  <c r="T16" i="51" s="1"/>
  <c r="S16" i="51" a="1"/>
  <c r="S16" i="51" s="1"/>
  <c r="R16" i="51" a="1"/>
  <c r="R16" i="51" s="1"/>
  <c r="N16" i="51"/>
  <c r="W15" i="51" a="1"/>
  <c r="W15" i="51" s="1"/>
  <c r="V15" i="51" a="1"/>
  <c r="V15" i="51" s="1"/>
  <c r="U15" i="51" a="1"/>
  <c r="U15" i="51" s="1"/>
  <c r="T15" i="51" a="1"/>
  <c r="T15" i="51" s="1"/>
  <c r="S15" i="51" a="1"/>
  <c r="S15" i="51" s="1"/>
  <c r="R15" i="51" a="1"/>
  <c r="R15" i="51" s="1"/>
  <c r="N15" i="51"/>
  <c r="W14" i="51" a="1"/>
  <c r="W14" i="51" s="1"/>
  <c r="V14" i="51" a="1"/>
  <c r="V14" i="51" s="1"/>
  <c r="U14" i="51" a="1"/>
  <c r="U14" i="51" s="1"/>
  <c r="T14" i="51" a="1"/>
  <c r="T14" i="51" s="1"/>
  <c r="S14" i="51" a="1"/>
  <c r="S14" i="51" s="1"/>
  <c r="R14" i="51" a="1"/>
  <c r="R14" i="51" s="1"/>
  <c r="N14" i="51"/>
  <c r="W13" i="51" a="1"/>
  <c r="W13" i="51" s="1"/>
  <c r="V13" i="51" a="1"/>
  <c r="V13" i="51" s="1"/>
  <c r="U13" i="51" a="1"/>
  <c r="U13" i="51" s="1"/>
  <c r="T13" i="51" a="1"/>
  <c r="T13" i="51" s="1"/>
  <c r="S13" i="51" a="1"/>
  <c r="S13" i="51" s="1"/>
  <c r="R13" i="51" a="1"/>
  <c r="R13" i="51" s="1"/>
  <c r="N13" i="51"/>
  <c r="M10" i="51"/>
  <c r="L10" i="51"/>
  <c r="K10" i="51"/>
  <c r="J10" i="51"/>
  <c r="I10" i="51"/>
  <c r="H10" i="51"/>
  <c r="M9" i="51"/>
  <c r="L9" i="51"/>
  <c r="K9" i="51"/>
  <c r="J9" i="51"/>
  <c r="I9" i="51"/>
  <c r="H9" i="51"/>
  <c r="M8" i="51"/>
  <c r="L8" i="51"/>
  <c r="K8" i="51"/>
  <c r="J8" i="51"/>
  <c r="I8" i="51"/>
  <c r="H8" i="51"/>
  <c r="C4" i="51"/>
  <c r="R20" i="50" a="1"/>
  <c r="R20" i="50" s="1"/>
  <c r="S20" i="50" a="1"/>
  <c r="S20" i="50" s="1"/>
  <c r="T20" i="50" a="1"/>
  <c r="T20" i="50" s="1"/>
  <c r="U20" i="50" a="1"/>
  <c r="U20" i="50" s="1"/>
  <c r="V20" i="50" a="1"/>
  <c r="V20" i="50" s="1"/>
  <c r="W20" i="50" a="1"/>
  <c r="W20" i="50" s="1"/>
  <c r="R21" i="50" a="1"/>
  <c r="R21" i="50" s="1"/>
  <c r="S21" i="50" a="1"/>
  <c r="S21" i="50" s="1"/>
  <c r="T21" i="50" a="1"/>
  <c r="T21" i="50" s="1"/>
  <c r="U21" i="50" a="1"/>
  <c r="U21" i="50" s="1"/>
  <c r="V21" i="50" a="1"/>
  <c r="V21" i="50" s="1"/>
  <c r="W21" i="50" a="1"/>
  <c r="W21" i="50" s="1"/>
  <c r="R22" i="50" a="1"/>
  <c r="R22" i="50" s="1"/>
  <c r="S22" i="50" a="1"/>
  <c r="S22" i="50" s="1"/>
  <c r="T22" i="50" a="1"/>
  <c r="T22" i="50" s="1"/>
  <c r="U22" i="50" a="1"/>
  <c r="U22" i="50" s="1"/>
  <c r="V22" i="50" a="1"/>
  <c r="V22" i="50" s="1"/>
  <c r="W22" i="50" a="1"/>
  <c r="W22" i="50" s="1"/>
  <c r="R23" i="50" a="1"/>
  <c r="R23" i="50" s="1"/>
  <c r="S23" i="50" a="1"/>
  <c r="S23" i="50" s="1"/>
  <c r="T23" i="50" a="1"/>
  <c r="T23" i="50" s="1"/>
  <c r="U23" i="50" a="1"/>
  <c r="U23" i="50" s="1"/>
  <c r="V23" i="50" a="1"/>
  <c r="V23" i="50" s="1"/>
  <c r="W23" i="50" a="1"/>
  <c r="W23" i="50" s="1"/>
  <c r="R26" i="43" a="1"/>
  <c r="R26" i="43" s="1"/>
  <c r="C23" i="40" s="1"/>
  <c r="S26" i="43" a="1"/>
  <c r="S26" i="43" s="1"/>
  <c r="D23" i="40" s="1"/>
  <c r="T26" i="43" a="1"/>
  <c r="T26" i="43" s="1"/>
  <c r="E23" i="40" s="1"/>
  <c r="U26" i="43" a="1"/>
  <c r="U26" i="43" s="1"/>
  <c r="F23" i="40" s="1"/>
  <c r="V26" i="43" a="1"/>
  <c r="V26" i="43" s="1"/>
  <c r="G23" i="40" s="1"/>
  <c r="W26" i="43" a="1"/>
  <c r="W26" i="43" s="1"/>
  <c r="H23" i="40" s="1"/>
  <c r="R24" i="43" a="1"/>
  <c r="R24" i="43" s="1"/>
  <c r="C21" i="40" s="1"/>
  <c r="S24" i="43" a="1"/>
  <c r="S24" i="43" s="1"/>
  <c r="D21" i="40" s="1"/>
  <c r="T24" i="43" a="1"/>
  <c r="T24" i="43" s="1"/>
  <c r="E21" i="40" s="1"/>
  <c r="U24" i="43" a="1"/>
  <c r="U24" i="43" s="1"/>
  <c r="F21" i="40" s="1"/>
  <c r="V24" i="43" a="1"/>
  <c r="V24" i="43" s="1"/>
  <c r="G21" i="40" s="1"/>
  <c r="W24" i="43" a="1"/>
  <c r="W24" i="43" s="1"/>
  <c r="H21" i="40" s="1"/>
  <c r="R25" i="43" a="1"/>
  <c r="R25" i="43" s="1"/>
  <c r="C22" i="40" s="1"/>
  <c r="S25" i="43" a="1"/>
  <c r="S25" i="43" s="1"/>
  <c r="D22" i="40" s="1"/>
  <c r="T25" i="43" a="1"/>
  <c r="T25" i="43" s="1"/>
  <c r="E22" i="40" s="1"/>
  <c r="U25" i="43" a="1"/>
  <c r="U25" i="43" s="1"/>
  <c r="F22" i="40" s="1"/>
  <c r="V25" i="43" a="1"/>
  <c r="V25" i="43" s="1"/>
  <c r="G22" i="40" s="1"/>
  <c r="W25" i="43" a="1"/>
  <c r="W25" i="43" s="1"/>
  <c r="H22" i="40" s="1"/>
  <c r="I21" i="40" l="1"/>
  <c r="N10" i="51"/>
  <c r="T28" i="51"/>
  <c r="U31" i="51"/>
  <c r="N9" i="51"/>
  <c r="W31" i="51"/>
  <c r="X19" i="51"/>
  <c r="N8" i="51"/>
  <c r="X18" i="51"/>
  <c r="X30" i="51"/>
  <c r="T25" i="51"/>
  <c r="X17" i="51"/>
  <c r="X27" i="51"/>
  <c r="X29" i="51"/>
  <c r="X24" i="51"/>
  <c r="R28" i="51"/>
  <c r="X26" i="51"/>
  <c r="X15" i="51"/>
  <c r="X23" i="51"/>
  <c r="S28" i="51"/>
  <c r="X14" i="51"/>
  <c r="X22" i="51"/>
  <c r="U25" i="51"/>
  <c r="V25" i="51"/>
  <c r="X16" i="51"/>
  <c r="X13" i="51"/>
  <c r="R25" i="51"/>
  <c r="X21" i="51"/>
  <c r="W25" i="51"/>
  <c r="S25" i="51"/>
  <c r="X20" i="51"/>
  <c r="V28" i="51"/>
  <c r="R31" i="51"/>
  <c r="X31" i="51" s="1"/>
  <c r="X21" i="50"/>
  <c r="X20" i="50"/>
  <c r="X24" i="43"/>
  <c r="X25" i="43"/>
  <c r="C4" i="50"/>
  <c r="N87" i="50"/>
  <c r="N86" i="50"/>
  <c r="N85" i="50"/>
  <c r="N84" i="50"/>
  <c r="N83" i="50"/>
  <c r="N82" i="50"/>
  <c r="N81" i="50"/>
  <c r="N80" i="50"/>
  <c r="N79" i="50"/>
  <c r="N78" i="50"/>
  <c r="N77" i="50"/>
  <c r="N76" i="50"/>
  <c r="N75" i="50"/>
  <c r="N74" i="50"/>
  <c r="N73" i="50"/>
  <c r="N72" i="50"/>
  <c r="N71" i="50"/>
  <c r="N70" i="50"/>
  <c r="N69" i="50"/>
  <c r="N68" i="50"/>
  <c r="N67" i="50"/>
  <c r="N66" i="50"/>
  <c r="N65" i="50"/>
  <c r="N64" i="50"/>
  <c r="N63" i="50"/>
  <c r="N62" i="50"/>
  <c r="N61" i="50"/>
  <c r="N60" i="50"/>
  <c r="N59" i="50"/>
  <c r="N58" i="50"/>
  <c r="N57" i="50"/>
  <c r="N56" i="50"/>
  <c r="N55" i="50"/>
  <c r="N54" i="50"/>
  <c r="N53" i="50"/>
  <c r="N52" i="50"/>
  <c r="N51" i="50"/>
  <c r="N50" i="50"/>
  <c r="N49" i="50"/>
  <c r="N48" i="50"/>
  <c r="N47" i="50"/>
  <c r="N46" i="50"/>
  <c r="N45" i="50"/>
  <c r="N44" i="50"/>
  <c r="N43" i="50"/>
  <c r="N42" i="50"/>
  <c r="N41" i="50"/>
  <c r="N40" i="50"/>
  <c r="N39" i="50"/>
  <c r="N38" i="50"/>
  <c r="N37" i="50"/>
  <c r="N36" i="50"/>
  <c r="N35" i="50"/>
  <c r="N34" i="50"/>
  <c r="N33" i="50"/>
  <c r="N32" i="50"/>
  <c r="N31" i="50"/>
  <c r="N30" i="50"/>
  <c r="N29" i="50"/>
  <c r="W30" i="50"/>
  <c r="V30" i="50"/>
  <c r="U30" i="50"/>
  <c r="T30" i="50"/>
  <c r="S30" i="50"/>
  <c r="R30" i="50"/>
  <c r="N28" i="50"/>
  <c r="W29" i="50"/>
  <c r="V29" i="50"/>
  <c r="U29" i="50"/>
  <c r="T29" i="50"/>
  <c r="S29" i="50"/>
  <c r="R29" i="50"/>
  <c r="N27" i="50"/>
  <c r="N26" i="50"/>
  <c r="W27" i="50" a="1"/>
  <c r="W27" i="50" s="1"/>
  <c r="V27" i="50" a="1"/>
  <c r="V27" i="50" s="1"/>
  <c r="U27" i="50" a="1"/>
  <c r="U27" i="50" s="1"/>
  <c r="T27" i="50" a="1"/>
  <c r="T27" i="50" s="1"/>
  <c r="S27" i="50" a="1"/>
  <c r="S27" i="50" s="1"/>
  <c r="R27" i="50" a="1"/>
  <c r="R27" i="50" s="1"/>
  <c r="N25" i="50"/>
  <c r="W26" i="50" a="1"/>
  <c r="W26" i="50" s="1"/>
  <c r="V26" i="50" a="1"/>
  <c r="V26" i="50" s="1"/>
  <c r="U26" i="50" a="1"/>
  <c r="U26" i="50" s="1"/>
  <c r="T26" i="50" a="1"/>
  <c r="T26" i="50" s="1"/>
  <c r="S26" i="50" a="1"/>
  <c r="S26" i="50" s="1"/>
  <c r="R26" i="50" a="1"/>
  <c r="R26" i="50" s="1"/>
  <c r="N24" i="50"/>
  <c r="N23" i="50"/>
  <c r="W24" i="50"/>
  <c r="V24" i="50"/>
  <c r="U24" i="50"/>
  <c r="T24" i="50"/>
  <c r="S24" i="50"/>
  <c r="R24" i="50"/>
  <c r="N22" i="50"/>
  <c r="N21" i="50"/>
  <c r="N20" i="50"/>
  <c r="W19" i="50" a="1"/>
  <c r="W19" i="50" s="1"/>
  <c r="V19" i="50" a="1"/>
  <c r="V19" i="50" s="1"/>
  <c r="U19" i="50" a="1"/>
  <c r="U19" i="50" s="1"/>
  <c r="T19" i="50" a="1"/>
  <c r="T19" i="50" s="1"/>
  <c r="S19" i="50" a="1"/>
  <c r="S19" i="50" s="1"/>
  <c r="R19" i="50" a="1"/>
  <c r="R19" i="50" s="1"/>
  <c r="N19" i="50"/>
  <c r="W18" i="50" a="1"/>
  <c r="W18" i="50" s="1"/>
  <c r="V18" i="50" a="1"/>
  <c r="V18" i="50" s="1"/>
  <c r="U18" i="50" a="1"/>
  <c r="U18" i="50" s="1"/>
  <c r="T18" i="50" a="1"/>
  <c r="T18" i="50" s="1"/>
  <c r="S18" i="50" a="1"/>
  <c r="S18" i="50" s="1"/>
  <c r="R18" i="50" a="1"/>
  <c r="R18" i="50" s="1"/>
  <c r="N18" i="50"/>
  <c r="W17" i="50" a="1"/>
  <c r="W17" i="50" s="1"/>
  <c r="V17" i="50" a="1"/>
  <c r="V17" i="50" s="1"/>
  <c r="U17" i="50" a="1"/>
  <c r="U17" i="50" s="1"/>
  <c r="T17" i="50" a="1"/>
  <c r="T17" i="50" s="1"/>
  <c r="S17" i="50" a="1"/>
  <c r="S17" i="50" s="1"/>
  <c r="R17" i="50" a="1"/>
  <c r="R17" i="50" s="1"/>
  <c r="N17" i="50"/>
  <c r="W16" i="50" a="1"/>
  <c r="W16" i="50" s="1"/>
  <c r="V16" i="50" a="1"/>
  <c r="V16" i="50" s="1"/>
  <c r="U16" i="50" a="1"/>
  <c r="U16" i="50" s="1"/>
  <c r="T16" i="50" a="1"/>
  <c r="T16" i="50" s="1"/>
  <c r="S16" i="50" a="1"/>
  <c r="S16" i="50" s="1"/>
  <c r="R16" i="50" a="1"/>
  <c r="R16" i="50" s="1"/>
  <c r="N16" i="50"/>
  <c r="W15" i="50" a="1"/>
  <c r="W15" i="50" s="1"/>
  <c r="V15" i="50" a="1"/>
  <c r="V15" i="50" s="1"/>
  <c r="U15" i="50" a="1"/>
  <c r="U15" i="50" s="1"/>
  <c r="T15" i="50" a="1"/>
  <c r="T15" i="50" s="1"/>
  <c r="S15" i="50" a="1"/>
  <c r="S15" i="50" s="1"/>
  <c r="R15" i="50" a="1"/>
  <c r="R15" i="50" s="1"/>
  <c r="N15" i="50"/>
  <c r="W14" i="50" a="1"/>
  <c r="W14" i="50" s="1"/>
  <c r="V14" i="50" a="1"/>
  <c r="V14" i="50" s="1"/>
  <c r="U14" i="50" a="1"/>
  <c r="U14" i="50" s="1"/>
  <c r="T14" i="50" a="1"/>
  <c r="T14" i="50" s="1"/>
  <c r="S14" i="50" a="1"/>
  <c r="S14" i="50" s="1"/>
  <c r="R14" i="50" a="1"/>
  <c r="R14" i="50" s="1"/>
  <c r="N14" i="50"/>
  <c r="W13" i="50" a="1"/>
  <c r="W13" i="50" s="1"/>
  <c r="V13" i="50" a="1"/>
  <c r="V13" i="50" s="1"/>
  <c r="U13" i="50" a="1"/>
  <c r="U13" i="50" s="1"/>
  <c r="T13" i="50" a="1"/>
  <c r="T13" i="50" s="1"/>
  <c r="S13" i="50" a="1"/>
  <c r="S13" i="50" s="1"/>
  <c r="R13" i="50" a="1"/>
  <c r="R13" i="50" s="1"/>
  <c r="N13" i="50"/>
  <c r="M10" i="50"/>
  <c r="L10" i="50"/>
  <c r="K10" i="50"/>
  <c r="J10" i="50"/>
  <c r="I10" i="50"/>
  <c r="H10" i="50"/>
  <c r="M9" i="50"/>
  <c r="L9" i="50"/>
  <c r="K9" i="50"/>
  <c r="J9" i="50"/>
  <c r="I9" i="50"/>
  <c r="H9" i="50"/>
  <c r="M8" i="50"/>
  <c r="L8" i="50"/>
  <c r="K8" i="50"/>
  <c r="J8" i="50"/>
  <c r="I8" i="50"/>
  <c r="H8" i="50"/>
  <c r="S33" i="43"/>
  <c r="T33" i="43"/>
  <c r="U33" i="43"/>
  <c r="V33" i="43"/>
  <c r="W33" i="43"/>
  <c r="R33" i="43"/>
  <c r="X25" i="51" l="1"/>
  <c r="X28" i="51"/>
  <c r="R31" i="50"/>
  <c r="S28" i="50"/>
  <c r="X18" i="50"/>
  <c r="V28" i="50"/>
  <c r="W28" i="50"/>
  <c r="X24" i="50"/>
  <c r="T28" i="50"/>
  <c r="V31" i="50"/>
  <c r="U28" i="50"/>
  <c r="U31" i="50"/>
  <c r="N10" i="50"/>
  <c r="W31" i="50"/>
  <c r="S31" i="50"/>
  <c r="T31" i="50"/>
  <c r="N9" i="50"/>
  <c r="N8" i="50"/>
  <c r="X30" i="50"/>
  <c r="X17" i="50"/>
  <c r="W25" i="50"/>
  <c r="X16" i="50"/>
  <c r="U25" i="50"/>
  <c r="V25" i="50"/>
  <c r="X15" i="50"/>
  <c r="X14" i="50"/>
  <c r="R25" i="50"/>
  <c r="X13" i="50"/>
  <c r="X23" i="50"/>
  <c r="S25" i="50"/>
  <c r="X22" i="50"/>
  <c r="T25" i="50"/>
  <c r="X19" i="50"/>
  <c r="R28" i="50"/>
  <c r="X26" i="50"/>
  <c r="X27" i="50"/>
  <c r="X29" i="50"/>
  <c r="X33" i="43"/>
  <c r="X31" i="50" l="1"/>
  <c r="X28" i="50"/>
  <c r="X25" i="50"/>
  <c r="S32" i="43" l="1"/>
  <c r="S34" i="43" s="1"/>
  <c r="T32" i="43"/>
  <c r="T34" i="43" s="1"/>
  <c r="U32" i="43"/>
  <c r="U34" i="43" s="1"/>
  <c r="V32" i="43"/>
  <c r="V34" i="43" s="1"/>
  <c r="W32" i="43"/>
  <c r="W34" i="43" s="1"/>
  <c r="S29" i="43" a="1"/>
  <c r="S29" i="43" s="1"/>
  <c r="D28" i="40" s="1"/>
  <c r="T29" i="43" a="1"/>
  <c r="T29" i="43" s="1"/>
  <c r="E28" i="40" s="1"/>
  <c r="U29" i="43" a="1"/>
  <c r="U29" i="43" s="1"/>
  <c r="F28" i="40" s="1"/>
  <c r="V29" i="43" a="1"/>
  <c r="V29" i="43" s="1"/>
  <c r="G28" i="40" s="1"/>
  <c r="W29" i="43" a="1"/>
  <c r="W29" i="43" s="1"/>
  <c r="H28" i="40" s="1"/>
  <c r="S30" i="43" a="1"/>
  <c r="S30" i="43" s="1"/>
  <c r="D29" i="40" s="1"/>
  <c r="T30" i="43" a="1"/>
  <c r="T30" i="43" s="1"/>
  <c r="E29" i="40" s="1"/>
  <c r="U30" i="43" a="1"/>
  <c r="U30" i="43" s="1"/>
  <c r="F29" i="40" s="1"/>
  <c r="V30" i="43" a="1"/>
  <c r="V30" i="43" s="1"/>
  <c r="G29" i="40" s="1"/>
  <c r="W30" i="43" a="1"/>
  <c r="W30" i="43" s="1"/>
  <c r="H29" i="40" s="1"/>
  <c r="S20" i="43" a="1"/>
  <c r="S20" i="43" s="1"/>
  <c r="D17" i="40" s="1"/>
  <c r="T20" i="43" a="1"/>
  <c r="T20" i="43" s="1"/>
  <c r="E17" i="40" s="1"/>
  <c r="U20" i="43" a="1"/>
  <c r="U20" i="43" s="1"/>
  <c r="F17" i="40" s="1"/>
  <c r="V20" i="43" a="1"/>
  <c r="V20" i="43" s="1"/>
  <c r="G17" i="40" s="1"/>
  <c r="W20" i="43" a="1"/>
  <c r="W20" i="43" s="1"/>
  <c r="H17" i="40" s="1"/>
  <c r="R20" i="43" a="1"/>
  <c r="R20" i="43" s="1"/>
  <c r="C17" i="40" s="1"/>
  <c r="S16" i="43" a="1"/>
  <c r="S16" i="43" s="1"/>
  <c r="D13" i="40" s="1"/>
  <c r="T16" i="43" a="1"/>
  <c r="T16" i="43" s="1"/>
  <c r="E13" i="40" s="1"/>
  <c r="U16" i="43" a="1"/>
  <c r="U16" i="43" s="1"/>
  <c r="F13" i="40" s="1"/>
  <c r="V16" i="43" a="1"/>
  <c r="V16" i="43" s="1"/>
  <c r="G13" i="40" s="1"/>
  <c r="W16" i="43" a="1"/>
  <c r="W16" i="43" s="1"/>
  <c r="H13" i="40" s="1"/>
  <c r="S17" i="43" a="1"/>
  <c r="S17" i="43" s="1"/>
  <c r="D14" i="40" s="1"/>
  <c r="T17" i="43" a="1"/>
  <c r="T17" i="43" s="1"/>
  <c r="E14" i="40" s="1"/>
  <c r="U17" i="43" a="1"/>
  <c r="U17" i="43" s="1"/>
  <c r="F14" i="40" s="1"/>
  <c r="V17" i="43" a="1"/>
  <c r="V17" i="43" s="1"/>
  <c r="G14" i="40" s="1"/>
  <c r="W17" i="43" a="1"/>
  <c r="W17" i="43" s="1"/>
  <c r="H14" i="40" s="1"/>
  <c r="S18" i="43" a="1"/>
  <c r="S18" i="43" s="1"/>
  <c r="D15" i="40" s="1"/>
  <c r="T18" i="43" a="1"/>
  <c r="T18" i="43" s="1"/>
  <c r="E15" i="40" s="1"/>
  <c r="U18" i="43" a="1"/>
  <c r="U18" i="43" s="1"/>
  <c r="F15" i="40" s="1"/>
  <c r="V18" i="43" a="1"/>
  <c r="V18" i="43" s="1"/>
  <c r="G15" i="40" s="1"/>
  <c r="W18" i="43" a="1"/>
  <c r="W18" i="43" s="1"/>
  <c r="H15" i="40" s="1"/>
  <c r="S19" i="43" a="1"/>
  <c r="S19" i="43" s="1"/>
  <c r="D16" i="40" s="1"/>
  <c r="T19" i="43" a="1"/>
  <c r="T19" i="43" s="1"/>
  <c r="E16" i="40" s="1"/>
  <c r="U19" i="43" a="1"/>
  <c r="U19" i="43" s="1"/>
  <c r="F16" i="40" s="1"/>
  <c r="V19" i="43" a="1"/>
  <c r="V19" i="43" s="1"/>
  <c r="G16" i="40" s="1"/>
  <c r="W19" i="43" a="1"/>
  <c r="W19" i="43" s="1"/>
  <c r="H16" i="40" s="1"/>
  <c r="S21" i="43" a="1"/>
  <c r="S21" i="43" s="1"/>
  <c r="D18" i="40" s="1"/>
  <c r="T21" i="43" a="1"/>
  <c r="T21" i="43" s="1"/>
  <c r="E18" i="40" s="1"/>
  <c r="U21" i="43" a="1"/>
  <c r="U21" i="43" s="1"/>
  <c r="F18" i="40" s="1"/>
  <c r="V21" i="43" a="1"/>
  <c r="V21" i="43" s="1"/>
  <c r="G18" i="40" s="1"/>
  <c r="W21" i="43" a="1"/>
  <c r="W21" i="43" s="1"/>
  <c r="H18" i="40" s="1"/>
  <c r="S22" i="43" a="1"/>
  <c r="S22" i="43" s="1"/>
  <c r="D19" i="40" s="1"/>
  <c r="T22" i="43" a="1"/>
  <c r="T22" i="43" s="1"/>
  <c r="E19" i="40" s="1"/>
  <c r="U22" i="43" a="1"/>
  <c r="U22" i="43" s="1"/>
  <c r="F19" i="40" s="1"/>
  <c r="V22" i="43" a="1"/>
  <c r="V22" i="43" s="1"/>
  <c r="G19" i="40" s="1"/>
  <c r="W22" i="43" a="1"/>
  <c r="W22" i="43" s="1"/>
  <c r="H19" i="40" s="1"/>
  <c r="S23" i="43" a="1"/>
  <c r="S23" i="43" s="1"/>
  <c r="D20" i="40" s="1"/>
  <c r="T23" i="43" a="1"/>
  <c r="T23" i="43" s="1"/>
  <c r="E20" i="40" s="1"/>
  <c r="U23" i="43" a="1"/>
  <c r="U23" i="43" s="1"/>
  <c r="F20" i="40" s="1"/>
  <c r="V23" i="43" a="1"/>
  <c r="V23" i="43" s="1"/>
  <c r="G20" i="40" s="1"/>
  <c r="W23" i="43" a="1"/>
  <c r="W23" i="43" s="1"/>
  <c r="H20" i="40" s="1"/>
  <c r="S27" i="43"/>
  <c r="D24" i="40" s="1"/>
  <c r="T27" i="43"/>
  <c r="E24" i="40" s="1"/>
  <c r="U27" i="43"/>
  <c r="F24" i="40" s="1"/>
  <c r="V27" i="43"/>
  <c r="G24" i="40" s="1"/>
  <c r="W27" i="43"/>
  <c r="H24" i="40" s="1"/>
  <c r="R27" i="43"/>
  <c r="C24" i="40" s="1"/>
  <c r="R17" i="43" a="1"/>
  <c r="R17" i="43" s="1"/>
  <c r="C14" i="40" s="1"/>
  <c r="R18" i="43" a="1"/>
  <c r="R18" i="43" s="1"/>
  <c r="C15" i="40" s="1"/>
  <c r="R19" i="43" a="1"/>
  <c r="R19" i="43" s="1"/>
  <c r="C16" i="40" s="1"/>
  <c r="R21" i="43" a="1"/>
  <c r="R21" i="43" s="1"/>
  <c r="C18" i="40" s="1"/>
  <c r="R22" i="43" a="1"/>
  <c r="R22" i="43" s="1"/>
  <c r="C19" i="40" s="1"/>
  <c r="R23" i="43" a="1"/>
  <c r="R23" i="43" s="1"/>
  <c r="C20" i="40" s="1"/>
  <c r="R32" i="43"/>
  <c r="D6" i="40" s="1"/>
  <c r="R30" i="43" a="1"/>
  <c r="R30" i="43" s="1"/>
  <c r="C29" i="40" s="1"/>
  <c r="R29" i="43" a="1"/>
  <c r="R29" i="43" s="1"/>
  <c r="C28" i="40" s="1"/>
  <c r="R16" i="43" a="1"/>
  <c r="R16" i="43" s="1"/>
  <c r="C13" i="40" s="1"/>
  <c r="I10" i="43"/>
  <c r="J10" i="43"/>
  <c r="K10" i="43"/>
  <c r="L10" i="43"/>
  <c r="M10" i="43"/>
  <c r="I9" i="43"/>
  <c r="J9" i="43"/>
  <c r="K9" i="43"/>
  <c r="L9" i="43"/>
  <c r="M9" i="43"/>
  <c r="I8" i="43"/>
  <c r="J8" i="43"/>
  <c r="K8" i="43"/>
  <c r="L8" i="43"/>
  <c r="M8" i="43"/>
  <c r="H10" i="43"/>
  <c r="L14" i="40" s="1"/>
  <c r="H9" i="43"/>
  <c r="H8" i="43"/>
  <c r="N16" i="43"/>
  <c r="N17" i="43"/>
  <c r="N18" i="43"/>
  <c r="N19" i="43"/>
  <c r="N20" i="43"/>
  <c r="N21" i="43"/>
  <c r="N22" i="43"/>
  <c r="N23" i="43"/>
  <c r="N24" i="43"/>
  <c r="N25" i="43"/>
  <c r="N26" i="43"/>
  <c r="N27" i="43"/>
  <c r="N28" i="43"/>
  <c r="N29" i="43"/>
  <c r="N30" i="43"/>
  <c r="N31" i="43"/>
  <c r="N32" i="43"/>
  <c r="N33" i="43"/>
  <c r="N34" i="43"/>
  <c r="N35" i="43"/>
  <c r="N36" i="43"/>
  <c r="N37" i="43"/>
  <c r="N38" i="43"/>
  <c r="N39" i="43"/>
  <c r="N40" i="43"/>
  <c r="N41" i="43"/>
  <c r="N42" i="43"/>
  <c r="N43" i="43"/>
  <c r="N44" i="43"/>
  <c r="N45" i="43"/>
  <c r="N46" i="43"/>
  <c r="N47" i="43"/>
  <c r="N48" i="43"/>
  <c r="N49" i="43"/>
  <c r="N50" i="43"/>
  <c r="N51" i="43"/>
  <c r="N52" i="43"/>
  <c r="N53" i="43"/>
  <c r="N54" i="43"/>
  <c r="N55" i="43"/>
  <c r="N56" i="43"/>
  <c r="N57" i="43"/>
  <c r="N58" i="43"/>
  <c r="N59" i="43"/>
  <c r="N60" i="43"/>
  <c r="N61" i="43"/>
  <c r="N62" i="43"/>
  <c r="N63" i="43"/>
  <c r="N64" i="43"/>
  <c r="N65" i="43"/>
  <c r="N66" i="43"/>
  <c r="N67" i="43"/>
  <c r="N68" i="43"/>
  <c r="N69" i="43"/>
  <c r="N70" i="43"/>
  <c r="N71" i="43"/>
  <c r="N72" i="43"/>
  <c r="N73" i="43"/>
  <c r="N74" i="43"/>
  <c r="N75" i="43"/>
  <c r="N76" i="43"/>
  <c r="N77" i="43"/>
  <c r="N78" i="43"/>
  <c r="N79" i="43"/>
  <c r="N80" i="43"/>
  <c r="N81" i="43"/>
  <c r="N82" i="43"/>
  <c r="N83" i="43"/>
  <c r="N84" i="43"/>
  <c r="N85" i="43"/>
  <c r="N86" i="43"/>
  <c r="N87" i="43"/>
  <c r="N88" i="43"/>
  <c r="N89" i="43"/>
  <c r="N90" i="43"/>
  <c r="M13" i="43"/>
  <c r="I13" i="43"/>
  <c r="J13" i="43"/>
  <c r="K13" i="43"/>
  <c r="L13" i="43"/>
  <c r="H13" i="43"/>
  <c r="C7" i="43"/>
  <c r="C5" i="43"/>
  <c r="L13" i="40" l="1"/>
  <c r="C7" i="60"/>
  <c r="C7" i="57"/>
  <c r="C7" i="56"/>
  <c r="C7" i="61"/>
  <c r="C7" i="59"/>
  <c r="C7" i="53"/>
  <c r="C7" i="58"/>
  <c r="C7" i="54"/>
  <c r="C7" i="52"/>
  <c r="C7" i="55"/>
  <c r="C7" i="50"/>
  <c r="C7" i="51"/>
  <c r="C5" i="59"/>
  <c r="C5" i="60"/>
  <c r="C5" i="57"/>
  <c r="C5" i="56"/>
  <c r="C5" i="61"/>
  <c r="C5" i="52"/>
  <c r="C5" i="53"/>
  <c r="C5" i="58"/>
  <c r="C5" i="54"/>
  <c r="C5" i="55"/>
  <c r="C5" i="50"/>
  <c r="C5" i="51"/>
  <c r="C25" i="40"/>
  <c r="F25" i="40"/>
  <c r="F30" i="40"/>
  <c r="E30" i="40"/>
  <c r="D30" i="40"/>
  <c r="C30" i="40"/>
  <c r="E25" i="40"/>
  <c r="I20" i="40"/>
  <c r="D25" i="40"/>
  <c r="H25" i="40"/>
  <c r="H30" i="40"/>
  <c r="G25" i="40"/>
  <c r="G30" i="40"/>
  <c r="L15" i="40"/>
  <c r="C8" i="40"/>
  <c r="R34" i="43"/>
  <c r="X34" i="43" s="1"/>
  <c r="S31" i="43"/>
  <c r="W31" i="43"/>
  <c r="X27" i="43"/>
  <c r="V31" i="43"/>
  <c r="U31" i="43"/>
  <c r="T31" i="43"/>
  <c r="R31" i="43"/>
  <c r="W28" i="43"/>
  <c r="V28" i="43"/>
  <c r="S28" i="43"/>
  <c r="U28" i="43"/>
  <c r="T28" i="43"/>
  <c r="R28" i="43"/>
  <c r="D8" i="40"/>
  <c r="D7" i="40"/>
  <c r="X20" i="43"/>
  <c r="K12" i="43"/>
  <c r="I12" i="43"/>
  <c r="J12" i="43"/>
  <c r="M12" i="43"/>
  <c r="X23" i="43"/>
  <c r="L12" i="43"/>
  <c r="X32" i="43"/>
  <c r="X26" i="43"/>
  <c r="X22" i="43"/>
  <c r="X21" i="43"/>
  <c r="X30" i="43"/>
  <c r="X19" i="43"/>
  <c r="X29" i="43"/>
  <c r="X18" i="43"/>
  <c r="X17" i="43"/>
  <c r="X16" i="43"/>
  <c r="D9" i="40"/>
  <c r="H12" i="43"/>
  <c r="C6" i="40"/>
  <c r="E6" i="40" s="1"/>
  <c r="C7" i="40"/>
  <c r="E7" i="40" s="1"/>
  <c r="C9" i="40" l="1"/>
  <c r="E9" i="40" s="1"/>
  <c r="E8" i="40"/>
  <c r="I24" i="40"/>
  <c r="I18" i="40"/>
  <c r="I16" i="40"/>
  <c r="I19" i="40"/>
  <c r="I17" i="40"/>
  <c r="I23" i="40"/>
  <c r="X28" i="43"/>
  <c r="X31" i="43"/>
  <c r="I13" i="40"/>
  <c r="I14" i="40"/>
  <c r="I15" i="40"/>
  <c r="I22" i="40"/>
  <c r="I28" i="40"/>
  <c r="I29" i="40"/>
  <c r="I30" i="40" l="1"/>
  <c r="I25" i="40"/>
  <c r="N9" i="43"/>
  <c r="N8" i="43"/>
  <c r="N10" i="43"/>
  <c r="N12" i="43" l="1"/>
  <c r="N13" i="4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<sst xmlns="http://schemas.openxmlformats.org/spreadsheetml/2006/main" count="2278" uniqueCount="683">
  <si>
    <t>.</t>
  </si>
  <si>
    <t>*</t>
  </si>
  <si>
    <t xml:space="preserve">Wallace Foundation - Federal Funding Guide for Afterschool and Summer Learning (National) </t>
  </si>
  <si>
    <t>Program Goals and Focus</t>
  </si>
  <si>
    <t>Key Considerations</t>
  </si>
  <si>
    <t>Supplement, not Supplant Requirements</t>
  </si>
  <si>
    <t>-</t>
  </si>
  <si>
    <t>Allowable Uses of Funds</t>
  </si>
  <si>
    <t>*Required</t>
  </si>
  <si>
    <t>*Optional</t>
  </si>
  <si>
    <t>(enter addt'l. fund source 1)</t>
  </si>
  <si>
    <t>(enter addt'l. fund source 2)</t>
  </si>
  <si>
    <t>(enter addt'l. fund source 3)</t>
  </si>
  <si>
    <t>(enter addt'l. fund source 4)</t>
  </si>
  <si>
    <t>(enter addt'l. fund source 5)</t>
  </si>
  <si>
    <t>(enter $)</t>
  </si>
  <si>
    <t>Restricted Indirect Rate:</t>
  </si>
  <si>
    <t>(enter %)</t>
  </si>
  <si>
    <t xml:space="preserve"> Allowed Indirect Budget:</t>
  </si>
  <si>
    <t>Category</t>
  </si>
  <si>
    <t>Function Code</t>
  </si>
  <si>
    <t>Object 
Code</t>
  </si>
  <si>
    <t>Expenditure Description</t>
  </si>
  <si>
    <t>Notes</t>
  </si>
  <si>
    <t>(select)</t>
  </si>
  <si>
    <t>(fx code)</t>
  </si>
  <si>
    <t>(obj)</t>
  </si>
  <si>
    <t>(enter description)</t>
  </si>
  <si>
    <t>(enter note)</t>
  </si>
  <si>
    <t>Total</t>
  </si>
  <si>
    <t>Major Function Codes</t>
  </si>
  <si>
    <t>Major Object Codes</t>
  </si>
  <si>
    <t>Code</t>
  </si>
  <si>
    <t>Description</t>
  </si>
  <si>
    <t>Elementary, K-5 or K-6</t>
  </si>
  <si>
    <t>Licensed Salaries</t>
  </si>
  <si>
    <t>Elementary Extracurricular</t>
  </si>
  <si>
    <t>Classified Salaries</t>
  </si>
  <si>
    <t>Middle/Junior High School Programs</t>
  </si>
  <si>
    <t>Administrators</t>
  </si>
  <si>
    <t>Middle/Junior High School Extracurricular</t>
  </si>
  <si>
    <t>Managerial - Classified</t>
  </si>
  <si>
    <t>High School Programs</t>
  </si>
  <si>
    <t>Sabbatical</t>
  </si>
  <si>
    <t>High School Extracurricular</t>
  </si>
  <si>
    <t>Supplemental Retirement Stipends</t>
  </si>
  <si>
    <t>Pre-kindergarten Programs</t>
  </si>
  <si>
    <t>Unused Leave</t>
  </si>
  <si>
    <t>Programs for the Talented and Gifted</t>
  </si>
  <si>
    <t>Substitutes - Licensed</t>
  </si>
  <si>
    <t>Restrictive Programs for Students with Disabilities</t>
  </si>
  <si>
    <t>Substitutes - Classified</t>
  </si>
  <si>
    <t>Less Restrictive Programs for Students with Disabilities</t>
  </si>
  <si>
    <t>Temporary - Licensed</t>
  </si>
  <si>
    <t>Treatment and Habilitation</t>
  </si>
  <si>
    <t>Temporary - Classified</t>
  </si>
  <si>
    <t>Remediation</t>
  </si>
  <si>
    <t>Additional Salary</t>
  </si>
  <si>
    <t>Title IA/D</t>
  </si>
  <si>
    <t>Public Employees Retirement System</t>
  </si>
  <si>
    <t>Alternative Education</t>
  </si>
  <si>
    <t>Social Security Administration</t>
  </si>
  <si>
    <t>English Language Learner (ELL) - ORS 336.079</t>
  </si>
  <si>
    <t>Other Required Payroll Costs</t>
  </si>
  <si>
    <t>Teen Parent Programs</t>
  </si>
  <si>
    <t>Contractual Employee Benefits</t>
  </si>
  <si>
    <t>Migrant Education</t>
  </si>
  <si>
    <t>Post Retirement Health Benefits (PRHB)</t>
  </si>
  <si>
    <t>Youth Corrections Education</t>
  </si>
  <si>
    <t>Instructional, Professional, and Technical Services</t>
  </si>
  <si>
    <t>English Language Learner (ELL) - Non ORS 336.079</t>
  </si>
  <si>
    <t>Property Services</t>
  </si>
  <si>
    <t>Other Programs</t>
  </si>
  <si>
    <t>Student Transportation Services</t>
  </si>
  <si>
    <t>Adult/Continuing Education Programs</t>
  </si>
  <si>
    <t>Travel</t>
  </si>
  <si>
    <t>Summer School Programs</t>
  </si>
  <si>
    <t>Communication</t>
  </si>
  <si>
    <t>Attendance and Social Work Services</t>
  </si>
  <si>
    <t>Charter school payments</t>
  </si>
  <si>
    <t>Guidance Services</t>
  </si>
  <si>
    <t>Tuition Payments to Other Districts Within the State</t>
  </si>
  <si>
    <t>Health Services</t>
  </si>
  <si>
    <t>Tuition Payments to Other Districts Outside the State</t>
  </si>
  <si>
    <t>Psychological Services</t>
  </si>
  <si>
    <t>Tuition Payments to Private Schools</t>
  </si>
  <si>
    <t>Speech Pathology and Audiology Services</t>
  </si>
  <si>
    <t>Other Tuition</t>
  </si>
  <si>
    <t>Other Student Treatment Services</t>
  </si>
  <si>
    <t>Non-instructional Professional and Technical Services</t>
  </si>
  <si>
    <t>Service Direction, Student Support Services</t>
  </si>
  <si>
    <t>Other General Professional and Technological Services</t>
  </si>
  <si>
    <t>Improvement of Instruction Services</t>
  </si>
  <si>
    <t>Consumable Supplies and Materials</t>
  </si>
  <si>
    <t>Educational Media Services</t>
  </si>
  <si>
    <t>Textbooks</t>
  </si>
  <si>
    <t>Assessment and Testing</t>
  </si>
  <si>
    <t>Library Books</t>
  </si>
  <si>
    <t>Instructional Staff Development</t>
  </si>
  <si>
    <t>Periodicals</t>
  </si>
  <si>
    <t>Board of Education Services</t>
  </si>
  <si>
    <t>Food</t>
  </si>
  <si>
    <t>Executive Administration Services</t>
  </si>
  <si>
    <t>Non-consumable Items</t>
  </si>
  <si>
    <t>Office of the Principal Services</t>
  </si>
  <si>
    <t>Computer Software</t>
  </si>
  <si>
    <t>Other Support Services - School Administration</t>
  </si>
  <si>
    <t>Computer Hardware</t>
  </si>
  <si>
    <t>Direction of Business Support Services</t>
  </si>
  <si>
    <t>Land Acquisition</t>
  </si>
  <si>
    <t>Fiscal Services</t>
  </si>
  <si>
    <t>Buildings Acquisition</t>
  </si>
  <si>
    <t>Operation and Maintenance of Plant Services</t>
  </si>
  <si>
    <t>Improvements Other Than Buildings</t>
  </si>
  <si>
    <t>Depreciable Equipment</t>
  </si>
  <si>
    <t>Internal Services</t>
  </si>
  <si>
    <t>Depreciable Technology</t>
  </si>
  <si>
    <t>Direction of Central Support Services</t>
  </si>
  <si>
    <t>Bus Garage</t>
  </si>
  <si>
    <t>Planning; Research; Development; Evaluation; Grant Services</t>
  </si>
  <si>
    <t>Buses and Capital Bus Improvements</t>
  </si>
  <si>
    <t>Information Services</t>
  </si>
  <si>
    <t>Other Capital Outlay</t>
  </si>
  <si>
    <t>Staff Services</t>
  </si>
  <si>
    <t>Redemption of Principal</t>
  </si>
  <si>
    <t>Technology Services</t>
  </si>
  <si>
    <t>Regular Interest</t>
  </si>
  <si>
    <t>Records Management Services</t>
  </si>
  <si>
    <t>Bus Garage, Bus and Capital Improvement Interest</t>
  </si>
  <si>
    <t>Interpretation and Translation Services</t>
  </si>
  <si>
    <t>Unrecoverable Bad Debt Write-Off</t>
  </si>
  <si>
    <t>Other Support Services - Central</t>
  </si>
  <si>
    <t>Dues and Fees</t>
  </si>
  <si>
    <t>Supplemental Retirement Program</t>
  </si>
  <si>
    <t>Insurance and Judgments</t>
  </si>
  <si>
    <t>Food Services</t>
  </si>
  <si>
    <t>Depreciation</t>
  </si>
  <si>
    <t>Other Enterprise Services</t>
  </si>
  <si>
    <t>Taxes and Licenses</t>
  </si>
  <si>
    <t>Community Services</t>
  </si>
  <si>
    <t>PERS UAL Lump Sum Payment to PERS</t>
  </si>
  <si>
    <t>Custody and Care of Children Services</t>
  </si>
  <si>
    <t>Grant Indirect Charges</t>
  </si>
  <si>
    <t>Service Area Direction</t>
  </si>
  <si>
    <t>Fund Modifications</t>
  </si>
  <si>
    <t>Site Acquisition and Development Services</t>
  </si>
  <si>
    <t>Transits</t>
  </si>
  <si>
    <t>Building Acquisition, Construction, and Improvement Services</t>
  </si>
  <si>
    <t>Other Transfers</t>
  </si>
  <si>
    <t>Other Capital Items</t>
  </si>
  <si>
    <t>Planned Reserve</t>
  </si>
  <si>
    <t>Other Facilities Construction Services</t>
  </si>
  <si>
    <t>Reserved for Next Year</t>
  </si>
  <si>
    <t>Debt Service</t>
  </si>
  <si>
    <t>Transfers of Funds</t>
  </si>
  <si>
    <t>Apportionment of Funds by ESD or LEA</t>
  </si>
  <si>
    <t>Contingencies</t>
  </si>
  <si>
    <t>Unappropriated Ending Fund Balance</t>
  </si>
  <si>
    <t>Budget Form Instructions</t>
  </si>
  <si>
    <t>21st Century Community Learning Centers (CCLC), Title IV-B</t>
  </si>
  <si>
    <t>Family Engagement</t>
  </si>
  <si>
    <t>Staff Development</t>
  </si>
  <si>
    <t>Supplies &amp; Equipment</t>
  </si>
  <si>
    <t>Capital Expenditures</t>
  </si>
  <si>
    <t>21st CCLC, Title IV-B ODE Webpage</t>
  </si>
  <si>
    <t>ODE Summer Learning Best Practice Toolkit 2022</t>
  </si>
  <si>
    <t>ODE Summer Learning Best Practice Guide 2022</t>
  </si>
  <si>
    <t>ODE Summer Learning Best Practice Guide - Braiding Funds Guidance</t>
  </si>
  <si>
    <t>ESSA Quick Reference Brief - Supplement Not Supplant Laws</t>
  </si>
  <si>
    <t>School District Program Budgeting and Accounting Manual (Abridged)</t>
  </si>
  <si>
    <t>Additional Resources</t>
  </si>
  <si>
    <t>Unallowable Uses of Funds</t>
  </si>
  <si>
    <t>Table of Contents</t>
  </si>
  <si>
    <t>Goal 1: Equitable Programming</t>
  </si>
  <si>
    <t>21st CCLC Programs provide equity-driven expanded learning opportunities that support every child with equitable access to safe, inclusive, and welcoming learning environments.</t>
  </si>
  <si>
    <t>Goal 2: Academic Enrichment</t>
  </si>
  <si>
    <t>Goal 3: Youth Development</t>
  </si>
  <si>
    <t>Goal 4: Family Engagement</t>
  </si>
  <si>
    <t xml:space="preserve">21st CCLC Programs engage caregivers and families at the individual and community level to co-create meaningful learning experiences and promote active engagement in students’ education. </t>
  </si>
  <si>
    <t>21st CCLC Programs provide expanded learning opportunities for academic enrichment that explore and build on concepts from the school day to help students meet state and local student performance standards in core academic subjects including reading/language arts, math, and science.</t>
  </si>
  <si>
    <t>21st CCLC Programs provide a broad array of student-centered, well-rounded enrichment opportunities that spark joy, connection, and curiosity to deepen learning and promote positive youth development.</t>
  </si>
  <si>
    <t>the number of students overall,</t>
  </si>
  <si>
    <t>the size of the school(s) served,</t>
  </si>
  <si>
    <t>the hours of operations for after-school,</t>
  </si>
  <si>
    <t>the number of students served at least 90 hours over the course of the year,</t>
  </si>
  <si>
    <t>whether the program is proposing a summer learning program,</t>
  </si>
  <si>
    <t>whether the program is entirely new or is an expansion of a program funded through other sources,</t>
  </si>
  <si>
    <t>costs necessary to support high quality services, including program design, staffing, professional development, etc.</t>
  </si>
  <si>
    <t>1)</t>
  </si>
  <si>
    <t>2)</t>
  </si>
  <si>
    <t>3)</t>
  </si>
  <si>
    <t>4)</t>
  </si>
  <si>
    <t>Indirect</t>
  </si>
  <si>
    <t>Click a topic listed below to be taken directly to that section.</t>
  </si>
  <si>
    <r>
      <rPr>
        <b/>
        <sz val="11"/>
        <rFont val="Calibri"/>
        <family val="2"/>
      </rPr>
      <t>Benefits:</t>
    </r>
    <r>
      <rPr>
        <sz val="11"/>
        <rFont val="Calibri"/>
        <family val="2"/>
      </rPr>
      <t xml:space="preserve"> Benefits should be calculated and indicated in a separate line item for each line item of salaries.</t>
    </r>
  </si>
  <si>
    <t>Function and Object Codes</t>
  </si>
  <si>
    <t>21st CCLC funds must be used only to supplement the level of federal, state, local, and other non-federal funds and</t>
  </si>
  <si>
    <t>not to replace funds that would have been available to conduct activities if 21st CCLC funds had not been available.</t>
  </si>
  <si>
    <t>One way to determine supplanting is to consider the question, “What would have occurred in the absence of the</t>
  </si>
  <si>
    <t>grant?” If alternate funds would have been available, then using grant funds would be considered supplanting.</t>
  </si>
  <si>
    <r>
      <t xml:space="preserve">When considering whether any cost is reimbursable using 21st CCLC funds, it must be </t>
    </r>
    <r>
      <rPr>
        <b/>
        <sz val="11"/>
        <rFont val="Calibri"/>
        <family val="2"/>
      </rPr>
      <t>allowable</t>
    </r>
    <r>
      <rPr>
        <sz val="11"/>
        <rFont val="Calibri"/>
        <family val="2"/>
      </rPr>
      <t xml:space="preserve">, </t>
    </r>
    <r>
      <rPr>
        <b/>
        <sz val="11"/>
        <rFont val="Calibri"/>
        <family val="2"/>
      </rPr>
      <t>reasonable</t>
    </r>
    <r>
      <rPr>
        <sz val="11"/>
        <rFont val="Calibri"/>
        <family val="2"/>
      </rPr>
      <t>,</t>
    </r>
  </si>
  <si>
    <t>a.</t>
  </si>
  <si>
    <t>b.</t>
  </si>
  <si>
    <t>c.</t>
  </si>
  <si>
    <t>d.</t>
  </si>
  <si>
    <t>5)</t>
  </si>
  <si>
    <t>The cost must be necessary and reasonable for the performance of the award and be allocable;</t>
  </si>
  <si>
    <t>The cost is permissible under the 21st CCLC federal program;</t>
  </si>
  <si>
    <t>The cost is consistent with the Federal cost principles in 2 CFR Part 200; and</t>
  </si>
  <si>
    <t>The cost is consistent with an approved program plan and budget, as well as any special conditions imposed on the grant.</t>
  </si>
  <si>
    <t>Market prices for comparable goods or services in the area are a good measurement of reasonableness.</t>
  </si>
  <si>
    <t>A prudent person would purchase the item given the price and circumstances.</t>
  </si>
  <si>
    <t>A program needs this product or service and has already utilized existing resources available.</t>
  </si>
  <si>
    <t>A cost providing a benefit to the program, being necessary to the overall operation to meet program objectives.</t>
  </si>
  <si>
    <t>Examples include: Itemized lists or receipts, proof of payment, sign-in sheets, certificates of completion, agendas, travel logs, etc.</t>
  </si>
  <si>
    <r>
      <rPr>
        <b/>
        <sz val="11"/>
        <rFont val="Calibri"/>
        <family val="2"/>
      </rPr>
      <t>Adequately Documented:</t>
    </r>
    <r>
      <rPr>
        <sz val="11"/>
        <rFont val="Calibri"/>
        <family val="2"/>
      </rPr>
      <t> Evidence to monitors, auditors, or other oversight entities of how the funds were spent over the lifecycle of the grant.</t>
    </r>
  </si>
  <si>
    <r>
      <rPr>
        <b/>
        <sz val="11"/>
        <rFont val="Calibri"/>
        <family val="2"/>
      </rPr>
      <t>Allocable</t>
    </r>
    <r>
      <rPr>
        <sz val="11"/>
        <rFont val="Calibri"/>
        <family val="2"/>
      </rPr>
      <t xml:space="preserve"> (paraphrase of 2 CFR §200.405): Incurred specifically to benefit the population served by the 21st CCLC Program.</t>
    </r>
  </si>
  <si>
    <r>
      <rPr>
        <b/>
        <sz val="11"/>
        <rFont val="Calibri"/>
        <family val="2"/>
      </rPr>
      <t>Necessary: </t>
    </r>
    <r>
      <rPr>
        <sz val="11"/>
        <rFont val="Calibri"/>
        <family val="2"/>
      </rPr>
      <t xml:space="preserve"> Must be essential for the performance or administration of the grant.</t>
    </r>
  </si>
  <si>
    <r>
      <rPr>
        <b/>
        <sz val="11"/>
        <rFont val="Calibri"/>
        <family val="2"/>
      </rPr>
      <t>Reasonable</t>
    </r>
    <r>
      <rPr>
        <sz val="11"/>
        <rFont val="Calibri"/>
        <family val="2"/>
      </rPr>
      <t xml:space="preserve"> (paraphrase of 2 CFR §200.404)</t>
    </r>
    <r>
      <rPr>
        <b/>
        <sz val="11"/>
        <rFont val="Calibri"/>
        <family val="2"/>
      </rPr>
      <t>:</t>
    </r>
    <r>
      <rPr>
        <sz val="11"/>
        <rFont val="Calibri"/>
        <family val="2"/>
      </rPr>
      <t> As much as is appropriate or fair; moderate.</t>
    </r>
  </si>
  <si>
    <r>
      <rPr>
        <b/>
        <sz val="11"/>
        <rFont val="Calibri"/>
        <family val="2"/>
      </rPr>
      <t>Allowable</t>
    </r>
    <r>
      <rPr>
        <sz val="11"/>
        <rFont val="Calibri"/>
        <family val="2"/>
      </rPr>
      <t xml:space="preserve"> (paraphrase of 2 CFR §200.403)</t>
    </r>
    <r>
      <rPr>
        <b/>
        <sz val="11"/>
        <rFont val="Calibri"/>
        <family val="2"/>
      </rPr>
      <t>:</t>
    </r>
    <r>
      <rPr>
        <sz val="11"/>
        <rFont val="Calibri"/>
        <family val="2"/>
      </rPr>
      <t xml:space="preserve"> Permissible within a set of regulations.</t>
    </r>
  </si>
  <si>
    <t>6)</t>
  </si>
  <si>
    <t>7)</t>
  </si>
  <si>
    <t>8)</t>
  </si>
  <si>
    <t>9)</t>
  </si>
  <si>
    <t>10)</t>
  </si>
  <si>
    <t>11)</t>
  </si>
  <si>
    <t>12)</t>
  </si>
  <si>
    <t>13)</t>
  </si>
  <si>
    <t>14)</t>
  </si>
  <si>
    <t>academic enrichment learning programs, mentoring programs, remedial education activities, and tutoring services, that are aligned with -</t>
  </si>
  <si>
    <t>the challenging State academic standards and any local academic standards; and</t>
  </si>
  <si>
    <t xml:space="preserve">local curricula that are designed to improve student academic achievement; </t>
  </si>
  <si>
    <t xml:space="preserve">well-rounded education activities, including such activities that enable students to be eligible for credit recovery or attainment; </t>
  </si>
  <si>
    <t>literacy education programs, including financial literacy programs and environmental literacy programs;</t>
  </si>
  <si>
    <t>programs that support a healthy and active lifestyle, including nutritional education and regular, structured physical activity programs;</t>
  </si>
  <si>
    <t>services for individuals with disabilities;</t>
  </si>
  <si>
    <t>programs that provide after-school activities for students who are English learners that emphasize language skills and academic achievement;</t>
  </si>
  <si>
    <t>cultural programs;</t>
  </si>
  <si>
    <t>telecommunications and technology education programs;</t>
  </si>
  <si>
    <t xml:space="preserve">expanded library service hours; </t>
  </si>
  <si>
    <t>parenting skills programs that promote parental involvement and family literacy;</t>
  </si>
  <si>
    <t>programs that provide assistance to students who have been truant, suspended, or expelled to allow the students to improve their academic achievement;</t>
  </si>
  <si>
    <t xml:space="preserve">drug and violence prevention programs and counseling programs; </t>
  </si>
  <si>
    <t>programs that build skills in science, technology, engineering, and mathematics (referred to in this paragraph as ‘‘STEM’’), including computer science, and that foster innovation in learning by supporting nontraditional STEM education teaching methods; and</t>
  </si>
  <si>
    <t>programs that partner with in-demand fields of the local workforce or build career competencies and career readiness and ensure that local workforce and career readiness skills are aligned with the Carl D. Perkins Career and Technical Education Act of 2006 (20 U.S.C. 2301 et seq.) and the Workforce Innovation and Opportunity Act (29 U.S.C. 3101 et seq.).</t>
  </si>
  <si>
    <t>Unallowable uses of funds include, but are not limited to, the following:</t>
  </si>
  <si>
    <t>Entertainment, refreshments, and snacks</t>
  </si>
  <si>
    <t>Gift Cards</t>
  </si>
  <si>
    <t>Land acquisition </t>
  </si>
  <si>
    <t>Capital improvements, permanent renovations</t>
  </si>
  <si>
    <t>Alcoholic beverages</t>
  </si>
  <si>
    <t>Donations or contributions </t>
  </si>
  <si>
    <t>Purchase of facilities or vehicles (e.g. buses, vans, or cars)</t>
  </si>
  <si>
    <t>Beaverton SD 48J</t>
  </si>
  <si>
    <t>Centennial SD 28J</t>
  </si>
  <si>
    <t>Central SD 13J</t>
  </si>
  <si>
    <t>Corvallis SD 509J</t>
  </si>
  <si>
    <t>David Douglas SD 40</t>
  </si>
  <si>
    <t>Eugene SD 4J</t>
  </si>
  <si>
    <t>Falls City SD 57</t>
  </si>
  <si>
    <t>Forest Grove SD 15</t>
  </si>
  <si>
    <t>Gresham-Barlow SD 10J</t>
  </si>
  <si>
    <t>Hood River County SD</t>
  </si>
  <si>
    <t>Jefferson County SD 509J</t>
  </si>
  <si>
    <t>Klamath Falls City Schools</t>
  </si>
  <si>
    <t>Lincoln County SD</t>
  </si>
  <si>
    <t>Nestucca Valley SD 101</t>
  </si>
  <si>
    <t>North Clackamas SD 12</t>
  </si>
  <si>
    <t>Reynolds SD 7</t>
  </si>
  <si>
    <t>Springfield SD 19</t>
  </si>
  <si>
    <t>St Helens SD 502</t>
  </si>
  <si>
    <t>Tigard-Tualatin SD 23J</t>
  </si>
  <si>
    <t>Umatilla SD 6R</t>
  </si>
  <si>
    <t>Vernonia SD 47J</t>
  </si>
  <si>
    <t>Woodburn SD 103</t>
  </si>
  <si>
    <t>Columbia Gorge ESD</t>
  </si>
  <si>
    <t>Lane ESD</t>
  </si>
  <si>
    <t>North Central ESD</t>
  </si>
  <si>
    <t>Entity Name</t>
  </si>
  <si>
    <t>United Way of the Mid-Willamette Valley</t>
  </si>
  <si>
    <t>Entity IDs</t>
  </si>
  <si>
    <t>Entity ID</t>
  </si>
  <si>
    <r>
      <rPr>
        <b/>
        <sz val="11"/>
        <rFont val="Calibri"/>
        <family val="2"/>
      </rPr>
      <t>necessary</t>
    </r>
    <r>
      <rPr>
        <sz val="11"/>
        <rFont val="Calibri"/>
        <family val="2"/>
      </rPr>
      <t xml:space="preserve">, </t>
    </r>
    <r>
      <rPr>
        <b/>
        <sz val="11"/>
        <rFont val="Calibri"/>
        <family val="2"/>
      </rPr>
      <t>allocable</t>
    </r>
    <r>
      <rPr>
        <sz val="11"/>
        <rFont val="Calibri"/>
        <family val="2"/>
      </rPr>
      <t xml:space="preserve">, and </t>
    </r>
    <r>
      <rPr>
        <b/>
        <sz val="11"/>
        <rFont val="Calibri"/>
        <family val="2"/>
      </rPr>
      <t>adequately documented</t>
    </r>
    <r>
      <rPr>
        <sz val="11"/>
        <rFont val="Calibri"/>
        <family val="2"/>
      </rPr>
      <t xml:space="preserve"> (</t>
    </r>
    <r>
      <rPr>
        <u/>
        <sz val="11"/>
        <color rgb="FF16649E"/>
        <rFont val="Calibri"/>
        <family val="2"/>
      </rPr>
      <t>2 CFR Part 200</t>
    </r>
    <r>
      <rPr>
        <sz val="11"/>
        <rFont val="Calibri"/>
        <family val="2"/>
      </rPr>
      <t>).</t>
    </r>
  </si>
  <si>
    <t>ODE Braiding Funds for Summer Webinar (Recording)</t>
  </si>
  <si>
    <t>ODE Braiding Funds for Summer Webinar (Slide Deck)</t>
  </si>
  <si>
    <t>Grantees should tailor their budgets based upon the services proposed. Consideration should be given to:</t>
  </si>
  <si>
    <t>Grantees may use 21st CCLC funds to carry out a broad array of activities that advance student academic achievement</t>
  </si>
  <si>
    <t>and support student success, including the below ESSA Authorized Activities [§4205(a)]:</t>
  </si>
  <si>
    <t>Total Indirect Expenses:</t>
  </si>
  <si>
    <t>21st CCLC,  Title IV-B</t>
  </si>
  <si>
    <t>Program Type</t>
  </si>
  <si>
    <t>Before/Afterschool</t>
  </si>
  <si>
    <t>Summer</t>
  </si>
  <si>
    <t>Year 1, 2023-24 Grant Amount</t>
  </si>
  <si>
    <t>Name</t>
  </si>
  <si>
    <t>Regular Programs</t>
  </si>
  <si>
    <t>Middle/Junior High Programs</t>
  </si>
  <si>
    <t>Special Programs</t>
  </si>
  <si>
    <t>Learning Centers</t>
  </si>
  <si>
    <t>Developmental Kindergarten</t>
  </si>
  <si>
    <t>Community Transition Centers</t>
  </si>
  <si>
    <t>Life Skills with Nursing</t>
  </si>
  <si>
    <t>Out of District Programs</t>
  </si>
  <si>
    <t>Home Instruction</t>
  </si>
  <si>
    <t>Extended School Year Programs</t>
  </si>
  <si>
    <t>Diagnostic Classrooms</t>
  </si>
  <si>
    <t>Other</t>
  </si>
  <si>
    <t xml:space="preserve">Less Restrictive Programs for Students with Disabilities   </t>
  </si>
  <si>
    <t xml:space="preserve">Treatment and Habilitation </t>
  </si>
  <si>
    <t xml:space="preserve">Educationally Disadvantaged </t>
  </si>
  <si>
    <t xml:space="preserve">Remediation   </t>
  </si>
  <si>
    <t xml:space="preserve">Alternative Education  </t>
  </si>
  <si>
    <t>Public Alternative Programs</t>
  </si>
  <si>
    <t>Private Alternative Programs</t>
  </si>
  <si>
    <t>Charter Schools</t>
  </si>
  <si>
    <t>Other Alternative Programs</t>
  </si>
  <si>
    <t>Designated Programs</t>
  </si>
  <si>
    <t>English Language Learner (ELL) - As per ORS 336.079</t>
  </si>
  <si>
    <t>English Language Learner (ELL) - Not related to ORS 336.079</t>
  </si>
  <si>
    <t>Elementary</t>
  </si>
  <si>
    <t>Middle/Junior High</t>
  </si>
  <si>
    <t>High School</t>
  </si>
  <si>
    <t>Special Programs, Summer School</t>
  </si>
  <si>
    <t>Other Summer School Programs</t>
  </si>
  <si>
    <t>Support Services - Students</t>
  </si>
  <si>
    <t xml:space="preserve">Attendance and Social Work Services </t>
  </si>
  <si>
    <t xml:space="preserve">Service Area Direction </t>
  </si>
  <si>
    <t xml:space="preserve">Attendance Services </t>
  </si>
  <si>
    <t xml:space="preserve">Social Work Services </t>
  </si>
  <si>
    <t xml:space="preserve">Student Accounting Services </t>
  </si>
  <si>
    <t xml:space="preserve">Student Safety  </t>
  </si>
  <si>
    <t xml:space="preserve">Identification and Recruitment of Migrant Children </t>
  </si>
  <si>
    <t>Other Attendance and Social Work Services</t>
  </si>
  <si>
    <t xml:space="preserve">Guidance Services </t>
  </si>
  <si>
    <t xml:space="preserve">Counseling Services  </t>
  </si>
  <si>
    <t xml:space="preserve">Appraisal Services </t>
  </si>
  <si>
    <t xml:space="preserve">Information Services </t>
  </si>
  <si>
    <t xml:space="preserve">Placement Services </t>
  </si>
  <si>
    <t xml:space="preserve">Other Guidance Services </t>
  </si>
  <si>
    <t xml:space="preserve">Health Services </t>
  </si>
  <si>
    <t xml:space="preserve">Medical Services  </t>
  </si>
  <si>
    <t xml:space="preserve">Dental Services </t>
  </si>
  <si>
    <t xml:space="preserve">Nurse Services </t>
  </si>
  <si>
    <t>Other Health Services</t>
  </si>
  <si>
    <t xml:space="preserve">Psychological Testing Services  </t>
  </si>
  <si>
    <t xml:space="preserve">Psychological Counseling Services  </t>
  </si>
  <si>
    <t xml:space="preserve">Psychotherapy Services  </t>
  </si>
  <si>
    <t xml:space="preserve">Other Psychological Services </t>
  </si>
  <si>
    <t xml:space="preserve">Speech Pathology and Audiology Services </t>
  </si>
  <si>
    <t xml:space="preserve">Speech Pathology Services </t>
  </si>
  <si>
    <t>Audiology Services</t>
  </si>
  <si>
    <t>Other Speech Pathology and Audiology Services</t>
  </si>
  <si>
    <t>Support Services - Instructional Staff</t>
  </si>
  <si>
    <t>Curriculum Development</t>
  </si>
  <si>
    <t>Other Improvement of Instruction Services</t>
  </si>
  <si>
    <t xml:space="preserve">Library/Media Center </t>
  </si>
  <si>
    <t>Multimedia Services</t>
  </si>
  <si>
    <t>Educational Television Services</t>
  </si>
  <si>
    <t>Other Educational Media Services</t>
  </si>
  <si>
    <t xml:space="preserve">Assessment and Testing </t>
  </si>
  <si>
    <t xml:space="preserve">Instructional Staff Development </t>
  </si>
  <si>
    <t xml:space="preserve">Support Services - General Administration </t>
  </si>
  <si>
    <t xml:space="preserve">Board of Education Services </t>
  </si>
  <si>
    <t>Office of the Superintendent Services</t>
  </si>
  <si>
    <t>State and Federal Relations Services</t>
  </si>
  <si>
    <t>Other Executive Administration Services</t>
  </si>
  <si>
    <t xml:space="preserve">School Administration </t>
  </si>
  <si>
    <t xml:space="preserve">Other Support Services - School Administration </t>
  </si>
  <si>
    <t xml:space="preserve">Support Services - Business </t>
  </si>
  <si>
    <t xml:space="preserve">Direction of Business Support Services </t>
  </si>
  <si>
    <t xml:space="preserve">Fiscal Services </t>
  </si>
  <si>
    <t>Budgeting Services</t>
  </si>
  <si>
    <t>Receiving and Disbursing Funds Services</t>
  </si>
  <si>
    <t>Payroll Services</t>
  </si>
  <si>
    <t>Financial Accounting Services</t>
  </si>
  <si>
    <t>Internal Auditing Services</t>
  </si>
  <si>
    <t xml:space="preserve">Property Accounting Service </t>
  </si>
  <si>
    <t xml:space="preserve">Risk Management Service  </t>
  </si>
  <si>
    <t>Other Fiscal Services</t>
  </si>
  <si>
    <t>Care and Upkeep of Buildings Services</t>
  </si>
  <si>
    <t>Care and Upkeep of Grounds Services</t>
  </si>
  <si>
    <t xml:space="preserve">Maintenance </t>
  </si>
  <si>
    <t>Security Services</t>
  </si>
  <si>
    <t>Other Operation and Maintenance of Plant Services</t>
  </si>
  <si>
    <t>Vehicle Operation Services</t>
  </si>
  <si>
    <t>Special Education Transportation Services</t>
  </si>
  <si>
    <t>Other Student Transportation Services</t>
  </si>
  <si>
    <t>Purchasing Services</t>
  </si>
  <si>
    <t xml:space="preserve">Warehousing and Distributing Services </t>
  </si>
  <si>
    <t>Printing, Publishing, and Duplicating Services</t>
  </si>
  <si>
    <t>Other Internal Services</t>
  </si>
  <si>
    <t xml:space="preserve">Support Services - Central Activities </t>
  </si>
  <si>
    <t xml:space="preserve">Direction of Central Support Services </t>
  </si>
  <si>
    <t xml:space="preserve">Development Services </t>
  </si>
  <si>
    <t xml:space="preserve">Evaluation Services </t>
  </si>
  <si>
    <t xml:space="preserve">Food Preparation and Dispensing Services  </t>
  </si>
  <si>
    <t xml:space="preserve">Food Delivery Services </t>
  </si>
  <si>
    <t xml:space="preserve">Other Food Services </t>
  </si>
  <si>
    <t xml:space="preserve">Other Enterprise Services </t>
  </si>
  <si>
    <t xml:space="preserve">Community Services </t>
  </si>
  <si>
    <t xml:space="preserve">Direction of Community Services Activities </t>
  </si>
  <si>
    <t xml:space="preserve">Community Recreation Services </t>
  </si>
  <si>
    <t xml:space="preserve">Civic Services </t>
  </si>
  <si>
    <t xml:space="preserve">Public Library Services  </t>
  </si>
  <si>
    <t xml:space="preserve">Welfare Activities Services </t>
  </si>
  <si>
    <t>Nonpublic School Students Services</t>
  </si>
  <si>
    <t>Other Community Services</t>
  </si>
  <si>
    <t xml:space="preserve">Custody and Care of Children Services </t>
  </si>
  <si>
    <t xml:space="preserve">Site Acquisition and Development Services </t>
  </si>
  <si>
    <t xml:space="preserve">Building Acquisition, Construction, and Improvement Services  </t>
  </si>
  <si>
    <t xml:space="preserve">Other Capital Items </t>
  </si>
  <si>
    <t xml:space="preserve">Other Facilities Construction Services </t>
  </si>
  <si>
    <t xml:space="preserve">Long-Term Debt Service </t>
  </si>
  <si>
    <t xml:space="preserve">Short-Term Debt Retirement </t>
  </si>
  <si>
    <t xml:space="preserve">Transfers of Funds </t>
  </si>
  <si>
    <t xml:space="preserve">Apportionment of Funds by ESD or LEA  </t>
  </si>
  <si>
    <t>PERS UAL Bond Lump Sum Payment to PERS</t>
  </si>
  <si>
    <t xml:space="preserve">Operating Contingency </t>
  </si>
  <si>
    <t xml:space="preserve">Regular Salaries </t>
  </si>
  <si>
    <t xml:space="preserve">Licensed Salaries </t>
  </si>
  <si>
    <t xml:space="preserve">Classified Salaries </t>
  </si>
  <si>
    <t xml:space="preserve">Administrators </t>
  </si>
  <si>
    <t xml:space="preserve">Managerial - Classified  </t>
  </si>
  <si>
    <t xml:space="preserve">Sabbatical </t>
  </si>
  <si>
    <t xml:space="preserve">Supplemental Retirement Stipends </t>
  </si>
  <si>
    <t xml:space="preserve">Unused Leave </t>
  </si>
  <si>
    <t xml:space="preserve">Nonpermanent Salaries </t>
  </si>
  <si>
    <t xml:space="preserve">Substitutes - Licensed </t>
  </si>
  <si>
    <t xml:space="preserve">Substitute - Classified </t>
  </si>
  <si>
    <t xml:space="preserve">Temporary - Licensed </t>
  </si>
  <si>
    <t xml:space="preserve">Temporary - Classified </t>
  </si>
  <si>
    <t xml:space="preserve">Additional Salary  </t>
  </si>
  <si>
    <t xml:space="preserve">Public Employees Retirement System </t>
  </si>
  <si>
    <t xml:space="preserve">Employer Contribution </t>
  </si>
  <si>
    <t xml:space="preserve">Employee Contribution, Pick-Up </t>
  </si>
  <si>
    <t xml:space="preserve">PERS UAL Contribution </t>
  </si>
  <si>
    <t xml:space="preserve">Social Security Administration </t>
  </si>
  <si>
    <t xml:space="preserve">Workers’ Compensation </t>
  </si>
  <si>
    <t xml:space="preserve">Unemployment Compensation </t>
  </si>
  <si>
    <t xml:space="preserve">Contractual Employee Benefits  </t>
  </si>
  <si>
    <t xml:space="preserve">Post Retirement Health Benefits (PRHB) </t>
  </si>
  <si>
    <t xml:space="preserve">Instructional, Professional and Technical Services </t>
  </si>
  <si>
    <t xml:space="preserve">Instruction Services  </t>
  </si>
  <si>
    <t xml:space="preserve">Instructional Programs Improvement Services </t>
  </si>
  <si>
    <t xml:space="preserve">Student Services </t>
  </si>
  <si>
    <t>Data Processing Services</t>
  </si>
  <si>
    <t>Statistical Services</t>
  </si>
  <si>
    <t xml:space="preserve">Professional and Improvement Costs for Non-Instructional Staff </t>
  </si>
  <si>
    <t xml:space="preserve">Other Instructional, Professional and Technical Services </t>
  </si>
  <si>
    <t xml:space="preserve">Property Services </t>
  </si>
  <si>
    <t xml:space="preserve">Cleaning Services </t>
  </si>
  <si>
    <t xml:space="preserve">Repairs and Maintenance Services </t>
  </si>
  <si>
    <t xml:space="preserve">Rentals </t>
  </si>
  <si>
    <t xml:space="preserve">Electricity </t>
  </si>
  <si>
    <t xml:space="preserve">Fuel </t>
  </si>
  <si>
    <t xml:space="preserve">Water and Sewage </t>
  </si>
  <si>
    <t xml:space="preserve">Garbage </t>
  </si>
  <si>
    <t xml:space="preserve">Other Property Services </t>
  </si>
  <si>
    <t xml:space="preserve">Student Transportation Services  </t>
  </si>
  <si>
    <t xml:space="preserve">State School Fund Reimbursable Student Transportation </t>
  </si>
  <si>
    <t xml:space="preserve">State School Fund Non-reimbursable Student Transportation  </t>
  </si>
  <si>
    <t xml:space="preserve">Board and Room in Lieu of Transportation  </t>
  </si>
  <si>
    <t>Transportation Portion of Tuition Payments</t>
  </si>
  <si>
    <t xml:space="preserve">Travel </t>
  </si>
  <si>
    <t xml:space="preserve">Travel, Local in District </t>
  </si>
  <si>
    <t xml:space="preserve">Travel, Out of District </t>
  </si>
  <si>
    <t>Travel, Student, Out of District</t>
  </si>
  <si>
    <t>Other Travel</t>
  </si>
  <si>
    <t xml:space="preserve">Communication  </t>
  </si>
  <si>
    <t xml:space="preserve">Telephone </t>
  </si>
  <si>
    <t xml:space="preserve">Postage </t>
  </si>
  <si>
    <t xml:space="preserve">Advertising   </t>
  </si>
  <si>
    <t xml:space="preserve">Printing and Binding  </t>
  </si>
  <si>
    <t>Other Communication Services</t>
  </si>
  <si>
    <t xml:space="preserve">Charter School Payments </t>
  </si>
  <si>
    <t xml:space="preserve">Tuition </t>
  </si>
  <si>
    <t xml:space="preserve">Tuition Payments to Other Districts Within the State  </t>
  </si>
  <si>
    <t xml:space="preserve">Tuition Payments to Other Districts Outside the State </t>
  </si>
  <si>
    <t xml:space="preserve">Tuition Payments to Private Schools </t>
  </si>
  <si>
    <t xml:space="preserve">Other Tuition </t>
  </si>
  <si>
    <t xml:space="preserve">Non-instructional Professional and Technical Services  </t>
  </si>
  <si>
    <t xml:space="preserve">Audit Services </t>
  </si>
  <si>
    <t xml:space="preserve">Legal Services </t>
  </si>
  <si>
    <t>Architect/Engineer Services</t>
  </si>
  <si>
    <t>Negotiation Services</t>
  </si>
  <si>
    <t xml:space="preserve">Management Services </t>
  </si>
  <si>
    <t xml:space="preserve">Data Processing Services </t>
  </si>
  <si>
    <t>Election Services</t>
  </si>
  <si>
    <t xml:space="preserve">Other Non-instructional Professional and Technical Services </t>
  </si>
  <si>
    <t xml:space="preserve">Consumable Supplies and Materials </t>
  </si>
  <si>
    <t xml:space="preserve">Textbooks </t>
  </si>
  <si>
    <t xml:space="preserve">Library Books </t>
  </si>
  <si>
    <t xml:space="preserve">Periodicals </t>
  </si>
  <si>
    <t xml:space="preserve">Food </t>
  </si>
  <si>
    <t xml:space="preserve">Non-consumable Items </t>
  </si>
  <si>
    <t xml:space="preserve">Computer Software </t>
  </si>
  <si>
    <t xml:space="preserve">Computer Hardware </t>
  </si>
  <si>
    <t xml:space="preserve">Land Acquisition </t>
  </si>
  <si>
    <t xml:space="preserve">Buildings Acquisition  </t>
  </si>
  <si>
    <t xml:space="preserve">Improvements Other Than Buildings </t>
  </si>
  <si>
    <t xml:space="preserve">Depreciable Equipment </t>
  </si>
  <si>
    <t xml:space="preserve">Initial and Additional Equipment Purchase </t>
  </si>
  <si>
    <t xml:space="preserve">Replacement Equipment Purchases </t>
  </si>
  <si>
    <t xml:space="preserve">Depreciable Technology </t>
  </si>
  <si>
    <t xml:space="preserve">Depreciable Transportation </t>
  </si>
  <si>
    <t>Bus Garage Purchases</t>
  </si>
  <si>
    <t xml:space="preserve">Bus and Capital Bus Improvements </t>
  </si>
  <si>
    <t xml:space="preserve">Other Capital Outlay </t>
  </si>
  <si>
    <t xml:space="preserve">Redemption of Principal </t>
  </si>
  <si>
    <t xml:space="preserve">Interest </t>
  </si>
  <si>
    <t xml:space="preserve">Regular Interest </t>
  </si>
  <si>
    <t xml:space="preserve">Bus Garage, Bus and Capital Bus Improvement Interest </t>
  </si>
  <si>
    <t xml:space="preserve">Dues and Fees </t>
  </si>
  <si>
    <t xml:space="preserve">Insurance and Judgments </t>
  </si>
  <si>
    <t xml:space="preserve">Liability Insurance </t>
  </si>
  <si>
    <t xml:space="preserve">Fidelity Bond Premiums </t>
  </si>
  <si>
    <t xml:space="preserve">Property Insurance Premiums </t>
  </si>
  <si>
    <t xml:space="preserve">Student Insurance Premiums </t>
  </si>
  <si>
    <t xml:space="preserve">Judgments and Settlements Against the District </t>
  </si>
  <si>
    <t xml:space="preserve">Other Insurance and Judgments </t>
  </si>
  <si>
    <t xml:space="preserve">Buildings  </t>
  </si>
  <si>
    <t xml:space="preserve">Equipment </t>
  </si>
  <si>
    <t xml:space="preserve">Technology </t>
  </si>
  <si>
    <t xml:space="preserve">Other Capital Assets </t>
  </si>
  <si>
    <t xml:space="preserve">Taxes, Licenses and Assessments </t>
  </si>
  <si>
    <t xml:space="preserve">PERS UAL Lump Sum Payment to PERS </t>
  </si>
  <si>
    <t xml:space="preserve">Grant Indirect Charges </t>
  </si>
  <si>
    <t xml:space="preserve">Transits </t>
  </si>
  <si>
    <t xml:space="preserve">Other Transfers </t>
  </si>
  <si>
    <t xml:space="preserve">Planned Reserve </t>
  </si>
  <si>
    <t xml:space="preserve">Reserved for Next Year </t>
  </si>
  <si>
    <r>
      <rPr>
        <b/>
        <sz val="12"/>
        <rFont val="Calibri"/>
        <family val="2"/>
      </rPr>
      <t xml:space="preserve">Definitions and guidance for using the below codes can be found in the </t>
    </r>
    <r>
      <rPr>
        <b/>
        <u/>
        <sz val="12"/>
        <color rgb="FF1A75BC"/>
        <rFont val="Calibri"/>
        <family val="2"/>
      </rPr>
      <t>Program Budgeting and Accounting Manual</t>
    </r>
    <r>
      <rPr>
        <b/>
        <sz val="12"/>
        <rFont val="Calibri"/>
        <family val="2"/>
      </rPr>
      <t>.</t>
    </r>
    <r>
      <rPr>
        <b/>
        <u/>
        <sz val="12"/>
        <color theme="10"/>
        <rFont val="Calibri"/>
        <family val="2"/>
      </rPr>
      <t xml:space="preserve">
</t>
    </r>
    <r>
      <rPr>
        <sz val="12"/>
        <rFont val="Calibri"/>
        <family val="2"/>
      </rPr>
      <t xml:space="preserve">Major Function and Object codes are shown in </t>
    </r>
    <r>
      <rPr>
        <b/>
        <sz val="12"/>
        <color rgb="FF1A75BC"/>
        <rFont val="Calibri"/>
        <family val="2"/>
      </rPr>
      <t>bold blue text</t>
    </r>
    <r>
      <rPr>
        <sz val="12"/>
        <rFont val="Calibri"/>
        <family val="2"/>
      </rPr>
      <t xml:space="preserve"> in the below tables.</t>
    </r>
  </si>
  <si>
    <t>Expenditure Function Codes</t>
  </si>
  <si>
    <t>Expenditure Object Codes</t>
  </si>
  <si>
    <t>✻</t>
  </si>
  <si>
    <t>(enter center/site name)</t>
  </si>
  <si>
    <r>
      <t>Lead Entity ID:</t>
    </r>
    <r>
      <rPr>
        <b/>
        <sz val="11"/>
        <color rgb="FFAAD4F4"/>
        <rFont val="Calibri"/>
        <family val="2"/>
        <scheme val="minor"/>
      </rPr>
      <t>.</t>
    </r>
  </si>
  <si>
    <r>
      <t>Lead Entity Name:</t>
    </r>
    <r>
      <rPr>
        <b/>
        <sz val="11"/>
        <color rgb="FFAAD4F4"/>
        <rFont val="Calibri"/>
        <family val="2"/>
        <scheme val="minor"/>
      </rPr>
      <t>.</t>
    </r>
  </si>
  <si>
    <r>
      <t>Center/Site Name:</t>
    </r>
    <r>
      <rPr>
        <b/>
        <sz val="11"/>
        <color rgb="FFAAD4F4"/>
        <rFont val="Calibri"/>
        <family val="2"/>
        <scheme val="minor"/>
      </rPr>
      <t>.</t>
    </r>
  </si>
  <si>
    <r>
      <t>Year 1 (2023-24)</t>
    </r>
    <r>
      <rPr>
        <b/>
        <sz val="11"/>
        <color rgb="FFAAD4F4"/>
        <rFont val="Calibri"/>
        <family val="2"/>
        <scheme val="minor"/>
      </rPr>
      <t>.</t>
    </r>
    <r>
      <rPr>
        <b/>
        <sz val="11"/>
        <color theme="1"/>
        <rFont val="Calibri"/>
        <family val="2"/>
        <scheme val="minor"/>
      </rPr>
      <t xml:space="preserve">
Grant Amount:</t>
    </r>
    <r>
      <rPr>
        <b/>
        <sz val="11"/>
        <color rgb="FFAAD4F4"/>
        <rFont val="Calibri"/>
        <family val="2"/>
        <scheme val="minor"/>
      </rPr>
      <t>.</t>
    </r>
  </si>
  <si>
    <t>*All fields REQUIRED, unless otherwise noted</t>
  </si>
  <si>
    <t>Contracted Service?</t>
  </si>
  <si>
    <t>Yes</t>
  </si>
  <si>
    <t>No</t>
  </si>
  <si>
    <t>Budget Category</t>
  </si>
  <si>
    <t>Direct Personnel</t>
  </si>
  <si>
    <t>Non-Direct Personnel</t>
  </si>
  <si>
    <t>(enter ID)</t>
  </si>
  <si>
    <t>Boys &amp; Girls Club of Greater Santiam</t>
  </si>
  <si>
    <r>
      <rPr>
        <b/>
        <sz val="11"/>
        <rFont val="Calibri"/>
        <family val="2"/>
      </rPr>
      <t>Preparation of the application:</t>
    </r>
    <r>
      <rPr>
        <sz val="11"/>
        <rFont val="Calibri"/>
        <family val="2"/>
      </rPr>
      <t xml:space="preserve"> Costs to develop, prepare, and/or write the 21st CCLC application cannot be charged to the grant directly or indirectly by either the agency or contractor</t>
    </r>
  </si>
  <si>
    <r>
      <rPr>
        <b/>
        <sz val="11"/>
        <rFont val="Calibri"/>
        <family val="2"/>
      </rPr>
      <t>Expenses prior to grant performance period:</t>
    </r>
    <r>
      <rPr>
        <sz val="11"/>
        <rFont val="Calibri"/>
        <family val="2"/>
      </rPr>
      <t xml:space="preserve"> Any expenses incurred before the beginning of the grant performance period will not be reimbursed</t>
    </r>
  </si>
  <si>
    <r>
      <rPr>
        <b/>
        <sz val="11"/>
        <rFont val="Calibri"/>
        <family val="2"/>
      </rPr>
      <t>Support for religious practices, such as religious instruction, worship, or prayer:</t>
    </r>
    <r>
      <rPr>
        <sz val="11"/>
        <rFont val="Calibri"/>
        <family val="2"/>
      </rPr>
      <t xml:space="preserve"> Faith-Based Organizations (FBOs) may offer such practices, but not as part of the program receiving assistance. FBOs should comply with generally applicable cost accounting requirements to ensure that funds are not used to support these activities.</t>
    </r>
  </si>
  <si>
    <r>
      <t xml:space="preserve">All expenditures </t>
    </r>
    <r>
      <rPr>
        <b/>
        <sz val="11"/>
        <color rgb="FFC00000"/>
        <rFont val="Calibri"/>
        <family val="2"/>
      </rPr>
      <t>must</t>
    </r>
    <r>
      <rPr>
        <sz val="11"/>
        <rFont val="Calibri"/>
        <family val="2"/>
      </rPr>
      <t xml:space="preserve"> align with the four state goals of the 21st CCLC Grant:</t>
    </r>
  </si>
  <si>
    <t>How to Use this Form</t>
  </si>
  <si>
    <t>Tailored Budgeting</t>
  </si>
  <si>
    <r>
      <t xml:space="preserve">21st CCLC funds </t>
    </r>
    <r>
      <rPr>
        <b/>
        <sz val="11"/>
        <color rgb="FFC00000"/>
        <rFont val="Calibri"/>
        <family val="2"/>
      </rPr>
      <t>cannot</t>
    </r>
    <r>
      <rPr>
        <sz val="11"/>
        <rFont val="Calibri"/>
        <family val="2"/>
      </rPr>
      <t xml:space="preserve"> be used to purchase facilities, vehicles, or support new construction. All other capital</t>
    </r>
  </si>
  <si>
    <r>
      <t xml:space="preserve">capital expenditures are defined as: </t>
    </r>
    <r>
      <rPr>
        <u/>
        <sz val="11"/>
        <rFont val="Calibri"/>
        <family val="2"/>
      </rPr>
      <t>individual</t>
    </r>
    <r>
      <rPr>
        <sz val="11"/>
        <rFont val="Calibri"/>
        <family val="2"/>
      </rPr>
      <t xml:space="preserve"> non-consumable items that have a useful life of more than one year</t>
    </r>
  </si>
  <si>
    <r>
      <rPr>
        <b/>
        <sz val="11"/>
        <rFont val="Calibri"/>
        <family val="2"/>
      </rPr>
      <t>and</t>
    </r>
    <r>
      <rPr>
        <sz val="11"/>
        <rFont val="Calibri"/>
        <family val="2"/>
      </rPr>
      <t xml:space="preserve"> cost greater than $5,000.</t>
    </r>
  </si>
  <si>
    <r>
      <t xml:space="preserve">expenditures </t>
    </r>
    <r>
      <rPr>
        <b/>
        <sz val="11"/>
        <color rgb="FFC00000"/>
        <rFont val="Calibri"/>
        <family val="2"/>
      </rPr>
      <t xml:space="preserve">must be approved by ODE </t>
    </r>
    <r>
      <rPr>
        <sz val="11"/>
        <rFont val="Calibri"/>
        <family val="2"/>
      </rPr>
      <t>prior to being eligible for reimbursement. For the purposes of this grant,</t>
    </r>
  </si>
  <si>
    <t>Budget Requirements</t>
  </si>
  <si>
    <t>Budget Requirements and Guidance</t>
  </si>
  <si>
    <t>Requirements and Definitions</t>
  </si>
  <si>
    <t>Budget Category Definitions</t>
  </si>
  <si>
    <r>
      <rPr>
        <b/>
        <sz val="11"/>
        <color rgb="FFC00000"/>
        <rFont val="Calibri"/>
        <family val="2"/>
      </rPr>
      <t>No more than 25%</t>
    </r>
    <r>
      <rPr>
        <sz val="11"/>
        <rFont val="Calibri"/>
        <family val="2"/>
      </rPr>
      <t xml:space="preserve"> of the total annual budget may be used for </t>
    </r>
    <r>
      <rPr>
        <b/>
        <sz val="11"/>
        <color rgb="FF1A75BC"/>
        <rFont val="Calibri"/>
        <family val="2"/>
      </rPr>
      <t>Non-Direct Personnel</t>
    </r>
    <r>
      <rPr>
        <sz val="11"/>
        <rFont val="Calibri"/>
        <family val="2"/>
      </rPr>
      <t xml:space="preserve"> costs</t>
    </r>
    <r>
      <rPr>
        <i/>
        <sz val="11"/>
        <rFont val="Calibri"/>
        <family val="2"/>
      </rPr>
      <t>.</t>
    </r>
  </si>
  <si>
    <r>
      <rPr>
        <b/>
        <sz val="11"/>
        <color rgb="FFC00000"/>
        <rFont val="Calibri"/>
        <family val="2"/>
      </rPr>
      <t>No more than 90%</t>
    </r>
    <r>
      <rPr>
        <b/>
        <sz val="11"/>
        <color rgb="FF1A75BC"/>
        <rFont val="Calibri"/>
        <family val="2"/>
      </rPr>
      <t xml:space="preserve"> </t>
    </r>
    <r>
      <rPr>
        <sz val="11"/>
        <rFont val="Calibri"/>
        <family val="2"/>
      </rPr>
      <t xml:space="preserve">of the total annual budget may be used for </t>
    </r>
    <r>
      <rPr>
        <b/>
        <sz val="11"/>
        <color rgb="FF1A75BC"/>
        <rFont val="Calibri"/>
        <family val="2"/>
      </rPr>
      <t>Contracted Services.</t>
    </r>
  </si>
  <si>
    <r>
      <rPr>
        <b/>
        <sz val="11"/>
        <color rgb="FFC00000"/>
        <rFont val="Calibri"/>
        <family val="2"/>
      </rPr>
      <t>A minimum of 5%</t>
    </r>
    <r>
      <rPr>
        <sz val="11"/>
        <rFont val="Calibri"/>
        <family val="2"/>
      </rPr>
      <t xml:space="preserve"> of the total annual budget must be reserved for </t>
    </r>
    <r>
      <rPr>
        <b/>
        <sz val="11"/>
        <color rgb="FF1A75BC"/>
        <rFont val="Calibri"/>
        <family val="2"/>
      </rPr>
      <t>Staff Development</t>
    </r>
    <r>
      <rPr>
        <sz val="11"/>
        <rFont val="Calibri"/>
        <family val="2"/>
      </rPr>
      <t>.</t>
    </r>
  </si>
  <si>
    <t>Recruitment/Outreach</t>
  </si>
  <si>
    <t>Facilities</t>
  </si>
  <si>
    <t>Requirement Met?</t>
  </si>
  <si>
    <t>Budgeted Amount</t>
  </si>
  <si>
    <r>
      <rPr>
        <b/>
        <sz val="11"/>
        <color rgb="FFC00000"/>
        <rFont val="Calibri"/>
        <family val="2"/>
        <scheme val="minor"/>
      </rPr>
      <t>No more than 90%</t>
    </r>
    <r>
      <rPr>
        <sz val="11"/>
        <color theme="1"/>
        <rFont val="Calibri"/>
        <family val="2"/>
        <scheme val="minor"/>
      </rPr>
      <t xml:space="preserve"> used for </t>
    </r>
    <r>
      <rPr>
        <b/>
        <sz val="11"/>
        <color rgb="FF1A75BC"/>
        <rFont val="Calibri"/>
        <family val="2"/>
        <scheme val="minor"/>
      </rPr>
      <t>Contracted Services</t>
    </r>
  </si>
  <si>
    <r>
      <rPr>
        <b/>
        <sz val="11"/>
        <color rgb="FFC00000"/>
        <rFont val="Calibri"/>
        <family val="2"/>
        <scheme val="minor"/>
      </rPr>
      <t>No more than 25%</t>
    </r>
    <r>
      <rPr>
        <sz val="11"/>
        <color theme="1"/>
        <rFont val="Calibri"/>
        <family val="2"/>
        <scheme val="minor"/>
      </rPr>
      <t xml:space="preserve"> used for </t>
    </r>
    <r>
      <rPr>
        <b/>
        <sz val="11"/>
        <color rgb="FF1A75BC"/>
        <rFont val="Calibri"/>
        <family val="2"/>
        <scheme val="minor"/>
      </rPr>
      <t>Non-Direct Personnel</t>
    </r>
  </si>
  <si>
    <r>
      <rPr>
        <b/>
        <sz val="11"/>
        <color rgb="FFC00000"/>
        <rFont val="Calibri"/>
        <family val="2"/>
        <scheme val="minor"/>
      </rPr>
      <t>Minimum of 5%</t>
    </r>
    <r>
      <rPr>
        <sz val="11"/>
        <color theme="1"/>
        <rFont val="Calibri"/>
        <family val="2"/>
        <scheme val="minor"/>
      </rPr>
      <t xml:space="preserve"> used for </t>
    </r>
    <r>
      <rPr>
        <b/>
        <sz val="11"/>
        <color rgb="FF1A75BC"/>
        <rFont val="Calibri"/>
        <family val="2"/>
        <scheme val="minor"/>
      </rPr>
      <t>Staff Development</t>
    </r>
  </si>
  <si>
    <t>Required Threshold</t>
  </si>
  <si>
    <r>
      <t xml:space="preserve">Requirement </t>
    </r>
    <r>
      <rPr>
        <b/>
        <i/>
        <sz val="10"/>
        <color theme="1"/>
        <rFont val="Calibri"/>
        <family val="2"/>
        <scheme val="minor"/>
      </rPr>
      <t>(based on total annual allocation)</t>
    </r>
  </si>
  <si>
    <t>21st CCLC Budget Requirements Verification</t>
  </si>
  <si>
    <r>
      <rPr>
        <b/>
        <sz val="11"/>
        <color rgb="FF408740"/>
        <rFont val="Calibri"/>
        <family val="2"/>
      </rPr>
      <t>General Program Budget</t>
    </r>
    <r>
      <rPr>
        <b/>
        <sz val="11"/>
        <color theme="1"/>
        <rFont val="Calibri"/>
        <family val="2"/>
      </rPr>
      <t xml:space="preserve"> </t>
    </r>
    <r>
      <rPr>
        <sz val="11"/>
        <color theme="1"/>
        <rFont val="Calibri"/>
        <family val="2"/>
      </rPr>
      <t>(</t>
    </r>
    <r>
      <rPr>
        <i/>
        <sz val="11"/>
        <color theme="1"/>
        <rFont val="Calibri"/>
        <family val="2"/>
      </rPr>
      <t>not site-specific</t>
    </r>
    <r>
      <rPr>
        <sz val="11"/>
        <color theme="1"/>
        <rFont val="Calibri"/>
        <family val="2"/>
      </rPr>
      <t>)</t>
    </r>
  </si>
  <si>
    <r>
      <t xml:space="preserve">21st CCLC Budget Form: </t>
    </r>
    <r>
      <rPr>
        <b/>
        <sz val="19"/>
        <color rgb="FF9F2065"/>
        <rFont val="Calibri"/>
        <family val="2"/>
        <scheme val="minor"/>
      </rPr>
      <t>Year 1 (2023-24),</t>
    </r>
    <r>
      <rPr>
        <b/>
        <sz val="19"/>
        <color rgb="FF408740"/>
        <rFont val="Calibri"/>
        <family val="2"/>
        <scheme val="minor"/>
      </rPr>
      <t xml:space="preserve"> General Program Budget</t>
    </r>
  </si>
  <si>
    <r>
      <t xml:space="preserve">21st CCLC Budget Form: </t>
    </r>
    <r>
      <rPr>
        <b/>
        <sz val="19"/>
        <color rgb="FF9F2065"/>
        <rFont val="Calibri"/>
        <family val="2"/>
        <scheme val="minor"/>
      </rPr>
      <t>Year 1 (2023-24),</t>
    </r>
    <r>
      <rPr>
        <b/>
        <sz val="19"/>
        <color rgb="FF408740"/>
        <rFont val="Calibri"/>
        <family val="2"/>
        <scheme val="minor"/>
      </rPr>
      <t xml:space="preserve"> Site 1 Budget</t>
    </r>
  </si>
  <si>
    <r>
      <t xml:space="preserve">21st CCLC Budget Form: </t>
    </r>
    <r>
      <rPr>
        <b/>
        <sz val="19"/>
        <color rgb="FF9F2065"/>
        <rFont val="Calibri"/>
        <family val="2"/>
        <scheme val="minor"/>
      </rPr>
      <t>Year 1 (2023-24),</t>
    </r>
    <r>
      <rPr>
        <b/>
        <sz val="19"/>
        <color rgb="FF408740"/>
        <rFont val="Calibri"/>
        <family val="2"/>
        <scheme val="minor"/>
      </rPr>
      <t xml:space="preserve"> Overall Budget Summary</t>
    </r>
  </si>
  <si>
    <r>
      <rPr>
        <b/>
        <sz val="11"/>
        <color rgb="FFC00000"/>
        <rFont val="Calibri"/>
        <family val="2"/>
        <scheme val="minor"/>
      </rPr>
      <t>Within Allowable</t>
    </r>
    <r>
      <rPr>
        <sz val="11"/>
        <color theme="1"/>
        <rFont val="Calibri"/>
        <family val="2"/>
        <scheme val="minor"/>
      </rPr>
      <t xml:space="preserve"> Restricted </t>
    </r>
    <r>
      <rPr>
        <b/>
        <sz val="11"/>
        <color rgb="FF1A75BC"/>
        <rFont val="Calibri"/>
        <family val="2"/>
        <scheme val="minor"/>
      </rPr>
      <t>Indirect</t>
    </r>
    <r>
      <rPr>
        <sz val="11"/>
        <color theme="1"/>
        <rFont val="Calibri"/>
        <family val="2"/>
        <scheme val="minor"/>
      </rPr>
      <t xml:space="preserve"> Rate</t>
    </r>
  </si>
  <si>
    <t>in the "Budget Category Definitions" section below.</t>
  </si>
  <si>
    <r>
      <t xml:space="preserve">The below listed requirements </t>
    </r>
    <r>
      <rPr>
        <b/>
        <sz val="11"/>
        <color rgb="FFC00000"/>
        <rFont val="Calibri"/>
        <family val="2"/>
      </rPr>
      <t>must</t>
    </r>
    <r>
      <rPr>
        <sz val="11"/>
        <rFont val="Calibri"/>
        <family val="2"/>
      </rPr>
      <t xml:space="preserve"> be met. Terms in </t>
    </r>
    <r>
      <rPr>
        <b/>
        <sz val="11"/>
        <color rgb="FF1A75BC"/>
        <rFont val="Calibri"/>
        <family val="2"/>
      </rPr>
      <t>bold blue text</t>
    </r>
    <r>
      <rPr>
        <sz val="11"/>
        <rFont val="Calibri"/>
        <family val="2"/>
      </rPr>
      <t xml:space="preserve"> indicate budget categories that are defined</t>
    </r>
  </si>
  <si>
    <t>!</t>
  </si>
  <si>
    <r>
      <rPr>
        <sz val="11"/>
        <rFont val="Calibri"/>
        <family val="2"/>
      </rPr>
      <t xml:space="preserve">Grantees can reference the </t>
    </r>
    <r>
      <rPr>
        <u/>
        <sz val="11"/>
        <color rgb="FF16649E"/>
        <rFont val="Calibri"/>
        <family val="2"/>
      </rPr>
      <t>Program Budgeting and Accounting Manual (PBAM)</t>
    </r>
    <r>
      <rPr>
        <sz val="11"/>
        <color rgb="FF16649E"/>
        <rFont val="Calibri"/>
        <family val="2"/>
      </rPr>
      <t xml:space="preserve"> </t>
    </r>
    <r>
      <rPr>
        <sz val="11"/>
        <rFont val="Calibri"/>
        <family val="2"/>
      </rPr>
      <t xml:space="preserve">for more information on appropriate Expenditure Function and Object codes to enter into the budget form. A list of Expenditure Function and Object codes is also included on the </t>
    </r>
    <r>
      <rPr>
        <i/>
        <sz val="11"/>
        <rFont val="Calibri"/>
        <family val="2"/>
      </rPr>
      <t>Fx &amp; Obj Codes</t>
    </r>
    <r>
      <rPr>
        <sz val="11"/>
        <rFont val="Calibri"/>
        <family val="2"/>
      </rPr>
      <t xml:space="preserve"> tab of this workbook for reference.</t>
    </r>
  </si>
  <si>
    <r>
      <rPr>
        <b/>
        <sz val="12"/>
        <color rgb="FF1A75BC"/>
        <rFont val="Calibri"/>
        <family val="2"/>
      </rPr>
      <t>Contracted Services:</t>
    </r>
    <r>
      <rPr>
        <sz val="11"/>
        <rFont val="Calibri"/>
        <family val="2"/>
      </rPr>
      <t xml:space="preserve"> Contracted Services may include costs associated with contracting with external organizations or partners to implement the day-to-day operations of the program or to lead activities for students and their families.</t>
    </r>
  </si>
  <si>
    <r>
      <rPr>
        <b/>
        <sz val="12"/>
        <color rgb="FF1A75BC"/>
        <rFont val="Calibri"/>
        <family val="2"/>
      </rPr>
      <t>Direct Personnel:</t>
    </r>
    <r>
      <rPr>
        <sz val="11"/>
        <rFont val="Calibri"/>
        <family val="2"/>
      </rPr>
      <t xml:space="preserve"> Used to identify staff who work directly with students and families </t>
    </r>
    <r>
      <rPr>
        <i/>
        <sz val="11"/>
        <rFont val="Calibri"/>
        <family val="2"/>
      </rPr>
      <t>(e.g. Center Coordinator, program staff, counselors, teachers, etc.).</t>
    </r>
  </si>
  <si>
    <t>ESSA Quick Reference Brief - Administrative Costs</t>
  </si>
  <si>
    <r>
      <rPr>
        <b/>
        <sz val="11"/>
        <rFont val="Calibri"/>
        <family val="2"/>
      </rPr>
      <t xml:space="preserve">Program Contact: </t>
    </r>
    <r>
      <rPr>
        <b/>
        <u/>
        <sz val="11"/>
        <color rgb="FF16649E"/>
        <rFont val="Calibri"/>
        <family val="2"/>
      </rPr>
      <t>Raquel Gwynn</t>
    </r>
  </si>
  <si>
    <t>(enter #)</t>
  </si>
  <si>
    <t>Estimated # of Students Served:</t>
  </si>
  <si>
    <t>Contracted Services</t>
  </si>
  <si>
    <t>Est. # Students Served</t>
  </si>
  <si>
    <t>Program Budget</t>
  </si>
  <si>
    <t>Overall Budget Summary</t>
  </si>
  <si>
    <t>*Autofill</t>
  </si>
  <si>
    <t>Curriculum</t>
  </si>
  <si>
    <t>Non-Contracted Services</t>
  </si>
  <si>
    <t xml:space="preserve">Year 1 Grant Amount: </t>
  </si>
  <si>
    <t xml:space="preserve">Remaining Balance: </t>
  </si>
  <si>
    <r>
      <rPr>
        <b/>
        <sz val="12"/>
        <color rgb="FF1A75BC"/>
        <rFont val="Calibri"/>
        <family val="2"/>
      </rPr>
      <t>Recruitment/Outreach:</t>
    </r>
    <r>
      <rPr>
        <sz val="11"/>
        <rFont val="Calibri"/>
        <family val="2"/>
      </rPr>
      <t xml:space="preserve"> Costs associated with engagement efforts to recruit and retain students and families into the program to maintain the target student participation.</t>
    </r>
  </si>
  <si>
    <r>
      <rPr>
        <b/>
        <sz val="12"/>
        <color rgb="FF1A75BC"/>
        <rFont val="Calibri"/>
        <family val="2"/>
      </rPr>
      <t>Supplies &amp; Equipment:</t>
    </r>
    <r>
      <rPr>
        <sz val="12"/>
        <rFont val="Calibri"/>
        <family val="2"/>
      </rPr>
      <t xml:space="preserve"> </t>
    </r>
    <r>
      <rPr>
        <sz val="11"/>
        <rFont val="Calibri"/>
        <family val="2"/>
      </rPr>
      <t xml:space="preserve">To the extent practicable, provide a </t>
    </r>
    <r>
      <rPr>
        <b/>
        <sz val="11"/>
        <rFont val="Calibri"/>
        <family val="2"/>
      </rPr>
      <t>brief</t>
    </r>
    <r>
      <rPr>
        <sz val="11"/>
        <rFont val="Calibri"/>
        <family val="2"/>
      </rPr>
      <t xml:space="preserve"> description of supplies and equipment needed to fulfill planned activities in the </t>
    </r>
    <r>
      <rPr>
        <i/>
        <sz val="11"/>
        <rFont val="Calibri"/>
        <family val="2"/>
      </rPr>
      <t>Expenditure Description</t>
    </r>
    <r>
      <rPr>
        <sz val="11"/>
        <rFont val="Calibri"/>
        <family val="2"/>
      </rPr>
      <t xml:space="preserve"> column.</t>
    </r>
  </si>
  <si>
    <r>
      <rPr>
        <b/>
        <sz val="12"/>
        <color rgb="FF1A75BC"/>
        <rFont val="Calibri"/>
        <family val="2"/>
      </rPr>
      <t>Family Engagement:</t>
    </r>
    <r>
      <rPr>
        <sz val="11"/>
        <rFont val="Calibri"/>
        <family val="2"/>
      </rPr>
      <t xml:space="preserve"> Costs associated with engagement efforts and activities designed to involve students' families in supporting their learning and healthy development.</t>
    </r>
  </si>
  <si>
    <t>Transportation</t>
  </si>
  <si>
    <t>Meals and Snacks</t>
  </si>
  <si>
    <r>
      <t xml:space="preserve">21st CCLC Budget Form: </t>
    </r>
    <r>
      <rPr>
        <b/>
        <sz val="19"/>
        <color rgb="FF9F2065"/>
        <rFont val="Calibri"/>
        <family val="2"/>
        <scheme val="minor"/>
      </rPr>
      <t>Year 1 (2023-24),</t>
    </r>
    <r>
      <rPr>
        <b/>
        <sz val="19"/>
        <color rgb="FF408740"/>
        <rFont val="Calibri"/>
        <family val="2"/>
        <scheme val="minor"/>
      </rPr>
      <t xml:space="preserve"> Site 2 Budget</t>
    </r>
  </si>
  <si>
    <t>*Total Grant Budget by Category</t>
  </si>
  <si>
    <t>Total Budget</t>
  </si>
  <si>
    <r>
      <t xml:space="preserve">Total </t>
    </r>
    <r>
      <rPr>
        <b/>
        <sz val="11"/>
        <color rgb="FF408740"/>
        <rFont val="Calibri"/>
        <family val="2"/>
      </rPr>
      <t>Before/Afterschool</t>
    </r>
    <r>
      <rPr>
        <sz val="11"/>
        <color rgb="FF408740"/>
        <rFont val="Calibri"/>
        <family val="2"/>
      </rPr>
      <t xml:space="preserve"> </t>
    </r>
    <r>
      <rPr>
        <b/>
        <sz val="11"/>
        <color rgb="FF408740"/>
        <rFont val="Calibri"/>
        <family val="2"/>
      </rPr>
      <t>Program</t>
    </r>
    <r>
      <rPr>
        <sz val="11"/>
        <color theme="1"/>
        <rFont val="Calibri"/>
        <family val="2"/>
      </rPr>
      <t xml:space="preserve"> Budget:</t>
    </r>
  </si>
  <si>
    <r>
      <t xml:space="preserve">Total </t>
    </r>
    <r>
      <rPr>
        <b/>
        <sz val="11"/>
        <color rgb="FF9F2065"/>
        <rFont val="Calibri"/>
        <family val="2"/>
      </rPr>
      <t>Summer Program</t>
    </r>
    <r>
      <rPr>
        <sz val="11"/>
        <color theme="1"/>
        <rFont val="Calibri"/>
        <family val="2"/>
      </rPr>
      <t xml:space="preserve"> Budget:</t>
    </r>
  </si>
  <si>
    <t>Total General Program Budget:</t>
  </si>
  <si>
    <t xml:space="preserve">Total Amount Budgeted: </t>
  </si>
  <si>
    <t>Total Site 1 Budget:</t>
  </si>
  <si>
    <t>Total Site 2 Budget:</t>
  </si>
  <si>
    <t>*Important Note:</t>
  </si>
  <si>
    <r>
      <t xml:space="preserve">21st CCLC Budget Form: </t>
    </r>
    <r>
      <rPr>
        <b/>
        <sz val="19"/>
        <color rgb="FF9F2065"/>
        <rFont val="Calibri"/>
        <family val="2"/>
        <scheme val="minor"/>
      </rPr>
      <t>Year 1 (2023-24),</t>
    </r>
    <r>
      <rPr>
        <b/>
        <sz val="19"/>
        <color rgb="FF408740"/>
        <rFont val="Calibri"/>
        <family val="2"/>
        <scheme val="minor"/>
      </rPr>
      <t xml:space="preserve"> Site 3 Budget</t>
    </r>
  </si>
  <si>
    <t>Total Site 3 Budget:</t>
  </si>
  <si>
    <r>
      <t xml:space="preserve">21st CCLC Budget Form: </t>
    </r>
    <r>
      <rPr>
        <b/>
        <sz val="19"/>
        <color rgb="FF9F2065"/>
        <rFont val="Calibri"/>
        <family val="2"/>
        <scheme val="minor"/>
      </rPr>
      <t>Year 1 (2023-24),</t>
    </r>
    <r>
      <rPr>
        <b/>
        <sz val="19"/>
        <color rgb="FF408740"/>
        <rFont val="Calibri"/>
        <family val="2"/>
        <scheme val="minor"/>
      </rPr>
      <t xml:space="preserve"> Site 4 Budget</t>
    </r>
  </si>
  <si>
    <t>Total Site 4 Budget:</t>
  </si>
  <si>
    <r>
      <t xml:space="preserve">21st CCLC Budget Form: </t>
    </r>
    <r>
      <rPr>
        <b/>
        <sz val="19"/>
        <color rgb="FF9F2065"/>
        <rFont val="Calibri"/>
        <family val="2"/>
        <scheme val="minor"/>
      </rPr>
      <t>Year 1 (2023-24),</t>
    </r>
    <r>
      <rPr>
        <b/>
        <sz val="19"/>
        <color rgb="FF408740"/>
        <rFont val="Calibri"/>
        <family val="2"/>
        <scheme val="minor"/>
      </rPr>
      <t xml:space="preserve"> Site 5 Budget</t>
    </r>
  </si>
  <si>
    <t>Total Site 5 Budget:</t>
  </si>
  <si>
    <r>
      <t xml:space="preserve">21st CCLC Budget Form: </t>
    </r>
    <r>
      <rPr>
        <b/>
        <sz val="19"/>
        <color rgb="FF9F2065"/>
        <rFont val="Calibri"/>
        <family val="2"/>
        <scheme val="minor"/>
      </rPr>
      <t>Year 1 (2023-24),</t>
    </r>
    <r>
      <rPr>
        <b/>
        <sz val="19"/>
        <color rgb="FF408740"/>
        <rFont val="Calibri"/>
        <family val="2"/>
        <scheme val="minor"/>
      </rPr>
      <t xml:space="preserve"> Site 6 Budget</t>
    </r>
  </si>
  <si>
    <t>Total Site 6 Budget:</t>
  </si>
  <si>
    <r>
      <t xml:space="preserve">21st CCLC Budget Form: </t>
    </r>
    <r>
      <rPr>
        <b/>
        <sz val="19"/>
        <color rgb="FF9F2065"/>
        <rFont val="Calibri"/>
        <family val="2"/>
        <scheme val="minor"/>
      </rPr>
      <t>Year 1 (2023-24),</t>
    </r>
    <r>
      <rPr>
        <b/>
        <sz val="19"/>
        <color rgb="FF408740"/>
        <rFont val="Calibri"/>
        <family val="2"/>
        <scheme val="minor"/>
      </rPr>
      <t xml:space="preserve"> Site 7 Budget</t>
    </r>
  </si>
  <si>
    <t>Total Site 7 Budget:</t>
  </si>
  <si>
    <r>
      <t xml:space="preserve">21st CCLC Budget Form: </t>
    </r>
    <r>
      <rPr>
        <b/>
        <sz val="19"/>
        <color rgb="FF9F2065"/>
        <rFont val="Calibri"/>
        <family val="2"/>
        <scheme val="minor"/>
      </rPr>
      <t>Year 1 (2023-24),</t>
    </r>
    <r>
      <rPr>
        <b/>
        <sz val="19"/>
        <color rgb="FF408740"/>
        <rFont val="Calibri"/>
        <family val="2"/>
        <scheme val="minor"/>
      </rPr>
      <t xml:space="preserve"> Site 8 Budget</t>
    </r>
  </si>
  <si>
    <t>Total Site 8 Budget:</t>
  </si>
  <si>
    <r>
      <t xml:space="preserve">21st CCLC Budget Form: </t>
    </r>
    <r>
      <rPr>
        <b/>
        <sz val="19"/>
        <color rgb="FF9F2065"/>
        <rFont val="Calibri"/>
        <family val="2"/>
        <scheme val="minor"/>
      </rPr>
      <t>Year 1 (2023-24),</t>
    </r>
    <r>
      <rPr>
        <b/>
        <sz val="19"/>
        <color rgb="FF408740"/>
        <rFont val="Calibri"/>
        <family val="2"/>
        <scheme val="minor"/>
      </rPr>
      <t xml:space="preserve"> Site 9 Budget</t>
    </r>
  </si>
  <si>
    <t>Total Site 9 Budget:</t>
  </si>
  <si>
    <r>
      <t xml:space="preserve">21st CCLC Budget Form: </t>
    </r>
    <r>
      <rPr>
        <b/>
        <sz val="19"/>
        <color rgb="FF9F2065"/>
        <rFont val="Calibri"/>
        <family val="2"/>
        <scheme val="minor"/>
      </rPr>
      <t>Year 1 (2023-24),</t>
    </r>
    <r>
      <rPr>
        <b/>
        <sz val="19"/>
        <color rgb="FF408740"/>
        <rFont val="Calibri"/>
        <family val="2"/>
        <scheme val="minor"/>
      </rPr>
      <t xml:space="preserve"> Site 10 Budget</t>
    </r>
  </si>
  <si>
    <t>Total Site 10 Budget:</t>
  </si>
  <si>
    <r>
      <t xml:space="preserve">21st CCLC Budget Form: </t>
    </r>
    <r>
      <rPr>
        <b/>
        <sz val="19"/>
        <color rgb="FF9F2065"/>
        <rFont val="Calibri"/>
        <family val="2"/>
        <scheme val="minor"/>
      </rPr>
      <t>Year 1 (2023-24),</t>
    </r>
    <r>
      <rPr>
        <b/>
        <sz val="19"/>
        <color rgb="FF408740"/>
        <rFont val="Calibri"/>
        <family val="2"/>
        <scheme val="minor"/>
      </rPr>
      <t xml:space="preserve"> Site 11 Budget</t>
    </r>
  </si>
  <si>
    <t>Total Site 11 Budget:</t>
  </si>
  <si>
    <r>
      <t xml:space="preserve">21st CCLC Budget Form: </t>
    </r>
    <r>
      <rPr>
        <b/>
        <sz val="19"/>
        <color rgb="FF9F2065"/>
        <rFont val="Calibri"/>
        <family val="2"/>
        <scheme val="minor"/>
      </rPr>
      <t>Year 1 (2023-24),</t>
    </r>
    <r>
      <rPr>
        <b/>
        <sz val="19"/>
        <color rgb="FF408740"/>
        <rFont val="Calibri"/>
        <family val="2"/>
        <scheme val="minor"/>
      </rPr>
      <t xml:space="preserve"> Site 12 Budget</t>
    </r>
  </si>
  <si>
    <t>Total Site 12 Budget:</t>
  </si>
  <si>
    <t>(addt'l. fund source 1)</t>
  </si>
  <si>
    <t>(addt'l. fund source 2)</t>
  </si>
  <si>
    <t>(addt'l. fund source 3)</t>
  </si>
  <si>
    <t>(addt'l. fund source 4)</t>
  </si>
  <si>
    <t>(addt'l. fund source 5)</t>
  </si>
  <si>
    <r>
      <rPr>
        <b/>
        <sz val="12"/>
        <color rgb="FFC00000"/>
        <rFont val="Calibri"/>
        <family val="2"/>
      </rPr>
      <t>Note:</t>
    </r>
    <r>
      <rPr>
        <sz val="11"/>
        <rFont val="Calibri"/>
        <family val="2"/>
      </rPr>
      <t xml:space="preserve"> </t>
    </r>
    <r>
      <rPr>
        <b/>
        <sz val="11"/>
        <rFont val="Calibri"/>
        <family val="2"/>
      </rPr>
      <t>Indirect expenses</t>
    </r>
    <r>
      <rPr>
        <sz val="11"/>
        <rFont val="Calibri"/>
        <family val="2"/>
      </rPr>
      <t xml:space="preserve"> are different from </t>
    </r>
    <r>
      <rPr>
        <b/>
        <sz val="11"/>
        <rFont val="Calibri"/>
        <family val="2"/>
      </rPr>
      <t>direct administrative expenses</t>
    </r>
    <r>
      <rPr>
        <sz val="11"/>
        <rFont val="Calibri"/>
        <family val="2"/>
      </rPr>
      <t xml:space="preserve">. </t>
    </r>
    <r>
      <rPr>
        <b/>
        <sz val="11"/>
        <color rgb="FFC00000"/>
        <rFont val="Calibri"/>
        <family val="2"/>
      </rPr>
      <t xml:space="preserve">Do </t>
    </r>
    <r>
      <rPr>
        <b/>
        <u/>
        <sz val="11"/>
        <color rgb="FFC00000"/>
        <rFont val="Calibri"/>
        <family val="2"/>
      </rPr>
      <t>NOT</t>
    </r>
    <r>
      <rPr>
        <b/>
        <sz val="11"/>
        <color rgb="FFC00000"/>
        <rFont val="Calibri"/>
        <family val="2"/>
      </rPr>
      <t xml:space="preserve"> apply the </t>
    </r>
    <r>
      <rPr>
        <b/>
        <sz val="11"/>
        <color rgb="FF1A75BC"/>
        <rFont val="Calibri"/>
        <family val="2"/>
      </rPr>
      <t>Indirect</t>
    </r>
    <r>
      <rPr>
        <b/>
        <sz val="11"/>
        <color rgb="FFC00000"/>
        <rFont val="Calibri"/>
        <family val="2"/>
      </rPr>
      <t xml:space="preserve"> category to direct administrative expenses.</t>
    </r>
    <r>
      <rPr>
        <sz val="11"/>
        <rFont val="Calibri"/>
        <family val="2"/>
      </rPr>
      <t xml:space="preserve"> For more information on the difference between indirect and direct administrative expenses, see </t>
    </r>
    <r>
      <rPr>
        <b/>
        <u/>
        <sz val="11"/>
        <color rgb="FF16649E"/>
        <rFont val="Calibri"/>
        <family val="2"/>
      </rPr>
      <t>ODE's Administrative Costs Brief</t>
    </r>
    <r>
      <rPr>
        <sz val="11"/>
        <rFont val="Calibri"/>
        <family val="2"/>
      </rPr>
      <t>.</t>
    </r>
  </si>
  <si>
    <r>
      <rPr>
        <b/>
        <sz val="12"/>
        <color rgb="FF1A75BC"/>
        <rFont val="Calibri"/>
        <family val="2"/>
      </rPr>
      <t>Indirect:</t>
    </r>
    <r>
      <rPr>
        <sz val="12"/>
        <rFont val="Calibri"/>
        <family val="2"/>
      </rPr>
      <t xml:space="preserve"> </t>
    </r>
    <r>
      <rPr>
        <sz val="11"/>
        <rFont val="Calibri"/>
        <family val="2"/>
      </rPr>
      <t xml:space="preserve">Grantees may claim indirect expenses as allowed by their entity's </t>
    </r>
    <r>
      <rPr>
        <b/>
        <sz val="11"/>
        <rFont val="Calibri"/>
        <family val="2"/>
      </rPr>
      <t xml:space="preserve">federally negotiated </t>
    </r>
    <r>
      <rPr>
        <b/>
        <u/>
        <sz val="11"/>
        <rFont val="Calibri"/>
        <family val="2"/>
      </rPr>
      <t>restricted</t>
    </r>
    <r>
      <rPr>
        <b/>
        <sz val="11"/>
        <rFont val="Calibri"/>
        <family val="2"/>
      </rPr>
      <t xml:space="preserve"> indirect rate</t>
    </r>
    <r>
      <rPr>
        <sz val="11"/>
        <rFont val="Calibri"/>
        <family val="2"/>
      </rPr>
      <t>. If grantees claim indirect costs, they cannot exceed their restricted rate as posted, but grantees may claim less than that percent.</t>
    </r>
  </si>
  <si>
    <r>
      <rPr>
        <b/>
        <sz val="12"/>
        <color rgb="FFC00000"/>
        <rFont val="Calibri"/>
        <family val="2"/>
      </rPr>
      <t>Note:</t>
    </r>
    <r>
      <rPr>
        <b/>
        <sz val="11"/>
        <color rgb="FFC00000"/>
        <rFont val="Calibri"/>
        <family val="2"/>
      </rPr>
      <t xml:space="preserve"> </t>
    </r>
    <r>
      <rPr>
        <b/>
        <u/>
        <sz val="11"/>
        <rFont val="Calibri"/>
        <family val="2"/>
      </rPr>
      <t>DO NOT</t>
    </r>
    <r>
      <rPr>
        <sz val="11"/>
        <rFont val="Calibri"/>
        <family val="2"/>
      </rPr>
      <t xml:space="preserve"> use the </t>
    </r>
    <r>
      <rPr>
        <b/>
        <sz val="11"/>
        <color rgb="FF1A75BC"/>
        <rFont val="Calibri"/>
        <family val="2"/>
      </rPr>
      <t>Indirect</t>
    </r>
    <r>
      <rPr>
        <sz val="11"/>
        <rFont val="Calibri"/>
        <family val="2"/>
      </rPr>
      <t xml:space="preserve"> category for contracted services. </t>
    </r>
    <r>
      <rPr>
        <b/>
        <sz val="11"/>
        <rFont val="Calibri"/>
        <family val="2"/>
      </rPr>
      <t xml:space="preserve">Contracts should not include </t>
    </r>
    <r>
      <rPr>
        <b/>
        <sz val="11"/>
        <color rgb="FF1A75BC"/>
        <rFont val="Calibri"/>
        <family val="2"/>
      </rPr>
      <t>Indirect</t>
    </r>
    <r>
      <rPr>
        <b/>
        <sz val="11"/>
        <rFont val="Calibri"/>
        <family val="2"/>
      </rPr>
      <t xml:space="preserve"> expenses as a separate line item.</t>
    </r>
    <r>
      <rPr>
        <sz val="11"/>
        <rFont val="Calibri"/>
        <family val="2"/>
      </rPr>
      <t xml:space="preserve"> Instead, contractors' indirect expenses should be included in the total amount allocated for each line item of services.</t>
    </r>
  </si>
  <si>
    <r>
      <rPr>
        <b/>
        <sz val="11"/>
        <color rgb="FF1A75BC"/>
        <rFont val="Calibri"/>
        <family val="2"/>
      </rPr>
      <t>Staff Development</t>
    </r>
    <r>
      <rPr>
        <sz val="11"/>
        <rFont val="Calibri"/>
        <family val="2"/>
      </rPr>
      <t xml:space="preserve"> expenses budgeted as additional hours of pay or stipends for staff time </t>
    </r>
    <r>
      <rPr>
        <b/>
        <sz val="11"/>
        <color rgb="FFC00000"/>
        <rFont val="Calibri"/>
        <family val="2"/>
      </rPr>
      <t>must be listed separately</t>
    </r>
    <r>
      <rPr>
        <sz val="11"/>
        <rFont val="Calibri"/>
        <family val="2"/>
      </rPr>
      <t xml:space="preserve"> from the overall salary expenses for each position type.</t>
    </r>
  </si>
  <si>
    <r>
      <rPr>
        <b/>
        <sz val="11"/>
        <rFont val="Calibri"/>
        <family val="2"/>
      </rPr>
      <t>Grantees must provide detail</t>
    </r>
    <r>
      <rPr>
        <sz val="11"/>
        <rFont val="Calibri"/>
        <family val="2"/>
      </rPr>
      <t xml:space="preserve"> on what contracted/purchased services are being included using the Budget Categories and </t>
    </r>
    <r>
      <rPr>
        <i/>
        <sz val="11"/>
        <rFont val="Calibri"/>
        <family val="2"/>
      </rPr>
      <t>Contracted Service?</t>
    </r>
    <r>
      <rPr>
        <sz val="11"/>
        <rFont val="Calibri"/>
        <family val="2"/>
      </rPr>
      <t xml:space="preserve"> column.</t>
    </r>
  </si>
  <si>
    <r>
      <rPr>
        <b/>
        <sz val="11"/>
        <rFont val="Calibri"/>
        <family val="2"/>
      </rPr>
      <t>Salaries:</t>
    </r>
    <r>
      <rPr>
        <sz val="11"/>
        <rFont val="Calibri"/>
        <family val="2"/>
      </rPr>
      <t xml:space="preserve"> Salaries should be indicated on separate line items for each position type (Program Director, Center Coordinator, certified teacher, educational assistant, counselor, family liaison, data support personnel, administrative assistant, etc.). Each line item for salaries </t>
    </r>
    <r>
      <rPr>
        <b/>
        <sz val="11"/>
        <color rgb="FFC00000"/>
        <rFont val="Calibri"/>
        <family val="2"/>
      </rPr>
      <t>must indicate the type of position and number of positions/FTE</t>
    </r>
    <r>
      <rPr>
        <sz val="11"/>
        <rFont val="Calibri"/>
        <family val="2"/>
      </rPr>
      <t xml:space="preserve"> in the </t>
    </r>
    <r>
      <rPr>
        <i/>
        <sz val="11"/>
        <rFont val="Calibri"/>
        <family val="2"/>
      </rPr>
      <t>Expenditure Description</t>
    </r>
    <r>
      <rPr>
        <sz val="11"/>
        <rFont val="Calibri"/>
        <family val="2"/>
      </rPr>
      <t xml:space="preserve"> column.</t>
    </r>
  </si>
  <si>
    <r>
      <rPr>
        <b/>
        <sz val="12"/>
        <color rgb="FF1A75BC"/>
        <rFont val="Calibri"/>
        <family val="2"/>
      </rPr>
      <t>Non-Direct Personnel:</t>
    </r>
    <r>
      <rPr>
        <sz val="11"/>
        <rFont val="Calibri"/>
        <family val="2"/>
      </rPr>
      <t xml:space="preserve"> Used to identify staff who do </t>
    </r>
    <r>
      <rPr>
        <b/>
        <u/>
        <sz val="11"/>
        <rFont val="Calibri"/>
        <family val="2"/>
      </rPr>
      <t>not</t>
    </r>
    <r>
      <rPr>
        <sz val="11"/>
        <rFont val="Calibri"/>
        <family val="2"/>
      </rPr>
      <t xml:space="preserve"> work directly with students and families, but support program administration </t>
    </r>
    <r>
      <rPr>
        <i/>
        <sz val="11"/>
        <rFont val="Calibri"/>
        <family val="2"/>
      </rPr>
      <t>(e.g. Program Director, principal, office support, data collection and reporting, custodians, etc.).</t>
    </r>
  </si>
  <si>
    <r>
      <rPr>
        <b/>
        <sz val="12"/>
        <color rgb="FF1A75BC"/>
        <rFont val="Calibri"/>
        <family val="2"/>
      </rPr>
      <t>Facilities:</t>
    </r>
    <r>
      <rPr>
        <sz val="11"/>
        <rFont val="Calibri"/>
        <family val="2"/>
      </rPr>
      <t xml:space="preserve"> Costs associated with providing facilities that will support and house programs </t>
    </r>
    <r>
      <rPr>
        <i/>
        <sz val="11"/>
        <rFont val="Calibri"/>
        <family val="2"/>
      </rPr>
      <t>(e.g. facility rental fees, operational expenses, etc.).</t>
    </r>
  </si>
  <si>
    <t>21st CCLC Grantees must complete this Budget Form each year of the grant to demonstrate how their</t>
  </si>
  <si>
    <r>
      <rPr>
        <b/>
        <sz val="11"/>
        <color rgb="FFC00000"/>
        <rFont val="Calibri"/>
        <family val="2"/>
      </rPr>
      <t>Enter the Lead Entity's *Entity ID</t>
    </r>
    <r>
      <rPr>
        <sz val="11"/>
        <rFont val="Calibri"/>
        <family val="2"/>
      </rPr>
      <t xml:space="preserve"> at the top of the page. The Lead Entity Name and Year 1 Grant Amount fields will automatically fill in. 
</t>
    </r>
    <r>
      <rPr>
        <i/>
        <sz val="11"/>
        <rFont val="Calibri"/>
        <family val="2"/>
      </rPr>
      <t>*Each grantee's entity ID is listed on the Entity IDs tab for reference.</t>
    </r>
  </si>
  <si>
    <r>
      <rPr>
        <b/>
        <sz val="11"/>
        <color rgb="FFC00000"/>
        <rFont val="Calibri"/>
        <family val="2"/>
      </rPr>
      <t>Enter your entity's federally negotiated restricted indirect rate</t>
    </r>
    <r>
      <rPr>
        <sz val="11"/>
        <rFont val="Calibri"/>
        <family val="2"/>
      </rPr>
      <t xml:space="preserve"> for the 21st CCLC Grant in the summary table at the top of the page. If your entity does not have a negotiated indirect rate, enter 0.</t>
    </r>
  </si>
  <si>
    <r>
      <rPr>
        <b/>
        <sz val="11"/>
        <rFont val="Calibri"/>
        <family val="2"/>
      </rPr>
      <t>Contracted Service?:</t>
    </r>
    <r>
      <rPr>
        <sz val="11"/>
        <rFont val="Calibri"/>
        <family val="2"/>
      </rPr>
      <t xml:space="preserve"> Use this column to identify budget items that are included in a contract with an external partner. </t>
    </r>
  </si>
  <si>
    <r>
      <rPr>
        <b/>
        <sz val="11"/>
        <rFont val="Calibri"/>
        <family val="2"/>
      </rPr>
      <t>Expenditure Description:</t>
    </r>
    <r>
      <rPr>
        <sz val="11"/>
        <rFont val="Calibri"/>
        <family val="2"/>
      </rPr>
      <t xml:space="preserve"> For each budget item, include a</t>
    </r>
    <r>
      <rPr>
        <b/>
        <sz val="11"/>
        <rFont val="Calibri"/>
        <family val="2"/>
      </rPr>
      <t xml:space="preserve"> brief</t>
    </r>
    <r>
      <rPr>
        <sz val="11"/>
        <rFont val="Calibri"/>
        <family val="2"/>
      </rPr>
      <t xml:space="preserve"> description of the expense to show how it relates to the program.</t>
    </r>
  </si>
  <si>
    <r>
      <rPr>
        <b/>
        <sz val="11"/>
        <color rgb="FFC00000"/>
        <rFont val="Calibri"/>
        <family val="2"/>
      </rPr>
      <t xml:space="preserve">Enter your entity's </t>
    </r>
    <r>
      <rPr>
        <b/>
        <u/>
        <sz val="11"/>
        <color rgb="FFC00000"/>
        <rFont val="Calibri"/>
        <family val="2"/>
      </rPr>
      <t>non-site specific</t>
    </r>
    <r>
      <rPr>
        <b/>
        <sz val="11"/>
        <color rgb="FFC00000"/>
        <rFont val="Calibri"/>
        <family val="2"/>
      </rPr>
      <t xml:space="preserve"> budget items</t>
    </r>
    <r>
      <rPr>
        <sz val="11"/>
        <rFont val="Calibri"/>
        <family val="2"/>
      </rPr>
      <t xml:space="preserve"> in the main table.</t>
    </r>
    <r>
      <rPr>
        <b/>
        <sz val="11"/>
        <color rgb="FFC00000"/>
        <rFont val="Calibri"/>
        <family val="2"/>
      </rPr>
      <t xml:space="preserve"> All fields are required</t>
    </r>
    <r>
      <rPr>
        <sz val="11"/>
        <rFont val="Calibri"/>
        <family val="2"/>
      </rPr>
      <t xml:space="preserve">, </t>
    </r>
    <r>
      <rPr>
        <b/>
        <sz val="11"/>
        <rFont val="Calibri"/>
        <family val="2"/>
      </rPr>
      <t>unless otherwise noted</t>
    </r>
    <r>
      <rPr>
        <sz val="11"/>
        <rFont val="Calibri"/>
        <family val="2"/>
      </rPr>
      <t xml:space="preserve">. </t>
    </r>
  </si>
  <si>
    <r>
      <rPr>
        <b/>
        <sz val="11"/>
        <rFont val="Calibri"/>
        <family val="2"/>
      </rPr>
      <t>Additional Funds columns:</t>
    </r>
    <r>
      <rPr>
        <sz val="11"/>
        <rFont val="Calibri"/>
        <family val="2"/>
      </rPr>
      <t xml:space="preserve"> Grantees may use the </t>
    </r>
    <r>
      <rPr>
        <b/>
        <sz val="11"/>
        <rFont val="Calibri"/>
        <family val="2"/>
      </rPr>
      <t>optional</t>
    </r>
    <r>
      <rPr>
        <sz val="11"/>
        <rFont val="Calibri"/>
        <family val="2"/>
      </rPr>
      <t xml:space="preserve"> Additional Funds columns to demonstrate partner contributions and coordinated use of funds with other local, state, and federal funds. To use these columns, enter the name of each additional funding source in the yellow "(enter addt'l. fund source #)" column headers in the main table. The corresponding column headings in all other tables in this workbook will automatically fill in.</t>
    </r>
  </si>
  <si>
    <t>Enter indirect rate on the "Program Budget" tab</t>
  </si>
  <si>
    <r>
      <t>Site [#] Budget</t>
    </r>
    <r>
      <rPr>
        <i/>
        <sz val="13"/>
        <color rgb="FF16649E"/>
        <rFont val="Calibri"/>
        <family val="2"/>
      </rPr>
      <t xml:space="preserve"> </t>
    </r>
    <r>
      <rPr>
        <i/>
        <sz val="11"/>
        <color rgb="FF16649E"/>
        <rFont val="Calibri"/>
        <family val="2"/>
      </rPr>
      <t>(x12)</t>
    </r>
  </si>
  <si>
    <r>
      <rPr>
        <b/>
        <sz val="11"/>
        <rFont val="Calibri"/>
        <family val="2"/>
      </rPr>
      <t xml:space="preserve">Budget Form Technical Assistance: </t>
    </r>
    <r>
      <rPr>
        <b/>
        <u/>
        <sz val="11"/>
        <color rgb="FF16649E"/>
        <rFont val="Calibri"/>
        <family val="2"/>
      </rPr>
      <t>Savanah Solario</t>
    </r>
  </si>
  <si>
    <r>
      <rPr>
        <b/>
        <sz val="11"/>
        <rFont val="Calibri"/>
        <family val="2"/>
      </rPr>
      <t xml:space="preserve">Complete one of these tabs for </t>
    </r>
    <r>
      <rPr>
        <b/>
        <sz val="11"/>
        <color rgb="FFC00000"/>
        <rFont val="Calibri"/>
        <family val="2"/>
      </rPr>
      <t>each center/site</t>
    </r>
    <r>
      <rPr>
        <sz val="11"/>
        <rFont val="Calibri"/>
        <family val="2"/>
      </rPr>
      <t xml:space="preserve"> where programming will be offered. </t>
    </r>
  </si>
  <si>
    <r>
      <rPr>
        <b/>
        <sz val="12"/>
        <color rgb="FFC00000"/>
        <rFont val="Calibri"/>
        <family val="2"/>
      </rPr>
      <t>Note:</t>
    </r>
    <r>
      <rPr>
        <sz val="11"/>
        <rFont val="Calibri"/>
        <family val="2"/>
      </rPr>
      <t xml:space="preserve"> </t>
    </r>
    <r>
      <rPr>
        <b/>
        <sz val="11"/>
        <rFont val="Calibri"/>
        <family val="2"/>
      </rPr>
      <t>A total of 12 Site Budget tabs are included in this workbook.</t>
    </r>
    <r>
      <rPr>
        <sz val="11"/>
        <rFont val="Calibri"/>
        <family val="2"/>
      </rPr>
      <t xml:space="preserve"> To use Site Budget tabs 6-12: 
right click on the INSTRUCTIONS tab name below, select "Unhide" from the menu, select the next available Site Budget tab, and click "OK". You can unhide multiple tabs by holding the Ctrl key while selecting each tab from the list.</t>
    </r>
  </si>
  <si>
    <r>
      <rPr>
        <b/>
        <sz val="11"/>
        <color rgb="FFC00000"/>
        <rFont val="Calibri"/>
        <family val="2"/>
      </rPr>
      <t xml:space="preserve">Enter the center/site name </t>
    </r>
    <r>
      <rPr>
        <b/>
        <sz val="11"/>
        <rFont val="Calibri"/>
        <family val="2"/>
      </rPr>
      <t xml:space="preserve">and </t>
    </r>
    <r>
      <rPr>
        <b/>
        <sz val="11"/>
        <color rgb="FFC00000"/>
        <rFont val="Calibri"/>
        <family val="2"/>
      </rPr>
      <t>estimated number of students to be served at the site</t>
    </r>
    <r>
      <rPr>
        <sz val="11"/>
        <rFont val="Calibri"/>
        <family val="2"/>
      </rPr>
      <t xml:space="preserve"> at the top of the page. Use the total estimated number of students to be served by both before/afterschool and summer programs.</t>
    </r>
  </si>
  <si>
    <r>
      <rPr>
        <b/>
        <sz val="11"/>
        <rFont val="Calibri"/>
        <family val="2"/>
      </rPr>
      <t>21st CCLC, Title IV-B:</t>
    </r>
    <r>
      <rPr>
        <sz val="11"/>
        <rFont val="Calibri"/>
        <family val="2"/>
      </rPr>
      <t xml:space="preserve"> Enter the amount of grant funds budgeted for the line item.</t>
    </r>
  </si>
  <si>
    <r>
      <rPr>
        <b/>
        <sz val="11"/>
        <rFont val="Calibri"/>
        <family val="2"/>
      </rPr>
      <t xml:space="preserve">Program Type: </t>
    </r>
    <r>
      <rPr>
        <b/>
        <sz val="11"/>
        <color rgb="FFC00000"/>
        <rFont val="Calibri"/>
        <family val="2"/>
      </rPr>
      <t>Before/afterschool program and summer program budget items must be listed separately</t>
    </r>
    <r>
      <rPr>
        <sz val="11"/>
        <rFont val="Calibri"/>
        <family val="2"/>
      </rPr>
      <t>. Use this column to indicate which program type the budget item corresponds to.</t>
    </r>
  </si>
  <si>
    <r>
      <rPr>
        <b/>
        <sz val="11"/>
        <color rgb="FFC00000"/>
        <rFont val="Calibri"/>
        <family val="2"/>
      </rPr>
      <t>Enter the specific budget items</t>
    </r>
    <r>
      <rPr>
        <sz val="11"/>
        <rFont val="Calibri"/>
        <family val="2"/>
      </rPr>
      <t xml:space="preserve"> for this site in the main table.</t>
    </r>
    <r>
      <rPr>
        <b/>
        <sz val="11"/>
        <color rgb="FFC00000"/>
        <rFont val="Calibri"/>
        <family val="2"/>
      </rPr>
      <t xml:space="preserve"> All fields are required</t>
    </r>
    <r>
      <rPr>
        <sz val="11"/>
        <rFont val="Calibri"/>
        <family val="2"/>
      </rPr>
      <t xml:space="preserve">, </t>
    </r>
    <r>
      <rPr>
        <b/>
        <sz val="11"/>
        <rFont val="Calibri"/>
        <family val="2"/>
      </rPr>
      <t>unless otherwise noted</t>
    </r>
    <r>
      <rPr>
        <sz val="11"/>
        <rFont val="Calibri"/>
        <family val="2"/>
      </rPr>
      <t xml:space="preserve">. </t>
    </r>
  </si>
  <si>
    <r>
      <t xml:space="preserve">This tab </t>
    </r>
    <r>
      <rPr>
        <b/>
        <sz val="11"/>
        <color rgb="FFC00000"/>
        <rFont val="Calibri"/>
        <family val="2"/>
      </rPr>
      <t>verifies that each of the budget requirements have been met</t>
    </r>
    <r>
      <rPr>
        <sz val="11"/>
        <rFont val="Calibri"/>
        <family val="2"/>
      </rPr>
      <t xml:space="preserve"> and </t>
    </r>
    <r>
      <rPr>
        <b/>
        <sz val="11"/>
        <color rgb="FFC00000"/>
        <rFont val="Calibri"/>
        <family val="2"/>
      </rPr>
      <t>provides a summary of the total amount budgeted</t>
    </r>
    <r>
      <rPr>
        <sz val="11"/>
        <rFont val="Calibri"/>
        <family val="2"/>
      </rPr>
      <t xml:space="preserve"> by Budget Category and Program Type. </t>
    </r>
  </si>
  <si>
    <r>
      <rPr>
        <b/>
        <sz val="12"/>
        <color rgb="FFC00000"/>
        <rFont val="Calibri"/>
        <family val="2"/>
      </rPr>
      <t>Note:</t>
    </r>
    <r>
      <rPr>
        <sz val="11"/>
        <rFont val="Calibri"/>
        <family val="2"/>
      </rPr>
      <t xml:space="preserve"> </t>
    </r>
    <r>
      <rPr>
        <b/>
        <sz val="11"/>
        <rFont val="Calibri"/>
        <family val="2"/>
      </rPr>
      <t>It is important to review this tab prior to submitting the completed Budget Form.</t>
    </r>
    <r>
      <rPr>
        <sz val="11"/>
        <rFont val="Calibri"/>
        <family val="2"/>
      </rPr>
      <t xml:space="preserve"> Specifically, the following items should be reviewed:</t>
    </r>
  </si>
  <si>
    <t>List of Entity IDs</t>
  </si>
  <si>
    <r>
      <t>Requirements Met:</t>
    </r>
    <r>
      <rPr>
        <sz val="11"/>
        <rFont val="Calibri"/>
        <family val="2"/>
      </rPr>
      <t xml:space="preserve"> All four requirements in the Verification table at the top of the page should indicate "Yes" in the "Requirements Met?" column. </t>
    </r>
  </si>
  <si>
    <r>
      <rPr>
        <b/>
        <sz val="11"/>
        <rFont val="Calibri"/>
        <family val="2"/>
      </rPr>
      <t>Total Amount Budgeted:</t>
    </r>
    <r>
      <rPr>
        <sz val="11"/>
        <rFont val="Calibri"/>
        <family val="2"/>
      </rPr>
      <t xml:space="preserve"> The Total Amount Budgeted shown to the right of the Budget by Category table should not exceed the Year 1 Grant Amount.</t>
    </r>
  </si>
  <si>
    <r>
      <rPr>
        <b/>
        <sz val="11"/>
        <rFont val="Calibri"/>
        <family val="2"/>
        <scheme val="minor"/>
      </rPr>
      <t>These amounts represent the official 
budget that actual expenditures 
will be compared against.</t>
    </r>
    <r>
      <rPr>
        <sz val="11"/>
        <rFont val="Calibri"/>
        <family val="2"/>
        <scheme val="minor"/>
      </rPr>
      <t xml:space="preserve"> If actual expenditures for a budget category 
vary by </t>
    </r>
    <r>
      <rPr>
        <b/>
        <sz val="11"/>
        <rFont val="Calibri"/>
        <family val="2"/>
        <scheme val="minor"/>
      </rPr>
      <t>10% or more of the budgeted amount</t>
    </r>
    <r>
      <rPr>
        <sz val="11"/>
        <rFont val="Calibri"/>
        <family val="2"/>
        <scheme val="minor"/>
      </rPr>
      <t xml:space="preserve">, an amended budget </t>
    </r>
    <r>
      <rPr>
        <b/>
        <sz val="11"/>
        <rFont val="Calibri"/>
        <family val="2"/>
        <scheme val="minor"/>
      </rPr>
      <t xml:space="preserve">must </t>
    </r>
    <r>
      <rPr>
        <sz val="11"/>
        <rFont val="Calibri"/>
        <family val="2"/>
        <scheme val="minor"/>
      </rPr>
      <t>be submitted and approved before reimbursement will be issued.</t>
    </r>
  </si>
  <si>
    <r>
      <rPr>
        <b/>
        <sz val="11"/>
        <rFont val="Calibri"/>
        <family val="2"/>
      </rPr>
      <t>Total Grant Budget by Category:</t>
    </r>
    <r>
      <rPr>
        <sz val="11"/>
        <rFont val="Calibri"/>
        <family val="2"/>
      </rPr>
      <t xml:space="preserve"> Ensure the amounts in the portion of the table outlined in </t>
    </r>
    <r>
      <rPr>
        <b/>
        <sz val="11"/>
        <color rgb="FF408740"/>
        <rFont val="Calibri"/>
        <family val="2"/>
      </rPr>
      <t>green</t>
    </r>
    <r>
      <rPr>
        <sz val="11"/>
        <rFont val="Calibri"/>
        <family val="2"/>
      </rPr>
      <t xml:space="preserve"> are accurate. </t>
    </r>
    <r>
      <rPr>
        <b/>
        <u/>
        <sz val="11"/>
        <color rgb="FFC00000"/>
        <rFont val="Calibri"/>
        <family val="2"/>
      </rPr>
      <t>This is the official budget that actual expenditures will be compared against</t>
    </r>
    <r>
      <rPr>
        <sz val="11"/>
        <rFont val="Calibri"/>
        <family val="2"/>
      </rPr>
      <t xml:space="preserve">. If actual expenditures for a budget category vary by </t>
    </r>
    <r>
      <rPr>
        <b/>
        <sz val="11"/>
        <rFont val="Calibri"/>
        <family val="2"/>
      </rPr>
      <t>10% or more of the budgeted amount</t>
    </r>
    <r>
      <rPr>
        <sz val="11"/>
        <rFont val="Calibri"/>
        <family val="2"/>
      </rPr>
      <t xml:space="preserve">, an amended </t>
    </r>
    <r>
      <rPr>
        <b/>
        <sz val="11"/>
        <rFont val="Calibri"/>
        <family val="2"/>
      </rPr>
      <t>budget</t>
    </r>
    <r>
      <rPr>
        <sz val="11"/>
        <rFont val="Calibri"/>
        <family val="2"/>
      </rPr>
      <t xml:space="preserve"> must be submitted and approved before reimbursement will be issued.</t>
    </r>
  </si>
  <si>
    <t>that section.</t>
  </si>
  <si>
    <r>
      <t xml:space="preserve">Below are instructions on how to use each of the tabs within this workbook. </t>
    </r>
    <r>
      <rPr>
        <b/>
        <sz val="11"/>
        <color rgb="FFC00000"/>
        <rFont val="Calibri"/>
        <family val="2"/>
      </rPr>
      <t>Please review each section</t>
    </r>
  </si>
  <si>
    <r>
      <rPr>
        <b/>
        <sz val="11"/>
        <color rgb="FFC00000"/>
        <rFont val="Calibri"/>
        <family val="2"/>
      </rPr>
      <t>carefully prior to completing this Budget Form.</t>
    </r>
    <r>
      <rPr>
        <sz val="11"/>
        <rFont val="Calibri"/>
        <family val="2"/>
      </rPr>
      <t xml:space="preserve"> You can go directly to each tab by clicking the heading of</t>
    </r>
  </si>
  <si>
    <r>
      <t xml:space="preserve">This tab provides a summary of relevant budget requirements and definitions of each of the required budget categories. </t>
    </r>
    <r>
      <rPr>
        <b/>
        <sz val="11"/>
        <rFont val="Calibri"/>
        <family val="2"/>
      </rPr>
      <t xml:space="preserve">Please review each section prior to completing this Budget Form. </t>
    </r>
  </si>
  <si>
    <r>
      <t xml:space="preserve">Use this tab to list budget items that are </t>
    </r>
    <r>
      <rPr>
        <b/>
        <u/>
        <sz val="11"/>
        <color rgb="FFC00000"/>
        <rFont val="Calibri"/>
        <family val="2"/>
      </rPr>
      <t>not</t>
    </r>
    <r>
      <rPr>
        <b/>
        <sz val="11"/>
        <color rgb="FFC00000"/>
        <rFont val="Calibri"/>
        <family val="2"/>
      </rPr>
      <t xml:space="preserve"> specifically tied to an individual site</t>
    </r>
    <r>
      <rPr>
        <b/>
        <sz val="11"/>
        <rFont val="Calibri"/>
        <family val="2"/>
      </rPr>
      <t>, but relate to the</t>
    </r>
    <r>
      <rPr>
        <sz val="11"/>
        <rFont val="Calibri"/>
        <family val="2"/>
      </rPr>
      <t xml:space="preserve"> </t>
    </r>
    <r>
      <rPr>
        <b/>
        <sz val="11"/>
        <rFont val="Calibri"/>
        <family val="2"/>
      </rPr>
      <t>grant as a whole</t>
    </r>
    <r>
      <rPr>
        <sz val="11"/>
        <rFont val="Calibri"/>
        <family val="2"/>
      </rPr>
      <t xml:space="preserve"> </t>
    </r>
    <r>
      <rPr>
        <i/>
        <sz val="11"/>
        <rFont val="Calibri"/>
        <family val="2"/>
      </rPr>
      <t>(e.g. Program Director salary, indirect costs, etc.).</t>
    </r>
  </si>
  <si>
    <r>
      <rPr>
        <b/>
        <sz val="12"/>
        <color rgb="FF1A75BC"/>
        <rFont val="Calibri"/>
        <family val="2"/>
      </rPr>
      <t>Curriculum:</t>
    </r>
    <r>
      <rPr>
        <sz val="11"/>
        <rFont val="Calibri"/>
        <family val="2"/>
      </rPr>
      <t xml:space="preserve"> Costs associated with acquiring curriculum. Curriculum includes a standards-based sequence of planned experiences where students practice and achieve proficiency in content and applied learning skills. Curriculum must include the necessary goals, methods, materials, and assessments to effectively support instruction and learning.</t>
    </r>
  </si>
  <si>
    <t>planned expenditures align with the grant goals and requirements. The budget period for Year 1 is</t>
  </si>
  <si>
    <r>
      <rPr>
        <b/>
        <sz val="11"/>
        <color rgb="FFC00000"/>
        <rFont val="Calibri"/>
        <family val="2"/>
      </rPr>
      <t xml:space="preserve">September 1, 2023 </t>
    </r>
    <r>
      <rPr>
        <sz val="11"/>
        <rFont val="Calibri"/>
        <family val="2"/>
      </rPr>
      <t xml:space="preserve">through </t>
    </r>
    <r>
      <rPr>
        <b/>
        <sz val="11"/>
        <color rgb="FFC00000"/>
        <rFont val="Calibri"/>
        <family val="2"/>
      </rPr>
      <t>September 30, 2024</t>
    </r>
    <r>
      <rPr>
        <sz val="11"/>
        <rFont val="Calibri"/>
        <family val="2"/>
      </rPr>
      <t>.</t>
    </r>
  </si>
  <si>
    <r>
      <rPr>
        <b/>
        <sz val="12"/>
        <color rgb="FF1A75BC"/>
        <rFont val="Calibri"/>
        <family val="2"/>
      </rPr>
      <t>Staff Development:</t>
    </r>
    <r>
      <rPr>
        <sz val="11"/>
        <rFont val="Calibri"/>
        <family val="2"/>
      </rPr>
      <t xml:space="preserve"> Costs associated with staff training, professional development, and technical assistance. </t>
    </r>
    <r>
      <rPr>
        <b/>
        <sz val="11"/>
        <rFont val="Calibri"/>
        <family val="2"/>
      </rPr>
      <t>Travel costs</t>
    </r>
    <r>
      <rPr>
        <sz val="11"/>
        <rFont val="Calibri"/>
        <family val="2"/>
      </rPr>
      <t xml:space="preserve"> related to staff development should also be included in this category.</t>
    </r>
  </si>
  <si>
    <r>
      <rPr>
        <b/>
        <sz val="12"/>
        <color rgb="FF1A75BC"/>
        <rFont val="Calibri"/>
        <family val="2"/>
      </rPr>
      <t>Travel:</t>
    </r>
    <r>
      <rPr>
        <sz val="11"/>
        <rFont val="Calibri"/>
        <family val="2"/>
      </rPr>
      <t xml:space="preserve"> Costs associated with </t>
    </r>
    <r>
      <rPr>
        <b/>
        <sz val="11"/>
        <rFont val="Calibri"/>
        <family val="2"/>
      </rPr>
      <t>program related staff travel</t>
    </r>
    <r>
      <rPr>
        <sz val="11"/>
        <rFont val="Calibri"/>
        <family val="2"/>
      </rPr>
      <t xml:space="preserve"> </t>
    </r>
    <r>
      <rPr>
        <i/>
        <sz val="11"/>
        <rFont val="Calibri"/>
        <family val="2"/>
      </rPr>
      <t>(e.g. field trips, Program Director site visits, etc.).</t>
    </r>
    <r>
      <rPr>
        <sz val="11"/>
        <rFont val="Calibri"/>
        <family val="2"/>
      </rPr>
      <t xml:space="preserve"> Indicate the type and reason for travel expenses in the </t>
    </r>
    <r>
      <rPr>
        <i/>
        <sz val="11"/>
        <rFont val="Calibri"/>
        <family val="2"/>
      </rPr>
      <t>Expenditure Description</t>
    </r>
    <r>
      <rPr>
        <sz val="11"/>
        <rFont val="Calibri"/>
        <family val="2"/>
      </rPr>
      <t xml:space="preserve"> column.</t>
    </r>
  </si>
  <si>
    <r>
      <rPr>
        <b/>
        <sz val="12"/>
        <color rgb="FF1A75BC"/>
        <rFont val="Calibri"/>
        <family val="2"/>
      </rPr>
      <t>Transportation:</t>
    </r>
    <r>
      <rPr>
        <sz val="11"/>
        <rFont val="Calibri"/>
        <family val="2"/>
      </rPr>
      <t xml:space="preserve"> Costs associated with providing student transportation to and from programs and for field trips. </t>
    </r>
    <r>
      <rPr>
        <i/>
        <sz val="11"/>
        <color rgb="FFC00000"/>
        <rFont val="Calibri"/>
        <family val="2"/>
      </rPr>
      <t>*The 21st CCLC grant is not designed to fund all anticipated program costs. All programs should pursue other funding sources to cover these expenses prior to charging them to the grant.</t>
    </r>
  </si>
  <si>
    <r>
      <rPr>
        <b/>
        <sz val="12"/>
        <color rgb="FF1A75BC"/>
        <rFont val="Calibri"/>
        <family val="2"/>
      </rPr>
      <t>Meals and Snacks:</t>
    </r>
    <r>
      <rPr>
        <sz val="11"/>
        <rFont val="Calibri"/>
        <family val="2"/>
      </rPr>
      <t xml:space="preserve"> Costs associated with providing students with meals and snacks that meet USDA nutritional guidelines.</t>
    </r>
    <r>
      <rPr>
        <sz val="11"/>
        <color rgb="FF16649E"/>
        <rFont val="Calibri"/>
        <family val="2"/>
      </rPr>
      <t xml:space="preserve"> </t>
    </r>
    <r>
      <rPr>
        <i/>
        <sz val="11"/>
        <color rgb="FFC00000"/>
        <rFont val="Calibri"/>
        <family val="2"/>
      </rPr>
      <t xml:space="preserve">*The 21st CCLC grant is not designed to fund all anticipated program costs. All programs should pursue other funding sources to cover these expenses prior to charging them to the grant. For more information, please see this </t>
    </r>
    <r>
      <rPr>
        <b/>
        <i/>
        <u/>
        <sz val="11"/>
        <color rgb="FF1A75BC"/>
        <rFont val="Calibri"/>
        <family val="2"/>
      </rPr>
      <t>guidance on using grant funds for food costs</t>
    </r>
    <r>
      <rPr>
        <i/>
        <sz val="1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</si>
</sst>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s>
  <fonts count="90"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b/>
      <sz val="18"/>
      <color rgb="FF1A75BC"/>
      <name val="Calibri"/>
      <family val="2"/>
      <scheme val="minor"/>
    </font>
    <font>
      <b/>
      <sz val="18"/>
      <color theme="1"/>
      <name val="Calibri"/>
      <family val="2"/>
      <scheme val="minor"/>
    </font>
    <font>
      <sz val="11"/>
      <color rgb="FF1A75BC"/>
      <name val="Calibri"/>
      <family val="2"/>
      <scheme val="minor"/>
    </font>
    <font>
      <u/>
      <sz val="11"/>
      <color theme="10"/>
      <name val="Calibri"/>
      <family val="2"/>
      <scheme val="minor"/>
    </font>
    <font>
      <sz val="11"/>
      <color theme="1"/>
      <name val="Calibri"/>
      <family val="2"/>
    </font>
    <font>
      <b/>
      <sz val="14"/>
      <color theme="1"/>
      <name val="Calibri"/>
      <family val="2"/>
    </font>
    <font>
      <b/>
      <sz val="14"/>
      <color theme="1"/>
      <name val="Calibri"/>
      <family val="2"/>
      <scheme val="minor"/>
    </font>
    <font>
      <sz val="11"/>
      <color theme="0"/>
      <name val="Calibri"/>
      <family val="2"/>
    </font>
    <font>
      <b/>
      <sz val="11"/>
      <color theme="1"/>
      <name val="Calibri"/>
      <family val="2"/>
    </font>
    <font>
      <i/>
      <sz val="11"/>
      <color theme="1"/>
      <name val="Calibri"/>
      <family val="2"/>
    </font>
    <font>
      <b/>
      <sz val="19"/>
      <color rgb="FF1A75BC"/>
      <name val="Calibri"/>
      <family val="2"/>
      <scheme val="minor"/>
    </font>
    <font>
      <sz val="11"/>
      <name val="Calibri"/>
      <family val="2"/>
    </font>
    <font>
      <b/>
      <sz val="11"/>
      <color rgb="FFFF0000"/>
      <name val="Calibri"/>
      <family val="2"/>
    </font>
    <font>
      <b/>
      <sz val="11"/>
      <color theme="0"/>
      <name val="Calibri"/>
      <family val="2"/>
    </font>
    <font>
      <b/>
      <sz val="11"/>
      <name val="Calibri"/>
      <family val="2"/>
    </font>
    <font>
      <b/>
      <sz val="11"/>
      <color rgb="FFC00000"/>
      <name val="Calibri"/>
      <family val="2"/>
    </font>
    <font>
      <b/>
      <sz val="19"/>
      <color rgb="FF1A75BC"/>
      <name val="Calibri"/>
      <family val="2"/>
    </font>
    <font>
      <b/>
      <sz val="19"/>
      <name val="Calibri"/>
      <family val="2"/>
      <scheme val="minor"/>
    </font>
    <font>
      <i/>
      <sz val="11"/>
      <name val="Calibri"/>
      <family val="2"/>
    </font>
    <font>
      <b/>
      <sz val="12"/>
      <name val="Calibri"/>
      <family val="2"/>
    </font>
    <font>
      <sz val="12"/>
      <name val="Calibri"/>
      <family val="2"/>
    </font>
    <font>
      <u/>
      <sz val="11"/>
      <name val="Calibri"/>
      <family val="2"/>
    </font>
    <font>
      <b/>
      <sz val="11"/>
      <color rgb="FF1A75BC"/>
      <name val="Calibri"/>
      <family val="2"/>
    </font>
    <font>
      <b/>
      <u/>
      <sz val="12"/>
      <color theme="10"/>
      <name val="Calibri"/>
      <family val="2"/>
    </font>
    <font>
      <u/>
      <sz val="12"/>
      <color theme="10"/>
      <name val="Calibri"/>
      <family val="2"/>
    </font>
    <font>
      <u/>
      <sz val="11"/>
      <color rgb="FF16649E"/>
      <name val="Calibri"/>
      <family val="2"/>
    </font>
    <font>
      <b/>
      <u/>
      <sz val="11"/>
      <color rgb="FF16649E"/>
      <name val="Calibri"/>
      <family val="2"/>
    </font>
    <font>
      <sz val="11"/>
      <color rgb="FF16649E"/>
      <name val="Calibri"/>
      <family val="2"/>
    </font>
    <font>
      <i/>
      <sz val="11"/>
      <color theme="1" tint="0.34998626667073579"/>
      <name val="Calibri"/>
      <family val="2"/>
    </font>
    <font>
      <b/>
      <i/>
      <sz val="11"/>
      <color rgb="FFC00000"/>
      <name val="Calibri"/>
      <family val="2"/>
    </font>
    <font>
      <b/>
      <i/>
      <sz val="11"/>
      <color theme="1"/>
      <name val="Calibri"/>
      <family val="2"/>
    </font>
    <font>
      <b/>
      <sz val="11"/>
      <color rgb="FF1A75BC"/>
      <name val="Calibri"/>
      <family val="2"/>
      <scheme val="minor"/>
    </font>
    <font>
      <b/>
      <u/>
      <sz val="12"/>
      <color rgb="FF1A75BC"/>
      <name val="Calibri"/>
      <family val="2"/>
    </font>
    <font>
      <b/>
      <sz val="12"/>
      <color rgb="FF1A75BC"/>
      <name val="Calibri"/>
      <family val="2"/>
    </font>
    <font>
      <b/>
      <sz val="11"/>
      <color rgb="FFAAD4F4"/>
      <name val="Calibri"/>
      <family val="2"/>
      <scheme val="minor"/>
    </font>
    <font>
      <sz val="11"/>
      <color rgb="FFC00000"/>
      <name val="Calibri"/>
      <family val="2"/>
    </font>
    <font>
      <b/>
      <sz val="14"/>
      <color rgb="FFC00000"/>
      <name val="Calibri"/>
      <family val="2"/>
    </font>
    <font>
      <b/>
      <u/>
      <sz val="11"/>
      <name val="Calibri"/>
      <family val="2"/>
    </font>
    <font>
      <b/>
      <sz val="12"/>
      <color rgb="FFC00000"/>
      <name val="Calibri"/>
      <family val="2"/>
    </font>
    <font>
      <b/>
      <u/>
      <sz val="11"/>
      <color rgb="FFC00000"/>
      <name val="Calibri"/>
      <family val="2"/>
    </font>
    <font>
      <b/>
      <i/>
      <sz val="11"/>
      <color rgb="FFC00000"/>
      <name val="Calibri"/>
      <family val="2"/>
      <scheme val="minor"/>
    </font>
    <font>
      <b/>
      <sz val="11"/>
      <color rgb="FFC00000"/>
      <name val="Calibri"/>
      <family val="2"/>
      <scheme val="minor"/>
    </font>
    <font>
      <b/>
      <i/>
      <sz val="10"/>
      <color theme="1"/>
      <name val="Calibri"/>
      <family val="2"/>
      <scheme val="minor"/>
    </font>
    <font>
      <b/>
      <sz val="11"/>
      <color rgb="FF9F2065"/>
      <name val="Calibri"/>
      <family val="2"/>
    </font>
    <font>
      <b/>
      <sz val="11"/>
      <color rgb="FF408740"/>
      <name val="Calibri"/>
      <family val="2"/>
    </font>
    <font>
      <b/>
      <sz val="19"/>
      <color rgb="FF408740"/>
      <name val="Calibri"/>
      <family val="2"/>
      <scheme val="minor"/>
    </font>
    <font>
      <sz val="11"/>
      <color rgb="FF408740"/>
      <name val="Calibri"/>
      <family val="2"/>
    </font>
    <font>
      <b/>
      <sz val="19"/>
      <color rgb="FF9F2065"/>
      <name val="Calibri"/>
      <family val="2"/>
      <scheme val="minor"/>
    </font>
    <font>
      <b/>
      <sz val="14"/>
      <name val="Calibri"/>
      <family val="2"/>
    </font>
    <font>
      <b/>
      <sz val="13"/>
      <color rgb="FF1A75BC"/>
      <name val="Calibri"/>
      <family val="2"/>
    </font>
    <font>
      <b/>
      <u/>
      <sz val="12"/>
      <color rgb="FF16649E"/>
      <name val="Calibri"/>
      <family val="2"/>
    </font>
    <font>
      <b/>
      <u/>
      <sz val="12"/>
      <color rgb="FFC00000"/>
      <name val="Calibri"/>
      <family val="2"/>
    </font>
    <font>
      <b/>
      <sz val="13"/>
      <color rgb="FFC00000"/>
      <name val="Calibri"/>
      <family val="2"/>
    </font>
    <font>
      <i/>
      <sz val="11"/>
      <color rgb="FF16649E"/>
      <name val="Calibri"/>
      <family val="2"/>
    </font>
    <font>
      <b/>
      <i/>
      <sz val="11"/>
      <color theme="1" tint="0.34998626667073579"/>
      <name val="Calibri"/>
      <family val="2"/>
    </font>
    <font>
      <b/>
      <sz val="13"/>
      <name val="Calibri"/>
      <family val="2"/>
      <scheme val="minor"/>
    </font>
    <font>
      <b/>
      <sz val="12"/>
      <name val="Calibri"/>
      <family val="2"/>
      <scheme val="minor"/>
    </font>
    <font>
      <sz val="11"/>
      <name val="Calibri"/>
      <family val="2"/>
      <scheme val="minor"/>
    </font>
    <font>
      <b/>
      <sz val="11"/>
      <name val="Calibri"/>
      <family val="2"/>
      <scheme val="minor"/>
    </font>
    <font>
      <b/>
      <sz val="10"/>
      <name val="Segoe UI Symbol"/>
      <family val="2"/>
    </font>
    <font>
      <b/>
      <u/>
      <sz val="13"/>
      <color rgb="FF16649E"/>
      <name val="Calibri"/>
      <family val="2"/>
    </font>
    <font>
      <i/>
      <sz val="11"/>
      <color theme="0"/>
      <name val="Calibri"/>
      <family val="2"/>
    </font>
    <font>
      <i/>
      <sz val="13"/>
      <color rgb="FF16649E"/>
      <name val="Calibri"/>
      <family val="2"/>
    </font>
    <font>
      <b/>
      <sz val="12"/>
      <color rgb="FF16649E"/>
      <name val="Calibri"/>
      <family val="2"/>
    </font>
    <font>
      <i/>
      <u/>
      <sz val="11"/>
      <color rgb="FF16649E"/>
      <name val="Calibri"/>
      <family val="2"/>
    </font>
    <font>
      <i/>
      <sz val="11"/>
      <color rgb="FFC00000"/>
      <name val="Calibri"/>
      <family val="2"/>
    </font>
    <font>
      <b/>
      <i/>
      <u/>
      <sz val="11"/>
      <color rgb="FF1A75BC"/>
      <name val="Calibri"/>
      <family val="2"/>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5F2FB"/>
        <bgColor indexed="64"/>
      </patternFill>
    </fill>
    <fill>
      <patternFill patternType="solid">
        <fgColor rgb="FFC9E3F7"/>
        <bgColor indexed="64"/>
      </patternFill>
    </fill>
    <fill>
      <patternFill patternType="solid">
        <fgColor rgb="FFAAD4F4"/>
        <bgColor indexed="64"/>
      </patternFill>
    </fill>
    <fill>
      <patternFill patternType="solid">
        <fgColor theme="2" tint="0.59999389629810485"/>
        <bgColor indexed="64"/>
      </patternFill>
    </fill>
    <fill>
      <patternFill patternType="solid">
        <fgColor rgb="FFFFE699"/>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A1D3A1"/>
        <bgColor indexed="64"/>
      </patternFill>
    </fill>
    <fill>
      <patternFill patternType="solid">
        <fgColor rgb="FFC9E5C9"/>
        <bgColor indexed="64"/>
      </patternFill>
    </fill>
    <fill>
      <patternFill patternType="solid">
        <fgColor theme="0" tint="-4.9989318521683403E-2"/>
        <bgColor indexed="64"/>
      </patternFill>
    </fill>
  </fills>
  <borders count="17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D4D4D4"/>
      </right>
      <top style="medium">
        <color indexed="64"/>
      </top>
      <bottom style="thin">
        <color rgb="FFD4D4D4"/>
      </bottom>
      <diagonal/>
    </border>
    <border>
      <left/>
      <right style="thin">
        <color rgb="FFD4D4D4"/>
      </right>
      <top style="thin">
        <color rgb="FFD4D4D4"/>
      </top>
      <bottom style="thin">
        <color rgb="FFD4D4D4"/>
      </bottom>
      <diagonal/>
    </border>
    <border>
      <left/>
      <right style="thin">
        <color rgb="FFD4D4D4"/>
      </right>
      <top style="thin">
        <color rgb="FFD4D4D4"/>
      </top>
      <bottom/>
      <diagonal/>
    </border>
    <border>
      <left style="thin">
        <color indexed="64"/>
      </left>
      <right/>
      <top/>
      <bottom/>
      <diagonal/>
    </border>
    <border>
      <left/>
      <right/>
      <top/>
      <bottom style="thin">
        <color indexed="64"/>
      </bottom>
      <diagonal/>
    </border>
    <border>
      <left/>
      <right style="thin">
        <color theme="0" tint="-0.34998626667073579"/>
      </right>
      <top/>
      <bottom/>
      <diagonal/>
    </border>
    <border>
      <left style="thin">
        <color theme="0" tint="-0.34998626667073579"/>
      </left>
      <right/>
      <top/>
      <bottom/>
      <diagonal/>
    </border>
    <border>
      <left/>
      <right style="thin">
        <color theme="0" tint="-0.34998626667073579"/>
      </right>
      <top/>
      <bottom style="medium">
        <color indexed="64"/>
      </bottom>
      <diagonal/>
    </border>
    <border>
      <left style="thin">
        <color theme="0" tint="-0.34998626667073579"/>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theme="0" tint="-0.34998626667073579"/>
      </right>
      <top style="thin">
        <color indexed="64"/>
      </top>
      <bottom style="medium">
        <color auto="1"/>
      </bottom>
      <diagonal/>
    </border>
    <border>
      <left style="thin">
        <color theme="0" tint="-0.34998626667073579"/>
      </left>
      <right style="thin">
        <color theme="0" tint="-0.34998626667073579"/>
      </right>
      <top style="thin">
        <color indexed="64"/>
      </top>
      <bottom style="medium">
        <color auto="1"/>
      </bottom>
      <diagonal/>
    </border>
    <border>
      <left style="thin">
        <color rgb="FFD4D4D4"/>
      </left>
      <right/>
      <top style="medium">
        <color indexed="64"/>
      </top>
      <bottom style="thin">
        <color rgb="FFD4D4D4"/>
      </bottom>
      <diagonal/>
    </border>
    <border>
      <left style="thin">
        <color rgb="FFD4D4D4"/>
      </left>
      <right/>
      <top style="thin">
        <color rgb="FFD4D4D4"/>
      </top>
      <bottom style="thin">
        <color rgb="FFD4D4D4"/>
      </bottom>
      <diagonal/>
    </border>
    <border>
      <left style="thin">
        <color rgb="FFD4D4D4"/>
      </left>
      <right/>
      <top style="thin">
        <color rgb="FFD4D4D4"/>
      </top>
      <bottom/>
      <diagonal/>
    </border>
    <border>
      <left style="thin">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indexed="64"/>
      </bottom>
      <diagonal/>
    </border>
    <border>
      <left style="thin">
        <color theme="0" tint="-0.499984740745262"/>
      </left>
      <right style="thin">
        <color theme="0" tint="-0.34998626667073579"/>
      </right>
      <top style="thin">
        <color indexed="64"/>
      </top>
      <bottom style="thin">
        <color indexed="64"/>
      </bottom>
      <diagonal/>
    </border>
    <border>
      <left style="thin">
        <color theme="0" tint="-0.34998626667073579"/>
      </left>
      <right style="thin">
        <color theme="0" tint="-0.499984740745262"/>
      </right>
      <top style="thin">
        <color indexed="64"/>
      </top>
      <bottom style="thin">
        <color indexed="64"/>
      </bottom>
      <diagonal/>
    </border>
    <border>
      <left style="thin">
        <color theme="0" tint="-0.499984740745262"/>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theme="0" tint="-0.14996795556505021"/>
      </top>
      <bottom style="thin">
        <color indexed="64"/>
      </bottom>
      <diagonal/>
    </border>
    <border>
      <left/>
      <right style="thin">
        <color theme="0" tint="-0.34998626667073579"/>
      </right>
      <top style="thin">
        <color indexed="64"/>
      </top>
      <bottom style="medium">
        <color auto="1"/>
      </bottom>
      <diagonal/>
    </border>
    <border>
      <left style="thin">
        <color theme="0" tint="-0.34998626667073579"/>
      </left>
      <right style="thin">
        <color auto="1"/>
      </right>
      <top/>
      <bottom/>
      <diagonal/>
    </border>
    <border>
      <left style="thin">
        <color theme="0" tint="-0.34998626667073579"/>
      </left>
      <right style="thin">
        <color auto="1"/>
      </right>
      <top style="thin">
        <color indexed="64"/>
      </top>
      <bottom style="thin">
        <color rgb="FFD4D4D4"/>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theme="0" tint="-0.34998626667073579"/>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auto="1"/>
      </bottom>
      <diagonal/>
    </border>
    <border>
      <left style="thin">
        <color theme="0" tint="-0.34998626667073579"/>
      </left>
      <right style="thin">
        <color indexed="64"/>
      </right>
      <top style="thin">
        <color theme="0" tint="-0.14996795556505021"/>
      </top>
      <bottom style="thin">
        <color auto="1"/>
      </bottom>
      <diagonal/>
    </border>
    <border>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diagonal/>
    </border>
    <border>
      <left style="thin">
        <color theme="0" tint="-0.14996795556505021"/>
      </left>
      <right/>
      <top style="thin">
        <color theme="0" tint="-0.14996795556505021"/>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style="thin">
        <color theme="0" tint="-0.14996795556505021"/>
      </bottom>
      <diagonal/>
    </border>
    <border>
      <left/>
      <right style="thin">
        <color indexed="64"/>
      </right>
      <top/>
      <bottom style="thin">
        <color theme="0" tint="-0.14996795556505021"/>
      </bottom>
      <diagonal/>
    </border>
    <border>
      <left style="thin">
        <color theme="0" tint="-0.34998626667073579"/>
      </left>
      <right/>
      <top style="thin">
        <color theme="0" tint="-0.14996795556505021"/>
      </top>
      <bottom/>
      <diagonal/>
    </border>
    <border>
      <left/>
      <right style="thin">
        <color auto="1"/>
      </right>
      <top style="thin">
        <color theme="0" tint="-0.14996795556505021"/>
      </top>
      <bottom/>
      <diagonal/>
    </border>
    <border>
      <left/>
      <right/>
      <top/>
      <bottom style="thin">
        <color theme="0" tint="-0.14996795556505021"/>
      </bottom>
      <diagonal/>
    </border>
    <border>
      <left/>
      <right/>
      <top style="thin">
        <color theme="0" tint="-0.14996795556505021"/>
      </top>
      <bottom/>
      <diagonal/>
    </border>
    <border>
      <left style="thin">
        <color theme="0" tint="-0.34998626667073579"/>
      </left>
      <right style="thin">
        <color theme="0" tint="-0.34998626667073579"/>
      </right>
      <top style="thin">
        <color indexed="64"/>
      </top>
      <bottom/>
      <diagonal/>
    </border>
    <border>
      <left style="thin">
        <color theme="0" tint="-0.34998626667073579"/>
      </left>
      <right style="thin">
        <color theme="0" tint="-0.499984740745262"/>
      </right>
      <top style="thin">
        <color auto="1"/>
      </top>
      <bottom/>
      <diagonal/>
    </border>
    <border>
      <left style="thin">
        <color theme="0" tint="-0.499984740745262"/>
      </left>
      <right style="thin">
        <color indexed="64"/>
      </right>
      <top style="thin">
        <color indexed="64"/>
      </top>
      <bottom/>
      <diagonal/>
    </border>
    <border>
      <left style="thin">
        <color theme="1" tint="0.34998626667073579"/>
      </left>
      <right style="thin">
        <color theme="0" tint="-0.34998626667073579"/>
      </right>
      <top/>
      <bottom/>
      <diagonal/>
    </border>
    <border>
      <left style="thin">
        <color theme="0" tint="-0.34998626667073579"/>
      </left>
      <right style="thin">
        <color auto="1"/>
      </right>
      <top style="thin">
        <color auto="1"/>
      </top>
      <bottom/>
      <diagonal/>
    </border>
    <border>
      <left style="thin">
        <color theme="0" tint="-0.34998626667073579"/>
      </left>
      <right style="thin">
        <color theme="0" tint="-0.34998626667073579"/>
      </right>
      <top/>
      <bottom style="medium">
        <color auto="1"/>
      </bottom>
      <diagonal/>
    </border>
    <border>
      <left style="thin">
        <color theme="0" tint="-0.34998626667073579"/>
      </left>
      <right style="thin">
        <color indexed="64"/>
      </right>
      <top style="thin">
        <color theme="0" tint="-0.14996795556505021"/>
      </top>
      <bottom style="thin">
        <color theme="0" tint="-0.14996795556505021"/>
      </bottom>
      <diagonal/>
    </border>
    <border>
      <left style="thin">
        <color theme="0" tint="-0.34998626667073579"/>
      </left>
      <right style="thin">
        <color indexed="64"/>
      </right>
      <top style="thin">
        <color theme="0" tint="-0.14996795556505021"/>
      </top>
      <bottom/>
      <diagonal/>
    </border>
    <border>
      <left style="thin">
        <color indexed="64"/>
      </left>
      <right style="thin">
        <color theme="0" tint="-0.34998626667073579"/>
      </right>
      <top/>
      <bottom style="thin">
        <color indexed="64"/>
      </bottom>
      <diagonal/>
    </border>
    <border>
      <left style="thin">
        <color theme="0" tint="-0.34998626667073579"/>
      </left>
      <right style="thin">
        <color indexed="64"/>
      </right>
      <top/>
      <bottom style="thin">
        <color indexed="64"/>
      </bottom>
      <diagonal/>
    </border>
    <border>
      <left style="thin">
        <color theme="0" tint="-0.499984740745262"/>
      </left>
      <right style="thin">
        <color theme="0" tint="-0.34998626667073579"/>
      </right>
      <top style="thin">
        <color indexed="64"/>
      </top>
      <bottom/>
      <diagonal/>
    </border>
    <border>
      <left/>
      <right style="thin">
        <color theme="0" tint="-0.34998626667073579"/>
      </right>
      <top style="thin">
        <color theme="0" tint="-0.499984740745262"/>
      </top>
      <bottom style="thin">
        <color indexed="64"/>
      </bottom>
      <diagonal/>
    </border>
    <border>
      <left style="thin">
        <color theme="0" tint="-0.34998626667073579"/>
      </left>
      <right style="thin">
        <color theme="0" tint="-0.34998626667073579"/>
      </right>
      <top style="thin">
        <color theme="0" tint="-0.499984740745262"/>
      </top>
      <bottom style="thin">
        <color indexed="64"/>
      </bottom>
      <diagonal/>
    </border>
    <border>
      <left style="thin">
        <color indexed="64"/>
      </left>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right style="thin">
        <color indexed="64"/>
      </right>
      <top style="thin">
        <color theme="0" tint="-0.34998626667073579"/>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theme="0" tint="-0.499984740745262"/>
      </right>
      <top/>
      <bottom/>
      <diagonal/>
    </border>
    <border>
      <left style="thin">
        <color theme="0" tint="-0.34998626667073579"/>
      </left>
      <right style="thin">
        <color theme="0" tint="-0.499984740745262"/>
      </right>
      <top style="thin">
        <color auto="1"/>
      </top>
      <bottom style="medium">
        <color auto="1"/>
      </bottom>
      <diagonal/>
    </border>
    <border>
      <left style="thin">
        <color theme="0" tint="-0.499984740745262"/>
      </left>
      <right style="thin">
        <color theme="0" tint="-0.499984740745262"/>
      </right>
      <top style="thin">
        <color auto="1"/>
      </top>
      <bottom style="medium">
        <color auto="1"/>
      </bottom>
      <diagonal/>
    </border>
    <border>
      <left style="thin">
        <color theme="0" tint="-0.499984740745262"/>
      </left>
      <right style="thin">
        <color theme="0" tint="-0.34998626667073579"/>
      </right>
      <top style="thin">
        <color auto="1"/>
      </top>
      <bottom style="medium">
        <color auto="1"/>
      </bottom>
      <diagonal/>
    </border>
    <border>
      <left style="thin">
        <color theme="0" tint="-0.34998626667073579"/>
      </left>
      <right style="thin">
        <color theme="0" tint="-0.34998626667073579"/>
      </right>
      <top/>
      <bottom/>
      <diagonal/>
    </border>
    <border>
      <left style="thin">
        <color theme="1" tint="0.34998626667073579"/>
      </left>
      <right style="thin">
        <color theme="0" tint="-0.499984740745262"/>
      </right>
      <top style="thin">
        <color indexed="64"/>
      </top>
      <bottom style="medium">
        <color auto="1"/>
      </bottom>
      <diagonal/>
    </border>
    <border>
      <left style="thin">
        <color theme="0" tint="-0.499984740745262"/>
      </left>
      <right/>
      <top style="medium">
        <color indexed="64"/>
      </top>
      <bottom/>
      <diagonal/>
    </border>
    <border>
      <left style="thin">
        <color theme="0" tint="-0.499984740745262"/>
      </left>
      <right style="thin">
        <color auto="1"/>
      </right>
      <top style="thin">
        <color auto="1"/>
      </top>
      <bottom style="medium">
        <color auto="1"/>
      </bottom>
      <diagonal/>
    </border>
    <border>
      <left/>
      <right style="thin">
        <color theme="0" tint="-0.499984740745262"/>
      </right>
      <top style="medium">
        <color auto="1"/>
      </top>
      <bottom/>
      <diagonal/>
    </border>
    <border>
      <left/>
      <right style="thin">
        <color theme="0" tint="-0.34998626667073579"/>
      </right>
      <top style="medium">
        <color auto="1"/>
      </top>
      <bottom/>
      <diagonal/>
    </border>
    <border>
      <left style="thin">
        <color theme="0" tint="-0.34998626667073579"/>
      </left>
      <right style="thin">
        <color theme="0" tint="-0.34998626667073579"/>
      </right>
      <top style="medium">
        <color auto="1"/>
      </top>
      <bottom/>
      <diagonal/>
    </border>
    <border>
      <left style="thin">
        <color theme="0" tint="-0.34998626667073579"/>
      </left>
      <right/>
      <top style="medium">
        <color auto="1"/>
      </top>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style="thin">
        <color theme="0" tint="-0.34998626667073579"/>
      </left>
      <right style="thin">
        <color theme="0" tint="-0.34998626667073579"/>
      </right>
      <top/>
      <bottom style="thin">
        <color indexed="64"/>
      </bottom>
      <diagonal/>
    </border>
    <border>
      <left/>
      <right/>
      <top style="thin">
        <color theme="0" tint="-0.499984740745262"/>
      </top>
      <bottom style="thin">
        <color auto="1"/>
      </bottom>
      <diagonal/>
    </border>
    <border>
      <left style="thin">
        <color theme="0" tint="-0.34998626667073579"/>
      </left>
      <right/>
      <top/>
      <bottom style="thin">
        <color indexed="64"/>
      </bottom>
      <diagonal/>
    </border>
    <border>
      <left style="thin">
        <color theme="0" tint="-0.34998626667073579"/>
      </left>
      <right/>
      <top style="thin">
        <color theme="0" tint="-0.499984740745262"/>
      </top>
      <bottom style="thin">
        <color indexed="64"/>
      </bottom>
      <diagonal/>
    </border>
    <border>
      <left style="thin">
        <color theme="0" tint="-0.34998626667073579"/>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auto="1"/>
      </left>
      <right style="thin">
        <color theme="0" tint="-0.34998626667073579"/>
      </right>
      <top style="thin">
        <color auto="1"/>
      </top>
      <bottom style="thin">
        <color auto="1"/>
      </bottom>
      <diagonal/>
    </border>
    <border>
      <left/>
      <right style="thin">
        <color theme="0" tint="-0.34998626667073579"/>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theme="0" tint="-0.34998626667073579"/>
      </right>
      <top style="thin">
        <color auto="1"/>
      </top>
      <bottom/>
      <diagonal/>
    </border>
    <border>
      <left style="thick">
        <color rgb="FF408740"/>
      </left>
      <right/>
      <top style="thick">
        <color rgb="FF408740"/>
      </top>
      <bottom style="thin">
        <color theme="0" tint="-0.34998626667073579"/>
      </bottom>
      <diagonal/>
    </border>
    <border>
      <left/>
      <right style="thick">
        <color rgb="FF408740"/>
      </right>
      <top style="thick">
        <color rgb="FF408740"/>
      </top>
      <bottom style="thin">
        <color theme="0" tint="-0.34998626667073579"/>
      </bottom>
      <diagonal/>
    </border>
    <border>
      <left style="thick">
        <color rgb="FF408740"/>
      </left>
      <right style="thin">
        <color theme="0" tint="-0.34998626667073579"/>
      </right>
      <top style="thin">
        <color theme="0" tint="-0.34998626667073579"/>
      </top>
      <bottom/>
      <diagonal/>
    </border>
    <border>
      <left style="thin">
        <color theme="0" tint="-0.499984740745262"/>
      </left>
      <right style="thick">
        <color rgb="FF408740"/>
      </right>
      <top style="thin">
        <color theme="0" tint="-0.34998626667073579"/>
      </top>
      <bottom/>
      <diagonal/>
    </border>
    <border>
      <left style="thick">
        <color rgb="FF408740"/>
      </left>
      <right/>
      <top/>
      <bottom/>
      <diagonal/>
    </border>
    <border>
      <left style="thin">
        <color theme="0" tint="-0.34998626667073579"/>
      </left>
      <right style="thick">
        <color rgb="FF408740"/>
      </right>
      <top/>
      <bottom/>
      <diagonal/>
    </border>
    <border>
      <left style="thin">
        <color theme="0" tint="-0.34998626667073579"/>
      </left>
      <right style="thick">
        <color rgb="FF408740"/>
      </right>
      <top/>
      <bottom style="thin">
        <color indexed="64"/>
      </bottom>
      <diagonal/>
    </border>
    <border>
      <left style="thick">
        <color rgb="FF408740"/>
      </left>
      <right/>
      <top/>
      <bottom style="thick">
        <color rgb="FF408740"/>
      </bottom>
      <diagonal/>
    </border>
    <border>
      <left style="thin">
        <color theme="0" tint="-0.499984740745262"/>
      </left>
      <right style="thick">
        <color rgb="FF408740"/>
      </right>
      <top style="thin">
        <color indexed="64"/>
      </top>
      <bottom style="thick">
        <color rgb="FF408740"/>
      </bottom>
      <diagonal/>
    </border>
    <border>
      <left style="thick">
        <color rgb="FF408740"/>
      </left>
      <right/>
      <top style="thin">
        <color theme="0" tint="-0.34998626667073579"/>
      </top>
      <bottom/>
      <diagonal/>
    </border>
    <border>
      <left/>
      <right style="thick">
        <color rgb="FF408740"/>
      </right>
      <top style="thin">
        <color theme="0" tint="-0.34998626667073579"/>
      </top>
      <bottom/>
      <diagonal/>
    </border>
    <border>
      <left/>
      <right style="thick">
        <color rgb="FF408740"/>
      </right>
      <top/>
      <bottom/>
      <diagonal/>
    </border>
    <border>
      <left/>
      <right style="thick">
        <color rgb="FF408740"/>
      </right>
      <top/>
      <bottom style="thick">
        <color rgb="FF408740"/>
      </bottom>
      <diagonal/>
    </border>
    <border>
      <left style="thick">
        <color rgb="FF408740"/>
      </left>
      <right style="thin">
        <color theme="0" tint="-0.34998626667073579"/>
      </right>
      <top style="thick">
        <color rgb="FF408740"/>
      </top>
      <bottom style="thin">
        <color theme="0" tint="-0.34998626667073579"/>
      </bottom>
      <diagonal/>
    </border>
    <border>
      <left style="thin">
        <color theme="0" tint="-0.34998626667073579"/>
      </left>
      <right style="thick">
        <color rgb="FF408740"/>
      </right>
      <top style="thick">
        <color rgb="FF408740"/>
      </top>
      <bottom style="thin">
        <color theme="0" tint="-0.14996795556505021"/>
      </bottom>
      <diagonal/>
    </border>
    <border>
      <left style="thick">
        <color rgb="FF408740"/>
      </left>
      <right style="thin">
        <color theme="0" tint="-0.34998626667073579"/>
      </right>
      <top style="thin">
        <color theme="0" tint="-0.34998626667073579"/>
      </top>
      <bottom style="thin">
        <color theme="0" tint="-0.499984740745262"/>
      </bottom>
      <diagonal/>
    </border>
    <border>
      <left style="thin">
        <color theme="0" tint="-0.34998626667073579"/>
      </left>
      <right style="thick">
        <color rgb="FF408740"/>
      </right>
      <top style="thin">
        <color theme="0" tint="-0.14996795556505021"/>
      </top>
      <bottom style="thin">
        <color theme="0" tint="-0.499984740745262"/>
      </bottom>
      <diagonal/>
    </border>
    <border>
      <left style="thick">
        <color rgb="FF408740"/>
      </left>
      <right style="thin">
        <color theme="0" tint="-0.34998626667073579"/>
      </right>
      <top/>
      <bottom style="thick">
        <color rgb="FF408740"/>
      </bottom>
      <diagonal/>
    </border>
    <border>
      <left style="thin">
        <color theme="0" tint="-0.34998626667073579"/>
      </left>
      <right style="thick">
        <color rgb="FF408740"/>
      </right>
      <top/>
      <bottom style="thick">
        <color rgb="FF408740"/>
      </bottom>
      <diagonal/>
    </border>
    <border>
      <left/>
      <right/>
      <top style="thin">
        <color theme="0" tint="-0.24994659260841701"/>
      </top>
      <bottom/>
      <diagonal/>
    </border>
    <border>
      <left style="thin">
        <color theme="1" tint="0.34998626667073579"/>
      </left>
      <right style="thin">
        <color theme="0" tint="-0.34998626667073579"/>
      </right>
      <top style="thin">
        <color theme="0" tint="-0.14996795556505021"/>
      </top>
      <bottom style="thin">
        <color indexed="64"/>
      </bottom>
      <diagonal/>
    </border>
    <border>
      <left style="thin">
        <color theme="1" tint="0.34998626667073579"/>
      </left>
      <right style="thin">
        <color theme="0" tint="-0.34998626667073579"/>
      </right>
      <top style="thin">
        <color auto="1"/>
      </top>
      <bottom style="thin">
        <color theme="0" tint="-0.14996795556505021"/>
      </bottom>
      <diagonal/>
    </border>
    <border>
      <left style="thin">
        <color theme="0" tint="-0.499984740745262"/>
      </left>
      <right style="thin">
        <color auto="1"/>
      </right>
      <top style="thin">
        <color auto="1"/>
      </top>
      <bottom style="thin">
        <color theme="0" tint="-0.14996795556505021"/>
      </bottom>
      <diagonal/>
    </border>
    <border>
      <left style="thin">
        <color theme="1" tint="0.34998626667073579"/>
      </left>
      <right style="thin">
        <color theme="0" tint="-0.34998626667073579"/>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theme="0" tint="-0.499984740745262"/>
      </left>
      <right style="thin">
        <color auto="1"/>
      </right>
      <top style="thin">
        <color theme="0" tint="-0.14996795556505021"/>
      </top>
      <bottom style="thin">
        <color theme="0" tint="-0.14996795556505021"/>
      </bottom>
      <diagonal/>
    </border>
    <border>
      <left style="thin">
        <color theme="0" tint="-0.499984740745262"/>
      </left>
      <right style="thin">
        <color auto="1"/>
      </right>
      <top style="thin">
        <color theme="0" tint="-0.14996795556505021"/>
      </top>
      <bottom style="thin">
        <color auto="1"/>
      </bottom>
      <diagonal/>
    </border>
    <border>
      <left style="thin">
        <color indexed="64"/>
      </left>
      <right style="thin">
        <color theme="0" tint="-0.499984740745262"/>
      </right>
      <top style="thin">
        <color indexed="64"/>
      </top>
      <bottom style="medium">
        <color auto="1"/>
      </bottom>
      <diagonal/>
    </border>
    <border>
      <left style="thin">
        <color indexed="64"/>
      </left>
      <right style="thin">
        <color theme="0" tint="-0.34998626667073579"/>
      </right>
      <top style="medium">
        <color auto="1"/>
      </top>
      <bottom style="thin">
        <color theme="0" tint="-0.14996795556505021"/>
      </bottom>
      <diagonal/>
    </border>
    <border>
      <left style="thin">
        <color theme="0" tint="-0.499984740745262"/>
      </left>
      <right style="thin">
        <color indexed="64"/>
      </right>
      <top style="medium">
        <color auto="1"/>
      </top>
      <bottom style="thin">
        <color theme="0" tint="-0.14996795556505021"/>
      </bottom>
      <diagonal/>
    </border>
    <border>
      <left style="thin">
        <color indexed="64"/>
      </left>
      <right style="thin">
        <color theme="0" tint="-0.34998626667073579"/>
      </right>
      <top style="thin">
        <color theme="0" tint="-0.14996795556505021"/>
      </top>
      <bottom style="thin">
        <color indexed="64"/>
      </bottom>
      <diagonal/>
    </border>
    <border>
      <left style="thin">
        <color theme="0" tint="-0.34998626667073579"/>
      </left>
      <right style="thin">
        <color theme="0" tint="-0.14996795556505021"/>
      </right>
      <top style="medium">
        <color auto="1"/>
      </top>
      <bottom style="thin">
        <color theme="0" tint="-0.14996795556505021"/>
      </bottom>
      <diagonal/>
    </border>
    <border>
      <left style="thin">
        <color theme="0" tint="-0.14996795556505021"/>
      </left>
      <right style="thin">
        <color theme="0" tint="-0.14996795556505021"/>
      </right>
      <top style="medium">
        <color auto="1"/>
      </top>
      <bottom style="thin">
        <color theme="0" tint="-0.14996795556505021"/>
      </bottom>
      <diagonal/>
    </border>
    <border>
      <left style="thin">
        <color theme="0" tint="-0.14996795556505021"/>
      </left>
      <right style="thin">
        <color theme="0" tint="-0.499984740745262"/>
      </right>
      <top style="medium">
        <color auto="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theme="0" tint="-0.499984740745262"/>
      </right>
      <top style="thin">
        <color theme="0" tint="-0.14996795556505021"/>
      </top>
      <bottom style="thin">
        <color indexed="64"/>
      </bottom>
      <diagonal/>
    </border>
    <border>
      <left style="thin">
        <color theme="0" tint="-0.34998626667073579"/>
      </left>
      <right style="thin">
        <color theme="0" tint="-0.14996795556505021"/>
      </right>
      <top style="thin">
        <color auto="1"/>
      </top>
      <bottom style="thin">
        <color theme="0" tint="-0.14996795556505021"/>
      </bottom>
      <diagonal/>
    </border>
    <border>
      <left style="thin">
        <color theme="0" tint="-0.14996795556505021"/>
      </left>
      <right style="thin">
        <color theme="0" tint="-0.14996795556505021"/>
      </right>
      <top style="thin">
        <color auto="1"/>
      </top>
      <bottom style="thin">
        <color theme="0" tint="-0.14996795556505021"/>
      </bottom>
      <diagonal/>
    </border>
    <border>
      <left style="thin">
        <color theme="0" tint="-0.14996795556505021"/>
      </left>
      <right style="thin">
        <color theme="0" tint="-0.499984740745262"/>
      </right>
      <top style="thin">
        <color auto="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499984740745262"/>
      </right>
      <top style="thin">
        <color theme="0" tint="-0.14996795556505021"/>
      </top>
      <bottom style="thin">
        <color theme="0" tint="-0.14996795556505021"/>
      </bottom>
      <diagonal/>
    </border>
    <border>
      <left style="thin">
        <color auto="1"/>
      </left>
      <right style="thin">
        <color theme="0" tint="-0.14996795556505021"/>
      </right>
      <top style="medium">
        <color auto="1"/>
      </top>
      <bottom style="thin">
        <color theme="0" tint="-0.14996795556505021"/>
      </bottom>
      <diagonal/>
    </border>
    <border>
      <left style="thin">
        <color auto="1"/>
      </left>
      <right style="thin">
        <color theme="0" tint="-0.14996795556505021"/>
      </right>
      <top style="thin">
        <color theme="0" tint="-0.14996795556505021"/>
      </top>
      <bottom style="thin">
        <color theme="0" tint="-0.14996795556505021"/>
      </bottom>
      <diagonal/>
    </border>
    <border>
      <left style="thin">
        <color auto="1"/>
      </left>
      <right style="thin">
        <color theme="0" tint="-0.14996795556505021"/>
      </right>
      <top style="thin">
        <color theme="0" tint="-0.14996795556505021"/>
      </top>
      <bottom style="thin">
        <color indexed="64"/>
      </bottom>
      <diagonal/>
    </border>
    <border>
      <left style="thin">
        <color theme="0" tint="-0.14996795556505021"/>
      </left>
      <right/>
      <top style="medium">
        <color auto="1"/>
      </top>
      <bottom style="thin">
        <color theme="0" tint="-0.14996795556505021"/>
      </bottom>
      <diagonal/>
    </border>
    <border>
      <left style="thin">
        <color theme="0" tint="-0.14996795556505021"/>
      </left>
      <right/>
      <top style="thin">
        <color theme="0" tint="-0.14996795556505021"/>
      </top>
      <bottom style="thin">
        <color indexed="64"/>
      </bottom>
      <diagonal/>
    </border>
    <border>
      <left/>
      <right style="thin">
        <color theme="0" tint="-0.14996795556505021"/>
      </right>
      <top style="medium">
        <color auto="1"/>
      </top>
      <bottom style="thin">
        <color theme="0" tint="-0.14996795556505021"/>
      </bottom>
      <diagonal/>
    </border>
    <border>
      <left/>
      <right style="thin">
        <color theme="0" tint="-0.14996795556505021"/>
      </right>
      <top style="thin">
        <color theme="0" tint="-0.14996795556505021"/>
      </top>
      <bottom style="thin">
        <color indexed="64"/>
      </bottom>
      <diagonal/>
    </border>
    <border>
      <left style="thin">
        <color theme="0" tint="-0.34998626667073579"/>
      </left>
      <right style="thin">
        <color theme="0" tint="-0.34998626667073579"/>
      </right>
      <top style="medium">
        <color auto="1"/>
      </top>
      <bottom style="thin">
        <color theme="0" tint="-0.14996795556505021"/>
      </bottom>
      <diagonal/>
    </border>
    <border>
      <left style="thin">
        <color theme="0" tint="-0.34998626667073579"/>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34998626667073579"/>
      </right>
      <top style="thin">
        <color theme="0" tint="-0.14996795556505021"/>
      </top>
      <bottom style="thin">
        <color indexed="64"/>
      </bottom>
      <diagonal/>
    </border>
    <border>
      <left/>
      <right style="thin">
        <color indexed="64"/>
      </right>
      <top style="medium">
        <color auto="1"/>
      </top>
      <bottom style="thin">
        <color theme="0" tint="-0.14996795556505021"/>
      </bottom>
      <diagonal/>
    </border>
    <border>
      <left/>
      <right style="thin">
        <color indexed="64"/>
      </right>
      <top style="thin">
        <color theme="0" tint="-0.14996795556505021"/>
      </top>
      <bottom style="thin">
        <color theme="0" tint="-0.14996795556505021"/>
      </bottom>
      <diagonal/>
    </border>
    <border>
      <left/>
      <right style="thin">
        <color indexed="64"/>
      </right>
      <top style="thin">
        <color theme="0" tint="-0.14996795556505021"/>
      </top>
      <bottom style="thin">
        <color indexed="64"/>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34998626667073579"/>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14996795556505021"/>
      </top>
      <bottom/>
      <diagonal/>
    </border>
    <border>
      <left style="thin">
        <color theme="0" tint="-0.34998626667073579"/>
      </left>
      <right/>
      <top style="thin">
        <color theme="0" tint="-0.14996795556505021"/>
      </top>
      <bottom style="thin">
        <color theme="0" tint="-0.14996795556505021"/>
      </bottom>
      <diagonal/>
    </border>
    <border>
      <left/>
      <right/>
      <top style="thin">
        <color theme="0" tint="-0.499984740745262"/>
      </top>
      <bottom/>
      <diagonal/>
    </border>
    <border>
      <left style="thin">
        <color theme="0" tint="-0.34998626667073579"/>
      </left>
      <right style="thin">
        <color theme="0" tint="-0.34998626667073579"/>
      </right>
      <top style="thin">
        <color theme="0" tint="-0.499984740745262"/>
      </top>
      <bottom/>
      <diagonal/>
    </border>
    <border>
      <left style="thin">
        <color theme="0" tint="-0.34998626667073579"/>
      </left>
      <right/>
      <top style="thin">
        <color theme="0" tint="-0.499984740745262"/>
      </top>
      <bottom/>
      <diagonal/>
    </border>
    <border>
      <left style="thin">
        <color indexed="64"/>
      </left>
      <right style="thin">
        <color indexed="64"/>
      </right>
      <top/>
      <bottom/>
      <diagonal/>
    </border>
  </borders>
  <cellStyleXfs count="63">
    <xf numFmtId="0" fontId="0" fillId="0" borderId="0">
      <alignment vertical="center"/>
    </xf>
    <xf numFmtId="43" fontId="5" fillId="0" borderId="0" applyFont="0" applyFill="0" applyBorder="0" applyAlignment="0" applyProtection="0"/>
    <xf numFmtId="41" fontId="5" fillId="0" borderId="0" applyFont="0" applyFill="0" applyBorder="0" applyAlignment="0" applyProtection="0"/>
    <xf numFmtId="44" fontId="5" fillId="0" borderId="0" applyFont="0" applyFill="0" applyBorder="0" applyAlignment="0" applyProtection="0"/>
    <xf numFmtId="42" fontId="5" fillId="0" borderId="0" applyFont="0" applyFill="0" applyBorder="0" applyAlignment="0" applyProtection="0"/>
    <xf numFmtId="9" fontId="5"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5"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0" fontId="22" fillId="0" borderId="0">
      <alignment vertical="center"/>
    </xf>
    <xf numFmtId="0" fontId="23" fillId="0" borderId="0">
      <alignment vertical="center"/>
    </xf>
    <xf numFmtId="0" fontId="24" fillId="0" borderId="0">
      <alignment horizontal="left" vertical="center"/>
    </xf>
    <xf numFmtId="0" fontId="5" fillId="33" borderId="0" applyNumberFormat="0" applyFont="0" applyBorder="0" applyAlignment="0" applyProtection="0"/>
    <xf numFmtId="0" fontId="5" fillId="34" borderId="0" applyNumberFormat="0" applyFont="0" applyBorder="0" applyAlignment="0" applyProtection="0"/>
    <xf numFmtId="0" fontId="5" fillId="35" borderId="0" applyNumberFormat="0" applyFont="0" applyBorder="0" applyAlignment="0" applyProtection="0"/>
    <xf numFmtId="8" fontId="5" fillId="0" borderId="0" applyFont="0" applyFill="0" applyBorder="0">
      <alignment horizontal="right" vertical="center"/>
    </xf>
    <xf numFmtId="0" fontId="25" fillId="0" borderId="0" applyNumberFormat="0" applyFill="0" applyBorder="0" applyAlignment="0">
      <alignment vertical="center"/>
    </xf>
    <xf numFmtId="0" fontId="26" fillId="0" borderId="0" applyNumberFormat="0" applyFill="0" applyBorder="0" applyAlignment="0" applyProtection="0"/>
    <xf numFmtId="0" fontId="5" fillId="0" borderId="0"/>
    <xf numFmtId="44" fontId="5" fillId="0" borderId="0" applyFont="0" applyFill="0" applyBorder="0" applyAlignment="0" applyProtection="0"/>
    <xf numFmtId="0" fontId="48" fillId="0" borderId="0" applyNumberFormat="0" applyFill="0" applyBorder="0" applyAlignment="0" applyProtection="0">
      <alignment vertical="center"/>
    </xf>
    <xf numFmtId="0" fontId="4" fillId="0" borderId="0"/>
    <xf numFmtId="0" fontId="3" fillId="33" borderId="0" applyNumberFormat="0" applyFont="0" applyBorder="0" applyAlignment="0" applyProtection="0"/>
    <xf numFmtId="0" fontId="2" fillId="33" borderId="0" applyNumberFormat="0" applyFont="0" applyBorder="0" applyAlignment="0" applyProtection="0"/>
    <xf numFmtId="0" fontId="1" fillId="0" borderId="0"/>
  </cellStyleXfs>
  <cellXfs count="434">
    <xf numFmtId="0" fontId="0" fillId="0" borderId="0" xfId="0">
      <alignment vertical="center"/>
    </xf>
    <xf numFmtId="0" fontId="30" fillId="0" borderId="0" xfId="0" applyFont="1">
      <alignment vertical="center"/>
    </xf>
    <xf numFmtId="0" fontId="0" fillId="0" borderId="0" xfId="0" applyProtection="1">
      <alignment vertical="center"/>
      <protection locked="0"/>
    </xf>
    <xf numFmtId="0" fontId="30" fillId="0" borderId="0" xfId="0" applyFont="1" applyProtection="1">
      <alignment vertical="center"/>
      <protection locked="0"/>
    </xf>
    <xf numFmtId="0" fontId="48" fillId="33" borderId="0" xfId="58" applyFill="1" applyBorder="1" applyAlignment="1" applyProtection="1">
      <alignment horizontal="left" vertical="top" wrapText="1"/>
      <protection locked="0"/>
    </xf>
    <xf numFmtId="0" fontId="20" fillId="35" borderId="20" xfId="59" applyFont="1" applyFill="1" applyBorder="1" applyAlignment="1">
      <alignment horizontal="center"/>
    </xf>
    <xf numFmtId="0" fontId="20" fillId="35" borderId="21" xfId="59" applyFont="1" applyFill="1" applyBorder="1" applyAlignment="1">
      <alignment horizontal="left" indent="1"/>
    </xf>
    <xf numFmtId="0" fontId="4" fillId="0" borderId="13" xfId="59" applyBorder="1" applyAlignment="1">
      <alignment horizontal="center"/>
    </xf>
    <xf numFmtId="0" fontId="4" fillId="0" borderId="30" xfId="59" applyBorder="1" applyAlignment="1">
      <alignment horizontal="left" indent="1"/>
    </xf>
    <xf numFmtId="0" fontId="4" fillId="0" borderId="14" xfId="59" applyBorder="1" applyAlignment="1">
      <alignment horizontal="center"/>
    </xf>
    <xf numFmtId="0" fontId="4" fillId="0" borderId="31" xfId="59" applyBorder="1" applyAlignment="1">
      <alignment horizontal="left" indent="1"/>
    </xf>
    <xf numFmtId="0" fontId="4" fillId="0" borderId="15" xfId="59" applyBorder="1" applyAlignment="1">
      <alignment horizontal="center"/>
    </xf>
    <xf numFmtId="0" fontId="4" fillId="0" borderId="32" xfId="59" applyBorder="1" applyAlignment="1">
      <alignment horizontal="left" indent="1"/>
    </xf>
    <xf numFmtId="0" fontId="21" fillId="0" borderId="0" xfId="56" applyFont="1"/>
    <xf numFmtId="0" fontId="21" fillId="0" borderId="0" xfId="56" applyFont="1" applyAlignment="1">
      <alignment vertical="center"/>
    </xf>
    <xf numFmtId="0" fontId="36" fillId="0" borderId="0" xfId="0" applyFont="1" applyAlignment="1">
      <alignment horizontal="center" vertical="center"/>
    </xf>
    <xf numFmtId="0" fontId="0" fillId="0" borderId="0" xfId="0" applyAlignment="1">
      <alignment horizontal="right" vertical="top"/>
    </xf>
    <xf numFmtId="0" fontId="0" fillId="0" borderId="0" xfId="0" applyAlignment="1">
      <alignment horizontal="left" vertical="top" wrapText="1" indent="1"/>
    </xf>
    <xf numFmtId="0" fontId="34" fillId="33" borderId="0" xfId="0" applyFont="1" applyFill="1" applyAlignment="1">
      <alignment horizontal="left" vertical="top" wrapText="1"/>
    </xf>
    <xf numFmtId="0" fontId="34" fillId="33" borderId="24" xfId="0" applyFont="1" applyFill="1" applyBorder="1" applyAlignment="1">
      <alignment horizontal="left" vertical="top" wrapText="1"/>
    </xf>
    <xf numFmtId="0" fontId="34" fillId="33" borderId="16" xfId="0" applyFont="1" applyFill="1" applyBorder="1" applyAlignment="1">
      <alignment horizontal="right" vertical="center" indent="1"/>
    </xf>
    <xf numFmtId="0" fontId="34" fillId="33" borderId="26" xfId="0" applyFont="1" applyFill="1" applyBorder="1" applyAlignment="1">
      <alignment vertical="top" wrapText="1"/>
    </xf>
    <xf numFmtId="0" fontId="0" fillId="0" borderId="0" xfId="0" applyAlignment="1">
      <alignment horizontal="center" vertical="top"/>
    </xf>
    <xf numFmtId="0" fontId="34" fillId="33" borderId="25" xfId="0" applyFont="1" applyFill="1" applyBorder="1" applyAlignment="1">
      <alignment horizontal="right" vertical="top" indent="1"/>
    </xf>
    <xf numFmtId="0" fontId="34" fillId="33" borderId="16" xfId="0" applyFont="1" applyFill="1" applyBorder="1" applyAlignment="1">
      <alignment horizontal="right" vertical="top" indent="1"/>
    </xf>
    <xf numFmtId="0" fontId="0" fillId="0" borderId="0" xfId="0" applyAlignment="1">
      <alignment horizontal="left" vertical="center" wrapText="1" indent="1"/>
    </xf>
    <xf numFmtId="0" fontId="34" fillId="33" borderId="16" xfId="0" applyFont="1" applyFill="1" applyBorder="1" applyAlignment="1">
      <alignment horizontal="right" vertical="top"/>
    </xf>
    <xf numFmtId="0" fontId="34" fillId="33" borderId="24" xfId="0" applyFont="1" applyFill="1" applyBorder="1" applyAlignment="1">
      <alignment horizontal="left" vertical="top" wrapText="1" indent="1"/>
    </xf>
    <xf numFmtId="0" fontId="34" fillId="33" borderId="24" xfId="0" applyFont="1" applyFill="1" applyBorder="1" applyAlignment="1">
      <alignment horizontal="left" vertical="top" wrapText="1" indent="2"/>
    </xf>
    <xf numFmtId="0" fontId="34" fillId="33" borderId="24" xfId="0" applyFont="1" applyFill="1" applyBorder="1" applyAlignment="1">
      <alignment horizontal="left" vertical="top" wrapText="1" indent="3"/>
    </xf>
    <xf numFmtId="0" fontId="34" fillId="33" borderId="24" xfId="0" applyFont="1" applyFill="1" applyBorder="1" applyAlignment="1">
      <alignment horizontal="left" vertical="top" wrapText="1" indent="5"/>
    </xf>
    <xf numFmtId="0" fontId="34" fillId="33" borderId="17" xfId="0" applyFont="1" applyFill="1" applyBorder="1" applyAlignment="1">
      <alignment horizontal="left" vertical="top" wrapText="1"/>
    </xf>
    <xf numFmtId="0" fontId="34" fillId="33" borderId="26" xfId="0" applyFont="1" applyFill="1" applyBorder="1" applyAlignment="1">
      <alignment horizontal="left" vertical="top" wrapText="1" indent="5"/>
    </xf>
    <xf numFmtId="0" fontId="35" fillId="0" borderId="0" xfId="0" applyFont="1" applyAlignment="1">
      <alignment horizontal="center" vertical="center"/>
    </xf>
    <xf numFmtId="0" fontId="48" fillId="33" borderId="0" xfId="58" applyFill="1" applyBorder="1" applyAlignment="1" applyProtection="1">
      <alignment horizontal="left" vertical="top" wrapText="1" indent="1"/>
      <protection locked="0"/>
    </xf>
    <xf numFmtId="0" fontId="34" fillId="33" borderId="0" xfId="0" applyFont="1" applyFill="1" applyAlignment="1">
      <alignment horizontal="left" vertical="top" wrapText="1" indent="1"/>
    </xf>
    <xf numFmtId="0" fontId="34" fillId="33" borderId="0" xfId="0" applyFont="1" applyFill="1" applyAlignment="1">
      <alignment vertical="top" wrapText="1"/>
    </xf>
    <xf numFmtId="0" fontId="42" fillId="33" borderId="16" xfId="0" applyFont="1" applyFill="1" applyBorder="1" applyAlignment="1">
      <alignment horizontal="left" vertical="top" indent="3"/>
    </xf>
    <xf numFmtId="0" fontId="43" fillId="33" borderId="25" xfId="0" applyFont="1" applyFill="1" applyBorder="1" applyAlignment="1">
      <alignment horizontal="left" vertical="top" indent="3"/>
    </xf>
    <xf numFmtId="0" fontId="34" fillId="33" borderId="16" xfId="0" applyFont="1" applyFill="1" applyBorder="1" applyAlignment="1">
      <alignment horizontal="left" vertical="top" indent="1"/>
    </xf>
    <xf numFmtId="0" fontId="34" fillId="33" borderId="25" xfId="0" applyFont="1" applyFill="1" applyBorder="1" applyAlignment="1">
      <alignment horizontal="left" vertical="top" indent="1"/>
    </xf>
    <xf numFmtId="0" fontId="37" fillId="33" borderId="16" xfId="0" applyFont="1" applyFill="1" applyBorder="1" applyAlignment="1">
      <alignment horizontal="right" vertical="top" indent="1"/>
    </xf>
    <xf numFmtId="0" fontId="34" fillId="33" borderId="25" xfId="0" applyFont="1" applyFill="1" applyBorder="1" applyAlignment="1">
      <alignment horizontal="right" vertical="top"/>
    </xf>
    <xf numFmtId="0" fontId="34" fillId="33" borderId="17" xfId="0" applyFont="1" applyFill="1" applyBorder="1" applyAlignment="1">
      <alignment horizontal="left" vertical="top" wrapText="1" indent="1"/>
    </xf>
    <xf numFmtId="0" fontId="36"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0" fontId="1" fillId="0" borderId="0" xfId="62"/>
    <xf numFmtId="0" fontId="48" fillId="33" borderId="17" xfId="58" applyFill="1" applyBorder="1" applyAlignment="1" applyProtection="1">
      <alignment horizontal="left" vertical="top" wrapText="1"/>
      <protection locked="0"/>
    </xf>
    <xf numFmtId="0" fontId="48" fillId="33" borderId="0" xfId="58" applyFill="1" applyAlignment="1" applyProtection="1">
      <alignment horizontal="left" vertical="top" wrapText="1" indent="1"/>
      <protection locked="0"/>
    </xf>
    <xf numFmtId="0" fontId="52" fillId="0" borderId="0" xfId="0" applyFont="1">
      <alignment vertical="center"/>
    </xf>
    <xf numFmtId="0" fontId="0" fillId="0" borderId="0" xfId="0" applyAlignment="1" applyProtection="1">
      <alignment horizontal="left" vertical="top"/>
      <protection locked="0"/>
    </xf>
    <xf numFmtId="0" fontId="0" fillId="0" borderId="0" xfId="0" applyAlignment="1" applyProtection="1">
      <alignment horizontal="center" vertical="top"/>
      <protection locked="0"/>
    </xf>
    <xf numFmtId="44" fontId="0" fillId="0" borderId="0" xfId="0" applyNumberFormat="1" applyAlignment="1" applyProtection="1">
      <alignment vertical="top"/>
      <protection locked="0"/>
    </xf>
    <xf numFmtId="0" fontId="34" fillId="0" borderId="0" xfId="0" applyFont="1" applyAlignment="1" applyProtection="1">
      <alignment horizontal="left" vertical="top"/>
      <protection locked="0"/>
    </xf>
    <xf numFmtId="0" fontId="34" fillId="0" borderId="0" xfId="0" applyFont="1" applyAlignment="1" applyProtection="1">
      <alignment horizontal="center" vertical="top"/>
      <protection locked="0"/>
    </xf>
    <xf numFmtId="44" fontId="34" fillId="0" borderId="0" xfId="0" applyNumberFormat="1" applyFont="1" applyAlignment="1" applyProtection="1">
      <alignment vertical="top"/>
      <protection locked="0"/>
    </xf>
    <xf numFmtId="0" fontId="0" fillId="0" borderId="0" xfId="0" applyAlignment="1">
      <alignment horizontal="left" vertical="center"/>
    </xf>
    <xf numFmtId="0" fontId="1" fillId="0" borderId="0" xfId="62" applyAlignment="1">
      <alignment horizontal="left"/>
    </xf>
    <xf numFmtId="0" fontId="0" fillId="0" borderId="45" xfId="0" applyBorder="1" applyAlignment="1">
      <alignment horizontal="left" vertical="center"/>
    </xf>
    <xf numFmtId="0" fontId="0" fillId="0" borderId="46" xfId="0" applyBorder="1" applyAlignment="1">
      <alignment horizontal="left" vertical="center"/>
    </xf>
    <xf numFmtId="0" fontId="0" fillId="0" borderId="41" xfId="0" applyBorder="1" applyAlignment="1">
      <alignment horizontal="left" vertical="center"/>
    </xf>
    <xf numFmtId="0" fontId="31" fillId="35" borderId="40" xfId="0" applyFont="1" applyFill="1" applyBorder="1" applyAlignment="1">
      <alignment horizontal="left" vertical="center"/>
    </xf>
    <xf numFmtId="0" fontId="1" fillId="36" borderId="0" xfId="62" applyFill="1" applyAlignment="1">
      <alignment horizontal="center" vertical="center"/>
    </xf>
    <xf numFmtId="0" fontId="1" fillId="0" borderId="0" xfId="62" applyAlignment="1">
      <alignment horizontal="center" vertical="center"/>
    </xf>
    <xf numFmtId="0" fontId="1" fillId="36" borderId="0" xfId="62" applyFill="1" applyAlignment="1">
      <alignment horizontal="left" vertical="center" indent="1"/>
    </xf>
    <xf numFmtId="0" fontId="1" fillId="0" borderId="0" xfId="62" applyAlignment="1">
      <alignment horizontal="left" vertical="center" indent="1"/>
    </xf>
    <xf numFmtId="44" fontId="1" fillId="36" borderId="0" xfId="62" applyNumberFormat="1" applyFill="1" applyAlignment="1">
      <alignment vertical="center"/>
    </xf>
    <xf numFmtId="44" fontId="1" fillId="0" borderId="0" xfId="62" applyNumberFormat="1" applyAlignment="1">
      <alignment vertical="center"/>
    </xf>
    <xf numFmtId="0" fontId="1" fillId="0" borderId="43" xfId="62" applyBorder="1" applyAlignment="1">
      <alignment horizontal="center" wrapText="1"/>
    </xf>
    <xf numFmtId="0" fontId="20" fillId="35" borderId="18" xfId="62" applyFont="1" applyFill="1" applyBorder="1" applyAlignment="1">
      <alignment horizontal="center" wrapText="1"/>
    </xf>
    <xf numFmtId="0" fontId="20" fillId="35" borderId="19" xfId="62" applyFont="1" applyFill="1" applyBorder="1" applyAlignment="1">
      <alignment horizontal="left" indent="1"/>
    </xf>
    <xf numFmtId="0" fontId="20" fillId="0" borderId="0" xfId="0" applyFont="1" applyAlignment="1">
      <alignment horizontal="center"/>
    </xf>
    <xf numFmtId="0" fontId="20" fillId="0" borderId="0" xfId="0" applyFont="1" applyAlignment="1">
      <alignment horizontal="left" indent="1"/>
    </xf>
    <xf numFmtId="0" fontId="0" fillId="0" borderId="51" xfId="0" applyBorder="1" applyAlignment="1">
      <alignment horizontal="center" vertical="center"/>
    </xf>
    <xf numFmtId="0" fontId="0" fillId="0" borderId="52" xfId="0" applyBorder="1" applyAlignment="1">
      <alignment horizontal="left" vertical="center" indent="1"/>
    </xf>
    <xf numFmtId="0" fontId="54" fillId="0" borderId="53" xfId="0" applyFont="1" applyBorder="1" applyAlignment="1">
      <alignment horizontal="center" vertical="center"/>
    </xf>
    <xf numFmtId="0" fontId="54" fillId="0" borderId="54" xfId="0" applyFont="1" applyBorder="1" applyAlignment="1">
      <alignment horizontal="left" vertical="center" indent="2"/>
    </xf>
    <xf numFmtId="0" fontId="0" fillId="0" borderId="53" xfId="0" applyBorder="1" applyAlignment="1">
      <alignment horizontal="center" vertical="center"/>
    </xf>
    <xf numFmtId="0" fontId="0" fillId="0" borderId="54" xfId="0" applyBorder="1" applyAlignment="1">
      <alignment horizontal="left" vertical="center" indent="1"/>
    </xf>
    <xf numFmtId="0" fontId="0" fillId="0" borderId="54" xfId="0" applyBorder="1" applyAlignment="1">
      <alignment horizontal="left" vertical="center" indent="3"/>
    </xf>
    <xf numFmtId="0" fontId="0" fillId="0" borderId="54" xfId="0" applyBorder="1" applyAlignment="1">
      <alignment horizontal="left" vertical="center" indent="2"/>
    </xf>
    <xf numFmtId="0" fontId="54" fillId="0" borderId="54" xfId="0" applyFont="1" applyBorder="1" applyAlignment="1">
      <alignment horizontal="left" vertical="center" indent="3"/>
    </xf>
    <xf numFmtId="0" fontId="54" fillId="0" borderId="54" xfId="0" applyFont="1" applyBorder="1" applyAlignment="1">
      <alignment horizontal="left" vertical="center" indent="1"/>
    </xf>
    <xf numFmtId="0" fontId="54" fillId="0" borderId="55" xfId="0" applyFont="1" applyBorder="1" applyAlignment="1">
      <alignment horizontal="center" vertical="center"/>
    </xf>
    <xf numFmtId="0" fontId="54" fillId="0" borderId="56" xfId="0" applyFont="1" applyBorder="1" applyAlignment="1">
      <alignment horizontal="left" vertical="center" indent="1"/>
    </xf>
    <xf numFmtId="0" fontId="0" fillId="0" borderId="51" xfId="0" applyBorder="1" applyAlignment="1">
      <alignment horizontal="center"/>
    </xf>
    <xf numFmtId="0" fontId="0" fillId="0" borderId="52" xfId="0" applyBorder="1" applyAlignment="1">
      <alignment horizontal="left" indent="1"/>
    </xf>
    <xf numFmtId="0" fontId="54" fillId="0" borderId="53" xfId="0" applyFont="1" applyBorder="1" applyAlignment="1">
      <alignment horizontal="center"/>
    </xf>
    <xf numFmtId="0" fontId="54" fillId="0" borderId="54" xfId="0" applyFont="1" applyBorder="1" applyAlignment="1">
      <alignment horizontal="left" indent="2"/>
    </xf>
    <xf numFmtId="0" fontId="0" fillId="0" borderId="53" xfId="0" applyBorder="1" applyAlignment="1">
      <alignment horizontal="center"/>
    </xf>
    <xf numFmtId="0" fontId="0" fillId="0" borderId="54" xfId="0" applyBorder="1" applyAlignment="1">
      <alignment horizontal="left" indent="1"/>
    </xf>
    <xf numFmtId="0" fontId="54" fillId="0" borderId="54" xfId="0" applyFont="1" applyBorder="1" applyAlignment="1">
      <alignment horizontal="left" indent="1"/>
    </xf>
    <xf numFmtId="0" fontId="0" fillId="0" borderId="54" xfId="0" applyBorder="1" applyAlignment="1">
      <alignment horizontal="left" indent="2"/>
    </xf>
    <xf numFmtId="0" fontId="54" fillId="0" borderId="55" xfId="0" applyFont="1" applyBorder="1" applyAlignment="1">
      <alignment horizontal="center"/>
    </xf>
    <xf numFmtId="0" fontId="54" fillId="0" borderId="56" xfId="0" applyFont="1" applyBorder="1" applyAlignment="1">
      <alignment horizontal="left" indent="1"/>
    </xf>
    <xf numFmtId="0" fontId="1" fillId="0" borderId="0" xfId="56" applyFont="1" applyAlignment="1">
      <alignment horizontal="center" vertical="center" wrapText="1"/>
    </xf>
    <xf numFmtId="0" fontId="1" fillId="0" borderId="0" xfId="56" applyFont="1" applyAlignment="1">
      <alignment horizontal="center" wrapText="1"/>
    </xf>
    <xf numFmtId="0" fontId="1" fillId="0" borderId="0" xfId="56" applyFont="1" applyAlignment="1">
      <alignment horizontal="left" wrapText="1" indent="1"/>
    </xf>
    <xf numFmtId="0" fontId="27" fillId="0" borderId="0" xfId="0" applyFont="1">
      <alignment vertical="center"/>
    </xf>
    <xf numFmtId="0" fontId="1" fillId="0" borderId="0" xfId="56" applyFont="1"/>
    <xf numFmtId="0" fontId="1" fillId="0" borderId="0" xfId="56" applyFont="1" applyAlignment="1">
      <alignment vertical="center"/>
    </xf>
    <xf numFmtId="0" fontId="1" fillId="0" borderId="0" xfId="56" applyFont="1" applyAlignment="1">
      <alignment horizontal="left" vertical="center" indent="1"/>
    </xf>
    <xf numFmtId="44" fontId="1" fillId="0" borderId="0" xfId="56" applyNumberFormat="1" applyFont="1" applyAlignment="1">
      <alignment vertical="center"/>
    </xf>
    <xf numFmtId="0" fontId="1" fillId="0" borderId="0" xfId="56" applyFont="1" applyAlignment="1">
      <alignment horizontal="left" vertical="center" wrapText="1" indent="1"/>
    </xf>
    <xf numFmtId="44" fontId="27" fillId="0" borderId="0" xfId="57" applyFont="1" applyAlignment="1" applyProtection="1">
      <alignment horizontal="left" vertical="center" indent="2"/>
    </xf>
    <xf numFmtId="44" fontId="27" fillId="0" borderId="0" xfId="57" applyFont="1" applyAlignment="1" applyProtection="1">
      <alignment horizontal="left" indent="2"/>
    </xf>
    <xf numFmtId="0" fontId="31" fillId="35" borderId="64" xfId="0" applyFont="1" applyFill="1" applyBorder="1" applyAlignment="1">
      <alignment horizontal="center" vertical="center" wrapText="1"/>
    </xf>
    <xf numFmtId="0" fontId="31" fillId="35" borderId="65" xfId="0" applyFont="1" applyFill="1" applyBorder="1" applyAlignment="1">
      <alignment horizontal="center" vertical="center" wrapText="1"/>
    </xf>
    <xf numFmtId="0" fontId="20" fillId="35" borderId="66" xfId="56" applyFont="1" applyFill="1" applyBorder="1" applyAlignment="1">
      <alignment horizontal="center" vertical="center" wrapText="1"/>
    </xf>
    <xf numFmtId="44" fontId="20" fillId="35" borderId="36" xfId="0" applyNumberFormat="1" applyFont="1" applyFill="1" applyBorder="1">
      <alignment vertical="center"/>
    </xf>
    <xf numFmtId="44" fontId="20" fillId="35" borderId="38" xfId="0" applyNumberFormat="1" applyFont="1" applyFill="1" applyBorder="1">
      <alignment vertical="center"/>
    </xf>
    <xf numFmtId="0" fontId="27" fillId="33" borderId="44" xfId="50" applyFont="1" applyBorder="1" applyAlignment="1" applyProtection="1">
      <alignment horizontal="center" vertical="center"/>
      <protection locked="0"/>
    </xf>
    <xf numFmtId="44" fontId="31" fillId="33" borderId="50" xfId="57" applyFont="1" applyFill="1" applyBorder="1" applyAlignment="1" applyProtection="1">
      <alignment vertical="center"/>
    </xf>
    <xf numFmtId="0" fontId="34" fillId="33" borderId="26" xfId="0" applyFont="1" applyFill="1" applyBorder="1" applyAlignment="1">
      <alignment horizontal="left" vertical="top" wrapText="1"/>
    </xf>
    <xf numFmtId="0" fontId="37" fillId="33" borderId="16" xfId="0" applyFont="1" applyFill="1" applyBorder="1" applyAlignment="1">
      <alignment horizontal="left" vertical="top" indent="3"/>
    </xf>
    <xf numFmtId="0" fontId="37" fillId="33" borderId="16" xfId="0" applyFont="1" applyFill="1" applyBorder="1" applyAlignment="1">
      <alignment vertical="top"/>
    </xf>
    <xf numFmtId="0" fontId="37" fillId="33" borderId="17" xfId="0" applyFont="1" applyFill="1" applyBorder="1" applyAlignment="1">
      <alignment vertical="top" wrapText="1"/>
    </xf>
    <xf numFmtId="0" fontId="37" fillId="33" borderId="16" xfId="0" applyFont="1" applyFill="1" applyBorder="1" applyAlignment="1">
      <alignment horizontal="left" vertical="top" indent="1"/>
    </xf>
    <xf numFmtId="0" fontId="62" fillId="33" borderId="0" xfId="58" applyFont="1" applyFill="1" applyAlignment="1" applyProtection="1">
      <alignment horizontal="left" vertical="top" wrapText="1" indent="1"/>
      <protection locked="0"/>
    </xf>
    <xf numFmtId="0" fontId="45" fillId="33" borderId="0" xfId="0" applyFont="1" applyFill="1" applyAlignment="1">
      <alignment horizontal="left" vertical="top" wrapText="1"/>
    </xf>
    <xf numFmtId="0" fontId="1" fillId="0" borderId="53" xfId="56" applyFont="1" applyBorder="1" applyAlignment="1">
      <alignment horizontal="left" vertical="center" wrapText="1" indent="1"/>
    </xf>
    <xf numFmtId="0" fontId="1" fillId="0" borderId="55" xfId="56" applyFont="1" applyBorder="1" applyAlignment="1">
      <alignment horizontal="left" vertical="center" wrapText="1" indent="1"/>
    </xf>
    <xf numFmtId="0" fontId="20" fillId="35" borderId="68" xfId="56" applyFont="1" applyFill="1" applyBorder="1" applyAlignment="1">
      <alignment horizontal="center" vertical="center" wrapText="1"/>
    </xf>
    <xf numFmtId="0" fontId="1" fillId="0" borderId="0" xfId="56" applyFont="1" applyAlignment="1">
      <alignment horizontal="center" vertical="center"/>
    </xf>
    <xf numFmtId="44" fontId="1" fillId="0" borderId="0" xfId="56" applyNumberFormat="1" applyFont="1" applyAlignment="1">
      <alignment horizontal="left" vertical="center"/>
    </xf>
    <xf numFmtId="0" fontId="1" fillId="0" borderId="51" xfId="56" applyFont="1" applyBorder="1" applyAlignment="1">
      <alignment horizontal="left" vertical="center" wrapText="1" indent="1"/>
    </xf>
    <xf numFmtId="44" fontId="1" fillId="0" borderId="52" xfId="57" applyFont="1" applyBorder="1" applyAlignment="1">
      <alignment vertical="center"/>
    </xf>
    <xf numFmtId="44" fontId="1" fillId="0" borderId="0" xfId="57" applyFont="1" applyFill="1" applyAlignment="1">
      <alignment vertical="center"/>
    </xf>
    <xf numFmtId="44" fontId="1" fillId="0" borderId="54" xfId="57" applyFont="1" applyBorder="1" applyAlignment="1">
      <alignment vertical="center"/>
    </xf>
    <xf numFmtId="44" fontId="1" fillId="0" borderId="56" xfId="57" applyFont="1" applyBorder="1" applyAlignment="1">
      <alignment vertical="center"/>
    </xf>
    <xf numFmtId="44" fontId="1" fillId="0" borderId="0" xfId="57" applyFont="1" applyFill="1" applyBorder="1" applyAlignment="1">
      <alignment vertical="center"/>
    </xf>
    <xf numFmtId="0" fontId="20" fillId="35" borderId="16" xfId="56" applyFont="1" applyFill="1" applyBorder="1" applyAlignment="1">
      <alignment horizontal="left" vertical="center" wrapText="1" indent="1"/>
    </xf>
    <xf numFmtId="0" fontId="20" fillId="35" borderId="69" xfId="56" applyFont="1" applyFill="1" applyBorder="1" applyAlignment="1">
      <alignment horizontal="center" vertical="center" wrapText="1"/>
    </xf>
    <xf numFmtId="0" fontId="31" fillId="35" borderId="69" xfId="0" applyFont="1" applyFill="1" applyBorder="1" applyAlignment="1">
      <alignment horizontal="center" vertical="center" wrapText="1"/>
    </xf>
    <xf numFmtId="0" fontId="20" fillId="35" borderId="47" xfId="0" applyFont="1" applyFill="1" applyBorder="1" applyAlignment="1">
      <alignment horizontal="right" vertical="center" wrapText="1"/>
    </xf>
    <xf numFmtId="0" fontId="27" fillId="33" borderId="44" xfId="50" applyFont="1" applyBorder="1" applyAlignment="1" applyProtection="1">
      <alignment horizontal="center" vertical="center"/>
    </xf>
    <xf numFmtId="0" fontId="34" fillId="0" borderId="17" xfId="0" applyFont="1" applyBorder="1" applyAlignment="1">
      <alignment horizontal="left" vertical="center" indent="1"/>
    </xf>
    <xf numFmtId="0" fontId="0" fillId="0" borderId="17" xfId="0" applyBorder="1">
      <alignment vertical="center"/>
    </xf>
    <xf numFmtId="0" fontId="0" fillId="0" borderId="0" xfId="0" quotePrefix="1">
      <alignment vertical="center"/>
    </xf>
    <xf numFmtId="0" fontId="20" fillId="35" borderId="48" xfId="0" applyFont="1" applyFill="1" applyBorder="1" applyAlignment="1">
      <alignment horizontal="right" vertical="center"/>
    </xf>
    <xf numFmtId="0" fontId="20" fillId="35" borderId="57" xfId="0" applyFont="1" applyFill="1" applyBorder="1" applyAlignment="1">
      <alignment horizontal="right" vertical="center"/>
    </xf>
    <xf numFmtId="0" fontId="38" fillId="0" borderId="0" xfId="0" applyFont="1" applyAlignment="1">
      <alignment horizontal="center" vertical="center"/>
    </xf>
    <xf numFmtId="0" fontId="51" fillId="0" borderId="0" xfId="0" applyFont="1" applyAlignment="1">
      <alignment horizontal="center" vertical="center"/>
    </xf>
    <xf numFmtId="0" fontId="20" fillId="35" borderId="49" xfId="0" applyFont="1" applyFill="1" applyBorder="1" applyAlignment="1">
      <alignment horizontal="right" vertical="center" wrapText="1"/>
    </xf>
    <xf numFmtId="0" fontId="31" fillId="0" borderId="27" xfId="0" applyFont="1" applyBorder="1" applyAlignment="1">
      <alignment vertical="center" wrapText="1"/>
    </xf>
    <xf numFmtId="0" fontId="0" fillId="0" borderId="27" xfId="0" applyBorder="1" applyAlignment="1">
      <alignment vertical="center" wrapText="1"/>
    </xf>
    <xf numFmtId="0" fontId="0" fillId="0" borderId="0" xfId="0" applyAlignment="1">
      <alignment vertical="center" wrapText="1"/>
    </xf>
    <xf numFmtId="0" fontId="31" fillId="35" borderId="42" xfId="0" applyFont="1" applyFill="1" applyBorder="1" applyAlignment="1">
      <alignment horizontal="center" vertical="center" wrapText="1"/>
    </xf>
    <xf numFmtId="0" fontId="31" fillId="35" borderId="29" xfId="0" applyFont="1" applyFill="1" applyBorder="1" applyAlignment="1">
      <alignment horizontal="center" vertical="center" wrapText="1"/>
    </xf>
    <xf numFmtId="0" fontId="0" fillId="0" borderId="0" xfId="0" applyAlignment="1">
      <alignment horizontal="right" vertical="center" indent="1"/>
    </xf>
    <xf numFmtId="44" fontId="0" fillId="0" borderId="0" xfId="0" applyNumberFormat="1">
      <alignment vertical="center"/>
    </xf>
    <xf numFmtId="44" fontId="0" fillId="38" borderId="67" xfId="0" applyNumberFormat="1" applyFill="1" applyBorder="1">
      <alignment vertical="center"/>
    </xf>
    <xf numFmtId="0" fontId="31" fillId="0" borderId="0" xfId="0" applyFont="1" applyAlignment="1">
      <alignment horizontal="right" vertical="center" indent="1"/>
    </xf>
    <xf numFmtId="0" fontId="32" fillId="0" borderId="0" xfId="0" applyFont="1" applyAlignment="1">
      <alignment horizontal="right" vertical="center" indent="1"/>
    </xf>
    <xf numFmtId="0" fontId="53" fillId="0" borderId="0" xfId="0" applyFont="1" applyAlignment="1">
      <alignment horizontal="right" vertical="center" indent="1"/>
    </xf>
    <xf numFmtId="0" fontId="52" fillId="0" borderId="0" xfId="0" applyFont="1" applyAlignment="1">
      <alignment horizontal="left" vertical="center"/>
    </xf>
    <xf numFmtId="0" fontId="37" fillId="35" borderId="28" xfId="0" applyFont="1" applyFill="1" applyBorder="1" applyAlignment="1">
      <alignment horizontal="left" vertical="center" wrapText="1"/>
    </xf>
    <xf numFmtId="0" fontId="37" fillId="35" borderId="29" xfId="0" applyFont="1" applyFill="1" applyBorder="1" applyAlignment="1">
      <alignment horizontal="center" vertical="center" wrapText="1"/>
    </xf>
    <xf numFmtId="0" fontId="37" fillId="35" borderId="29" xfId="0" applyFont="1" applyFill="1" applyBorder="1" applyAlignment="1">
      <alignment horizontal="left" vertical="center" wrapText="1"/>
    </xf>
    <xf numFmtId="0" fontId="61" fillId="33" borderId="16" xfId="0" applyFont="1" applyFill="1" applyBorder="1" applyAlignment="1">
      <alignment horizontal="right" vertical="top" indent="1"/>
    </xf>
    <xf numFmtId="0" fontId="56" fillId="33" borderId="16" xfId="0" applyFont="1" applyFill="1" applyBorder="1" applyAlignment="1">
      <alignment horizontal="right" vertical="top" indent="1"/>
    </xf>
    <xf numFmtId="0" fontId="61" fillId="33" borderId="16" xfId="0" applyFont="1" applyFill="1" applyBorder="1" applyAlignment="1">
      <alignment horizontal="right" vertical="top"/>
    </xf>
    <xf numFmtId="0" fontId="34" fillId="35" borderId="34" xfId="0" applyFont="1" applyFill="1" applyBorder="1" applyAlignment="1">
      <alignment horizontal="left" vertical="top" wrapText="1" indent="1"/>
    </xf>
    <xf numFmtId="0" fontId="34" fillId="35" borderId="35" xfId="0" applyFont="1" applyFill="1" applyBorder="1" applyAlignment="1">
      <alignment horizontal="left" vertical="top" wrapText="1" indent="1"/>
    </xf>
    <xf numFmtId="0" fontId="73" fillId="33" borderId="0" xfId="58" applyFont="1" applyFill="1" applyAlignment="1" applyProtection="1">
      <alignment horizontal="left" vertical="top" wrapText="1"/>
      <protection locked="0"/>
    </xf>
    <xf numFmtId="0" fontId="74" fillId="33" borderId="0" xfId="58" applyFont="1" applyFill="1" applyAlignment="1" applyProtection="1">
      <alignment horizontal="left" vertical="top" wrapText="1"/>
      <protection locked="0"/>
    </xf>
    <xf numFmtId="0" fontId="61" fillId="33" borderId="16" xfId="0" applyFont="1" applyFill="1" applyBorder="1" applyAlignment="1">
      <alignment horizontal="right" vertical="center" indent="1"/>
    </xf>
    <xf numFmtId="0" fontId="56" fillId="33" borderId="16" xfId="0" applyFont="1" applyFill="1" applyBorder="1" applyAlignment="1">
      <alignment horizontal="right" vertical="center" indent="1"/>
    </xf>
    <xf numFmtId="0" fontId="56" fillId="33" borderId="16" xfId="0" applyFont="1" applyFill="1" applyBorder="1" applyAlignment="1">
      <alignment horizontal="left" vertical="top" indent="2"/>
    </xf>
    <xf numFmtId="0" fontId="71" fillId="35" borderId="33" xfId="0" applyFont="1" applyFill="1" applyBorder="1" applyAlignment="1">
      <alignment horizontal="left" vertical="center" indent="1"/>
    </xf>
    <xf numFmtId="0" fontId="59" fillId="35" borderId="33" xfId="0" applyFont="1" applyFill="1" applyBorder="1" applyAlignment="1">
      <alignment horizontal="left" vertical="center" indent="1"/>
    </xf>
    <xf numFmtId="0" fontId="34" fillId="33" borderId="16" xfId="0" applyFont="1" applyFill="1" applyBorder="1" applyAlignment="1">
      <alignment horizontal="left" vertical="center" indent="1"/>
    </xf>
    <xf numFmtId="0" fontId="41" fillId="33" borderId="16" xfId="0" applyFont="1" applyFill="1" applyBorder="1" applyAlignment="1">
      <alignment horizontal="left" vertical="center" indent="1"/>
    </xf>
    <xf numFmtId="0" fontId="49" fillId="33" borderId="0" xfId="58" applyFont="1" applyFill="1" applyBorder="1" applyAlignment="1" applyProtection="1">
      <alignment horizontal="left" vertical="top" wrapText="1"/>
      <protection locked="0"/>
    </xf>
    <xf numFmtId="0" fontId="20" fillId="35" borderId="48" xfId="0" applyFont="1" applyFill="1" applyBorder="1" applyAlignment="1">
      <alignment horizontal="right" vertical="center" wrapText="1"/>
    </xf>
    <xf numFmtId="44" fontId="31" fillId="33" borderId="70" xfId="57" applyFont="1" applyFill="1" applyBorder="1" applyAlignment="1" applyProtection="1">
      <alignment vertical="center"/>
    </xf>
    <xf numFmtId="44" fontId="20" fillId="35" borderId="75" xfId="0" applyNumberFormat="1" applyFont="1" applyFill="1" applyBorder="1">
      <alignment vertical="center"/>
    </xf>
    <xf numFmtId="44" fontId="20" fillId="35" borderId="76" xfId="0" applyNumberFormat="1" applyFont="1" applyFill="1" applyBorder="1">
      <alignment vertical="center"/>
    </xf>
    <xf numFmtId="0" fontId="30" fillId="0" borderId="0" xfId="0" applyFont="1" applyAlignment="1">
      <alignment vertical="center" wrapText="1"/>
    </xf>
    <xf numFmtId="0" fontId="72" fillId="34" borderId="77" xfId="0" applyFont="1" applyFill="1" applyBorder="1" applyAlignment="1">
      <alignment horizontal="left" indent="1"/>
    </xf>
    <xf numFmtId="0" fontId="34" fillId="34" borderId="78" xfId="0" applyFont="1" applyFill="1" applyBorder="1" applyAlignment="1">
      <alignment horizontal="left" vertical="top" wrapText="1" indent="1"/>
    </xf>
    <xf numFmtId="0" fontId="34" fillId="34" borderId="79" xfId="0" applyFont="1" applyFill="1" applyBorder="1" applyAlignment="1">
      <alignment horizontal="left" vertical="top" wrapText="1" indent="1"/>
    </xf>
    <xf numFmtId="0" fontId="72" fillId="34" borderId="80" xfId="0" applyFont="1" applyFill="1" applyBorder="1" applyAlignment="1">
      <alignment horizontal="left" vertical="top" indent="1"/>
    </xf>
    <xf numFmtId="0" fontId="34" fillId="34" borderId="81" xfId="0" applyFont="1" applyFill="1" applyBorder="1" applyAlignment="1">
      <alignment horizontal="left" vertical="top" wrapText="1"/>
    </xf>
    <xf numFmtId="0" fontId="34" fillId="34" borderId="82" xfId="0" applyFont="1" applyFill="1" applyBorder="1" applyAlignment="1">
      <alignment horizontal="left" vertical="top" wrapText="1"/>
    </xf>
    <xf numFmtId="0" fontId="75" fillId="34" borderId="77" xfId="0" applyFont="1" applyFill="1" applyBorder="1" applyAlignment="1">
      <alignment horizontal="left" indent="1"/>
    </xf>
    <xf numFmtId="0" fontId="75" fillId="34" borderId="80" xfId="0" applyFont="1" applyFill="1" applyBorder="1" applyAlignment="1">
      <alignment horizontal="left" vertical="top" indent="1"/>
    </xf>
    <xf numFmtId="0" fontId="58" fillId="34" borderId="81" xfId="0" applyFont="1" applyFill="1" applyBorder="1" applyAlignment="1">
      <alignment horizontal="left" vertical="top" wrapText="1"/>
    </xf>
    <xf numFmtId="0" fontId="58" fillId="34" borderId="82" xfId="0" applyFont="1" applyFill="1" applyBorder="1" applyAlignment="1">
      <alignment horizontal="left" vertical="top" wrapText="1"/>
    </xf>
    <xf numFmtId="0" fontId="73" fillId="33" borderId="17" xfId="58" applyFont="1" applyFill="1" applyBorder="1" applyAlignment="1" applyProtection="1">
      <alignment horizontal="left" vertical="top" wrapText="1"/>
      <protection locked="0"/>
    </xf>
    <xf numFmtId="0" fontId="45" fillId="33" borderId="16" xfId="0" applyFont="1" applyFill="1" applyBorder="1" applyAlignment="1">
      <alignment horizontal="right" vertical="top" wrapText="1"/>
    </xf>
    <xf numFmtId="0" fontId="42" fillId="33" borderId="16" xfId="0" applyFont="1" applyFill="1" applyBorder="1" applyAlignment="1">
      <alignment horizontal="right" vertical="center" wrapText="1" indent="1"/>
    </xf>
    <xf numFmtId="0" fontId="56" fillId="33" borderId="16" xfId="0" applyFont="1" applyFill="1" applyBorder="1" applyAlignment="1">
      <alignment horizontal="right" vertical="center" wrapText="1" indent="1"/>
    </xf>
    <xf numFmtId="0" fontId="56" fillId="33" borderId="25" xfId="0" applyFont="1" applyFill="1" applyBorder="1" applyAlignment="1">
      <alignment horizontal="right" vertical="top" wrapText="1" indent="1"/>
    </xf>
    <xf numFmtId="0" fontId="51" fillId="0" borderId="0" xfId="0" applyFont="1" applyAlignment="1">
      <alignment horizontal="left" vertical="center"/>
    </xf>
    <xf numFmtId="0" fontId="77" fillId="0" borderId="0" xfId="0" applyFont="1" applyAlignment="1">
      <alignment horizontal="center" vertical="center"/>
    </xf>
    <xf numFmtId="44" fontId="34" fillId="38" borderId="87" xfId="0" applyNumberFormat="1" applyFont="1" applyFill="1" applyBorder="1" applyAlignment="1" applyProtection="1">
      <alignment vertical="top"/>
      <protection locked="0"/>
    </xf>
    <xf numFmtId="0" fontId="31" fillId="39" borderId="88" xfId="0" applyFont="1" applyFill="1" applyBorder="1" applyAlignment="1">
      <alignment horizontal="center" vertical="center" wrapText="1"/>
    </xf>
    <xf numFmtId="44" fontId="0" fillId="0" borderId="89" xfId="0" applyNumberFormat="1" applyBorder="1">
      <alignment vertical="center"/>
    </xf>
    <xf numFmtId="44" fontId="0" fillId="0" borderId="39" xfId="0" applyNumberFormat="1" applyBorder="1">
      <alignment vertical="center"/>
    </xf>
    <xf numFmtId="44" fontId="37" fillId="0" borderId="87" xfId="0" applyNumberFormat="1" applyFont="1" applyBorder="1" applyAlignment="1">
      <alignment vertical="top"/>
    </xf>
    <xf numFmtId="0" fontId="31" fillId="35" borderId="84" xfId="0" applyFont="1" applyFill="1" applyBorder="1" applyAlignment="1">
      <alignment horizontal="center" vertical="center" wrapText="1"/>
    </xf>
    <xf numFmtId="0" fontId="31" fillId="35" borderId="90" xfId="0" applyFont="1" applyFill="1" applyBorder="1" applyAlignment="1">
      <alignment horizontal="center" vertical="center" wrapText="1"/>
    </xf>
    <xf numFmtId="44" fontId="0" fillId="0" borderId="91" xfId="0" applyNumberFormat="1" applyBorder="1">
      <alignment vertical="center"/>
    </xf>
    <xf numFmtId="44" fontId="0" fillId="0" borderId="83" xfId="0" applyNumberFormat="1" applyBorder="1">
      <alignment vertical="center"/>
    </xf>
    <xf numFmtId="44" fontId="0" fillId="0" borderId="18" xfId="0" applyNumberFormat="1" applyBorder="1" applyAlignment="1" applyProtection="1">
      <alignment vertical="top"/>
      <protection locked="0"/>
    </xf>
    <xf numFmtId="0" fontId="0" fillId="0" borderId="19" xfId="0" applyBorder="1" applyAlignment="1" applyProtection="1">
      <alignment horizontal="left" vertical="top" wrapText="1"/>
      <protection locked="0"/>
    </xf>
    <xf numFmtId="44" fontId="34" fillId="0" borderId="18" xfId="0" applyNumberFormat="1" applyFont="1" applyBorder="1" applyAlignment="1" applyProtection="1">
      <alignment vertical="top"/>
      <protection locked="0"/>
    </xf>
    <xf numFmtId="0" fontId="34" fillId="0" borderId="19" xfId="0" applyFont="1" applyBorder="1" applyAlignment="1" applyProtection="1">
      <alignment horizontal="left" vertical="top" wrapText="1"/>
      <protection locked="0"/>
    </xf>
    <xf numFmtId="0" fontId="31" fillId="35" borderId="86" xfId="0" applyFont="1" applyFill="1" applyBorder="1" applyAlignment="1">
      <alignment horizontal="center" vertical="center" wrapText="1"/>
    </xf>
    <xf numFmtId="0" fontId="37" fillId="35" borderId="84" xfId="0" applyFont="1" applyFill="1" applyBorder="1" applyAlignment="1">
      <alignment vertical="center" wrapText="1"/>
    </xf>
    <xf numFmtId="0" fontId="37" fillId="37" borderId="85" xfId="0" applyFont="1" applyFill="1" applyBorder="1" applyAlignment="1">
      <alignment horizontal="center" vertical="center" wrapText="1"/>
    </xf>
    <xf numFmtId="0" fontId="37" fillId="35" borderId="86" xfId="0" applyFont="1" applyFill="1" applyBorder="1" applyAlignment="1">
      <alignment horizontal="center" vertical="center" wrapText="1"/>
    </xf>
    <xf numFmtId="0" fontId="37" fillId="35" borderId="84" xfId="0" applyFont="1" applyFill="1" applyBorder="1" applyAlignment="1">
      <alignment horizontal="center" vertical="center" wrapText="1"/>
    </xf>
    <xf numFmtId="0" fontId="37" fillId="35" borderId="85" xfId="0" applyFont="1" applyFill="1" applyBorder="1" applyAlignment="1">
      <alignment horizontal="center" vertical="center" wrapText="1"/>
    </xf>
    <xf numFmtId="0" fontId="37" fillId="35" borderId="90" xfId="0" applyFont="1" applyFill="1" applyBorder="1" applyAlignment="1">
      <alignment vertical="center" wrapText="1"/>
    </xf>
    <xf numFmtId="0" fontId="0" fillId="0" borderId="92" xfId="0" applyBorder="1" applyAlignment="1" applyProtection="1">
      <alignment horizontal="left" vertical="top" wrapText="1"/>
      <protection locked="0"/>
    </xf>
    <xf numFmtId="44" fontId="34" fillId="38" borderId="93" xfId="0" applyNumberFormat="1" applyFont="1" applyFill="1" applyBorder="1" applyAlignment="1" applyProtection="1">
      <alignment vertical="top"/>
      <protection locked="0"/>
    </xf>
    <xf numFmtId="44" fontId="0" fillId="0" borderId="94" xfId="0" applyNumberFormat="1" applyBorder="1" applyAlignment="1" applyProtection="1">
      <alignment vertical="top"/>
      <protection locked="0"/>
    </xf>
    <xf numFmtId="0" fontId="34" fillId="0" borderId="18" xfId="0" applyFont="1" applyBorder="1" applyAlignment="1" applyProtection="1">
      <alignment horizontal="left" vertical="top" wrapText="1"/>
      <protection locked="0"/>
    </xf>
    <xf numFmtId="44" fontId="34" fillId="0" borderId="19" xfId="0" applyNumberFormat="1" applyFont="1" applyBorder="1" applyAlignment="1" applyProtection="1">
      <alignment vertical="top"/>
      <protection locked="0"/>
    </xf>
    <xf numFmtId="0" fontId="0" fillId="0" borderId="18" xfId="0" applyBorder="1" applyAlignment="1" applyProtection="1">
      <alignment horizontal="left" vertical="top" wrapText="1"/>
      <protection locked="0"/>
    </xf>
    <xf numFmtId="44" fontId="0" fillId="0" borderId="19" xfId="0" applyNumberFormat="1" applyBorder="1" applyAlignment="1" applyProtection="1">
      <alignment vertical="top"/>
      <protection locked="0"/>
    </xf>
    <xf numFmtId="44" fontId="0" fillId="0" borderId="92" xfId="0" applyNumberFormat="1" applyBorder="1" applyAlignment="1" applyProtection="1">
      <alignment vertical="top"/>
      <protection locked="0"/>
    </xf>
    <xf numFmtId="44" fontId="37" fillId="0" borderId="93" xfId="0" applyNumberFormat="1" applyFont="1" applyBorder="1" applyAlignment="1">
      <alignment vertical="top"/>
    </xf>
    <xf numFmtId="0" fontId="0" fillId="0" borderId="94" xfId="0" applyBorder="1" applyAlignment="1" applyProtection="1">
      <alignment horizontal="left" vertical="top" wrapText="1"/>
      <protection locked="0"/>
    </xf>
    <xf numFmtId="0" fontId="20" fillId="35" borderId="95" xfId="56" applyFont="1" applyFill="1" applyBorder="1" applyAlignment="1">
      <alignment horizontal="left" vertical="center" wrapText="1" indent="1"/>
    </xf>
    <xf numFmtId="0" fontId="20" fillId="39" borderId="96" xfId="56" applyFont="1" applyFill="1" applyBorder="1" applyAlignment="1">
      <alignment horizontal="center" vertical="center" wrapText="1"/>
    </xf>
    <xf numFmtId="0" fontId="31" fillId="35" borderId="74" xfId="0" applyFont="1" applyFill="1" applyBorder="1" applyAlignment="1">
      <alignment horizontal="center" vertical="center" wrapText="1"/>
    </xf>
    <xf numFmtId="0" fontId="31" fillId="35" borderId="98" xfId="0" applyFont="1" applyFill="1" applyBorder="1" applyAlignment="1">
      <alignment horizontal="left" vertical="center" indent="1"/>
    </xf>
    <xf numFmtId="44" fontId="1" fillId="38" borderId="87" xfId="56" applyNumberFormat="1" applyFont="1" applyFill="1" applyBorder="1" applyAlignment="1">
      <alignment horizontal="left" vertical="center"/>
    </xf>
    <xf numFmtId="44" fontId="20" fillId="39" borderId="76" xfId="0" applyNumberFormat="1" applyFont="1" applyFill="1" applyBorder="1">
      <alignment vertical="center"/>
    </xf>
    <xf numFmtId="44" fontId="20" fillId="35" borderId="100" xfId="0" applyNumberFormat="1" applyFont="1" applyFill="1" applyBorder="1">
      <alignment vertical="center"/>
    </xf>
    <xf numFmtId="44" fontId="20" fillId="0" borderId="19" xfId="56" applyNumberFormat="1" applyFont="1" applyBorder="1" applyAlignment="1">
      <alignment vertical="center"/>
    </xf>
    <xf numFmtId="44" fontId="20" fillId="35" borderId="101" xfId="0" applyNumberFormat="1" applyFont="1" applyFill="1" applyBorder="1">
      <alignment vertical="center"/>
    </xf>
    <xf numFmtId="44" fontId="1" fillId="0" borderId="87" xfId="56" applyNumberFormat="1" applyFont="1" applyBorder="1" applyAlignment="1">
      <alignment vertical="center"/>
    </xf>
    <xf numFmtId="44" fontId="1" fillId="0" borderId="97" xfId="56" applyNumberFormat="1" applyFont="1" applyBorder="1" applyAlignment="1">
      <alignment vertical="center"/>
    </xf>
    <xf numFmtId="44" fontId="20" fillId="0" borderId="99" xfId="56" applyNumberFormat="1" applyFont="1" applyBorder="1" applyAlignment="1">
      <alignment vertical="center"/>
    </xf>
    <xf numFmtId="44" fontId="20" fillId="35" borderId="102" xfId="0" applyNumberFormat="1" applyFont="1" applyFill="1" applyBorder="1">
      <alignment vertical="center"/>
    </xf>
    <xf numFmtId="0" fontId="0" fillId="0" borderId="83" xfId="0" applyBorder="1" applyAlignment="1">
      <alignment horizontal="left" vertical="center" indent="1"/>
    </xf>
    <xf numFmtId="44" fontId="20" fillId="39" borderId="103" xfId="0" applyNumberFormat="1" applyFont="1" applyFill="1" applyBorder="1">
      <alignment vertical="center"/>
    </xf>
    <xf numFmtId="44" fontId="20" fillId="35" borderId="37" xfId="0" applyNumberFormat="1" applyFont="1" applyFill="1" applyBorder="1">
      <alignment vertical="center"/>
    </xf>
    <xf numFmtId="44" fontId="20" fillId="0" borderId="43" xfId="56" applyNumberFormat="1" applyFont="1" applyBorder="1" applyAlignment="1">
      <alignment vertical="center"/>
    </xf>
    <xf numFmtId="44" fontId="20" fillId="0" borderId="73" xfId="56" applyNumberFormat="1" applyFont="1" applyBorder="1" applyAlignment="1">
      <alignment vertical="center"/>
    </xf>
    <xf numFmtId="44" fontId="20" fillId="0" borderId="36" xfId="0" applyNumberFormat="1" applyFont="1" applyBorder="1">
      <alignment vertical="center"/>
    </xf>
    <xf numFmtId="44" fontId="20" fillId="0" borderId="38" xfId="0" applyNumberFormat="1" applyFont="1" applyBorder="1">
      <alignment vertical="center"/>
    </xf>
    <xf numFmtId="44" fontId="20" fillId="0" borderId="102" xfId="0" applyNumberFormat="1" applyFont="1" applyBorder="1">
      <alignment vertical="center"/>
    </xf>
    <xf numFmtId="44" fontId="20" fillId="39" borderId="104" xfId="0" applyNumberFormat="1" applyFont="1" applyFill="1" applyBorder="1">
      <alignment vertical="center"/>
    </xf>
    <xf numFmtId="44" fontId="20" fillId="35" borderId="105" xfId="0" applyNumberFormat="1" applyFont="1" applyFill="1" applyBorder="1">
      <alignment vertical="center"/>
    </xf>
    <xf numFmtId="0" fontId="63" fillId="0" borderId="0" xfId="56" applyFont="1" applyAlignment="1">
      <alignment horizontal="left" vertical="center"/>
    </xf>
    <xf numFmtId="0" fontId="27" fillId="0" borderId="0" xfId="0" quotePrefix="1" applyFont="1">
      <alignment vertical="center"/>
    </xf>
    <xf numFmtId="0" fontId="1" fillId="0" borderId="0" xfId="56" applyFont="1" applyAlignment="1">
      <alignment horizontal="center"/>
    </xf>
    <xf numFmtId="0" fontId="20" fillId="35" borderId="107" xfId="56" applyFont="1" applyFill="1" applyBorder="1" applyAlignment="1">
      <alignment horizontal="center" vertical="center" wrapText="1"/>
    </xf>
    <xf numFmtId="3" fontId="27" fillId="0" borderId="106" xfId="0" applyNumberFormat="1" applyFont="1" applyBorder="1" applyAlignment="1">
      <alignment horizontal="center" vertical="center"/>
    </xf>
    <xf numFmtId="0" fontId="31" fillId="35" borderId="108" xfId="0" applyFont="1" applyFill="1" applyBorder="1" applyAlignment="1">
      <alignment horizontal="center" vertical="center" wrapText="1"/>
    </xf>
    <xf numFmtId="44" fontId="20" fillId="0" borderId="105" xfId="0" applyNumberFormat="1" applyFont="1" applyBorder="1">
      <alignment vertical="center"/>
    </xf>
    <xf numFmtId="0" fontId="20" fillId="40" borderId="111" xfId="56" applyFont="1" applyFill="1" applyBorder="1" applyAlignment="1">
      <alignment horizontal="left" vertical="center" wrapText="1" indent="1"/>
    </xf>
    <xf numFmtId="0" fontId="20" fillId="39" borderId="112" xfId="56" applyFont="1" applyFill="1" applyBorder="1" applyAlignment="1">
      <alignment horizontal="center" vertical="center" wrapText="1"/>
    </xf>
    <xf numFmtId="0" fontId="1" fillId="0" borderId="113" xfId="56" applyFont="1" applyBorder="1" applyAlignment="1">
      <alignment horizontal="left" vertical="center" indent="1"/>
    </xf>
    <xf numFmtId="44" fontId="1" fillId="0" borderId="114" xfId="56" applyNumberFormat="1" applyFont="1" applyBorder="1" applyAlignment="1">
      <alignment vertical="center"/>
    </xf>
    <xf numFmtId="0" fontId="1" fillId="0" borderId="113" xfId="56" applyFont="1" applyBorder="1" applyAlignment="1">
      <alignment horizontal="left" vertical="center" wrapText="1" indent="1"/>
    </xf>
    <xf numFmtId="44" fontId="1" fillId="0" borderId="115" xfId="56" applyNumberFormat="1" applyFont="1" applyBorder="1" applyAlignment="1">
      <alignment vertical="center"/>
    </xf>
    <xf numFmtId="0" fontId="0" fillId="40" borderId="116" xfId="0" applyFill="1" applyBorder="1" applyAlignment="1">
      <alignment horizontal="left" vertical="center" indent="1"/>
    </xf>
    <xf numFmtId="44" fontId="20" fillId="39" borderId="117" xfId="0" applyNumberFormat="1" applyFont="1" applyFill="1" applyBorder="1">
      <alignment vertical="center"/>
    </xf>
    <xf numFmtId="0" fontId="20" fillId="40" borderId="122" xfId="0" applyFont="1" applyFill="1" applyBorder="1" applyAlignment="1">
      <alignment horizontal="right"/>
    </xf>
    <xf numFmtId="44" fontId="1" fillId="42" borderId="123" xfId="57" applyFont="1" applyFill="1" applyBorder="1" applyAlignment="1"/>
    <xf numFmtId="0" fontId="20" fillId="40" borderId="124" xfId="0" applyFont="1" applyFill="1" applyBorder="1" applyAlignment="1">
      <alignment horizontal="right"/>
    </xf>
    <xf numFmtId="44" fontId="20" fillId="42" borderId="125" xfId="57" applyFont="1" applyFill="1" applyBorder="1" applyAlignment="1"/>
    <xf numFmtId="0" fontId="20" fillId="40" borderId="126" xfId="0" applyFont="1" applyFill="1" applyBorder="1" applyAlignment="1">
      <alignment horizontal="right"/>
    </xf>
    <xf numFmtId="44" fontId="1" fillId="42" borderId="127" xfId="57" applyFont="1" applyFill="1" applyBorder="1" applyAlignment="1"/>
    <xf numFmtId="0" fontId="82" fillId="0" borderId="0" xfId="0" applyFont="1" applyAlignment="1" applyProtection="1">
      <alignment horizontal="center" vertical="center"/>
      <protection locked="0"/>
    </xf>
    <xf numFmtId="0" fontId="34" fillId="33" borderId="0" xfId="0" quotePrefix="1" applyFont="1" applyFill="1" applyAlignment="1">
      <alignment vertical="top" wrapText="1"/>
    </xf>
    <xf numFmtId="0" fontId="42" fillId="33" borderId="16" xfId="0" applyFont="1" applyFill="1" applyBorder="1" applyAlignment="1">
      <alignment horizontal="right" vertical="top" indent="1"/>
    </xf>
    <xf numFmtId="0" fontId="34" fillId="33" borderId="128" xfId="0" applyFont="1" applyFill="1" applyBorder="1" applyAlignment="1">
      <alignment vertical="top" wrapText="1"/>
    </xf>
    <xf numFmtId="0" fontId="37" fillId="33" borderId="16" xfId="0" applyFont="1" applyFill="1" applyBorder="1" applyAlignment="1">
      <alignment horizontal="right" vertical="top"/>
    </xf>
    <xf numFmtId="0" fontId="27" fillId="0" borderId="0" xfId="0" applyFont="1" applyAlignment="1">
      <alignment vertical="center" wrapText="1"/>
    </xf>
    <xf numFmtId="0" fontId="27" fillId="0" borderId="17" xfId="0" applyFont="1" applyBorder="1" applyAlignment="1">
      <alignment vertical="center" wrapText="1"/>
    </xf>
    <xf numFmtId="0" fontId="86" fillId="33" borderId="16" xfId="0" applyFont="1" applyFill="1" applyBorder="1" applyAlignment="1">
      <alignment horizontal="right" vertical="center" indent="1"/>
    </xf>
    <xf numFmtId="0" fontId="50" fillId="33" borderId="16" xfId="0" applyFont="1" applyFill="1" applyBorder="1" applyAlignment="1">
      <alignment horizontal="right" vertical="top"/>
    </xf>
    <xf numFmtId="0" fontId="86" fillId="33" borderId="25" xfId="0" applyFont="1" applyFill="1" applyBorder="1" applyAlignment="1">
      <alignment horizontal="right" vertical="center" indent="1"/>
    </xf>
    <xf numFmtId="0" fontId="75" fillId="33" borderId="16" xfId="0" applyFont="1" applyFill="1" applyBorder="1" applyAlignment="1">
      <alignment horizontal="right" vertical="top"/>
    </xf>
    <xf numFmtId="0" fontId="37" fillId="33" borderId="25" xfId="0" applyFont="1" applyFill="1" applyBorder="1" applyAlignment="1">
      <alignment horizontal="right" vertical="top"/>
    </xf>
    <xf numFmtId="0" fontId="37" fillId="33" borderId="0" xfId="0" applyFont="1" applyFill="1" applyAlignment="1">
      <alignment horizontal="left" vertical="top" wrapText="1" indent="1"/>
    </xf>
    <xf numFmtId="0" fontId="75" fillId="33" borderId="16" xfId="0" applyFont="1" applyFill="1" applyBorder="1" applyAlignment="1">
      <alignment horizontal="right" vertical="top" indent="1"/>
    </xf>
    <xf numFmtId="0" fontId="87" fillId="0" borderId="17" xfId="58" applyFont="1" applyBorder="1" applyAlignment="1" applyProtection="1">
      <alignment horizontal="left" vertical="top" indent="1"/>
      <protection locked="0"/>
    </xf>
    <xf numFmtId="0" fontId="86" fillId="33" borderId="16" xfId="0" applyFont="1" applyFill="1" applyBorder="1" applyAlignment="1">
      <alignment horizontal="right" vertical="top"/>
    </xf>
    <xf numFmtId="0" fontId="49" fillId="33" borderId="0" xfId="58" applyFont="1" applyFill="1" applyAlignment="1" applyProtection="1">
      <alignment horizontal="left" vertical="top" wrapText="1" indent="1"/>
      <protection locked="0"/>
    </xf>
    <xf numFmtId="0" fontId="48" fillId="33" borderId="0" xfId="58" applyFill="1" applyAlignment="1" applyProtection="1">
      <alignment horizontal="left" vertical="top" wrapText="1"/>
      <protection locked="0"/>
    </xf>
    <xf numFmtId="0" fontId="37" fillId="35" borderId="86" xfId="0" applyFont="1" applyFill="1" applyBorder="1" applyAlignment="1" applyProtection="1">
      <alignment horizontal="center" vertical="center" wrapText="1"/>
      <protection locked="0"/>
    </xf>
    <xf numFmtId="0" fontId="37" fillId="35" borderId="29" xfId="0" applyFont="1" applyFill="1" applyBorder="1" applyAlignment="1" applyProtection="1">
      <alignment horizontal="center" vertical="center" wrapText="1"/>
      <protection locked="0"/>
    </xf>
    <xf numFmtId="0" fontId="37" fillId="35" borderId="84" xfId="0" applyFont="1" applyFill="1" applyBorder="1" applyAlignment="1" applyProtection="1">
      <alignment horizontal="center" vertical="center" wrapText="1"/>
      <protection locked="0"/>
    </xf>
    <xf numFmtId="10" fontId="32" fillId="36" borderId="130" xfId="0" applyNumberFormat="1" applyFont="1" applyFill="1" applyBorder="1" applyAlignment="1" applyProtection="1">
      <alignment horizontal="center" vertical="center"/>
      <protection locked="0"/>
    </xf>
    <xf numFmtId="0" fontId="32" fillId="36" borderId="131" xfId="0" applyFont="1" applyFill="1" applyBorder="1" applyAlignment="1">
      <alignment horizontal="center" vertical="center"/>
    </xf>
    <xf numFmtId="44" fontId="32" fillId="36" borderId="132" xfId="0" applyNumberFormat="1" applyFont="1" applyFill="1" applyBorder="1">
      <alignment vertical="center"/>
    </xf>
    <xf numFmtId="44" fontId="32" fillId="36" borderId="134" xfId="0" applyNumberFormat="1" applyFont="1" applyFill="1" applyBorder="1">
      <alignment vertical="center"/>
    </xf>
    <xf numFmtId="44" fontId="32" fillId="36" borderId="129" xfId="0" applyNumberFormat="1" applyFont="1" applyFill="1" applyBorder="1">
      <alignment vertical="center"/>
    </xf>
    <xf numFmtId="44" fontId="32" fillId="36" borderId="135" xfId="0" applyNumberFormat="1" applyFont="1" applyFill="1" applyBorder="1">
      <alignment vertical="center"/>
    </xf>
    <xf numFmtId="0" fontId="31" fillId="39" borderId="136" xfId="0" applyFont="1" applyFill="1" applyBorder="1" applyAlignment="1">
      <alignment horizontal="center" vertical="center" wrapText="1"/>
    </xf>
    <xf numFmtId="44" fontId="0" fillId="38" borderId="137" xfId="0" applyNumberFormat="1" applyFill="1" applyBorder="1">
      <alignment vertical="center"/>
    </xf>
    <xf numFmtId="44" fontId="0" fillId="0" borderId="138" xfId="0" applyNumberFormat="1" applyBorder="1">
      <alignment vertical="center"/>
    </xf>
    <xf numFmtId="44" fontId="0" fillId="38" borderId="139" xfId="0" applyNumberFormat="1" applyFill="1" applyBorder="1">
      <alignment vertical="center"/>
    </xf>
    <xf numFmtId="44" fontId="0" fillId="0" borderId="135" xfId="0" applyNumberFormat="1" applyBorder="1">
      <alignment vertical="center"/>
    </xf>
    <xf numFmtId="44" fontId="0" fillId="0" borderId="140" xfId="0" applyNumberFormat="1" applyBorder="1">
      <alignment vertical="center"/>
    </xf>
    <xf numFmtId="44" fontId="0" fillId="0" borderId="141" xfId="0" applyNumberFormat="1" applyBorder="1">
      <alignment vertical="center"/>
    </xf>
    <xf numFmtId="44" fontId="0" fillId="0" borderId="142" xfId="0" applyNumberFormat="1" applyBorder="1">
      <alignment vertical="center"/>
    </xf>
    <xf numFmtId="44" fontId="0" fillId="0" borderId="143" xfId="0" applyNumberFormat="1" applyBorder="1">
      <alignment vertical="center"/>
    </xf>
    <xf numFmtId="44" fontId="0" fillId="0" borderId="144" xfId="0" applyNumberFormat="1" applyBorder="1">
      <alignment vertical="center"/>
    </xf>
    <xf numFmtId="44" fontId="0" fillId="0" borderId="145" xfId="0" applyNumberFormat="1" applyBorder="1">
      <alignment vertical="center"/>
    </xf>
    <xf numFmtId="10" fontId="32" fillId="36" borderId="146" xfId="0" applyNumberFormat="1" applyFont="1" applyFill="1" applyBorder="1" applyAlignment="1" applyProtection="1">
      <alignment horizontal="center" vertical="center"/>
      <protection locked="0"/>
    </xf>
    <xf numFmtId="10" fontId="32" fillId="36" borderId="147" xfId="0" applyNumberFormat="1" applyFont="1" applyFill="1" applyBorder="1" applyAlignment="1" applyProtection="1">
      <alignment horizontal="center" vertical="center"/>
      <protection locked="0"/>
    </xf>
    <xf numFmtId="10" fontId="32" fillId="36" borderId="148" xfId="0" applyNumberFormat="1" applyFont="1" applyFill="1" applyBorder="1" applyAlignment="1" applyProtection="1">
      <alignment horizontal="center" vertical="center"/>
      <protection locked="0"/>
    </xf>
    <xf numFmtId="44" fontId="32" fillId="36" borderId="149" xfId="0" applyNumberFormat="1" applyFont="1" applyFill="1" applyBorder="1">
      <alignment vertical="center"/>
    </xf>
    <xf numFmtId="44" fontId="32" fillId="36" borderId="150" xfId="0" applyNumberFormat="1" applyFont="1" applyFill="1" applyBorder="1">
      <alignment vertical="center"/>
    </xf>
    <xf numFmtId="44" fontId="32" fillId="36" borderId="151" xfId="0" applyNumberFormat="1" applyFont="1" applyFill="1" applyBorder="1">
      <alignment vertical="center"/>
    </xf>
    <xf numFmtId="44" fontId="32" fillId="36" borderId="143" xfId="0" applyNumberFormat="1" applyFont="1" applyFill="1" applyBorder="1">
      <alignment vertical="center"/>
    </xf>
    <xf numFmtId="44" fontId="32" fillId="36" borderId="144" xfId="0" applyNumberFormat="1" applyFont="1" applyFill="1" applyBorder="1">
      <alignment vertical="center"/>
    </xf>
    <xf numFmtId="44" fontId="32" fillId="36" borderId="145" xfId="0" applyNumberFormat="1" applyFont="1" applyFill="1" applyBorder="1">
      <alignment vertical="center"/>
    </xf>
    <xf numFmtId="0" fontId="34" fillId="0" borderId="152" xfId="0" applyFont="1" applyBorder="1" applyAlignment="1" applyProtection="1">
      <alignment horizontal="left" vertical="top"/>
      <protection locked="0"/>
    </xf>
    <xf numFmtId="0" fontId="34" fillId="0" borderId="141" xfId="0" applyFont="1" applyBorder="1" applyAlignment="1" applyProtection="1">
      <alignment horizontal="center" vertical="top"/>
      <protection locked="0"/>
    </xf>
    <xf numFmtId="0" fontId="34" fillId="0" borderId="141" xfId="0" applyFont="1" applyBorder="1" applyAlignment="1" applyProtection="1">
      <alignment horizontal="left" vertical="top"/>
      <protection locked="0"/>
    </xf>
    <xf numFmtId="44" fontId="34" fillId="0" borderId="141" xfId="0" applyNumberFormat="1" applyFont="1" applyBorder="1" applyAlignment="1" applyProtection="1">
      <alignment vertical="top"/>
      <protection locked="0"/>
    </xf>
    <xf numFmtId="0" fontId="34" fillId="0" borderId="153" xfId="0" applyFont="1" applyBorder="1" applyAlignment="1" applyProtection="1">
      <alignment horizontal="left" vertical="top"/>
      <protection locked="0"/>
    </xf>
    <xf numFmtId="0" fontId="34" fillId="0" borderId="150" xfId="0" applyFont="1" applyBorder="1" applyAlignment="1" applyProtection="1">
      <alignment horizontal="center" vertical="top"/>
      <protection locked="0"/>
    </xf>
    <xf numFmtId="0" fontId="34" fillId="0" borderId="150" xfId="0" applyFont="1" applyBorder="1" applyAlignment="1" applyProtection="1">
      <alignment horizontal="left" vertical="top"/>
      <protection locked="0"/>
    </xf>
    <xf numFmtId="44" fontId="34" fillId="0" borderId="150" xfId="0" applyNumberFormat="1" applyFont="1" applyBorder="1" applyAlignment="1" applyProtection="1">
      <alignment vertical="top"/>
      <protection locked="0"/>
    </xf>
    <xf numFmtId="0" fontId="34" fillId="0" borderId="154" xfId="0" applyFont="1" applyBorder="1" applyAlignment="1" applyProtection="1">
      <alignment horizontal="left" vertical="top"/>
      <protection locked="0"/>
    </xf>
    <xf numFmtId="0" fontId="34" fillId="0" borderId="144" xfId="0" applyFont="1" applyBorder="1" applyAlignment="1" applyProtection="1">
      <alignment horizontal="center" vertical="top"/>
      <protection locked="0"/>
    </xf>
    <xf numFmtId="0" fontId="34" fillId="0" borderId="144" xfId="0" applyFont="1" applyBorder="1" applyAlignment="1" applyProtection="1">
      <alignment horizontal="left" vertical="top"/>
      <protection locked="0"/>
    </xf>
    <xf numFmtId="44" fontId="34" fillId="0" borderId="144" xfId="0" applyNumberFormat="1" applyFont="1" applyBorder="1" applyAlignment="1" applyProtection="1">
      <alignment vertical="top"/>
      <protection locked="0"/>
    </xf>
    <xf numFmtId="0" fontId="34" fillId="0" borderId="155" xfId="0" applyFont="1" applyBorder="1" applyAlignment="1" applyProtection="1">
      <alignment horizontal="left" vertical="top" wrapText="1"/>
      <protection locked="0"/>
    </xf>
    <xf numFmtId="0" fontId="34" fillId="0" borderId="54" xfId="0" applyFont="1" applyBorder="1" applyAlignment="1" applyProtection="1">
      <alignment horizontal="left" vertical="top" wrapText="1"/>
      <protection locked="0"/>
    </xf>
    <xf numFmtId="0" fontId="34" fillId="0" borderId="156" xfId="0" applyFont="1" applyBorder="1" applyAlignment="1" applyProtection="1">
      <alignment horizontal="left" vertical="top" wrapText="1"/>
      <protection locked="0"/>
    </xf>
    <xf numFmtId="44" fontId="34" fillId="0" borderId="157" xfId="0" applyNumberFormat="1" applyFont="1" applyBorder="1" applyAlignment="1" applyProtection="1">
      <alignment vertical="top"/>
      <protection locked="0"/>
    </xf>
    <xf numFmtId="44" fontId="34" fillId="0" borderId="53" xfId="0" applyNumberFormat="1" applyFont="1" applyBorder="1" applyAlignment="1" applyProtection="1">
      <alignment vertical="top"/>
      <protection locked="0"/>
    </xf>
    <xf numFmtId="44" fontId="34" fillId="0" borderId="158" xfId="0" applyNumberFormat="1" applyFont="1" applyBorder="1" applyAlignment="1" applyProtection="1">
      <alignment vertical="top"/>
      <protection locked="0"/>
    </xf>
    <xf numFmtId="44" fontId="34" fillId="38" borderId="159" xfId="0" applyNumberFormat="1" applyFont="1" applyFill="1" applyBorder="1" applyAlignment="1" applyProtection="1">
      <alignment vertical="top"/>
      <protection locked="0"/>
    </xf>
    <xf numFmtId="44" fontId="34" fillId="38" borderId="160" xfId="0" applyNumberFormat="1" applyFont="1" applyFill="1" applyBorder="1" applyAlignment="1" applyProtection="1">
      <alignment vertical="top"/>
      <protection locked="0"/>
    </xf>
    <xf numFmtId="44" fontId="34" fillId="38" borderId="161" xfId="0" applyNumberFormat="1" applyFont="1" applyFill="1" applyBorder="1" applyAlignment="1" applyProtection="1">
      <alignment vertical="top"/>
      <protection locked="0"/>
    </xf>
    <xf numFmtId="44" fontId="34" fillId="0" borderId="155" xfId="0" applyNumberFormat="1" applyFont="1" applyBorder="1" applyAlignment="1" applyProtection="1">
      <alignment vertical="top"/>
      <protection locked="0"/>
    </xf>
    <xf numFmtId="44" fontId="34" fillId="0" borderId="54" xfId="0" applyNumberFormat="1" applyFont="1" applyBorder="1" applyAlignment="1" applyProtection="1">
      <alignment vertical="top"/>
      <protection locked="0"/>
    </xf>
    <xf numFmtId="44" fontId="34" fillId="0" borderId="156" xfId="0" applyNumberFormat="1" applyFont="1" applyBorder="1" applyAlignment="1" applyProtection="1">
      <alignment vertical="top"/>
      <protection locked="0"/>
    </xf>
    <xf numFmtId="0" fontId="34" fillId="0" borderId="162" xfId="0" applyFont="1" applyBorder="1" applyAlignment="1" applyProtection="1">
      <alignment horizontal="left" vertical="top" wrapText="1"/>
      <protection locked="0"/>
    </xf>
    <xf numFmtId="0" fontId="34" fillId="0" borderId="163" xfId="0" applyFont="1" applyBorder="1" applyAlignment="1" applyProtection="1">
      <alignment horizontal="left" vertical="top" wrapText="1"/>
      <protection locked="0"/>
    </xf>
    <xf numFmtId="0" fontId="34" fillId="0" borderId="164" xfId="0" applyFont="1" applyBorder="1" applyAlignment="1" applyProtection="1">
      <alignment horizontal="left" vertical="top" wrapText="1"/>
      <protection locked="0"/>
    </xf>
    <xf numFmtId="44" fontId="37" fillId="0" borderId="159" xfId="0" applyNumberFormat="1" applyFont="1" applyBorder="1" applyAlignment="1">
      <alignment vertical="top"/>
    </xf>
    <xf numFmtId="44" fontId="37" fillId="0" borderId="160" xfId="0" applyNumberFormat="1" applyFont="1" applyBorder="1" applyAlignment="1">
      <alignment vertical="top"/>
    </xf>
    <xf numFmtId="44" fontId="37" fillId="0" borderId="161" xfId="0" applyNumberFormat="1" applyFont="1" applyBorder="1" applyAlignment="1">
      <alignment vertical="top"/>
    </xf>
    <xf numFmtId="44" fontId="1" fillId="0" borderId="165" xfId="56" applyNumberFormat="1" applyFont="1" applyBorder="1" applyAlignment="1">
      <alignment horizontal="left" vertical="center"/>
    </xf>
    <xf numFmtId="44" fontId="1" fillId="0" borderId="150" xfId="56" applyNumberFormat="1" applyFont="1" applyBorder="1" applyAlignment="1">
      <alignment vertical="center"/>
    </xf>
    <xf numFmtId="0" fontId="1" fillId="0" borderId="62" xfId="56" applyFont="1" applyBorder="1" applyAlignment="1">
      <alignment horizontal="left" vertical="center" indent="1"/>
    </xf>
    <xf numFmtId="0" fontId="1" fillId="0" borderId="133" xfId="56" applyFont="1" applyBorder="1" applyAlignment="1">
      <alignment horizontal="left" vertical="center" wrapText="1" indent="1"/>
    </xf>
    <xf numFmtId="44" fontId="1" fillId="0" borderId="51" xfId="56" applyNumberFormat="1" applyFont="1" applyBorder="1" applyAlignment="1">
      <alignment horizontal="left" vertical="center"/>
    </xf>
    <xf numFmtId="44" fontId="1" fillId="0" borderId="53" xfId="56" applyNumberFormat="1" applyFont="1" applyBorder="1" applyAlignment="1">
      <alignment horizontal="left" vertical="center"/>
    </xf>
    <xf numFmtId="44" fontId="1" fillId="38" borderId="167" xfId="56" applyNumberFormat="1" applyFont="1" applyFill="1" applyBorder="1" applyAlignment="1">
      <alignment horizontal="left" vertical="center"/>
    </xf>
    <xf numFmtId="44" fontId="1" fillId="38" borderId="160" xfId="56" applyNumberFormat="1" applyFont="1" applyFill="1" applyBorder="1" applyAlignment="1">
      <alignment horizontal="left" vertical="center"/>
    </xf>
    <xf numFmtId="44" fontId="1" fillId="0" borderId="52" xfId="56" applyNumberFormat="1" applyFont="1" applyBorder="1" applyAlignment="1">
      <alignment horizontal="left" vertical="center"/>
    </xf>
    <xf numFmtId="44" fontId="1" fillId="0" borderId="54" xfId="56" applyNumberFormat="1" applyFont="1" applyBorder="1" applyAlignment="1">
      <alignment vertical="center"/>
    </xf>
    <xf numFmtId="44" fontId="20" fillId="0" borderId="58" xfId="56" applyNumberFormat="1" applyFont="1" applyBorder="1" applyAlignment="1">
      <alignment vertical="center"/>
    </xf>
    <xf numFmtId="44" fontId="20" fillId="0" borderId="169" xfId="56" applyNumberFormat="1" applyFont="1" applyBorder="1" applyAlignment="1">
      <alignment vertical="center"/>
    </xf>
    <xf numFmtId="0" fontId="1" fillId="0" borderId="63" xfId="56" applyFont="1" applyBorder="1" applyAlignment="1">
      <alignment horizontal="left" vertical="center" wrapText="1" indent="1"/>
    </xf>
    <xf numFmtId="44" fontId="1" fillId="38" borderId="168" xfId="56" applyNumberFormat="1" applyFont="1" applyFill="1" applyBorder="1" applyAlignment="1">
      <alignment horizontal="left" vertical="center"/>
    </xf>
    <xf numFmtId="44" fontId="1" fillId="0" borderId="55" xfId="56" applyNumberFormat="1" applyFont="1" applyBorder="1" applyAlignment="1">
      <alignment horizontal="left" vertical="center"/>
    </xf>
    <xf numFmtId="44" fontId="1" fillId="0" borderId="166" xfId="56" applyNumberFormat="1" applyFont="1" applyBorder="1" applyAlignment="1">
      <alignment vertical="center"/>
    </xf>
    <xf numFmtId="44" fontId="1" fillId="0" borderId="56" xfId="56" applyNumberFormat="1" applyFont="1" applyBorder="1" applyAlignment="1">
      <alignment vertical="center"/>
    </xf>
    <xf numFmtId="44" fontId="20" fillId="0" borderId="60" xfId="56" applyNumberFormat="1" applyFont="1" applyBorder="1" applyAlignment="1">
      <alignment vertical="center"/>
    </xf>
    <xf numFmtId="0" fontId="31" fillId="35" borderId="170" xfId="0" applyFont="1" applyFill="1" applyBorder="1" applyAlignment="1">
      <alignment horizontal="left" vertical="center" indent="1"/>
    </xf>
    <xf numFmtId="44" fontId="20" fillId="35" borderId="171" xfId="0" applyNumberFormat="1" applyFont="1" applyFill="1" applyBorder="1">
      <alignment vertical="center"/>
    </xf>
    <xf numFmtId="44" fontId="20" fillId="35" borderId="172" xfId="0" applyNumberFormat="1" applyFont="1" applyFill="1" applyBorder="1">
      <alignment vertical="center"/>
    </xf>
    <xf numFmtId="0" fontId="1" fillId="0" borderId="62" xfId="56" applyFont="1" applyBorder="1" applyAlignment="1">
      <alignment horizontal="left" vertical="center" wrapText="1" indent="1"/>
    </xf>
    <xf numFmtId="44" fontId="1" fillId="0" borderId="165" xfId="56" applyNumberFormat="1" applyFont="1" applyBorder="1" applyAlignment="1">
      <alignment vertical="center"/>
    </xf>
    <xf numFmtId="44" fontId="1" fillId="0" borderId="52" xfId="56" applyNumberFormat="1" applyFont="1" applyBorder="1" applyAlignment="1">
      <alignment vertical="center"/>
    </xf>
    <xf numFmtId="0" fontId="81" fillId="35" borderId="95" xfId="56" applyFont="1" applyFill="1" applyBorder="1" applyAlignment="1">
      <alignment horizontal="left" vertical="center" wrapText="1" indent="1"/>
    </xf>
    <xf numFmtId="0" fontId="81" fillId="39" borderId="96" xfId="56" applyFont="1" applyFill="1" applyBorder="1" applyAlignment="1">
      <alignment horizontal="center" vertical="center" wrapText="1"/>
    </xf>
    <xf numFmtId="0" fontId="37" fillId="35" borderId="74" xfId="0" applyFont="1" applyFill="1" applyBorder="1" applyAlignment="1">
      <alignment horizontal="center" vertical="center" wrapText="1"/>
    </xf>
    <xf numFmtId="0" fontId="37" fillId="35" borderId="64" xfId="0" applyFont="1" applyFill="1" applyBorder="1" applyAlignment="1">
      <alignment horizontal="center" vertical="center" wrapText="1"/>
    </xf>
    <xf numFmtId="0" fontId="37" fillId="35" borderId="65" xfId="0" applyFont="1" applyFill="1" applyBorder="1" applyAlignment="1">
      <alignment horizontal="center" vertical="center" wrapText="1"/>
    </xf>
    <xf numFmtId="0" fontId="81" fillId="35" borderId="66" xfId="56" applyFont="1" applyFill="1" applyBorder="1" applyAlignment="1">
      <alignment horizontal="center" vertical="center" wrapText="1"/>
    </xf>
    <xf numFmtId="44" fontId="20" fillId="39" borderId="171" xfId="0" applyNumberFormat="1" applyFont="1" applyFill="1" applyBorder="1">
      <alignment vertical="center"/>
    </xf>
    <xf numFmtId="0" fontId="0" fillId="0" borderId="173" xfId="0" applyBorder="1" applyProtection="1">
      <alignment vertical="center"/>
      <protection locked="0"/>
    </xf>
    <xf numFmtId="0" fontId="0" fillId="0" borderId="27" xfId="0" applyBorder="1" applyProtection="1">
      <alignment vertical="center"/>
      <protection locked="0"/>
    </xf>
    <xf numFmtId="0" fontId="0" fillId="0" borderId="16" xfId="0" applyBorder="1" applyProtection="1">
      <alignment vertical="center"/>
      <protection locked="0"/>
    </xf>
    <xf numFmtId="0" fontId="83" fillId="34" borderId="80" xfId="58" applyFont="1" applyFill="1" applyBorder="1" applyAlignment="1" applyProtection="1">
      <alignment horizontal="left" vertical="top" indent="1"/>
      <protection locked="0"/>
    </xf>
    <xf numFmtId="0" fontId="83" fillId="34" borderId="81" xfId="58" applyFont="1" applyFill="1" applyBorder="1" applyAlignment="1" applyProtection="1">
      <alignment horizontal="left" vertical="top" indent="1"/>
      <protection locked="0"/>
    </xf>
    <xf numFmtId="0" fontId="83" fillId="34" borderId="82" xfId="58" applyFont="1" applyFill="1" applyBorder="1" applyAlignment="1" applyProtection="1">
      <alignment horizontal="left" vertical="top" indent="1"/>
      <protection locked="0"/>
    </xf>
    <xf numFmtId="0" fontId="39" fillId="33" borderId="22" xfId="0" applyFont="1" applyFill="1" applyBorder="1" applyAlignment="1">
      <alignment horizontal="center" vertical="top"/>
    </xf>
    <xf numFmtId="0" fontId="39" fillId="33" borderId="27" xfId="0" applyFont="1" applyFill="1" applyBorder="1" applyAlignment="1">
      <alignment horizontal="center" vertical="top"/>
    </xf>
    <xf numFmtId="0" fontId="39" fillId="33" borderId="23" xfId="0" applyFont="1" applyFill="1" applyBorder="1" applyAlignment="1">
      <alignment horizontal="center" vertical="top"/>
    </xf>
    <xf numFmtId="0" fontId="40" fillId="33" borderId="25" xfId="50" applyFont="1" applyBorder="1" applyAlignment="1" applyProtection="1">
      <alignment horizontal="center" vertical="top"/>
    </xf>
    <xf numFmtId="0" fontId="40" fillId="33" borderId="17" xfId="50" applyFont="1" applyBorder="1" applyAlignment="1" applyProtection="1">
      <alignment horizontal="center" vertical="top"/>
    </xf>
    <xf numFmtId="0" fontId="40" fillId="33" borderId="26" xfId="50" applyFont="1" applyBorder="1" applyAlignment="1" applyProtection="1">
      <alignment horizontal="center" vertical="top"/>
    </xf>
    <xf numFmtId="0" fontId="48" fillId="33" borderId="16" xfId="58" applyFill="1" applyBorder="1" applyAlignment="1" applyProtection="1">
      <alignment horizontal="left" vertical="top" indent="1"/>
      <protection locked="0"/>
    </xf>
    <xf numFmtId="0" fontId="48" fillId="33" borderId="0" xfId="58" applyFill="1" applyBorder="1" applyAlignment="1" applyProtection="1">
      <alignment horizontal="left" vertical="top" indent="1"/>
      <protection locked="0"/>
    </xf>
    <xf numFmtId="0" fontId="33" fillId="33" borderId="22" xfId="50" applyFont="1" applyBorder="1" applyAlignment="1" applyProtection="1">
      <alignment horizontal="center" vertical="top"/>
    </xf>
    <xf numFmtId="0" fontId="33" fillId="33" borderId="27" xfId="50" applyFont="1" applyBorder="1" applyAlignment="1" applyProtection="1">
      <alignment horizontal="center" vertical="top"/>
    </xf>
    <xf numFmtId="0" fontId="33" fillId="33" borderId="23" xfId="50" applyFont="1" applyBorder="1" applyAlignment="1" applyProtection="1">
      <alignment horizontal="center" vertical="top"/>
    </xf>
    <xf numFmtId="0" fontId="33" fillId="33" borderId="10" xfId="50" applyFont="1" applyBorder="1" applyAlignment="1" applyProtection="1">
      <alignment horizontal="center" vertical="center"/>
    </xf>
    <xf numFmtId="0" fontId="33" fillId="33" borderId="11" xfId="50" applyFont="1" applyBorder="1" applyAlignment="1" applyProtection="1">
      <alignment horizontal="center" vertical="center"/>
    </xf>
    <xf numFmtId="0" fontId="33" fillId="33" borderId="12" xfId="50" applyFont="1" applyBorder="1" applyAlignment="1" applyProtection="1">
      <alignment horizontal="center" vertical="center"/>
    </xf>
    <xf numFmtId="0" fontId="31" fillId="33" borderId="58" xfId="50" applyFont="1" applyBorder="1" applyAlignment="1" applyProtection="1">
      <alignment horizontal="left" vertical="center" indent="1"/>
    </xf>
    <xf numFmtId="0" fontId="31" fillId="33" borderId="62" xfId="50" applyFont="1" applyBorder="1" applyAlignment="1" applyProtection="1">
      <alignment horizontal="left" vertical="center" indent="1"/>
    </xf>
    <xf numFmtId="0" fontId="31" fillId="33" borderId="59" xfId="50" applyFont="1" applyBorder="1" applyAlignment="1" applyProtection="1">
      <alignment horizontal="left" vertical="center" indent="1"/>
    </xf>
    <xf numFmtId="0" fontId="31" fillId="33" borderId="60" xfId="50" applyFont="1" applyBorder="1" applyAlignment="1" applyProtection="1">
      <alignment horizontal="left" vertical="center" indent="1"/>
    </xf>
    <xf numFmtId="0" fontId="31" fillId="33" borderId="63" xfId="50" applyFont="1" applyBorder="1" applyAlignment="1" applyProtection="1">
      <alignment horizontal="left" vertical="center" indent="1"/>
    </xf>
    <xf numFmtId="0" fontId="31" fillId="33" borderId="61" xfId="50" applyFont="1" applyBorder="1" applyAlignment="1" applyProtection="1">
      <alignment horizontal="left" vertical="center" indent="1"/>
    </xf>
    <xf numFmtId="0" fontId="31" fillId="33" borderId="60" xfId="50" applyFont="1" applyBorder="1" applyAlignment="1" applyProtection="1">
      <alignment horizontal="left" vertical="center" wrapText="1" indent="1"/>
      <protection locked="0"/>
    </xf>
    <xf numFmtId="0" fontId="31" fillId="33" borderId="63" xfId="50" applyFont="1" applyBorder="1" applyAlignment="1" applyProtection="1">
      <alignment horizontal="left" vertical="center" wrapText="1" indent="1"/>
      <protection locked="0"/>
    </xf>
    <xf numFmtId="0" fontId="31" fillId="33" borderId="61" xfId="50" applyFont="1" applyBorder="1" applyAlignment="1" applyProtection="1">
      <alignment horizontal="left" vertical="center" wrapText="1" indent="1"/>
      <protection locked="0"/>
    </xf>
    <xf numFmtId="0" fontId="20" fillId="35" borderId="57" xfId="0" applyFont="1" applyFill="1" applyBorder="1" applyAlignment="1">
      <alignment horizontal="right" vertical="center" wrapText="1" indent="1"/>
    </xf>
    <xf numFmtId="0" fontId="20" fillId="35" borderId="72" xfId="0" applyFont="1" applyFill="1" applyBorder="1" applyAlignment="1">
      <alignment horizontal="right" vertical="center" wrapText="1" indent="1"/>
    </xf>
    <xf numFmtId="3" fontId="31" fillId="33" borderId="71" xfId="57" applyNumberFormat="1" applyFont="1" applyFill="1" applyBorder="1" applyAlignment="1" applyProtection="1">
      <alignment horizontal="center" vertical="center"/>
      <protection locked="0"/>
    </xf>
    <xf numFmtId="3" fontId="31" fillId="33" borderId="73" xfId="57" applyNumberFormat="1" applyFont="1" applyFill="1" applyBorder="1" applyAlignment="1" applyProtection="1">
      <alignment horizontal="center" vertical="center"/>
      <protection locked="0"/>
    </xf>
    <xf numFmtId="0" fontId="80" fillId="41" borderId="118" xfId="56" applyFont="1" applyFill="1" applyBorder="1" applyAlignment="1">
      <alignment horizontal="center" vertical="center" wrapText="1"/>
    </xf>
    <xf numFmtId="0" fontId="80" fillId="41" borderId="119" xfId="56" applyFont="1" applyFill="1" applyBorder="1" applyAlignment="1">
      <alignment horizontal="center" vertical="center" wrapText="1"/>
    </xf>
    <xf numFmtId="0" fontId="80" fillId="41" borderId="113" xfId="56" applyFont="1" applyFill="1" applyBorder="1" applyAlignment="1">
      <alignment horizontal="center" vertical="center" wrapText="1"/>
    </xf>
    <xf numFmtId="0" fontId="80" fillId="41" borderId="120" xfId="56" applyFont="1" applyFill="1" applyBorder="1" applyAlignment="1">
      <alignment horizontal="center" vertical="center" wrapText="1"/>
    </xf>
    <xf numFmtId="0" fontId="80" fillId="41" borderId="116" xfId="56" applyFont="1" applyFill="1" applyBorder="1" applyAlignment="1">
      <alignment horizontal="center" vertical="center" wrapText="1"/>
    </xf>
    <xf numFmtId="0" fontId="80" fillId="41" borderId="121" xfId="56" applyFont="1" applyFill="1" applyBorder="1" applyAlignment="1">
      <alignment horizontal="center" vertical="center" wrapText="1"/>
    </xf>
    <xf numFmtId="0" fontId="78" fillId="40" borderId="109" xfId="56" applyFont="1" applyFill="1" applyBorder="1" applyAlignment="1">
      <alignment horizontal="center" vertical="center"/>
    </xf>
    <xf numFmtId="0" fontId="78" fillId="40" borderId="110" xfId="56" applyFont="1" applyFill="1" applyBorder="1" applyAlignment="1">
      <alignment horizontal="center" vertical="center"/>
    </xf>
    <xf numFmtId="0" fontId="78" fillId="35" borderId="33" xfId="56" applyFont="1" applyFill="1" applyBorder="1" applyAlignment="1">
      <alignment horizontal="center" vertical="center"/>
    </xf>
    <xf numFmtId="0" fontId="78" fillId="35" borderId="34" xfId="56" applyFont="1" applyFill="1" applyBorder="1" applyAlignment="1">
      <alignment horizontal="center" vertical="center"/>
    </xf>
    <xf numFmtId="0" fontId="78" fillId="35" borderId="35" xfId="56" applyFont="1" applyFill="1" applyBorder="1" applyAlignment="1">
      <alignment horizontal="center" vertical="center"/>
    </xf>
    <xf numFmtId="0" fontId="79" fillId="40" borderId="109" xfId="56" applyFont="1" applyFill="1" applyBorder="1" applyAlignment="1">
      <alignment horizontal="center" vertical="center"/>
    </xf>
    <xf numFmtId="0" fontId="79" fillId="40" borderId="110" xfId="56" applyFont="1" applyFill="1" applyBorder="1" applyAlignment="1">
      <alignment horizontal="center" vertical="center"/>
    </xf>
    <xf numFmtId="0" fontId="84" fillId="0" borderId="0" xfId="0" applyFont="1" applyAlignment="1">
      <alignment horizontal="left" vertical="center" wrapText="1" indent="1"/>
    </xf>
    <xf numFmtId="0" fontId="84" fillId="0" borderId="24" xfId="0" applyFont="1" applyBorder="1" applyAlignment="1">
      <alignment horizontal="left" vertical="center" wrapText="1" indent="1"/>
    </xf>
    <xf numFmtId="0" fontId="29" fillId="35" borderId="10" xfId="62" applyFont="1" applyFill="1" applyBorder="1" applyAlignment="1">
      <alignment horizontal="center" vertical="center"/>
    </xf>
    <xf numFmtId="0" fontId="29" fillId="35" borderId="11" xfId="62" applyFont="1" applyFill="1" applyBorder="1" applyAlignment="1">
      <alignment horizontal="center" vertical="center"/>
    </xf>
    <xf numFmtId="0" fontId="29" fillId="35" borderId="12" xfId="62" applyFont="1" applyFill="1" applyBorder="1" applyAlignment="1">
      <alignment horizontal="center" vertical="center"/>
    </xf>
    <xf numFmtId="0" fontId="46" fillId="33" borderId="10" xfId="58" applyFont="1" applyFill="1" applyBorder="1" applyAlignment="1" applyProtection="1">
      <alignment horizontal="center" vertical="center" wrapText="1"/>
    </xf>
    <xf numFmtId="0" fontId="47" fillId="33" borderId="11" xfId="58" applyFont="1" applyFill="1" applyBorder="1" applyAlignment="1" applyProtection="1">
      <alignment horizontal="center" vertical="center" wrapText="1"/>
    </xf>
    <xf numFmtId="0" fontId="47" fillId="33" borderId="12" xfId="58" applyFont="1" applyFill="1" applyBorder="1" applyAlignment="1" applyProtection="1">
      <alignment horizontal="center" vertical="center" wrapText="1"/>
    </xf>
    <xf numFmtId="0" fontId="28" fillId="35" borderId="10" xfId="0" applyFont="1" applyFill="1" applyBorder="1" applyAlignment="1">
      <alignment horizontal="center" vertical="center"/>
    </xf>
    <xf numFmtId="0" fontId="28" fillId="35" borderId="12" xfId="0" applyFont="1" applyFill="1" applyBorder="1" applyAlignment="1">
      <alignment horizontal="center" vertical="center"/>
    </xf>
  </cellXfs>
  <cellStyles count="63">
    <cellStyle name="1 OFIT Header" xfId="47" xr:uid="{00000000-0005-0000-0000-000000000000}"/>
    <cellStyle name="2 OSF Header" xfId="48" xr:uid="{00000000-0005-0000-0000-000001000000}"/>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3 Doc Title" xfId="49" xr:uid="{00000000-0005-0000-0000-000008000000}"/>
    <cellStyle name="4 Blue Font" xfId="54" xr:uid="{00000000-0005-0000-0000-000009000000}"/>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5 Light Fill" xfId="50" xr:uid="{00000000-0005-0000-0000-000010000000}"/>
    <cellStyle name="5 Light Fill 2" xfId="60" xr:uid="{00000000-0005-0000-0000-000011000000}"/>
    <cellStyle name="5 Light Fill 3" xfId="61" xr:uid="{00000000-0005-0000-0000-000012000000}"/>
    <cellStyle name="6 Medium Fill" xfId="51" xr:uid="{00000000-0005-0000-0000-000013000000}"/>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7 Dark Fill" xfId="52" xr:uid="{00000000-0005-0000-0000-00001A000000}"/>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Comma" xfId="1" builtinId="3" hidden="1"/>
    <cellStyle name="Comma [0]" xfId="2" builtinId="6" hidden="1"/>
    <cellStyle name="Currency" xfId="3" builtinId="4" hidden="1"/>
    <cellStyle name="Currency" xfId="53" builtinId="4" hidden="1" customBuiltin="1"/>
    <cellStyle name="Currency" xfId="57" builtinId="4"/>
    <cellStyle name="Currency [0]" xfId="4" builtinId="7" hidden="1"/>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5" builtinId="8" hidden="1"/>
    <cellStyle name="Hyperlink" xfId="58" builtinId="8" customBuiltin="1"/>
    <cellStyle name="Input" xfId="14" builtinId="20" hidden="1"/>
    <cellStyle name="Linked Cell" xfId="17" builtinId="24" hidden="1"/>
    <cellStyle name="Neutral" xfId="13" builtinId="28" hidden="1"/>
    <cellStyle name="Normal" xfId="0" builtinId="0" customBuiltin="1"/>
    <cellStyle name="Normal 2" xfId="56" xr:uid="{00000000-0005-0000-0000-000036000000}"/>
    <cellStyle name="Normal 3" xfId="59" xr:uid="{00000000-0005-0000-0000-000037000000}"/>
    <cellStyle name="Normal 4" xfId="62" xr:uid="{D9497FA8-37A3-4D04-9228-BBB18ADCDF8D}"/>
    <cellStyle name="Note" xfId="20" builtinId="10" hidden="1"/>
    <cellStyle name="Output" xfId="15" builtinId="21" hidden="1"/>
    <cellStyle name="Percent" xfId="5" builtinId="5" hidden="1"/>
    <cellStyle name="Title" xfId="6" builtinId="15" hidden="1"/>
    <cellStyle name="Total" xfId="22" builtinId="25" hidden="1"/>
    <cellStyle name="Warning Text" xfId="19" builtinId="11" hidden="1"/>
  </cellStyles>
  <dxfs count="1259">
    <dxf>
      <font>
        <b/>
        <i/>
        <color theme="1" tint="0.34998626667073579"/>
      </font>
      <fill>
        <patternFill>
          <bgColor theme="8" tint="0.39994506668294322"/>
        </patternFill>
      </fill>
      <border>
        <left style="thin">
          <color rgb="FFC00000"/>
        </left>
        <right style="thin">
          <color rgb="FFC00000"/>
        </right>
        <top style="thin">
          <color rgb="FFC00000"/>
        </top>
        <bottom style="thin">
          <color rgb="FFC00000"/>
        </bottom>
      </border>
    </dxf>
    <dxf>
      <font>
        <b/>
        <i/>
        <color theme="1" tint="0.34998626667073579"/>
      </font>
    </dxf>
    <dxf>
      <font>
        <b val="0"/>
        <i/>
        <color theme="1" tint="0.34998626667073579"/>
      </font>
      <fill>
        <patternFill>
          <bgColor theme="2" tint="0.59996337778862885"/>
        </patternFill>
      </fill>
    </dxf>
    <dxf>
      <font>
        <b/>
        <i/>
        <color theme="1" tint="0.34998626667073579"/>
      </font>
      <fill>
        <patternFill>
          <bgColor theme="8" tint="0.79998168889431442"/>
        </patternFill>
      </fill>
    </dxf>
    <dxf>
      <font>
        <color rgb="FFC00000"/>
      </font>
    </dxf>
    <dxf>
      <font>
        <color rgb="FFC00000"/>
      </font>
    </dxf>
    <dxf>
      <font>
        <b/>
        <i/>
        <color theme="1" tint="0.34998626667073579"/>
      </font>
      <fill>
        <patternFill>
          <bgColor rgb="FFAAD4F4"/>
        </patternFill>
      </fill>
    </dxf>
    <dxf>
      <font>
        <b/>
        <i/>
        <color theme="1" tint="0.34998626667073579"/>
      </font>
    </dxf>
    <dxf>
      <font>
        <b/>
        <i val="0"/>
        <strike val="0"/>
        <color rgb="FFC00000"/>
      </font>
      <fill>
        <patternFill>
          <bgColor theme="4" tint="0.79998168889431442"/>
        </patternFill>
      </fill>
    </dxf>
    <dxf>
      <font>
        <b/>
        <i val="0"/>
        <color rgb="FFC00000"/>
      </font>
      <fill>
        <patternFill>
          <bgColor theme="4" tint="0.59996337778862885"/>
        </patternFill>
      </fill>
    </dxf>
    <dxf>
      <font>
        <b/>
        <i/>
        <color theme="1" tint="0.34998626667073579"/>
      </font>
    </dxf>
    <dxf>
      <font>
        <b/>
        <i/>
        <color theme="1" tint="0.34998626667073579"/>
      </font>
    </dxf>
    <dxf>
      <font>
        <b/>
        <i/>
        <color theme="1" tint="0.34998626667073579"/>
      </font>
    </dxf>
    <dxf>
      <font>
        <b/>
        <i val="0"/>
        <strike val="0"/>
        <color rgb="FFC00000"/>
      </font>
      <fill>
        <patternFill>
          <bgColor theme="4" tint="0.79998168889431442"/>
        </patternFill>
      </fill>
    </dxf>
    <dxf>
      <font>
        <b/>
        <i val="0"/>
        <color rgb="FFC00000"/>
      </font>
      <fill>
        <patternFill>
          <bgColor theme="4" tint="0.79998168889431442"/>
        </patternFill>
      </fill>
    </dxf>
    <dxf>
      <font>
        <b/>
        <i val="0"/>
        <strike val="0"/>
      </font>
    </dxf>
    <dxf>
      <font>
        <b/>
        <i/>
        <color theme="1" tint="0.34998626667073579"/>
      </font>
      <fill>
        <patternFill>
          <bgColor rgb="FFE5F2FB"/>
        </patternFill>
      </fill>
    </dxf>
    <dxf>
      <font>
        <b/>
        <i val="0"/>
        <color rgb="FFC00000"/>
      </font>
      <fill>
        <patternFill>
          <bgColor theme="4" tint="0.79998168889431442"/>
        </patternFill>
      </fill>
    </dxf>
    <dxf>
      <font>
        <b/>
        <i/>
        <color theme="1" tint="0.34998626667073579"/>
      </font>
      <fill>
        <patternFill>
          <bgColor theme="8" tint="0.59996337778862885"/>
        </patternFill>
      </fill>
    </dxf>
    <dxf>
      <fill>
        <patternFill>
          <bgColor theme="8" tint="0.59996337778862885"/>
        </patternFill>
      </fill>
    </dxf>
    <dxf>
      <font>
        <b/>
        <i/>
        <color theme="1" tint="0.34998626667073579"/>
      </font>
    </dxf>
    <dxf>
      <font>
        <color rgb="FF9C0006"/>
      </font>
      <fill>
        <patternFill>
          <bgColor rgb="FFFFC7CE"/>
        </patternFill>
      </fill>
    </dxf>
    <dxf>
      <font>
        <b/>
        <i val="0"/>
        <color rgb="FFC00000"/>
      </font>
    </dxf>
    <dxf>
      <font>
        <b/>
        <i/>
        <color theme="1" tint="0.34998626667073579"/>
      </font>
    </dxf>
    <dxf>
      <font>
        <b/>
        <i val="0"/>
        <color rgb="FFC00000"/>
      </font>
      <fill>
        <patternFill>
          <bgColor theme="4" tint="0.59996337778862885"/>
        </patternFill>
      </fill>
      <border>
        <left style="thin">
          <color theme="0" tint="-0.24994659260841701"/>
        </left>
        <top style="thin">
          <color theme="0" tint="-0.24994659260841701"/>
        </top>
        <bottom style="thin">
          <color theme="0" tint="-0.24994659260841701"/>
        </bottom>
      </border>
    </dxf>
    <dxf>
      <fill>
        <patternFill>
          <bgColor theme="9" tint="0.39994506668294322"/>
        </patternFill>
      </fill>
      <border>
        <left style="thin">
          <color theme="0" tint="-0.24994659260841701"/>
        </left>
        <top style="thin">
          <color theme="0" tint="-0.24994659260841701"/>
        </top>
        <bottom style="thin">
          <color theme="0" tint="-0.24994659260841701"/>
        </bottom>
      </border>
    </dxf>
    <dxf>
      <font>
        <b/>
        <i val="0"/>
        <color rgb="FFC00000"/>
      </font>
      <fill>
        <patternFill>
          <bgColor theme="4" tint="0.59996337778862885"/>
        </patternFill>
      </fill>
      <border>
        <left style="thin">
          <color theme="0" tint="-0.24994659260841701"/>
        </left>
      </border>
    </dxf>
    <dxf>
      <fill>
        <patternFill>
          <bgColor theme="9" tint="0.39994506668294322"/>
        </patternFill>
      </fill>
      <border>
        <left style="thin">
          <color theme="0" tint="-0.24994659260841701"/>
        </left>
      </border>
    </dxf>
    <dxf>
      <font>
        <b/>
        <i/>
        <color theme="1" tint="0.34998626667073579"/>
      </font>
      <fill>
        <patternFill>
          <bgColor rgb="FFAAD4F4"/>
        </patternFill>
      </fill>
    </dxf>
    <dxf>
      <font>
        <b/>
        <i val="0"/>
        <color rgb="FFC00000"/>
      </font>
      <fill>
        <patternFill>
          <bgColor theme="4" tint="0.79998168889431442"/>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ont>
        <b/>
        <i/>
        <color theme="1" tint="0.34998626667073579"/>
      </font>
    </dxf>
    <dxf>
      <font>
        <b/>
        <i/>
        <color theme="1" tint="0.34998626667073579"/>
      </font>
      <fill>
        <patternFill>
          <bgColor rgb="FFAAD4F4"/>
        </patternFill>
      </fill>
    </dxf>
    <dxf>
      <font>
        <b/>
        <i/>
        <color theme="1" tint="0.34998626667073579"/>
      </font>
    </dxf>
    <dxf>
      <font>
        <b/>
        <i/>
        <color theme="1" tint="0.34998626667073579"/>
      </font>
    </dxf>
    <dxf>
      <font>
        <b/>
        <i/>
        <color theme="1" tint="0.34998626667073579"/>
      </font>
    </dxf>
    <dxf>
      <font>
        <b/>
        <i/>
        <color theme="1" tint="0.34998626667073579"/>
      </font>
    </dxf>
    <dxf>
      <font>
        <b/>
        <i val="0"/>
        <strike val="0"/>
      </font>
    </dxf>
    <dxf>
      <font>
        <b/>
        <i/>
        <color theme="1" tint="0.34998626667073579"/>
      </font>
      <fill>
        <patternFill>
          <bgColor theme="8" tint="0.59996337778862885"/>
        </patternFill>
      </fill>
    </dxf>
    <dxf>
      <font>
        <b/>
        <i/>
        <color theme="1" tint="0.34998626667073579"/>
      </font>
      <fill>
        <patternFill>
          <bgColor theme="8" tint="0.59996337778862885"/>
        </patternFill>
      </fill>
    </dxf>
    <dxf>
      <font>
        <b/>
        <i val="0"/>
        <color rgb="FFC00000"/>
      </font>
      <fill>
        <patternFill>
          <bgColor theme="4" tint="0.79998168889431442"/>
        </patternFill>
      </fill>
    </dxf>
    <dxf>
      <font>
        <b/>
        <i/>
        <color theme="1" tint="0.34998626667073579"/>
      </font>
      <fill>
        <patternFill>
          <bgColor rgb="FFE5F2FB"/>
        </patternFill>
      </fill>
    </dxf>
    <dxf>
      <fill>
        <patternFill>
          <bgColor theme="8" tint="0.59996337778862885"/>
        </patternFill>
      </fill>
    </dxf>
    <dxf>
      <font>
        <b/>
        <i/>
        <color theme="1" tint="0.34998626667073579"/>
      </font>
    </dxf>
    <dxf>
      <fill>
        <patternFill patternType="none">
          <fgColor indexed="64"/>
          <bgColor auto="1"/>
        </patternFill>
      </fill>
      <alignment horizontal="left" vertical="bottom" textRotation="0" wrapText="0" indent="1"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left" vertical="center" textRotation="0" wrapText="0" relativeIndent="1" justifyLastLine="0" shrinkToFit="0" readingOrder="0"/>
      <border diagonalUp="0" diagonalDown="0">
        <left style="thin">
          <color theme="0" tint="-0.14996795556505021"/>
        </left>
        <right/>
        <top style="thin">
          <color theme="0" tint="-0.14996795556505021"/>
        </top>
        <bottom style="thin">
          <color theme="0" tint="-0.14996795556505021"/>
        </bottom>
        <vertical style="thin">
          <color theme="0" tint="-0.14996795556505021"/>
        </vertical>
        <horizontal style="thin">
          <color theme="0" tint="-0.14996795556505021"/>
        </horizontal>
      </border>
    </dxf>
    <dxf>
      <fill>
        <patternFill patternType="none">
          <fgColor indexed="64"/>
          <bgColor auto="1"/>
        </patternFill>
      </fill>
      <alignment horizontal="center" vertical="center" textRotation="0" wrapText="0" indent="0" justifyLastLine="0" shrinkToFit="0" readingOrder="0"/>
      <border diagonalUp="0" diagonalDown="0">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
      <fill>
        <patternFill patternType="none">
          <fgColor indexed="64"/>
          <bgColor auto="1"/>
        </patternFill>
      </fill>
      <alignment horizontal="left" vertical="center" textRotation="0" wrapText="0" justifyLastLine="0" shrinkToFit="0" readingOrder="0"/>
    </dxf>
    <dxf>
      <fill>
        <patternFill patternType="none">
          <fgColor indexed="64"/>
          <bgColor auto="1"/>
        </patternFill>
      </fill>
    </dxf>
    <dxf>
      <alignment horizontal="left" vertical="bottom" textRotation="0" wrapText="0" indent="1" justifyLastLine="0" shrinkToFit="0" readingOrder="0"/>
    </dxf>
    <dxf>
      <alignment horizontal="center" vertical="bottom" textRotation="0" wrapText="0" indent="0" justifyLastLine="0" shrinkToFit="0" readingOrder="0"/>
    </dxf>
    <dxf>
      <border diagonalUp="0" diagonalDown="0">
        <left style="thin">
          <color indexed="64"/>
        </left>
        <right style="thin">
          <color indexed="64"/>
        </right>
        <top style="thin">
          <color theme="0" tint="-0.34998626667073579"/>
        </top>
        <bottom style="thin">
          <color indexed="64"/>
        </bottom>
      </border>
    </dxf>
    <dxf>
      <border outline="0">
        <bottom style="medium">
          <color rgb="FF000000"/>
        </bottom>
      </border>
    </dxf>
    <dxf>
      <fill>
        <patternFill patternType="solid">
          <fgColor indexed="64"/>
          <bgColor rgb="FFAAD4F4"/>
        </patternFill>
      </fill>
    </dxf>
    <dxf>
      <alignment horizontal="left" vertical="bottom" textRotation="0" wrapText="0" indent="1" justifyLastLine="0" shrinkToFit="0" readingOrder="0"/>
    </dxf>
    <dxf>
      <alignment horizontal="left" vertical="bottom" textRotation="0" wrapText="0" indent="1" justifyLastLine="0" shrinkToFit="0" readingOrder="0"/>
      <border diagonalUp="0" diagonalDown="0">
        <left style="thin">
          <color rgb="FFD4D4D4"/>
        </left>
        <right/>
        <top style="thin">
          <color rgb="FFD4D4D4"/>
        </top>
        <bottom style="thin">
          <color rgb="FFD4D4D4"/>
        </bottom>
        <vertical style="thin">
          <color rgb="FFD4D4D4"/>
        </vertical>
        <horizontal style="thin">
          <color rgb="FFD4D4D4"/>
        </horizontal>
      </border>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right style="thin">
          <color rgb="FFD4D4D4"/>
        </right>
        <top style="thin">
          <color rgb="FFD4D4D4"/>
        </top>
        <bottom style="thin">
          <color rgb="FFD4D4D4"/>
        </bottom>
        <vertical style="thin">
          <color rgb="FFD4D4D4"/>
        </vertical>
        <horizontal style="thin">
          <color rgb="FFD4D4D4"/>
        </horizontal>
      </border>
    </dxf>
    <dxf>
      <border diagonalUp="0" diagonalDown="0">
        <left style="thin">
          <color indexed="64"/>
        </left>
        <right style="thin">
          <color indexed="64"/>
        </right>
        <top style="thin">
          <color theme="0" tint="-0.34998626667073579"/>
        </top>
        <bottom style="thin">
          <color indexed="64"/>
        </bottom>
      </border>
    </dxf>
    <dxf>
      <border>
        <bottom style="medium">
          <color indexed="64"/>
        </bottom>
      </border>
    </dxf>
    <dxf>
      <fill>
        <patternFill patternType="solid">
          <fgColor indexed="64"/>
          <bgColor rgb="FFAAD4F4"/>
        </patternFill>
      </fill>
      <border diagonalUp="0" diagonalDown="0">
        <left style="thin">
          <color theme="0" tint="-0.34998626667073579"/>
        </left>
        <right style="thin">
          <color theme="0" tint="-0.34998626667073579"/>
        </right>
        <top/>
        <bottom/>
        <vertical style="thin">
          <color theme="0" tint="-0.34998626667073579"/>
        </vertical>
        <horizontal/>
      </border>
    </dxf>
    <dxf>
      <numFmt numFmtId="34" formatCode="_(&quot;$&quot;* #,##0.00_);_(&quot;$&quot;* \(#,##0.00\);_(&quot;$&quot;* &quot;-&quot;??_);_(@_)"/>
      <alignment horizontal="general" vertical="center" textRotation="0" wrapText="0" indent="0" justifyLastLine="0" shrinkToFit="0" readingOrder="0"/>
    </dxf>
    <dxf>
      <alignment horizontal="left" vertical="center" textRotation="0" wrapText="0" relativeIndent="1" justifyLastLine="0" shrinkToFit="0" readingOrder="0"/>
    </dxf>
    <dxf>
      <alignment horizontal="center" vertical="center" textRotation="0" wrapText="0" indent="0" justifyLastLine="0" shrinkToFit="0" readingOrder="0"/>
    </dxf>
    <dxf>
      <alignment vertical="center" textRotation="0" wrapText="0" indent="0" justifyLastLine="0" shrinkToFit="0" readingOrder="0"/>
    </dxf>
    <dxf>
      <alignment vertical="bottom"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border diagonalUp="0" diagonalDown="0" outline="0">
        <left style="thin">
          <color theme="0" tint="-0.14996795556505021"/>
        </left>
        <right style="thin">
          <color theme="0" tint="-0.14996795556505021"/>
        </right>
        <top/>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border diagonalUp="0" diagonalDown="0" outline="0">
        <left style="thin">
          <color theme="0" tint="-0.14996795556505021"/>
        </left>
        <right style="thin">
          <color theme="0" tint="-0.14996795556505021"/>
        </right>
        <top/>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border diagonalUp="0" diagonalDown="0">
        <left style="thin">
          <color theme="0" tint="-0.14996795556505021"/>
        </left>
        <right/>
        <top style="thin">
          <color theme="0" tint="-0.14996795556505021"/>
        </top>
        <bottom style="thin">
          <color theme="0" tint="-0.14996795556505021"/>
        </bottom>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border diagonalUp="0" diagonalDown="0">
        <left/>
        <right style="thin">
          <color theme="0" tint="-0.14996795556505021"/>
        </right>
        <top style="thin">
          <color theme="0" tint="-0.14996795556505021"/>
        </top>
        <bottom style="thin">
          <color theme="0" tint="-0.14996795556505021"/>
        </bottom>
      </border>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diagonalUp="0" diagonalDown="0">
        <left style="thin">
          <color theme="0" tint="-0.14996795556505021"/>
        </left>
        <right style="thin">
          <color theme="0" tint="-0.14996795556505021"/>
        </right>
        <top/>
        <bottom/>
        <vertical style="thin">
          <color theme="0" tint="-0.14996795556505021"/>
        </vertical>
        <horizontal style="thin">
          <color theme="0" tint="-0.14996795556505021"/>
        </horizontal>
      </border>
    </dxf>
    <dxf>
      <border diagonalUp="0" diagonalDown="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border diagonalUp="0" diagonalDown="0">
        <left style="thin">
          <color theme="0" tint="-0.14996795556505021"/>
        </left>
        <right style="thin">
          <color theme="0" tint="-0.14996795556505021"/>
        </right>
        <top/>
        <bottom/>
        <vertical style="thin">
          <color theme="0" tint="-0.14996795556505021"/>
        </vertical>
        <horizontal style="thin">
          <color theme="0" tint="-0.14996795556505021"/>
        </horizontal>
      </border>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left style="thin">
          <color theme="0" tint="-0.499984740745262"/>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horizont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left style="thin">
          <color theme="0" tint="-0.499984740745262"/>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8" tint="0.59999389629810485"/>
        </patternFill>
      </fill>
      <border diagonalUp="0" diagonalDown="0">
        <left style="thin">
          <color theme="0" tint="-0.499984740745262"/>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style="thin">
          <color theme="0" tint="-0.34998626667073579"/>
        </right>
        <top/>
        <bottom/>
        <vertical/>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border diagonalUp="0" diagonalDown="0">
        <left/>
        <right style="thin">
          <color theme="0" tint="-0.499984740745262"/>
        </right>
        <top/>
        <bottom/>
      </border>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indexed="64"/>
        </top>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style="thin">
          <color theme="0" tint="-0.499984740745262"/>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horizont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style="medium">
          <color rgb="FF408740"/>
        </left>
        <right style="thin">
          <color theme="0" tint="-0.34998626667073579"/>
        </right>
        <top style="thin">
          <color indexed="64"/>
        </top>
        <bottom style="thin">
          <color auto="1"/>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medium">
          <color rgb="FF408740"/>
        </left>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theme="8" tint="0.59999389629810485"/>
        </patternFill>
      </fill>
      <border diagonalUp="0" diagonalDown="0">
        <left style="thin">
          <color theme="0" tint="-0.499984740745262"/>
        </left>
        <right style="medium">
          <color rgb="FF408740"/>
        </right>
        <top style="thin">
          <color indexed="64"/>
        </top>
        <bottom style="medium">
          <color rgb="FF408740"/>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style="medium">
          <color rgb="FF408740"/>
        </right>
        <top/>
        <bottom/>
        <vertical/>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ill>
        <patternFill patternType="solid">
          <fgColor indexed="64"/>
          <bgColor rgb="FFA1D3A1"/>
        </patternFill>
      </fill>
      <alignment horizontal="left" vertical="center" textRotation="0" wrapText="0" indent="1" justifyLastLine="0" shrinkToFit="0" readingOrder="0"/>
      <border diagonalUp="0" diagonalDown="0">
        <left style="thick">
          <color rgb="FF408740"/>
        </left>
        <right/>
        <top/>
        <bottom style="medium">
          <color rgb="FF408740"/>
        </bottom>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border diagonalUp="0" diagonalDown="0">
        <left style="thick">
          <color rgb="FF408740"/>
        </left>
      </border>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indexed="64"/>
        </top>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bottom/>
        <vertic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bottom/>
        <vertic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outline="0">
        <top style="medium">
          <color rgb="FF000000"/>
        </top>
      </border>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border diagonalUp="0" diagonalDown="0">
        <left style="thin">
          <color theme="0" tint="-0.499984740745262"/>
        </left>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top/>
        <bottom/>
        <vertical style="thin">
          <color theme="0" tint="-0.499984740745262"/>
        </vertical>
        <horizont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34998626667073579"/>
        </left>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bottom/>
        <vertical style="thin">
          <color theme="0" tint="-0.34998626667073579"/>
        </vertical>
        <horizontal/>
      </border>
      <protection locked="0" hidden="0"/>
    </dxf>
    <dxf>
      <font>
        <b/>
        <i val="0"/>
        <strike val="0"/>
        <condense val="0"/>
        <extend val="0"/>
        <outline val="0"/>
        <shadow val="0"/>
        <u val="none"/>
        <vertAlign val="baseline"/>
        <sz val="11"/>
        <color auto="1"/>
        <name val="Calibri"/>
        <family val="2"/>
        <scheme val="none"/>
      </font>
      <fill>
        <patternFill patternType="solid">
          <fgColor indexed="64"/>
          <bgColor rgb="FFFFE699"/>
        </patternFill>
      </fill>
      <alignment horizontal="center" vertical="center" textRotation="0" wrapText="1" indent="0" justifyLastLine="0" shrinkToFit="0" readingOrder="0"/>
      <border diagonalUp="0" diagonalDown="0" outline="0">
        <left style="thin">
          <color theme="1" tint="0.34998626667073579"/>
        </left>
        <right style="thin">
          <color theme="0" tint="-0.34998626667073579"/>
        </right>
        <top/>
        <bottom/>
      </border>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right style="thin">
          <color theme="0" tint="-0.34998626667073579"/>
        </right>
        <top/>
        <bottom/>
        <vertical style="thin">
          <color theme="0" tint="-0.34998626667073579"/>
        </vertical>
        <horizontal/>
      </border>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general"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strike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strike val="0"/>
        <outline val="0"/>
        <shadow val="0"/>
        <u val="none"/>
        <vertAlign val="baseline"/>
        <sz val="11"/>
        <color auto="1"/>
        <name val="Calibri"/>
        <family val="2"/>
        <scheme val="none"/>
      </font>
      <alignment horizontal="center"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none"/>
      </font>
      <fill>
        <patternFill patternType="solid">
          <fgColor indexed="64"/>
          <bgColor rgb="FFAAD4F4"/>
        </patternFill>
      </fill>
      <alignment horizontal="left" vertical="center" textRotation="0" wrapText="1" indent="0" justifyLastLine="0" shrinkToFit="0" readingOrder="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font>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34998626667073579"/>
        </left>
        <right/>
        <top style="thin">
          <color theme="0" tint="-0.14996795556505021"/>
        </top>
        <bottom style="thin">
          <color theme="0" tint="-0.14996795556505021"/>
        </bottom>
        <vertical/>
        <horizontal style="thin">
          <color theme="0" tint="-0.14996795556505021"/>
        </horizont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499984740745262"/>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style="thin">
          <color theme="0" tint="-0.34998626667073579"/>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general" vertical="center"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AAD4F4"/>
        </patternFill>
      </fill>
      <border diagonalUp="0" diagonalDown="0" outline="0">
        <left/>
        <right style="thin">
          <color theme="0" tint="-0.34998626667073579"/>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14996795556505021"/>
        </top>
        <bottom style="thin">
          <color theme="0" tint="-0.14996795556505021"/>
        </bottom>
        <vertical/>
        <horizontal style="thin">
          <color theme="0" tint="-0.14996795556505021"/>
        </horizontal>
      </border>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dxf>
    <dxf>
      <alignment horizontal="left" vertical="center" textRotation="0" wrapText="0" indent="1"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border diagonalUp="0" diagonalDown="0">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dxf>
    <dxf>
      <border diagonalUp="0" diagonalDown="0">
        <left style="thin">
          <color theme="0" tint="-0.14996795556505021"/>
        </left>
        <right style="thin">
          <color theme="0" tint="-0.14996795556505021"/>
        </right>
        <top/>
        <bottom/>
        <vertical style="thin">
          <color theme="0" tint="-0.14996795556505021"/>
        </vertical>
        <horizontal style="thin">
          <color theme="0" tint="-0.14996795556505021"/>
        </horizontal>
      </border>
    </dxf>
    <dxf>
      <border diagonalUp="0" diagonalDown="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border diagonalUp="0" diagonalDown="0">
        <left style="thin">
          <color theme="0" tint="-0.14996795556505021"/>
        </left>
        <right style="thin">
          <color theme="0" tint="-0.14996795556505021"/>
        </right>
        <top/>
        <bottom/>
        <vertical style="thin">
          <color theme="0" tint="-0.14996795556505021"/>
        </vertical>
        <horizontal style="thin">
          <color theme="0" tint="-0.14996795556505021"/>
        </horizontal>
      </border>
    </dxf>
    <dxf>
      <border diagonalUp="0" diagonalDown="0">
        <left style="thin">
          <color theme="0" tint="-0.499984740745262"/>
        </left>
        <right/>
        <vertical style="thin">
          <color theme="0" tint="-0.499984740745262"/>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right style="thin">
          <color theme="0" tint="-0.499984740745262"/>
        </right>
        <vertical style="thin">
          <color theme="0" tint="-0.499984740745262"/>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border diagonalUp="0" diagonalDown="0" outline="0">
        <left/>
        <right/>
        <top/>
        <bottom/>
      </border>
    </dxf>
    <dxf>
      <border diagonalUp="0" diagonalDown="0">
        <left style="thin">
          <color theme="1" tint="0.34998626667073579"/>
        </left>
        <right style="thin">
          <color theme="0" tint="-0.34998626667073579"/>
        </right>
        <vertical/>
      </border>
      <protection locked="1" hidden="0"/>
    </dxf>
    <dxf>
      <font>
        <b/>
        <i val="0"/>
        <strike val="0"/>
        <condense val="0"/>
        <extend val="0"/>
        <outline val="0"/>
        <shadow val="0"/>
        <u val="none"/>
        <vertAlign val="baseline"/>
        <sz val="11"/>
        <color theme="1"/>
        <name val="Calibri"/>
        <family val="2"/>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protection locked="1" hidden="0"/>
    </dxf>
    <dxf>
      <border diagonalUp="0" diagonalDown="0" outline="0">
        <left/>
        <right/>
        <top/>
        <bottom/>
      </border>
    </dxf>
    <dxf>
      <protection locked="1" hidden="0"/>
    </dxf>
    <dxf>
      <font>
        <b/>
        <i val="0"/>
        <strike val="0"/>
        <condense val="0"/>
        <extend val="0"/>
        <outline val="0"/>
        <shadow val="0"/>
        <u val="none"/>
        <vertAlign val="baseline"/>
        <sz val="11"/>
        <color theme="1"/>
        <name val="Calibri"/>
        <family val="2"/>
        <scheme val="none"/>
      </font>
      <fill>
        <patternFill patternType="solid">
          <fgColor indexed="64"/>
          <bgColor rgb="FFAAD4F4"/>
        </patternFill>
      </fill>
      <alignment horizontal="center" vertical="center" textRotation="0" wrapText="1" indent="0" justifyLastLine="0" shrinkToFit="0" readingOrder="0"/>
      <protection locked="1"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14996795556505021"/>
        </left>
        <right style="thin">
          <color indexed="64"/>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b/>
        <strike val="0"/>
        <outline val="0"/>
        <shadow val="0"/>
        <u val="none"/>
        <vertAlign val="baseline"/>
        <sz val="11"/>
        <color auto="1"/>
        <name val="Calibri"/>
        <family val="2"/>
        <scheme val="none"/>
      </font>
      <numFmt numFmtId="34" formatCode="_(&quot;$&quot;* #,##0.00_);_(&quot;$&quot;* \(#,##0.00\);_(&quot;$&quot;* &quot;-&quot;??_);_(@_)"/>
      <alignment horizontal="general" vertical="top" textRotation="0" wrapText="0" indent="0" justifyLastLine="0" shrinkToFit="0" readingOrder="0"/>
      <border diagonalUp="0" diagonalDown="0">
        <left style="thin">
          <color theme="0" tint="-0.34998626667073579"/>
        </left>
        <right style="thin">
          <color theme="0" tint="-0.34998626667073579"/>
        </right>
        <top style="thin">
          <color theme="0" tint="-0.14996795556505021"/>
        </top>
        <bottom style="thin">
          <color theme="0" tint="-0.14996795556505021"/>
        </bottom>
        <vertical/>
        <horizontal style="thin">
          <color theme="0" tint="-0.14996795556505021"/>
        </horizontal>
      </border>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numFmt numFmtId="34" formatCode="_(&quot;$&quot;* #,##0.00_);_(&quot;$&quot;* \(#,##0.00\);_(&quot;$&quot;* &quot;-&quot;??_);_(@_)"/>
      <alignment vertical="top" textRotation="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numFmt numFmtId="34" formatCode="_(&quot;$&quot;* #,##0.00_);_(&quot;$&quot;* \(#,##0.00\);_(&quot;$&quot;* &quot;-&quot;??_);_(@_)"/>
      <fill>
        <patternFill patternType="solid">
          <fgColor indexed="64"/>
          <bgColor theme="8" tint="0.79998168889431442"/>
        </patternFill>
      </fill>
      <alignment vertical="top" textRotation="0" indent="0" justifyLastLine="0" shrinkToFit="0" readingOrder="0"/>
      <border diagonalUp="0" diagonalDown="0">
        <left style="thin">
          <color theme="0" tint="-0.34998626667073579"/>
        </left>
        <right style="thin">
          <color theme="0" tint="-0.34998626667073579"/>
        </right>
        <top style="thin">
          <color theme="0" tint="-0.14996795556505021"/>
        </top>
        <bottom style="thin">
          <color theme="0" tint="-0.14996795556505021"/>
        </bottom>
        <vertical/>
        <horizontal style="thin">
          <color theme="0" tint="-0.14996795556505021"/>
        </horizontal>
      </border>
      <protection locked="0" hidden="0"/>
    </dxf>
    <dxf>
      <font>
        <strike val="0"/>
        <outline val="0"/>
        <shadow val="0"/>
        <u val="none"/>
        <vertAlign val="baseline"/>
        <sz val="11"/>
        <color auto="1"/>
        <name val="Calibri"/>
        <family val="2"/>
        <scheme val="none"/>
      </font>
      <alignment horizontal="left" vertical="top" textRotation="0" wrapText="1"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alignment horizontal="center" vertical="top"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alignment horizontal="center" vertical="top"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alignment horizontal="left" vertical="top"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strike val="0"/>
        <outline val="0"/>
        <shadow val="0"/>
        <u val="none"/>
        <vertAlign val="baseline"/>
        <sz val="11"/>
        <color auto="1"/>
        <name val="Calibri"/>
        <family val="2"/>
        <scheme val="none"/>
      </font>
      <alignment horizontal="center" vertical="top" textRotation="0" wrapText="0" indent="0" justifyLastLine="0" shrinkToFit="0" readingOrder="0"/>
      <border diagonalUp="0" diagonalDown="0">
        <left style="thin">
          <color theme="0" tint="-0.1499679555650502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b val="0"/>
        <i val="0"/>
        <strike val="0"/>
        <condense val="0"/>
        <extend val="0"/>
        <outline val="0"/>
        <shadow val="0"/>
        <u val="none"/>
        <vertAlign val="baseline"/>
        <sz val="11"/>
        <color auto="1"/>
        <name val="Calibri"/>
        <family val="2"/>
        <scheme val="none"/>
      </font>
      <alignment horizontal="left" vertical="top" textRotation="0" wrapText="0" indent="0" justifyLastLine="0" shrinkToFit="0" readingOrder="0"/>
      <border diagonalUp="0" diagonalDown="0">
        <left style="thin">
          <color auto="1"/>
        </left>
        <right style="thin">
          <color theme="0" tint="-0.14996795556505021"/>
        </right>
        <top style="thin">
          <color theme="0" tint="-0.14996795556505021"/>
        </top>
        <bottom style="thin">
          <color theme="0" tint="-0.14996795556505021"/>
        </bottom>
        <vertical style="thin">
          <color theme="0" tint="-0.14996795556505021"/>
        </vertical>
        <horizontal style="thin">
          <color theme="0" tint="-0.14996795556505021"/>
        </horizontal>
      </border>
      <protection locked="0" hidden="0"/>
    </dxf>
    <dxf>
      <font>
        <b/>
        <i/>
        <strike val="0"/>
        <condense val="0"/>
        <extend val="0"/>
        <outline val="0"/>
        <shadow val="0"/>
        <u val="none"/>
        <vertAlign val="baseline"/>
        <sz val="11"/>
        <color theme="1" tint="0.34998626667073579"/>
        <name val="Calibri"/>
        <family val="2"/>
        <scheme val="none"/>
      </font>
    </dxf>
    <dxf>
      <font>
        <strike val="0"/>
        <outline val="0"/>
        <shadow val="0"/>
        <u val="none"/>
        <vertAlign val="baseline"/>
        <sz val="11"/>
        <color auto="1"/>
        <name val="Calibri"/>
        <family val="2"/>
        <scheme val="none"/>
      </font>
      <alignment vertical="top" textRotation="0" indent="0" justifyLastLine="0" shrinkToFit="0" readingOrder="0"/>
      <protection locked="0" hidden="0"/>
    </dxf>
    <dxf>
      <border>
        <bottom style="medium">
          <color auto="1"/>
        </bottom>
      </border>
    </dxf>
    <dxf>
      <font>
        <b/>
        <strike val="0"/>
        <outline val="0"/>
        <shadow val="0"/>
        <u val="none"/>
        <vertAlign val="baseline"/>
        <sz val="11"/>
        <color auto="1"/>
        <name val="Calibri"/>
        <family val="2"/>
        <scheme val="none"/>
      </font>
      <fill>
        <patternFill>
          <fgColor indexed="64"/>
          <bgColor rgb="FFC9E3F7"/>
        </patternFill>
      </fill>
      <alignment horizontal="general" vertical="center" textRotation="0" wrapText="1" indent="0" justifyLastLine="0" shrinkToFit="0" readingOrder="0"/>
      <protection locked="1" hidden="0"/>
    </dxf>
    <dxf>
      <fill>
        <patternFill patternType="none">
          <bgColor auto="1"/>
        </patternFill>
      </fill>
      <border>
        <left/>
        <right style="thin">
          <color auto="1"/>
        </right>
        <top/>
        <bottom/>
        <vertical/>
        <horizontal/>
      </border>
    </dxf>
    <dxf>
      <fill>
        <patternFill patternType="none">
          <bgColor auto="1"/>
        </patternFill>
      </fill>
      <border>
        <left/>
        <right style="thin">
          <color auto="1"/>
        </right>
        <top/>
        <bottom/>
        <vertical/>
        <horizontal/>
      </border>
    </dxf>
    <dxf>
      <font>
        <strike val="0"/>
      </font>
      <fill>
        <patternFill>
          <bgColor theme="0" tint="-4.9989318521683403E-2"/>
        </patternFill>
      </fill>
      <border>
        <vertical style="thin">
          <color theme="0" tint="-0.14996795556505021"/>
        </vertical>
        <horizontal style="thin">
          <color theme="0" tint="-0.14996795556505021"/>
        </horizontal>
      </border>
    </dxf>
    <dxf>
      <fill>
        <patternFill patternType="none">
          <bgColor auto="1"/>
        </patternFill>
      </fill>
      <border>
        <left style="thin">
          <color theme="0"/>
        </left>
        <right style="thin">
          <color auto="1"/>
        </right>
        <top style="thin">
          <color theme="0"/>
        </top>
        <bottom style="thin">
          <color theme="0"/>
        </bottom>
        <vertical/>
        <horizontal/>
      </border>
    </dxf>
    <dxf>
      <font>
        <b/>
        <i val="0"/>
      </font>
      <fill>
        <patternFill>
          <bgColor rgb="FFA1D3A1"/>
        </patternFill>
      </fill>
      <border>
        <left style="thin">
          <color auto="1"/>
        </left>
        <right style="thin">
          <color auto="1"/>
        </right>
        <top style="thin">
          <color auto="1"/>
        </top>
        <bottom style="thin">
          <color auto="1"/>
        </bottom>
        <vertical style="thin">
          <color theme="0" tint="-0.34998626667073579"/>
        </vertical>
        <horizontal style="thin">
          <color theme="0" tint="-0.34998626667073579"/>
        </horizontal>
      </border>
    </dxf>
    <dxf>
      <font>
        <b/>
        <i val="0"/>
        <strike val="0"/>
      </font>
      <fill>
        <patternFill>
          <bgColor rgb="FFAAD4F4"/>
        </patternFill>
      </fill>
      <border>
        <left style="thin">
          <color auto="1"/>
        </left>
        <right style="thin">
          <color auto="1"/>
        </right>
        <top style="thin">
          <color auto="1"/>
        </top>
        <bottom style="medium">
          <color auto="1"/>
        </bottom>
        <vertical style="thin">
          <color theme="0" tint="-0.34998626667073579"/>
        </vertical>
        <horizontal style="thin">
          <color theme="0" tint="-0.34998626667073579"/>
        </horizontal>
      </border>
    </dxf>
    <dxf>
      <border diagonalUp="0" diagonalDown="0">
        <left style="thin">
          <color theme="1"/>
        </left>
        <right style="thin">
          <color theme="1"/>
        </right>
        <top style="thin">
          <color theme="1"/>
        </top>
        <bottom style="thin">
          <color theme="1"/>
        </bottom>
        <vertical style="thin">
          <color rgb="FFD4D4D4"/>
        </vertical>
        <horizontal style="thin">
          <color rgb="FFD4D4D4"/>
        </horizontal>
      </border>
    </dxf>
    <dxf>
      <fill>
        <patternFill patternType="none">
          <bgColor auto="1"/>
        </patternFill>
      </fill>
      <border>
        <left/>
        <right style="thin">
          <color auto="1"/>
        </right>
        <top/>
        <bottom/>
        <vertical/>
        <horizontal/>
      </border>
    </dxf>
    <dxf>
      <fill>
        <patternFill patternType="none">
          <bgColor auto="1"/>
        </patternFill>
      </fill>
      <border>
        <left/>
        <right style="thin">
          <color auto="1"/>
        </right>
        <top/>
        <bottom/>
        <vertical/>
        <horizontal/>
      </border>
    </dxf>
    <dxf>
      <font>
        <strike val="0"/>
      </font>
      <fill>
        <patternFill>
          <bgColor theme="0" tint="-4.9989318521683403E-2"/>
        </patternFill>
      </fill>
      <border>
        <vertical style="thin">
          <color theme="0" tint="-0.14996795556505021"/>
        </vertical>
        <horizontal style="thin">
          <color theme="0" tint="-0.14996795556505021"/>
        </horizontal>
      </border>
    </dxf>
    <dxf>
      <fill>
        <patternFill patternType="none">
          <bgColor auto="1"/>
        </patternFill>
      </fill>
      <border>
        <left style="thin">
          <color theme="0"/>
        </left>
        <right style="thin">
          <color auto="1"/>
        </right>
        <top style="thin">
          <color theme="0"/>
        </top>
        <bottom style="thin">
          <color theme="0"/>
        </bottom>
        <vertical/>
        <horizontal/>
      </border>
    </dxf>
    <dxf>
      <font>
        <b/>
        <i val="0"/>
      </font>
      <fill>
        <patternFill>
          <bgColor rgb="FFAAD4F4"/>
        </patternFill>
      </fill>
      <border>
        <left style="thin">
          <color auto="1"/>
        </left>
        <right style="thin">
          <color auto="1"/>
        </right>
        <top style="thin">
          <color auto="1"/>
        </top>
        <bottom style="thin">
          <color auto="1"/>
        </bottom>
        <vertical style="thin">
          <color theme="0" tint="-0.34998626667073579"/>
        </vertical>
        <horizontal style="thin">
          <color theme="0" tint="-0.34998626667073579"/>
        </horizontal>
      </border>
    </dxf>
    <dxf>
      <font>
        <b/>
        <i val="0"/>
        <strike val="0"/>
      </font>
      <fill>
        <patternFill>
          <bgColor rgb="FFAAD4F4"/>
        </patternFill>
      </fill>
      <border>
        <left style="thin">
          <color auto="1"/>
        </left>
        <right style="thin">
          <color auto="1"/>
        </right>
        <top style="thin">
          <color auto="1"/>
        </top>
        <bottom style="medium">
          <color auto="1"/>
        </bottom>
        <vertical style="thin">
          <color theme="0" tint="-0.34998626667073579"/>
        </vertical>
        <horizontal style="thin">
          <color theme="0" tint="-0.34998626667073579"/>
        </horizontal>
      </border>
    </dxf>
    <dxf>
      <border diagonalUp="0" diagonalDown="0">
        <left style="thin">
          <color theme="1"/>
        </left>
        <right style="thin">
          <color theme="1"/>
        </right>
        <top style="thin">
          <color theme="1"/>
        </top>
        <bottom style="thin">
          <color theme="1"/>
        </bottom>
        <vertical style="thin">
          <color rgb="FFD4D4D4"/>
        </vertical>
        <horizontal style="thin">
          <color rgb="FFD4D4D4"/>
        </horizontal>
      </border>
    </dxf>
    <dxf>
      <font>
        <b/>
        <i val="0"/>
      </font>
      <fill>
        <patternFill>
          <bgColor rgb="FFAAD4F4"/>
        </patternFill>
      </fill>
    </dxf>
    <dxf>
      <font>
        <b/>
        <i val="0"/>
      </font>
      <fill>
        <patternFill>
          <bgColor rgb="FFAAD4F4"/>
        </patternFill>
      </fill>
      <border>
        <top style="medium">
          <color auto="1"/>
        </top>
      </border>
    </dxf>
    <dxf>
      <font>
        <b/>
        <i val="0"/>
      </font>
      <fill>
        <patternFill>
          <bgColor rgb="FFAAD4F4"/>
        </patternFill>
      </fill>
      <border>
        <bottom style="medium">
          <color auto="1"/>
        </bottom>
      </border>
    </dxf>
    <dxf>
      <fill>
        <patternFill>
          <bgColor theme="0"/>
        </patternFill>
      </fill>
      <border>
        <left style="thin">
          <color auto="1"/>
        </left>
        <right style="thin">
          <color auto="1"/>
        </right>
        <top style="thin">
          <color auto="1"/>
        </top>
        <bottom style="thin">
          <color auto="1"/>
        </bottom>
        <vertical/>
        <horizontal/>
      </border>
    </dxf>
  </dxfs>
  <tableStyles count="3" defaultTableStyle="ODE Default" defaultPivotStyle="PivotStyleLight16">
    <tableStyle name="ODE" table="0" count="4" xr9:uid="{00000000-0011-0000-FFFF-FFFF01000000}">
      <tableStyleElement type="wholeTable" dxfId="1258"/>
      <tableStyleElement type="headerRow" dxfId="1257"/>
      <tableStyleElement type="totalRow" dxfId="1256"/>
      <tableStyleElement type="pageFieldLabels" dxfId="1255"/>
    </tableStyle>
    <tableStyle name="ODE Default" pivot="0" count="7" xr9:uid="{00000000-0011-0000-FFFF-FFFF04000000}">
      <tableStyleElement type="wholeTable" dxfId="1254"/>
      <tableStyleElement type="headerRow" dxfId="1253"/>
      <tableStyleElement type="totalRow" dxfId="1252"/>
      <tableStyleElement type="firstColumn" dxfId="1251"/>
      <tableStyleElement type="secondRowStripe" dxfId="1250"/>
      <tableStyleElement type="firstHeaderCell" dxfId="1249"/>
      <tableStyleElement type="firstTotalCell" dxfId="1248"/>
    </tableStyle>
    <tableStyle name="ODE Green" pivot="0" count="7" xr9:uid="{39311B0B-CD2B-4D5E-95F9-CA5D00416BC2}">
      <tableStyleElement type="wholeTable" dxfId="1247"/>
      <tableStyleElement type="headerRow" dxfId="1246"/>
      <tableStyleElement type="totalRow" dxfId="1245"/>
      <tableStyleElement type="firstColumn" dxfId="1244"/>
      <tableStyleElement type="secondRowStripe" dxfId="1243"/>
      <tableStyleElement type="firstHeaderCell" dxfId="1242"/>
      <tableStyleElement type="firstTotalCell" dxfId="1241"/>
    </tableStyle>
  </tableStyles>
  <colors>
    <mruColors>
      <color rgb="FFAAD4F4"/>
      <color rgb="FF1A75BC"/>
      <color rgb="FF16649E"/>
      <color rgb="FF408740"/>
      <color rgb="FFC9E5C9"/>
      <color rgb="FFC9E3F7"/>
      <color rgb="FFA1D3A1"/>
      <color rgb="FF6BB96B"/>
      <color rgb="FFE26B2A"/>
      <color rgb="FFEA96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C7BDE56-94C5-46CF-ABB4-3AEE5860ADB2}" name="Program_Detail" displayName="Program_Detail" ref="B15:O90" totalsRowShown="0" headerRowDxfId="1240" dataDxfId="1238" headerRowBorderDxfId="1239">
  <autoFilter ref="B15:O90"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sortState xmlns:xlrd2="http://schemas.microsoft.com/office/spreadsheetml/2017/richdata2" ref="B16:O90">
    <sortCondition sortBy="fontColor" ref="B16:B90" dxfId="1237"/>
    <sortCondition ref="B16:B90"/>
    <sortCondition ref="D16:D90" customList="Direct Personnel,Non-Direct Personnel,Staff Development,Supplies &amp; Equipment,Curriculum,Family Engagement,Recruitment/Outreach,Travel,Transportation,Meals and Snacks,Facilities,Indirect"/>
    <sortCondition descending="1" ref="C16:C90"/>
  </sortState>
  <tableColumns count="14">
    <tableColumn id="11" xr3:uid="{43B86910-2108-47CA-B3A3-975C18525A2F}" name="Program Type" dataDxfId="1236"/>
    <tableColumn id="17" xr3:uid="{79945841-EE5D-4489-9113-646EB7DAD723}" name="Contracted Service?" dataDxfId="1235"/>
    <tableColumn id="12" xr3:uid="{DF33F6D2-7DC9-45B3-8CC4-FF3B49A51BD5}" name="Category" dataDxfId="1234"/>
    <tableColumn id="1" xr3:uid="{21CEC980-8865-4CFE-8CC1-31EDED67AAD3}" name="Function Code" dataDxfId="1233"/>
    <tableColumn id="2" xr3:uid="{721441F8-6802-4049-B783-69B658387C2E}" name="Object _x000a_Code" dataDxfId="1232"/>
    <tableColumn id="3" xr3:uid="{0108C8D9-1138-4EEA-93F7-514F10FDAF1B}" name="Expenditure Description" dataDxfId="1231"/>
    <tableColumn id="5" xr3:uid="{3DE309FB-8D65-4EE3-AE02-F15B492FC49F}" name="21st CCLC,  Title IV-B" dataDxfId="1230"/>
    <tableColumn id="6" xr3:uid="{FB554F0D-685E-4B7D-962A-6ABD9E5A4AD2}" name="(enter addt'l. fund source 1)" dataDxfId="1229"/>
    <tableColumn id="7" xr3:uid="{CC3B24C2-D948-4ECB-A1AF-AA99992103B5}" name="(enter addt'l. fund source 2)" dataDxfId="1228"/>
    <tableColumn id="8" xr3:uid="{52984A09-96B5-4EA6-9854-F4C76D221BBA}" name="(enter addt'l. fund source 3)" dataDxfId="1227"/>
    <tableColumn id="9" xr3:uid="{FF72EF1A-5811-460F-9F1C-AAF72CD00840}" name="(enter addt'l. fund source 4)" dataDxfId="1226"/>
    <tableColumn id="10" xr3:uid="{E72526E0-48D2-4510-9F1F-90A9D1534F30}" name="(enter addt'l. fund source 5)" dataDxfId="1225"/>
    <tableColumn id="4" xr3:uid="{5BCAE72C-B7D6-4A3D-AF7A-7A01D0A622EB}" name="Total Budget" dataDxfId="1224">
      <calculatedColumnFormula>ROUND(SUM(Program_Detail[[#This Row],[21st CCLC,  Title IV-B]:[(enter addt''l. fund source 5)]]),2)</calculatedColumnFormula>
    </tableColumn>
    <tableColumn id="16" xr3:uid="{446680E4-2387-479F-B801-AD7D2AC9D82B}" name="Notes" dataDxfId="1223"/>
  </tableColumns>
  <tableStyleInfo name="ODE Default"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9ACF27E-443C-433A-B715-C23FC5B90FBD}" name="Site_Detail_3" displayName="Site_Detail_3" ref="B13:O87" headerRowCount="0" totalsRowShown="0" headerRowDxfId="1027" dataDxfId="1026">
  <sortState xmlns:xlrd2="http://schemas.microsoft.com/office/spreadsheetml/2017/richdata2" ref="B13:O87">
    <sortCondition sortBy="fontColor" ref="B13:B87" dxfId="1025"/>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E86C7ED5-C2F2-42D9-A8E6-9BB9A34AC7E0}" name="Program Type" headerRowDxfId="1024" dataDxfId="1023"/>
    <tableColumn id="17" xr3:uid="{D6306CF7-4FFC-4C4C-A455-944CC3285016}" name="Contracted Service?" headerRowDxfId="1022" dataDxfId="1021"/>
    <tableColumn id="12" xr3:uid="{516899D6-D00F-45A1-B0F2-685A9378AD82}" name="Category" headerRowDxfId="1020" dataDxfId="1019"/>
    <tableColumn id="1" xr3:uid="{AD22128C-285B-48D2-8760-0A75CC459B5E}" name="Function Code" headerRowDxfId="1018" dataDxfId="1017"/>
    <tableColumn id="2" xr3:uid="{1AEA8366-DC0E-452F-A2CB-EF130E3ADFDF}" name="Object _x000a_Code" headerRowDxfId="1016" dataDxfId="1015"/>
    <tableColumn id="3" xr3:uid="{C685E96A-F8D1-4AC0-A425-E73CFFF979F0}" name="Expenditure Description" headerRowDxfId="1014" dataDxfId="1013"/>
    <tableColumn id="5" xr3:uid="{3448AD5A-E1D0-4924-BFE4-4C6A7A404AA7}" name="21st CCLC,  Title IV-B" headerRowDxfId="1012" dataDxfId="1011"/>
    <tableColumn id="6" xr3:uid="{287A2B9E-8D69-47A6-B9A3-26917281FE51}" name="(enter addt'l. fund source 1)" headerRowDxfId="1010" dataDxfId="1009"/>
    <tableColumn id="7" xr3:uid="{4D8F9736-8D1E-40EC-B01F-4073D1FF5321}" name="(enter addt'l. fund source 2)" headerRowDxfId="1008" dataDxfId="1007"/>
    <tableColumn id="8" xr3:uid="{76383BBB-DB60-45B2-87CB-22D937E25FE6}" name="(enter addt'l. fund source 3)" headerRowDxfId="1006" dataDxfId="1005"/>
    <tableColumn id="9" xr3:uid="{9EA9FF87-FD7C-4B35-9B41-E76B1C022577}" name="(enter addt'l. fund source 4)" headerRowDxfId="1004" dataDxfId="1003"/>
    <tableColumn id="10" xr3:uid="{E420421B-498E-44DB-8E7A-D8B643DF81A0}" name="(enter addt'l. fund source 5)" headerRowDxfId="1002" dataDxfId="1001"/>
    <tableColumn id="4" xr3:uid="{2F5C1930-14E5-4720-9EF6-CC3AB4275F76}" name="Total Budgeted Expenditures" headerRowDxfId="1000" dataDxfId="999">
      <calculatedColumnFormula>ROUND(SUM(Site_Detail_3[[#This Row],[21st CCLC,  Title IV-B]:[(enter addt''l. fund source 5)]]),2)</calculatedColumnFormula>
    </tableColumn>
    <tableColumn id="16" xr3:uid="{15EF848D-9C6D-4D3B-978C-DAC18A2FE6FB}" name="Notes" headerRowDxfId="998" dataDxfId="997"/>
  </tableColumns>
  <tableStyleInfo name="ODE Default"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1BBF261-308D-440D-8FCF-DD08AC56CADA}" name="Site_Summary_3" displayName="Site_Summary_3" ref="G8:N10" headerRowCount="0" totalsRowShown="0" headerRowDxfId="996" dataDxfId="995">
  <tableColumns count="8">
    <tableColumn id="1" xr3:uid="{80D6DD96-B3BB-4A2E-B14C-D07F3F3284AE}" name="Column1" headerRowDxfId="994" dataDxfId="993"/>
    <tableColumn id="3" xr3:uid="{96D2B5D1-51E2-4C91-AE86-3E824A8310BD}" name="Column3" headerRowDxfId="992" dataDxfId="991"/>
    <tableColumn id="4" xr3:uid="{462690B5-1A73-486C-ACBF-6B6B37620679}" name="Column4" headerRowDxfId="990" dataDxfId="989"/>
    <tableColumn id="5" xr3:uid="{8C1FF9AF-AD22-46F4-B88A-A6A3B5A71BEA}" name="Column5" headerRowDxfId="988" dataDxfId="987"/>
    <tableColumn id="6" xr3:uid="{F97F7E36-48AF-431E-9F28-D79595A82209}" name="Column6" headerRowDxfId="986" dataDxfId="985"/>
    <tableColumn id="7" xr3:uid="{0804F3CC-3802-44D9-89E3-ACD52A3876B4}" name="Column7" headerRowDxfId="984" dataDxfId="983"/>
    <tableColumn id="8" xr3:uid="{0D0D1D59-0A03-49E8-8FEB-B4CF09E3D356}" name="Column8" headerRowDxfId="982" dataDxfId="981"/>
    <tableColumn id="2" xr3:uid="{5CDD430F-9B7C-42B5-AAA6-B1B7BF1A956C}" name="Column2" headerRowDxfId="980" dataDxfId="979">
      <calculatedColumnFormula>SUM(Site_Summary_3[[#This Row],[Column3]:[Column8]])</calculatedColumnFormula>
    </tableColumn>
  </tableColumns>
  <tableStyleInfo name="ODE Default" showFirstColumn="1"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B4C1610-AEB1-4C6F-951F-D0BAA643FF6C}" name="Site_Category_Sum_3" displayName="Site_Category_Sum_3" ref="Q13:X31" headerRowCount="0" headerRowDxfId="978" dataDxfId="977" tableBorderDxfId="976" headerRowCellStyle="Normal 2" dataCellStyle="Normal 2">
  <tableColumns count="8">
    <tableColumn id="1" xr3:uid="{11ACD68F-1BAD-4991-B42B-E96FE175FB00}" name="Column1" totalsRowLabel="Total" headerRowDxfId="975" dataDxfId="974" totalsRowDxfId="973" headerRowCellStyle="Normal 2" dataCellStyle="Normal 2"/>
    <tableColumn id="2" xr3:uid="{1A8E778C-CAEF-494A-A5D8-80823794A716}" name="Column2" totalsRowFunction="sum" headerRowDxfId="972" dataDxfId="971" headerRowCellStyle="Normal 2" dataCellStyle="Normal 2">
      <calculatedColumnFormula array="1">SUMIF(#REF!,Site_Category_Sum_3[[#This Row],[Column1]:[Column1]],#REF!)</calculatedColumnFormula>
    </tableColumn>
    <tableColumn id="3" xr3:uid="{AF8899A7-9DB7-4415-89D4-AD2E809AF2E4}" name="Column3" totalsRowFunction="sum" headerRowDxfId="970" dataDxfId="969" totalsRowDxfId="968" headerRowCellStyle="Normal 2" dataCellStyle="Normal 2"/>
    <tableColumn id="4" xr3:uid="{4D5A34BF-858B-43C6-BA8E-0DD1D3D34729}" name="Column4" totalsRowFunction="sum" headerRowDxfId="967" dataDxfId="966" totalsRowDxfId="965" headerRowCellStyle="Normal 2" dataCellStyle="Normal 2"/>
    <tableColumn id="5" xr3:uid="{334D13DB-9D22-4BB0-8A11-475D8E922DAA}" name="Column5" totalsRowFunction="sum" headerRowDxfId="964" dataDxfId="963" totalsRowDxfId="962" headerRowCellStyle="Normal 2" dataCellStyle="Normal 2"/>
    <tableColumn id="6" xr3:uid="{1EE390CD-03B6-4AD9-9E88-A3E291170D8E}" name="Column6" totalsRowFunction="sum" headerRowDxfId="961" dataDxfId="960" totalsRowDxfId="959" headerRowCellStyle="Normal 2" dataCellStyle="Normal 2"/>
    <tableColumn id="7" xr3:uid="{1E4263C1-FC71-4BBD-B4D4-80E087CC253F}" name="Column7" totalsRowFunction="sum" headerRowDxfId="958" dataDxfId="957" totalsRowDxfId="956" headerRowCellStyle="Normal 2" dataCellStyle="Normal 2"/>
    <tableColumn id="8" xr3:uid="{1E97B3C1-6F65-4212-961A-0DD7C0162F16}" name="Column8" totalsRowFunction="sum" headerRowDxfId="955" dataDxfId="954" totalsRowDxfId="953" headerRowCellStyle="Normal 2" dataCellStyle="Normal 2">
      <calculatedColumnFormula>ROUND(SUM(Site_Category_Sum_3[[#This Row],[Column2]:[Column7]]),2)</calculatedColumnFormula>
    </tableColumn>
  </tableColumns>
  <tableStyleInfo name="ODE Default"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357A9DE-9491-435B-A02C-F3C84D5E1F91}" name="Site_Detail_4" displayName="Site_Detail_4" ref="B13:O87" headerRowCount="0" totalsRowShown="0" headerRowDxfId="952" dataDxfId="951">
  <sortState xmlns:xlrd2="http://schemas.microsoft.com/office/spreadsheetml/2017/richdata2" ref="B13:O87">
    <sortCondition sortBy="fontColor" ref="B13:B87" dxfId="950"/>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1465EA0A-8117-49DC-8BF0-E9B3E745DA31}" name="Program Type" headerRowDxfId="949" dataDxfId="948"/>
    <tableColumn id="17" xr3:uid="{0BD14337-DABC-49D3-B39A-E6D7E3898944}" name="Contracted Service?" headerRowDxfId="947" dataDxfId="946"/>
    <tableColumn id="12" xr3:uid="{FCC02882-DD61-4676-AE8E-3BDA5441F527}" name="Category" headerRowDxfId="945" dataDxfId="944"/>
    <tableColumn id="1" xr3:uid="{5323D998-E27E-4D26-B4E3-932E103A6964}" name="Function Code" headerRowDxfId="943" dataDxfId="942"/>
    <tableColumn id="2" xr3:uid="{431872F6-F84A-4607-963D-7C04308DC93E}" name="Object _x000a_Code" headerRowDxfId="941" dataDxfId="940"/>
    <tableColumn id="3" xr3:uid="{DCC571CA-9EAE-4F51-912E-320CACCD6523}" name="Expenditure Description" headerRowDxfId="939" dataDxfId="938"/>
    <tableColumn id="5" xr3:uid="{CB7E465D-BA12-409E-85E2-DC42D6F611D3}" name="21st CCLC,  Title IV-B" headerRowDxfId="937" dataDxfId="936"/>
    <tableColumn id="6" xr3:uid="{D985794B-698E-4828-919E-1007145441A6}" name="(enter addt'l. fund source 1)" headerRowDxfId="935" dataDxfId="934"/>
    <tableColumn id="7" xr3:uid="{EB5DECE6-E3FF-4D36-A530-425534082A94}" name="(enter addt'l. fund source 2)" headerRowDxfId="933" dataDxfId="932"/>
    <tableColumn id="8" xr3:uid="{6BD7628D-65A4-4980-8AFF-CAB91B5888F1}" name="(enter addt'l. fund source 3)" headerRowDxfId="931" dataDxfId="930"/>
    <tableColumn id="9" xr3:uid="{0C376167-62CA-431F-828E-F3EB96CC3976}" name="(enter addt'l. fund source 4)" headerRowDxfId="929" dataDxfId="928"/>
    <tableColumn id="10" xr3:uid="{B66D0C58-A6D5-4243-A62C-91A95EAE0AB1}" name="(enter addt'l. fund source 5)" headerRowDxfId="927" dataDxfId="926"/>
    <tableColumn id="4" xr3:uid="{1CD2BDD6-4A76-4898-BF3F-11928ED0D9DF}" name="Total Budgeted Expenditures" headerRowDxfId="925" dataDxfId="924">
      <calculatedColumnFormula>ROUND(SUM(Site_Detail_4[[#This Row],[21st CCLC,  Title IV-B]:[(enter addt''l. fund source 5)]]),2)</calculatedColumnFormula>
    </tableColumn>
    <tableColumn id="16" xr3:uid="{82912F41-1687-4910-9374-F0810C751B03}" name="Notes" headerRowDxfId="923" dataDxfId="922"/>
  </tableColumns>
  <tableStyleInfo name="ODE Default"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AABE6F01-C3ED-4DDC-A56E-977550A42E63}" name="Site_Summary_4" displayName="Site_Summary_4" ref="G8:N10" headerRowCount="0" totalsRowShown="0" headerRowDxfId="921" dataDxfId="920">
  <tableColumns count="8">
    <tableColumn id="1" xr3:uid="{6D107743-E98A-41CB-A671-7673A9278050}" name="Column1" headerRowDxfId="919" dataDxfId="918"/>
    <tableColumn id="3" xr3:uid="{2BAF3F4E-1602-4C4B-92F7-0603B81F4A31}" name="Column3" headerRowDxfId="917" dataDxfId="916"/>
    <tableColumn id="4" xr3:uid="{1E1547DC-492C-4B9D-BEFB-0F9EAFF6B299}" name="Column4" headerRowDxfId="915" dataDxfId="914"/>
    <tableColumn id="5" xr3:uid="{47B9CEEE-0016-471D-9B72-DB05B8A2D81A}" name="Column5" headerRowDxfId="913" dataDxfId="912"/>
    <tableColumn id="6" xr3:uid="{21B71761-B3AF-4408-84FE-FBFC2E3B6656}" name="Column6" headerRowDxfId="911" dataDxfId="910"/>
    <tableColumn id="7" xr3:uid="{867C2AFF-BFA7-46C5-B4FD-3065979F42F6}" name="Column7" headerRowDxfId="909" dataDxfId="908"/>
    <tableColumn id="8" xr3:uid="{5C479C5E-AAB9-458A-B2B9-060FAF21D8F7}" name="Column8" headerRowDxfId="907" dataDxfId="906"/>
    <tableColumn id="2" xr3:uid="{5CFE87EF-EB8C-4AA7-8E98-0CA54F6EDEFA}" name="Column2" headerRowDxfId="905" dataDxfId="904">
      <calculatedColumnFormula>SUM(Site_Summary_4[[#This Row],[Column3]:[Column8]])</calculatedColumnFormula>
    </tableColumn>
  </tableColumns>
  <tableStyleInfo name="ODE Default" showFirstColumn="1"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88A28CA-13C2-4038-9198-28140215E7D2}" name="Site_Category_Sum_4" displayName="Site_Category_Sum_4" ref="Q13:X31" headerRowCount="0" headerRowDxfId="903" dataDxfId="902" tableBorderDxfId="901" headerRowCellStyle="Normal 2" dataCellStyle="Normal 2">
  <tableColumns count="8">
    <tableColumn id="1" xr3:uid="{7571617A-0CBE-4A8B-A390-748BE4960FED}" name="Column1" totalsRowLabel="Total" headerRowDxfId="900" dataDxfId="899" totalsRowDxfId="898" headerRowCellStyle="Normal 2" dataCellStyle="Normal 2"/>
    <tableColumn id="2" xr3:uid="{E97FC676-EE4E-4F17-940E-9936F9003E92}" name="Column2" totalsRowFunction="sum" headerRowDxfId="897" dataDxfId="896" headerRowCellStyle="Normal 2" dataCellStyle="Normal 2">
      <calculatedColumnFormula array="1">SUMIF(#REF!,Site_Category_Sum_4[[#This Row],[Column1]:[Column1]],#REF!)</calculatedColumnFormula>
    </tableColumn>
    <tableColumn id="3" xr3:uid="{4206D821-603A-4D37-BDF6-DEBD19BD4AD4}" name="Column3" totalsRowFunction="sum" headerRowDxfId="895" dataDxfId="894" totalsRowDxfId="893" headerRowCellStyle="Normal 2" dataCellStyle="Normal 2"/>
    <tableColumn id="4" xr3:uid="{BAAA12C2-C282-4180-B5CA-D9E3335FD105}" name="Column4" totalsRowFunction="sum" headerRowDxfId="892" dataDxfId="891" totalsRowDxfId="890" headerRowCellStyle="Normal 2" dataCellStyle="Normal 2"/>
    <tableColumn id="5" xr3:uid="{DC23C4FD-7EB5-4775-8701-A2FB04592FEB}" name="Column5" totalsRowFunction="sum" headerRowDxfId="889" dataDxfId="888" totalsRowDxfId="887" headerRowCellStyle="Normal 2" dataCellStyle="Normal 2"/>
    <tableColumn id="6" xr3:uid="{C7A7CB81-638F-4267-90B6-F124C3F49BAE}" name="Column6" totalsRowFunction="sum" headerRowDxfId="886" dataDxfId="885" totalsRowDxfId="884" headerRowCellStyle="Normal 2" dataCellStyle="Normal 2"/>
    <tableColumn id="7" xr3:uid="{2981795B-B7A5-4ACD-BC60-6D2952714BCE}" name="Column7" totalsRowFunction="sum" headerRowDxfId="883" dataDxfId="882" totalsRowDxfId="881" headerRowCellStyle="Normal 2" dataCellStyle="Normal 2"/>
    <tableColumn id="8" xr3:uid="{BFFA3320-F72A-4139-ADF3-E1E8E6B59A00}" name="Column8" totalsRowFunction="sum" headerRowDxfId="880" dataDxfId="879" totalsRowDxfId="878" headerRowCellStyle="Normal 2" dataCellStyle="Normal 2">
      <calculatedColumnFormula>ROUND(SUM(Site_Category_Sum_4[[#This Row],[Column2]:[Column7]]),2)</calculatedColumnFormula>
    </tableColumn>
  </tableColumns>
  <tableStyleInfo name="ODE Default"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17147C6-DD86-4E60-9187-BD6126ED01F1}" name="Site_Detail_5" displayName="Site_Detail_5" ref="B13:O87" headerRowCount="0" totalsRowShown="0" headerRowDxfId="877" dataDxfId="876">
  <sortState xmlns:xlrd2="http://schemas.microsoft.com/office/spreadsheetml/2017/richdata2" ref="B13:O87">
    <sortCondition sortBy="fontColor" ref="B13:B87" dxfId="875"/>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F3CF7F05-9565-470B-A8B3-38E6FBE1A7E7}" name="Program Type" headerRowDxfId="874" dataDxfId="873"/>
    <tableColumn id="17" xr3:uid="{F2304E50-4D63-4B34-87E2-7F9098BDA763}" name="Contracted Service?" headerRowDxfId="872" dataDxfId="871"/>
    <tableColumn id="12" xr3:uid="{D9B50E38-1AF0-4153-A85C-B3DF09F1A3C8}" name="Category" headerRowDxfId="870" dataDxfId="869"/>
    <tableColumn id="1" xr3:uid="{1F4F13FA-F88A-4564-9DFF-AF730E3903DE}" name="Function Code" headerRowDxfId="868" dataDxfId="867"/>
    <tableColumn id="2" xr3:uid="{4073D303-7EA0-4A6B-A91B-926D4D3D094C}" name="Object _x000a_Code" headerRowDxfId="866" dataDxfId="865"/>
    <tableColumn id="3" xr3:uid="{58E8867D-BB57-4FAD-9094-3F27245D3790}" name="Expenditure Description" headerRowDxfId="864" dataDxfId="863"/>
    <tableColumn id="5" xr3:uid="{C83FB0AF-DF30-4692-BFF0-914C36FC7F6C}" name="21st CCLC,  Title IV-B" headerRowDxfId="862" dataDxfId="861"/>
    <tableColumn id="6" xr3:uid="{6440853F-CDFC-4BF0-8633-3423F6B6D4EB}" name="(enter addt'l. fund source 1)" headerRowDxfId="860" dataDxfId="859"/>
    <tableColumn id="7" xr3:uid="{9FBEAE34-0972-499D-91D9-732A3070ED59}" name="(enter addt'l. fund source 2)" headerRowDxfId="858" dataDxfId="857"/>
    <tableColumn id="8" xr3:uid="{4DAACD6A-833D-4D8D-9DFA-954A5D469794}" name="(enter addt'l. fund source 3)" headerRowDxfId="856" dataDxfId="855"/>
    <tableColumn id="9" xr3:uid="{A801A40D-27F2-4FBF-9365-A70D0A20C018}" name="(enter addt'l. fund source 4)" headerRowDxfId="854" dataDxfId="853"/>
    <tableColumn id="10" xr3:uid="{703CF92F-38E2-448E-807A-E81F5D5C4FEC}" name="(enter addt'l. fund source 5)" headerRowDxfId="852" dataDxfId="851"/>
    <tableColumn id="4" xr3:uid="{0BC84626-2471-4997-8A5C-BEB89AEBA773}" name="Total Budgeted Expenditures" headerRowDxfId="850" dataDxfId="849">
      <calculatedColumnFormula>ROUND(SUM(Site_Detail_5[[#This Row],[21st CCLC,  Title IV-B]:[(enter addt''l. fund source 5)]]),2)</calculatedColumnFormula>
    </tableColumn>
    <tableColumn id="16" xr3:uid="{B63894EB-6B6F-4843-A154-E1D61D4CF058}" name="Notes" headerRowDxfId="848" dataDxfId="847"/>
  </tableColumns>
  <tableStyleInfo name="ODE Default"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17C332C-0A24-46CC-8E10-B0C6A18472BF}" name="Site_Summary_5" displayName="Site_Summary_5" ref="G8:N10" headerRowCount="0" totalsRowShown="0" headerRowDxfId="846" dataDxfId="845">
  <tableColumns count="8">
    <tableColumn id="1" xr3:uid="{9214A5E1-67E4-484F-A144-DC9D5BDEC114}" name="Column1" headerRowDxfId="844" dataDxfId="843"/>
    <tableColumn id="3" xr3:uid="{F2AA4A64-A5AA-45A3-8268-1D9A350CDFA3}" name="Column3" headerRowDxfId="842" dataDxfId="841"/>
    <tableColumn id="4" xr3:uid="{A5C6AB52-68AB-456D-8405-90D5B2092575}" name="Column4" headerRowDxfId="840" dataDxfId="839"/>
    <tableColumn id="5" xr3:uid="{885988DC-5485-4CF1-A35E-A38E32840C0B}" name="Column5" headerRowDxfId="838" dataDxfId="837"/>
    <tableColumn id="6" xr3:uid="{63F4962F-AFD4-48E5-B05B-CFCCA2CAA282}" name="Column6" headerRowDxfId="836" dataDxfId="835"/>
    <tableColumn id="7" xr3:uid="{DE3C3B5C-BA60-49AF-9175-D656A6185C5F}" name="Column7" headerRowDxfId="834" dataDxfId="833"/>
    <tableColumn id="8" xr3:uid="{066C152A-34D6-42CE-BFF3-6FE7BA70CD6F}" name="Column8" headerRowDxfId="832" dataDxfId="831"/>
    <tableColumn id="2" xr3:uid="{96217744-790A-481E-8F69-8AD33D645D98}" name="Column2" headerRowDxfId="830" dataDxfId="829">
      <calculatedColumnFormula>SUM(Site_Summary_5[[#This Row],[Column3]:[Column8]])</calculatedColumnFormula>
    </tableColumn>
  </tableColumns>
  <tableStyleInfo name="ODE Default" showFirstColumn="1"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4860E49A-6ABD-4FC8-AFB3-447FC5CFEFD4}" name="Site_Category_Sum_5" displayName="Site_Category_Sum_5" ref="Q13:X31" headerRowCount="0" headerRowDxfId="828" dataDxfId="827" tableBorderDxfId="826" headerRowCellStyle="Normal 2" dataCellStyle="Normal 2">
  <tableColumns count="8">
    <tableColumn id="1" xr3:uid="{594EE34C-B72E-4319-87B3-1CA8845EA16B}" name="Column1" totalsRowLabel="Total" headerRowDxfId="825" dataDxfId="824" totalsRowDxfId="823" headerRowCellStyle="Normal 2" dataCellStyle="Normal 2"/>
    <tableColumn id="2" xr3:uid="{C5F7B826-6614-43C1-9E54-BFFB6131ADFB}" name="Column2" totalsRowFunction="sum" headerRowDxfId="822" dataDxfId="821" headerRowCellStyle="Normal 2" dataCellStyle="Normal 2">
      <calculatedColumnFormula array="1">SUMIF(#REF!,Site_Category_Sum_5[[#This Row],[Column1]:[Column1]],#REF!)</calculatedColumnFormula>
    </tableColumn>
    <tableColumn id="3" xr3:uid="{58EDFE64-9B04-46D8-8B14-EBCA0000CBAE}" name="Column3" totalsRowFunction="sum" headerRowDxfId="820" dataDxfId="819" totalsRowDxfId="818" headerRowCellStyle="Normal 2" dataCellStyle="Normal 2"/>
    <tableColumn id="4" xr3:uid="{9C534401-96B5-431F-B024-A3D76D6AAC02}" name="Column4" totalsRowFunction="sum" headerRowDxfId="817" dataDxfId="816" totalsRowDxfId="815" headerRowCellStyle="Normal 2" dataCellStyle="Normal 2"/>
    <tableColumn id="5" xr3:uid="{ABC2D7CA-6A84-4C63-B888-79FF97E0B864}" name="Column5" totalsRowFunction="sum" headerRowDxfId="814" dataDxfId="813" totalsRowDxfId="812" headerRowCellStyle="Normal 2" dataCellStyle="Normal 2"/>
    <tableColumn id="6" xr3:uid="{AE37165C-0461-4EFC-92A0-B6FEECD8A8AC}" name="Column6" totalsRowFunction="sum" headerRowDxfId="811" dataDxfId="810" totalsRowDxfId="809" headerRowCellStyle="Normal 2" dataCellStyle="Normal 2"/>
    <tableColumn id="7" xr3:uid="{4877AA7F-05EA-4350-B140-0404283E69AB}" name="Column7" totalsRowFunction="sum" headerRowDxfId="808" dataDxfId="807" totalsRowDxfId="806" headerRowCellStyle="Normal 2" dataCellStyle="Normal 2"/>
    <tableColumn id="8" xr3:uid="{65E6EAC6-5197-45A0-A0D7-2429B96FC1E0}" name="Column8" totalsRowFunction="sum" headerRowDxfId="805" dataDxfId="804" totalsRowDxfId="803" headerRowCellStyle="Normal 2" dataCellStyle="Normal 2">
      <calculatedColumnFormula>ROUND(SUM(Site_Category_Sum_5[[#This Row],[Column2]:[Column7]]),2)</calculatedColumnFormula>
    </tableColumn>
  </tableColumns>
  <tableStyleInfo name="ODE Default"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C7533AA-6423-436C-B378-F3ECC406651F}" name="Site_Detail_6" displayName="Site_Detail_6" ref="B13:O87" headerRowCount="0" totalsRowShown="0" headerRowDxfId="802" dataDxfId="801">
  <sortState xmlns:xlrd2="http://schemas.microsoft.com/office/spreadsheetml/2017/richdata2" ref="B13:O87">
    <sortCondition sortBy="fontColor" ref="B13:B87" dxfId="800"/>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56658959-BCC5-49BE-A573-4A53AE1B472B}" name="Program Type" headerRowDxfId="799" dataDxfId="798"/>
    <tableColumn id="17" xr3:uid="{B7EB5248-3210-4678-A67C-0F1C0293CB0F}" name="Contracted Service?" headerRowDxfId="797" dataDxfId="796"/>
    <tableColumn id="12" xr3:uid="{36B76682-3A5B-4373-9D33-9177C67D26D2}" name="Category" headerRowDxfId="795" dataDxfId="794"/>
    <tableColumn id="1" xr3:uid="{F6735F34-FF95-4724-A715-67BC68B77704}" name="Function Code" headerRowDxfId="793" dataDxfId="792"/>
    <tableColumn id="2" xr3:uid="{3BE113E8-2B2D-44F5-9DB7-3978051C44FE}" name="Object _x000a_Code" headerRowDxfId="791" dataDxfId="790"/>
    <tableColumn id="3" xr3:uid="{495D9251-F182-47FF-A3C4-7CCC68569EE5}" name="Expenditure Description" headerRowDxfId="789" dataDxfId="788"/>
    <tableColumn id="5" xr3:uid="{CF749D58-C125-40C6-917E-3AF6B350B44B}" name="21st CCLC,  Title IV-B" headerRowDxfId="787" dataDxfId="786"/>
    <tableColumn id="6" xr3:uid="{840AA447-B386-4208-9DAB-C2F5C40B4479}" name="(enter addt'l. fund source 1)" headerRowDxfId="785" dataDxfId="784"/>
    <tableColumn id="7" xr3:uid="{4435B306-4204-4426-86C0-38D2A4A92668}" name="(enter addt'l. fund source 2)" headerRowDxfId="783" dataDxfId="782"/>
    <tableColumn id="8" xr3:uid="{9F891E11-2E37-454E-80BB-FEF77EEAECD9}" name="(enter addt'l. fund source 3)" headerRowDxfId="781" dataDxfId="780"/>
    <tableColumn id="9" xr3:uid="{594889E7-3B85-418C-B585-AB0FFBBCE175}" name="(enter addt'l. fund source 4)" headerRowDxfId="779" dataDxfId="778"/>
    <tableColumn id="10" xr3:uid="{D5E9CFD4-7B6E-420C-AD60-CDF29A905CBB}" name="(enter addt'l. fund source 5)" headerRowDxfId="777" dataDxfId="776"/>
    <tableColumn id="4" xr3:uid="{5FA779F4-5285-4407-9965-5F86D98C55B3}" name="Total Budgeted Expenditures" headerRowDxfId="775" dataDxfId="774">
      <calculatedColumnFormula>ROUND(SUM(Site_Detail_6[[#This Row],[21st CCLC,  Title IV-B]:[(enter addt''l. fund source 5)]]),2)</calculatedColumnFormula>
    </tableColumn>
    <tableColumn id="16" xr3:uid="{C4D355D9-AE1C-4140-879E-9CCA380CEB36}" name="Notes" headerRowDxfId="773" dataDxfId="772"/>
  </tableColumns>
  <tableStyleInfo name="ODE Default"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4BB5D90-2C11-4237-9F2F-CCC3763E0D78}" name="Program_Summary" displayName="Program_Summary" ref="G8:N13" headerRowCount="0" totalsRowShown="0" headerRowDxfId="1222" dataDxfId="1221">
  <tableColumns count="8">
    <tableColumn id="1" xr3:uid="{22CE6AE3-8876-45DA-8FE7-C0DB90EB3635}" name="Column1" headerRowDxfId="1220" dataDxfId="1219"/>
    <tableColumn id="3" xr3:uid="{3685D864-4937-4B38-95C0-CD11E199AF0F}" name="Column3" headerRowDxfId="1218" dataDxfId="1217"/>
    <tableColumn id="4" xr3:uid="{0A90E69B-70A1-484B-AB64-895D02604403}" name="Column4" headerRowDxfId="1216" dataDxfId="1215"/>
    <tableColumn id="5" xr3:uid="{01193953-AFF3-4A83-B92A-A66FDC65F018}" name="Column5" headerRowDxfId="1214" dataDxfId="1213"/>
    <tableColumn id="6" xr3:uid="{1ED6CB7D-BB26-4C5E-9312-72D6DE66A3EE}" name="Column6" headerRowDxfId="1212" dataDxfId="1211"/>
    <tableColumn id="7" xr3:uid="{11AAF7A3-08AE-4058-85E7-6707DA4ED5AE}" name="Column7" headerRowDxfId="1210" dataDxfId="1209"/>
    <tableColumn id="8" xr3:uid="{71AC46A4-B6A0-4AF9-AD20-604E6236F5D6}" name="Column8" headerRowDxfId="1208" dataDxfId="1207"/>
    <tableColumn id="2" xr3:uid="{AE7B92E4-D76F-4A87-87D6-2F1F10CE0B08}" name="Column2" headerRowDxfId="1206" dataDxfId="1205"/>
  </tableColumns>
  <tableStyleInfo name="ODE Default" showFirstColumn="1"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AE6DC972-68AE-4D22-8FFC-924DDD31C647}" name="Site_Summary_6" displayName="Site_Summary_6" ref="G8:N10" headerRowCount="0" totalsRowShown="0" headerRowDxfId="771" dataDxfId="770">
  <tableColumns count="8">
    <tableColumn id="1" xr3:uid="{AAFD9DDC-1081-4DD3-80EC-FF60E3A61243}" name="Column1" headerRowDxfId="769" dataDxfId="768"/>
    <tableColumn id="3" xr3:uid="{E1E78FF3-C0FB-4266-90F4-3353175798F2}" name="Column3" headerRowDxfId="767" dataDxfId="766"/>
    <tableColumn id="4" xr3:uid="{AB9B3F48-0F5F-41B4-9CC9-A002B3473E98}" name="Column4" headerRowDxfId="765" dataDxfId="764"/>
    <tableColumn id="5" xr3:uid="{DDBEF7F6-7779-4165-9A1E-F7DD7B400466}" name="Column5" headerRowDxfId="763" dataDxfId="762"/>
    <tableColumn id="6" xr3:uid="{75825E7F-ED32-4209-81E2-F1CE5426E1A4}" name="Column6" headerRowDxfId="761" dataDxfId="760"/>
    <tableColumn id="7" xr3:uid="{99C75A4E-5D3C-44C9-976B-DB34437EDCDF}" name="Column7" headerRowDxfId="759" dataDxfId="758"/>
    <tableColumn id="8" xr3:uid="{AA53D6B9-DFB3-4AE1-98F3-C4498FBE2043}" name="Column8" headerRowDxfId="757" dataDxfId="756"/>
    <tableColumn id="2" xr3:uid="{3BC7160A-14A0-4AD5-84E3-923BCAA67DAB}" name="Column2" headerRowDxfId="755" dataDxfId="754">
      <calculatedColumnFormula>SUM(Site_Summary_6[[#This Row],[Column3]:[Column8]])</calculatedColumnFormula>
    </tableColumn>
  </tableColumns>
  <tableStyleInfo name="ODE Default" showFirstColumn="1"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68601022-AE12-40ED-B660-56485F403EF1}" name="Site_Category_Sum_6" displayName="Site_Category_Sum_6" ref="Q13:X31" headerRowCount="0" headerRowDxfId="753" dataDxfId="752" tableBorderDxfId="751" headerRowCellStyle="Normal 2" dataCellStyle="Normal 2">
  <tableColumns count="8">
    <tableColumn id="1" xr3:uid="{1B254E95-E7DA-430C-B713-0C16C05009F2}" name="Column1" totalsRowLabel="Total" headerRowDxfId="750" dataDxfId="749" totalsRowDxfId="748" headerRowCellStyle="Normal 2" dataCellStyle="Normal 2"/>
    <tableColumn id="2" xr3:uid="{C2E115A8-B884-49EA-B6EE-61B0F2383F45}" name="Column2" totalsRowFunction="sum" headerRowDxfId="747" dataDxfId="746" headerRowCellStyle="Normal 2" dataCellStyle="Normal 2">
      <calculatedColumnFormula array="1">SUMIF(#REF!,Site_Category_Sum_6[[#This Row],[Column1]:[Column1]],#REF!)</calculatedColumnFormula>
    </tableColumn>
    <tableColumn id="3" xr3:uid="{C6D06C48-D1D6-4D6B-A4FC-AFC02CEC95FD}" name="Column3" totalsRowFunction="sum" headerRowDxfId="745" dataDxfId="744" totalsRowDxfId="743" headerRowCellStyle="Normal 2" dataCellStyle="Normal 2"/>
    <tableColumn id="4" xr3:uid="{48F9CADD-E686-4953-B3E4-4617B8C99E74}" name="Column4" totalsRowFunction="sum" headerRowDxfId="742" dataDxfId="741" totalsRowDxfId="740" headerRowCellStyle="Normal 2" dataCellStyle="Normal 2"/>
    <tableColumn id="5" xr3:uid="{91BB3D65-B462-461C-AB1A-EADFC3B5DB19}" name="Column5" totalsRowFunction="sum" headerRowDxfId="739" dataDxfId="738" totalsRowDxfId="737" headerRowCellStyle="Normal 2" dataCellStyle="Normal 2"/>
    <tableColumn id="6" xr3:uid="{3C8AAFE4-61E6-4952-AD20-BE49CD464E77}" name="Column6" totalsRowFunction="sum" headerRowDxfId="736" dataDxfId="735" totalsRowDxfId="734" headerRowCellStyle="Normal 2" dataCellStyle="Normal 2"/>
    <tableColumn id="7" xr3:uid="{9AE3D26E-213A-4F11-92FD-A8D7187CC09C}" name="Column7" totalsRowFunction="sum" headerRowDxfId="733" dataDxfId="732" totalsRowDxfId="731" headerRowCellStyle="Normal 2" dataCellStyle="Normal 2"/>
    <tableColumn id="8" xr3:uid="{22D41C51-E481-4EA1-9334-13249B82DDA9}" name="Column8" totalsRowFunction="sum" headerRowDxfId="730" dataDxfId="729" totalsRowDxfId="728" headerRowCellStyle="Normal 2" dataCellStyle="Normal 2">
      <calculatedColumnFormula>ROUND(SUM(Site_Category_Sum_6[[#This Row],[Column2]:[Column7]]),2)</calculatedColumnFormula>
    </tableColumn>
  </tableColumns>
  <tableStyleInfo name="ODE Default"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CC948F9-6942-43FB-B21C-1D3817761DF4}" name="Site_Detail_7" displayName="Site_Detail_7" ref="B13:O87" headerRowCount="0" totalsRowShown="0" headerRowDxfId="727" dataDxfId="726">
  <sortState xmlns:xlrd2="http://schemas.microsoft.com/office/spreadsheetml/2017/richdata2" ref="B13:O87">
    <sortCondition sortBy="fontColor" ref="B13:B87" dxfId="725"/>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459437D2-3AAD-43B4-9BB8-B4840130B198}" name="Program Type" headerRowDxfId="724" dataDxfId="723"/>
    <tableColumn id="17" xr3:uid="{46B06093-D9AF-4A21-9804-1BD36E5123CD}" name="Contracted Service?" headerRowDxfId="722" dataDxfId="721"/>
    <tableColumn id="12" xr3:uid="{98CC4879-4BB5-4053-96DF-B997F2B8C10A}" name="Category" headerRowDxfId="720" dataDxfId="719"/>
    <tableColumn id="1" xr3:uid="{4CEDBA36-5338-41BE-9E28-CB69CD141CE3}" name="Function Code" headerRowDxfId="718" dataDxfId="717"/>
    <tableColumn id="2" xr3:uid="{4886090B-8740-4D82-8537-C53743F3C427}" name="Object _x000a_Code" headerRowDxfId="716" dataDxfId="715"/>
    <tableColumn id="3" xr3:uid="{1F39FD12-AA9E-4F07-9905-808016F31C4A}" name="Expenditure Description" headerRowDxfId="714" dataDxfId="713"/>
    <tableColumn id="5" xr3:uid="{4720437B-50DE-4B82-8839-A610F325278E}" name="21st CCLC,  Title IV-B" headerRowDxfId="712" dataDxfId="711"/>
    <tableColumn id="6" xr3:uid="{BBC2367E-804F-4E07-9845-689A2F2CE223}" name="(enter addt'l. fund source 1)" headerRowDxfId="710" dataDxfId="709"/>
    <tableColumn id="7" xr3:uid="{D6839524-C3EF-44EA-A9CA-2767F4895B85}" name="(enter addt'l. fund source 2)" headerRowDxfId="708" dataDxfId="707"/>
    <tableColumn id="8" xr3:uid="{F2E879F2-E719-4C31-8684-C502CCEACCBA}" name="(enter addt'l. fund source 3)" headerRowDxfId="706" dataDxfId="705"/>
    <tableColumn id="9" xr3:uid="{ACF66E8C-01C1-4693-BA4C-0EBA61401F16}" name="(enter addt'l. fund source 4)" headerRowDxfId="704" dataDxfId="703"/>
    <tableColumn id="10" xr3:uid="{63E26DA6-C6EB-45B4-BE6F-470B6B8A50EE}" name="(enter addt'l. fund source 5)" headerRowDxfId="702" dataDxfId="701"/>
    <tableColumn id="4" xr3:uid="{1EAE4B04-1A64-486A-A963-3D931697EA5E}" name="Total Budgeted Expenditures" headerRowDxfId="700" dataDxfId="699">
      <calculatedColumnFormula>ROUND(SUM(Site_Detail_7[[#This Row],[21st CCLC,  Title IV-B]:[(enter addt''l. fund source 5)]]),2)</calculatedColumnFormula>
    </tableColumn>
    <tableColumn id="16" xr3:uid="{60651FDB-63B8-4A5D-B676-0410E12224A7}" name="Notes" headerRowDxfId="698" dataDxfId="697"/>
  </tableColumns>
  <tableStyleInfo name="ODE Default"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E488DD6-6B73-4E08-BD72-5808088B41D3}" name="Site_Summary_7" displayName="Site_Summary_7" ref="G8:N10" headerRowCount="0" totalsRowShown="0" headerRowDxfId="696" dataDxfId="695">
  <tableColumns count="8">
    <tableColumn id="1" xr3:uid="{430111CE-74F3-4470-9E14-4A059BF756D5}" name="Column1" headerRowDxfId="694" dataDxfId="693"/>
    <tableColumn id="3" xr3:uid="{76AC9977-53CA-4C55-A74A-71B088BD4AF6}" name="Column3" headerRowDxfId="692" dataDxfId="691"/>
    <tableColumn id="4" xr3:uid="{A959AD33-A6D1-4F6E-B71F-DACD46EBB810}" name="Column4" headerRowDxfId="690" dataDxfId="689"/>
    <tableColumn id="5" xr3:uid="{8639A788-CA1A-4493-814A-91D8E6F62D01}" name="Column5" headerRowDxfId="688" dataDxfId="687"/>
    <tableColumn id="6" xr3:uid="{6B70DEC3-E78B-4EB9-8812-E6F1AD04F8A3}" name="Column6" headerRowDxfId="686" dataDxfId="685"/>
    <tableColumn id="7" xr3:uid="{95D99ACF-5411-4267-8EAD-6D260C438228}" name="Column7" headerRowDxfId="684" dataDxfId="683"/>
    <tableColumn id="8" xr3:uid="{32234974-AE85-4046-A704-1E9D5B651761}" name="Column8" headerRowDxfId="682" dataDxfId="681"/>
    <tableColumn id="2" xr3:uid="{B145B4C7-4471-4F9B-9408-477E7850BB7C}" name="Column2" headerRowDxfId="680" dataDxfId="679">
      <calculatedColumnFormula>SUM(Site_Summary_7[[#This Row],[Column3]:[Column8]])</calculatedColumnFormula>
    </tableColumn>
  </tableColumns>
  <tableStyleInfo name="ODE Default" showFirstColumn="1"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A2C69537-6748-4704-89EB-1A26C013B817}" name="Site_Category_Sum_7" displayName="Site_Category_Sum_7" ref="Q13:X31" headerRowCount="0" headerRowDxfId="678" dataDxfId="677" tableBorderDxfId="676" headerRowCellStyle="Normal 2" dataCellStyle="Normal 2">
  <tableColumns count="8">
    <tableColumn id="1" xr3:uid="{53663C6B-7108-4D88-973E-C79D6D7A4E1D}" name="Column1" totalsRowLabel="Total" headerRowDxfId="675" dataDxfId="674" totalsRowDxfId="673" headerRowCellStyle="Normal 2" dataCellStyle="Normal 2"/>
    <tableColumn id="2" xr3:uid="{C6E7F926-ED41-47A4-88C2-06CF1FEF9309}" name="Column2" totalsRowFunction="sum" headerRowDxfId="672" dataDxfId="671" headerRowCellStyle="Normal 2" dataCellStyle="Normal 2">
      <calculatedColumnFormula array="1">SUMIF(#REF!,Site_Category_Sum_7[[#This Row],[Column1]:[Column1]],#REF!)</calculatedColumnFormula>
    </tableColumn>
    <tableColumn id="3" xr3:uid="{149BF25D-4D4A-4472-8B82-DE83BB480143}" name="Column3" totalsRowFunction="sum" headerRowDxfId="670" dataDxfId="669" totalsRowDxfId="668" headerRowCellStyle="Normal 2" dataCellStyle="Normal 2"/>
    <tableColumn id="4" xr3:uid="{109039DF-6B8E-4BDC-9FB5-28FAA07A49EB}" name="Column4" totalsRowFunction="sum" headerRowDxfId="667" dataDxfId="666" totalsRowDxfId="665" headerRowCellStyle="Normal 2" dataCellStyle="Normal 2"/>
    <tableColumn id="5" xr3:uid="{038C20FE-AB02-402A-A6D5-832D40FEEC65}" name="Column5" totalsRowFunction="sum" headerRowDxfId="664" dataDxfId="663" totalsRowDxfId="662" headerRowCellStyle="Normal 2" dataCellStyle="Normal 2"/>
    <tableColumn id="6" xr3:uid="{02B84890-E0BA-4F3D-B2F3-3183F1B57F70}" name="Column6" totalsRowFunction="sum" headerRowDxfId="661" dataDxfId="660" totalsRowDxfId="659" headerRowCellStyle="Normal 2" dataCellStyle="Normal 2"/>
    <tableColumn id="7" xr3:uid="{855FDA21-4781-4543-B552-783F255FBC7E}" name="Column7" totalsRowFunction="sum" headerRowDxfId="658" dataDxfId="657" totalsRowDxfId="656" headerRowCellStyle="Normal 2" dataCellStyle="Normal 2"/>
    <tableColumn id="8" xr3:uid="{D460EEEC-B28B-49EA-963B-88C352A3DE88}" name="Column8" totalsRowFunction="sum" headerRowDxfId="655" dataDxfId="654" totalsRowDxfId="653" headerRowCellStyle="Normal 2" dataCellStyle="Normal 2">
      <calculatedColumnFormula>ROUND(SUM(Site_Category_Sum_7[[#This Row],[Column2]:[Column7]]),2)</calculatedColumnFormula>
    </tableColumn>
  </tableColumns>
  <tableStyleInfo name="ODE Default"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A2DA5BB-8B21-45BC-9824-D4B635A5B52C}" name="Site_Detail_8" displayName="Site_Detail_8" ref="B13:O87" headerRowCount="0" totalsRowShown="0" headerRowDxfId="652" dataDxfId="651">
  <sortState xmlns:xlrd2="http://schemas.microsoft.com/office/spreadsheetml/2017/richdata2" ref="B13:O87">
    <sortCondition sortBy="fontColor" ref="B13:B87" dxfId="650"/>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F3DB4209-BDAB-4CA1-9F50-E854CAA5E6F1}" name="Program Type" headerRowDxfId="649" dataDxfId="648"/>
    <tableColumn id="17" xr3:uid="{8DD5583B-5276-4A77-8C92-DA4C408FC66B}" name="Contracted Service?" headerRowDxfId="647" dataDxfId="646"/>
    <tableColumn id="12" xr3:uid="{DD4A0D1F-F07D-405D-A2D4-93700419CE36}" name="Category" headerRowDxfId="645" dataDxfId="644"/>
    <tableColumn id="1" xr3:uid="{CF2AC32F-29BF-4997-864B-F59944BDBC37}" name="Function Code" headerRowDxfId="643" dataDxfId="642"/>
    <tableColumn id="2" xr3:uid="{08925A12-C963-4593-BC23-7DF2AB14B0D8}" name="Object _x000a_Code" headerRowDxfId="641" dataDxfId="640"/>
    <tableColumn id="3" xr3:uid="{878C5798-4470-49DB-B924-CF50AC8155F3}" name="Expenditure Description" headerRowDxfId="639" dataDxfId="638"/>
    <tableColumn id="5" xr3:uid="{3CAA6787-A0DE-43B1-BBF6-682BF32D746B}" name="21st CCLC,  Title IV-B" headerRowDxfId="637" dataDxfId="636"/>
    <tableColumn id="6" xr3:uid="{BD229783-EE2F-42EC-B86C-D839BCC775A6}" name="(enter addt'l. fund source 1)" headerRowDxfId="635" dataDxfId="634"/>
    <tableColumn id="7" xr3:uid="{55FE8F05-9D8F-4505-8B89-20E6F689576C}" name="(enter addt'l. fund source 2)" headerRowDxfId="633" dataDxfId="632"/>
    <tableColumn id="8" xr3:uid="{7B726E29-42C1-4BB5-84C0-BA4DE075494C}" name="(enter addt'l. fund source 3)" headerRowDxfId="631" dataDxfId="630"/>
    <tableColumn id="9" xr3:uid="{83DDFF9A-0D15-4A19-81F6-88E111654279}" name="(enter addt'l. fund source 4)" headerRowDxfId="629" dataDxfId="628"/>
    <tableColumn id="10" xr3:uid="{1C1F99D1-1EEE-4DB3-91FE-D138136F929D}" name="(enter addt'l. fund source 5)" headerRowDxfId="627" dataDxfId="626"/>
    <tableColumn id="4" xr3:uid="{5837A2F4-8714-4187-8C25-E73BFC53115F}" name="Total Budgeted Expenditures" headerRowDxfId="625" dataDxfId="624">
      <calculatedColumnFormula>ROUND(SUM(Site_Detail_8[[#This Row],[21st CCLC,  Title IV-B]:[(enter addt''l. fund source 5)]]),2)</calculatedColumnFormula>
    </tableColumn>
    <tableColumn id="16" xr3:uid="{32A2B5BE-CF06-4B88-BEF9-76011A796212}" name="Notes" headerRowDxfId="623" dataDxfId="622"/>
  </tableColumns>
  <tableStyleInfo name="ODE Default"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99D8B55-C23B-421C-BB8E-004ED9190824}" name="Site_Summary_8" displayName="Site_Summary_8" ref="G8:N10" headerRowCount="0" totalsRowShown="0" headerRowDxfId="621" dataDxfId="620">
  <tableColumns count="8">
    <tableColumn id="1" xr3:uid="{F2B200F4-769D-4C1E-9035-F27A0869DB06}" name="Column1" headerRowDxfId="619" dataDxfId="618"/>
    <tableColumn id="3" xr3:uid="{59AA085D-6A98-457A-A768-1FACC6E80DD3}" name="Column3" headerRowDxfId="617" dataDxfId="616"/>
    <tableColumn id="4" xr3:uid="{52676B09-C769-48C1-9415-01E460244105}" name="Column4" headerRowDxfId="615" dataDxfId="614"/>
    <tableColumn id="5" xr3:uid="{52E074D6-198F-40D8-9007-25A4B83CDD63}" name="Column5" headerRowDxfId="613" dataDxfId="612"/>
    <tableColumn id="6" xr3:uid="{08FA1340-D38A-4182-8505-3FFF675E79AB}" name="Column6" headerRowDxfId="611" dataDxfId="610"/>
    <tableColumn id="7" xr3:uid="{AAA41D41-9134-485B-9D13-D942249EE188}" name="Column7" headerRowDxfId="609" dataDxfId="608"/>
    <tableColumn id="8" xr3:uid="{B65B37CA-A311-4A88-A074-78205DC7B4D7}" name="Column8" headerRowDxfId="607" dataDxfId="606"/>
    <tableColumn id="2" xr3:uid="{ECE3B6F4-E4B2-4946-B241-8190BBE9155E}" name="Column2" headerRowDxfId="605" dataDxfId="604">
      <calculatedColumnFormula>SUM(Site_Summary_8[[#This Row],[Column3]:[Column8]])</calculatedColumnFormula>
    </tableColumn>
  </tableColumns>
  <tableStyleInfo name="ODE Default" showFirstColumn="1"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529BC200-F2F2-4645-96AF-27BDC5548983}" name="Site_Category_Sum_8" displayName="Site_Category_Sum_8" ref="Q13:X31" headerRowCount="0" headerRowDxfId="603" dataDxfId="602" tableBorderDxfId="601" headerRowCellStyle="Normal 2" dataCellStyle="Normal 2">
  <tableColumns count="8">
    <tableColumn id="1" xr3:uid="{C3AE4FA4-DDF5-44A0-A70B-3B54EEB40298}" name="Column1" totalsRowLabel="Total" headerRowDxfId="600" dataDxfId="599" totalsRowDxfId="598" headerRowCellStyle="Normal 2" dataCellStyle="Normal 2"/>
    <tableColumn id="2" xr3:uid="{66E75777-0501-4B14-B724-5EC760DD1845}" name="Column2" totalsRowFunction="sum" headerRowDxfId="597" dataDxfId="596" headerRowCellStyle="Normal 2" dataCellStyle="Normal 2">
      <calculatedColumnFormula array="1">SUMIF(#REF!,Site_Category_Sum_8[[#This Row],[Column1]:[Column1]],#REF!)</calculatedColumnFormula>
    </tableColumn>
    <tableColumn id="3" xr3:uid="{9A5924E4-0CAB-4D34-A5C3-288D5F8F1EDA}" name="Column3" totalsRowFunction="sum" headerRowDxfId="595" dataDxfId="594" totalsRowDxfId="593" headerRowCellStyle="Normal 2" dataCellStyle="Normal 2"/>
    <tableColumn id="4" xr3:uid="{0F7D30AD-5926-45A1-B268-531CAECB9708}" name="Column4" totalsRowFunction="sum" headerRowDxfId="592" dataDxfId="591" totalsRowDxfId="590" headerRowCellStyle="Normal 2" dataCellStyle="Normal 2"/>
    <tableColumn id="5" xr3:uid="{127198D3-8B2A-4867-A5CB-C4FD53311F22}" name="Column5" totalsRowFunction="sum" headerRowDxfId="589" dataDxfId="588" totalsRowDxfId="587" headerRowCellStyle="Normal 2" dataCellStyle="Normal 2"/>
    <tableColumn id="6" xr3:uid="{6F3325F4-BEAB-44E3-89D6-08CD0388D74D}" name="Column6" totalsRowFunction="sum" headerRowDxfId="586" dataDxfId="585" totalsRowDxfId="584" headerRowCellStyle="Normal 2" dataCellStyle="Normal 2"/>
    <tableColumn id="7" xr3:uid="{EE227655-6379-4600-A4D0-9474BADAD302}" name="Column7" totalsRowFunction="sum" headerRowDxfId="583" dataDxfId="582" totalsRowDxfId="581" headerRowCellStyle="Normal 2" dataCellStyle="Normal 2"/>
    <tableColumn id="8" xr3:uid="{7DA32E18-38DD-4F63-B38D-395FDDCB38B4}" name="Column8" totalsRowFunction="sum" headerRowDxfId="580" dataDxfId="579" totalsRowDxfId="578" headerRowCellStyle="Normal 2" dataCellStyle="Normal 2">
      <calculatedColumnFormula>ROUND(SUM(Site_Category_Sum_8[[#This Row],[Column2]:[Column7]]),2)</calculatedColumnFormula>
    </tableColumn>
  </tableColumns>
  <tableStyleInfo name="ODE Default"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E5B29F2-6E69-41D0-853A-B0C4C56CFA95}" name="Site_Detail_9" displayName="Site_Detail_9" ref="B13:O87" headerRowCount="0" totalsRowShown="0" headerRowDxfId="577" dataDxfId="576">
  <sortState xmlns:xlrd2="http://schemas.microsoft.com/office/spreadsheetml/2017/richdata2" ref="B13:O87">
    <sortCondition sortBy="fontColor" ref="B13:B87" dxfId="575"/>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013AED18-5951-4438-86D0-EC1EB6528B3D}" name="Program Type" headerRowDxfId="574" dataDxfId="573"/>
    <tableColumn id="17" xr3:uid="{6E2FC6D8-917B-4FB8-A230-81F360882FFB}" name="Contracted Service?" headerRowDxfId="572" dataDxfId="571"/>
    <tableColumn id="12" xr3:uid="{0BAE7A40-9611-4ECB-A865-B18BB4596925}" name="Category" headerRowDxfId="570" dataDxfId="569"/>
    <tableColumn id="1" xr3:uid="{CFC951C6-985C-4A82-8279-1CF1355A74E4}" name="Function Code" headerRowDxfId="568" dataDxfId="567"/>
    <tableColumn id="2" xr3:uid="{E591396A-92F2-4DB0-9218-7FE3476D6933}" name="Object _x000a_Code" headerRowDxfId="566" dataDxfId="565"/>
    <tableColumn id="3" xr3:uid="{574FBEEB-51BD-448D-AF93-FE1D3028A1F2}" name="Expenditure Description" headerRowDxfId="564" dataDxfId="563"/>
    <tableColumn id="5" xr3:uid="{B538B2E9-7671-4D7F-89C9-175A5F8AA18B}" name="21st CCLC,  Title IV-B" headerRowDxfId="562" dataDxfId="561"/>
    <tableColumn id="6" xr3:uid="{083A2D12-6691-46E2-B41D-1666962D68C8}" name="(enter addt'l. fund source 1)" headerRowDxfId="560" dataDxfId="559"/>
    <tableColumn id="7" xr3:uid="{6DEB3A83-CCBE-479F-8461-EE6A373ECD0D}" name="(enter addt'l. fund source 2)" headerRowDxfId="558" dataDxfId="557"/>
    <tableColumn id="8" xr3:uid="{5B002B97-3E6D-4E99-9E00-AFD4EAE80CA9}" name="(enter addt'l. fund source 3)" headerRowDxfId="556" dataDxfId="555"/>
    <tableColumn id="9" xr3:uid="{BA592895-1A9D-41F1-89D9-82B1B11C30B5}" name="(enter addt'l. fund source 4)" headerRowDxfId="554" dataDxfId="553"/>
    <tableColumn id="10" xr3:uid="{5F06541D-974C-4993-BCD9-AF218C3C34AC}" name="(enter addt'l. fund source 5)" headerRowDxfId="552" dataDxfId="551"/>
    <tableColumn id="4" xr3:uid="{23828D69-E65C-469B-A1BA-0D1A106332E0}" name="Total Budgeted Expenditures" headerRowDxfId="550" dataDxfId="549">
      <calculatedColumnFormula>ROUND(SUM(Site_Detail_9[[#This Row],[21st CCLC,  Title IV-B]:[(enter addt''l. fund source 5)]]),2)</calculatedColumnFormula>
    </tableColumn>
    <tableColumn id="16" xr3:uid="{27F48D88-A543-456F-AF20-42C447E79FFC}" name="Notes" headerRowDxfId="548" dataDxfId="547"/>
  </tableColumns>
  <tableStyleInfo name="ODE Default"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8EE0373D-561C-4A11-9355-12F90149E19E}" name="Site_Summary_9" displayName="Site_Summary_9" ref="G8:N10" headerRowCount="0" totalsRowShown="0" headerRowDxfId="546" dataDxfId="545">
  <tableColumns count="8">
    <tableColumn id="1" xr3:uid="{44013D94-FAC2-44A4-8379-69A5C99C6C29}" name="Column1" headerRowDxfId="544" dataDxfId="543"/>
    <tableColumn id="3" xr3:uid="{17DC8CA6-B73D-4A1B-ACE6-50D6991CE96F}" name="Column3" headerRowDxfId="542" dataDxfId="541"/>
    <tableColumn id="4" xr3:uid="{9B68DA1C-998E-4E76-B345-697CCD39A94B}" name="Column4" headerRowDxfId="540" dataDxfId="539"/>
    <tableColumn id="5" xr3:uid="{D6182316-DF2F-4F01-BC46-9AC73CA05565}" name="Column5" headerRowDxfId="538" dataDxfId="537"/>
    <tableColumn id="6" xr3:uid="{D41B60EC-8E87-4B6D-9D6D-BE4C56A5A5FC}" name="Column6" headerRowDxfId="536" dataDxfId="535"/>
    <tableColumn id="7" xr3:uid="{580450FC-83CB-4365-A295-DCCC23137AC0}" name="Column7" headerRowDxfId="534" dataDxfId="533"/>
    <tableColumn id="8" xr3:uid="{7EA023D4-F1CC-4E8A-AE58-825106AAA82C}" name="Column8" headerRowDxfId="532" dataDxfId="531"/>
    <tableColumn id="2" xr3:uid="{CCD68144-CBAF-410F-A196-327435AF5850}" name="Column2" headerRowDxfId="530" dataDxfId="529">
      <calculatedColumnFormula>SUM(Site_Summary_9[[#This Row],[Column3]:[Column8]])</calculatedColumnFormula>
    </tableColumn>
  </tableColumns>
  <tableStyleInfo name="ODE Default"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C52801C-DC0F-4F7E-BED1-54520B551CAD}" name="Program_Category_Sum" displayName="Program_Category_Sum" ref="Q16:X34" headerRowCount="0" headerRowDxfId="1204" dataDxfId="1203" totalsRowDxfId="1201" tableBorderDxfId="1202" headerRowCellStyle="Normal 2" dataCellStyle="Normal 2">
  <tableColumns count="8">
    <tableColumn id="1" xr3:uid="{6D638C90-60A5-446D-8346-ED24D45FD73D}" name="Column1" totalsRowLabel="Total" headerRowDxfId="1200" dataDxfId="1199" totalsRowDxfId="1198" headerRowCellStyle="Normal 2" dataCellStyle="Normal 2"/>
    <tableColumn id="2" xr3:uid="{12F8D20A-92D0-41EF-B9ED-9A008CE94B55}" name="Column2" totalsRowFunction="sum" headerRowDxfId="1197" dataDxfId="1196" headerRowCellStyle="Normal 2" dataCellStyle="Normal 2">
      <calculatedColumnFormula array="1">SUMIF(#REF!,Program_Category_Sum[[#This Row],[Column1]:[Column1]],#REF!)</calculatedColumnFormula>
    </tableColumn>
    <tableColumn id="3" xr3:uid="{86CA3A04-6D03-4B27-B82B-F9C58604B068}" name="Column3" totalsRowFunction="sum" headerRowDxfId="1195" dataDxfId="1194" totalsRowDxfId="1193" headerRowCellStyle="Normal 2" dataCellStyle="Normal 2"/>
    <tableColumn id="4" xr3:uid="{89CAE132-1924-4150-8A81-82B8E284AAEF}" name="Column4" totalsRowFunction="sum" headerRowDxfId="1192" dataDxfId="1191" totalsRowDxfId="1190" headerRowCellStyle="Normal 2" dataCellStyle="Normal 2"/>
    <tableColumn id="5" xr3:uid="{74C5C0D4-EBB9-42FF-AB4F-446AA45C557C}" name="Column5" totalsRowFunction="sum" headerRowDxfId="1189" dataDxfId="1188" totalsRowDxfId="1187" headerRowCellStyle="Normal 2" dataCellStyle="Normal 2"/>
    <tableColumn id="6" xr3:uid="{1087FC5E-0195-42CD-9BC5-10DED63E0BEE}" name="Column6" totalsRowFunction="sum" headerRowDxfId="1186" dataDxfId="1185" totalsRowDxfId="1184" headerRowCellStyle="Normal 2" dataCellStyle="Normal 2"/>
    <tableColumn id="7" xr3:uid="{754C1C57-992B-4D11-ABC3-92E2DAC4D9D6}" name="Column7" totalsRowFunction="sum" headerRowDxfId="1183" dataDxfId="1182" totalsRowDxfId="1181" headerRowCellStyle="Normal 2" dataCellStyle="Normal 2"/>
    <tableColumn id="8" xr3:uid="{CFDC4310-9E65-45D7-B401-FD0C1DE50C40}" name="Column8" totalsRowFunction="sum" headerRowDxfId="1180" dataDxfId="1179" totalsRowDxfId="1178" headerRowCellStyle="Normal 2" dataCellStyle="Normal 2">
      <calculatedColumnFormula>ROUND(SUM(Program_Category_Sum[[#This Row],[Column2]:[Column7]]),2)</calculatedColumnFormula>
    </tableColumn>
  </tableColumns>
  <tableStyleInfo name="ODE Default"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94ED252E-F791-46D6-8953-E61EB8837A0F}" name="Site_Category_Sum_9" displayName="Site_Category_Sum_9" ref="Q13:X31" headerRowCount="0" headerRowDxfId="528" dataDxfId="527" tableBorderDxfId="526" headerRowCellStyle="Normal 2" dataCellStyle="Normal 2">
  <tableColumns count="8">
    <tableColumn id="1" xr3:uid="{5F7621A9-0FE4-42BB-BC6A-04C15E001328}" name="Column1" totalsRowLabel="Total" headerRowDxfId="525" dataDxfId="524" totalsRowDxfId="523" headerRowCellStyle="Normal 2" dataCellStyle="Normal 2"/>
    <tableColumn id="2" xr3:uid="{EC1E3224-10E6-454C-BDD3-166FC017EBC7}" name="Column2" totalsRowFunction="sum" headerRowDxfId="522" dataDxfId="521" headerRowCellStyle="Normal 2" dataCellStyle="Normal 2">
      <calculatedColumnFormula array="1">SUMIF(#REF!,Site_Category_Sum_9[[#This Row],[Column1]:[Column1]],#REF!)</calculatedColumnFormula>
    </tableColumn>
    <tableColumn id="3" xr3:uid="{E08F3644-67D3-4B2F-9A7B-A379D4EF372F}" name="Column3" totalsRowFunction="sum" headerRowDxfId="520" dataDxfId="519" totalsRowDxfId="518" headerRowCellStyle="Normal 2" dataCellStyle="Normal 2"/>
    <tableColumn id="4" xr3:uid="{F48D184D-A059-4560-84D7-51BF1351A834}" name="Column4" totalsRowFunction="sum" headerRowDxfId="517" dataDxfId="516" totalsRowDxfId="515" headerRowCellStyle="Normal 2" dataCellStyle="Normal 2"/>
    <tableColumn id="5" xr3:uid="{BCEE32FF-480C-4A80-AFB2-E572646739A8}" name="Column5" totalsRowFunction="sum" headerRowDxfId="514" dataDxfId="513" totalsRowDxfId="512" headerRowCellStyle="Normal 2" dataCellStyle="Normal 2"/>
    <tableColumn id="6" xr3:uid="{2C21CFBF-16EC-45B2-A53E-28B15BB08082}" name="Column6" totalsRowFunction="sum" headerRowDxfId="511" dataDxfId="510" totalsRowDxfId="509" headerRowCellStyle="Normal 2" dataCellStyle="Normal 2"/>
    <tableColumn id="7" xr3:uid="{9CD5D380-71B4-4D70-B68F-55A996B67004}" name="Column7" totalsRowFunction="sum" headerRowDxfId="508" dataDxfId="507" totalsRowDxfId="506" headerRowCellStyle="Normal 2" dataCellStyle="Normal 2"/>
    <tableColumn id="8" xr3:uid="{535E2037-ED24-4FC4-9E12-1FA8570E2F79}" name="Column8" totalsRowFunction="sum" headerRowDxfId="505" dataDxfId="504" totalsRowDxfId="503" headerRowCellStyle="Normal 2" dataCellStyle="Normal 2">
      <calculatedColumnFormula>ROUND(SUM(Site_Category_Sum_9[[#This Row],[Column2]:[Column7]]),2)</calculatedColumnFormula>
    </tableColumn>
  </tableColumns>
  <tableStyleInfo name="ODE Default"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C35C51B0-CCAC-405E-BAF3-E19788C7ECE4}" name="Site_Detail_10" displayName="Site_Detail_10" ref="B13:O87" headerRowCount="0" totalsRowShown="0" headerRowDxfId="502" dataDxfId="501">
  <sortState xmlns:xlrd2="http://schemas.microsoft.com/office/spreadsheetml/2017/richdata2" ref="B13:O87">
    <sortCondition sortBy="fontColor" ref="B13:B87" dxfId="500"/>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F4EEF75E-B807-4EFF-A006-CB864F62A251}" name="Program Type" headerRowDxfId="499" dataDxfId="498"/>
    <tableColumn id="17" xr3:uid="{A4EE72AD-F6C7-4A39-97F4-BB8E541A0F91}" name="Contracted Service?" headerRowDxfId="497" dataDxfId="496"/>
    <tableColumn id="12" xr3:uid="{9F2F0B3E-38EC-4674-802F-806A8D2DB8AB}" name="Category" headerRowDxfId="495" dataDxfId="494"/>
    <tableColumn id="1" xr3:uid="{C8636389-8046-48B0-B479-EF2CA34F5CD8}" name="Function Code" headerRowDxfId="493" dataDxfId="492"/>
    <tableColumn id="2" xr3:uid="{FD399CC2-A951-4D68-8925-A7B10378DA9F}" name="Object _x000a_Code" headerRowDxfId="491" dataDxfId="490"/>
    <tableColumn id="3" xr3:uid="{5E92621A-C12C-4755-AD0D-174CE4F8BBF7}" name="Expenditure Description" headerRowDxfId="489" dataDxfId="488"/>
    <tableColumn id="5" xr3:uid="{4FD70E18-47E3-4E81-96B0-345B08A574AF}" name="21st CCLC,  Title IV-B" headerRowDxfId="487" dataDxfId="486"/>
    <tableColumn id="6" xr3:uid="{D84B7532-F691-4D2D-972D-9DE108DC3A6D}" name="(enter addt'l. fund source 1)" headerRowDxfId="485" dataDxfId="484"/>
    <tableColumn id="7" xr3:uid="{8B0B4102-0522-4548-9CFD-B68FC91C5FD7}" name="(enter addt'l. fund source 2)" headerRowDxfId="483" dataDxfId="482"/>
    <tableColumn id="8" xr3:uid="{4505C2A0-11A3-4185-8754-BAE5C89FC063}" name="(enter addt'l. fund source 3)" headerRowDxfId="481" dataDxfId="480"/>
    <tableColumn id="9" xr3:uid="{630DB814-B4C2-4439-A4F0-0FEDAC6F7172}" name="(enter addt'l. fund source 4)" headerRowDxfId="479" dataDxfId="478"/>
    <tableColumn id="10" xr3:uid="{B8E5A886-7432-4F12-8E46-2C90B61DD1D8}" name="(enter addt'l. fund source 5)" headerRowDxfId="477" dataDxfId="476"/>
    <tableColumn id="4" xr3:uid="{186FC110-5B1B-42C1-8410-5082F5AD0175}" name="Total Budgeted Expenditures" headerRowDxfId="475" dataDxfId="474">
      <calculatedColumnFormula>ROUND(SUM(Site_Detail_10[[#This Row],[21st CCLC,  Title IV-B]:[(enter addt''l. fund source 5)]]),2)</calculatedColumnFormula>
    </tableColumn>
    <tableColumn id="16" xr3:uid="{30CF4234-0FED-4A4F-9381-F8932A2C7666}" name="Notes" headerRowDxfId="473" dataDxfId="472"/>
  </tableColumns>
  <tableStyleInfo name="ODE Default"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D464FEC-2F85-46A1-803C-32D73F5AEA40}" name="Site_Summary_10" displayName="Site_Summary_10" ref="G8:N10" headerRowCount="0" totalsRowShown="0" headerRowDxfId="471" dataDxfId="470">
  <tableColumns count="8">
    <tableColumn id="1" xr3:uid="{AC85861B-7F18-413D-B408-93B0139F100B}" name="Column1" headerRowDxfId="469" dataDxfId="468"/>
    <tableColumn id="3" xr3:uid="{0789C3F3-ABCE-432F-9405-F6AEA88B2D99}" name="Column3" headerRowDxfId="467" dataDxfId="466"/>
    <tableColumn id="4" xr3:uid="{5C929BF5-08AA-4326-8451-CF807532E911}" name="Column4" headerRowDxfId="465" dataDxfId="464"/>
    <tableColumn id="5" xr3:uid="{33D48CAD-BDC9-4438-AE32-0C513F7F8F59}" name="Column5" headerRowDxfId="463" dataDxfId="462"/>
    <tableColumn id="6" xr3:uid="{5B31FCF1-5E84-4AFA-8F12-A315D5AC6F83}" name="Column6" headerRowDxfId="461" dataDxfId="460"/>
    <tableColumn id="7" xr3:uid="{97A0335D-3803-4C53-88F1-24670F494ED8}" name="Column7" headerRowDxfId="459" dataDxfId="458"/>
    <tableColumn id="8" xr3:uid="{03816EB4-625B-4853-B61C-7D877A6E8147}" name="Column8" headerRowDxfId="457" dataDxfId="456"/>
    <tableColumn id="2" xr3:uid="{1F3A4A82-CDCA-4015-815E-EC6F70F2EBB6}" name="Column2" headerRowDxfId="455" dataDxfId="454">
      <calculatedColumnFormula>SUM(Site_Summary_10[[#This Row],[Column3]:[Column8]])</calculatedColumnFormula>
    </tableColumn>
  </tableColumns>
  <tableStyleInfo name="ODE Default" showFirstColumn="1" showLastColumn="0" showRowStripes="0"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33217AD-B0DF-4EE1-A5B5-117D5091560A}" name="Site_Category_Sum_10" displayName="Site_Category_Sum_10" ref="Q13:X31" headerRowCount="0" headerRowDxfId="453" dataDxfId="452" tableBorderDxfId="451" headerRowCellStyle="Normal 2" dataCellStyle="Normal 2">
  <tableColumns count="8">
    <tableColumn id="1" xr3:uid="{5E18765F-229A-457A-BDCA-C1A6AC6A87E0}" name="Column1" totalsRowLabel="Total" headerRowDxfId="450" dataDxfId="449" totalsRowDxfId="448" headerRowCellStyle="Normal 2" dataCellStyle="Normal 2"/>
    <tableColumn id="2" xr3:uid="{6D93D888-9088-45FA-A893-C68044DF85BA}" name="Column2" totalsRowFunction="sum" headerRowDxfId="447" dataDxfId="446" headerRowCellStyle="Normal 2" dataCellStyle="Normal 2">
      <calculatedColumnFormula array="1">SUMIF(#REF!,Site_Category_Sum_10[[#This Row],[Column1]:[Column1]],#REF!)</calculatedColumnFormula>
    </tableColumn>
    <tableColumn id="3" xr3:uid="{1CCD1C5C-E9B8-4225-BD82-C02C0ABCFE74}" name="Column3" totalsRowFunction="sum" headerRowDxfId="445" dataDxfId="444" totalsRowDxfId="443" headerRowCellStyle="Normal 2" dataCellStyle="Normal 2"/>
    <tableColumn id="4" xr3:uid="{BBEADB54-AF41-4823-9CFC-46AEBD543C1B}" name="Column4" totalsRowFunction="sum" headerRowDxfId="442" dataDxfId="441" totalsRowDxfId="440" headerRowCellStyle="Normal 2" dataCellStyle="Normal 2"/>
    <tableColumn id="5" xr3:uid="{F7B8747F-AD97-45C5-B749-3B7EC3652660}" name="Column5" totalsRowFunction="sum" headerRowDxfId="439" dataDxfId="438" totalsRowDxfId="437" headerRowCellStyle="Normal 2" dataCellStyle="Normal 2"/>
    <tableColumn id="6" xr3:uid="{8EF86E04-55DC-4750-A268-AA91018E5F23}" name="Column6" totalsRowFunction="sum" headerRowDxfId="436" dataDxfId="435" totalsRowDxfId="434" headerRowCellStyle="Normal 2" dataCellStyle="Normal 2"/>
    <tableColumn id="7" xr3:uid="{6BDE2311-20D3-4BD7-9265-C18D713ED108}" name="Column7" totalsRowFunction="sum" headerRowDxfId="433" dataDxfId="432" totalsRowDxfId="431" headerRowCellStyle="Normal 2" dataCellStyle="Normal 2"/>
    <tableColumn id="8" xr3:uid="{65D6BCE6-C681-4F97-87DD-240BFDA982EF}" name="Column8" totalsRowFunction="sum" headerRowDxfId="430" dataDxfId="429" totalsRowDxfId="428" headerRowCellStyle="Normal 2" dataCellStyle="Normal 2">
      <calculatedColumnFormula>ROUND(SUM(Site_Category_Sum_10[[#This Row],[Column2]:[Column7]]),2)</calculatedColumnFormula>
    </tableColumn>
  </tableColumns>
  <tableStyleInfo name="ODE Default"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FBAD45D5-BD59-4F62-A27A-1634121531BE}" name="Site_Detail_11" displayName="Site_Detail_11" ref="B13:O87" headerRowCount="0" totalsRowShown="0" headerRowDxfId="427" dataDxfId="426">
  <sortState xmlns:xlrd2="http://schemas.microsoft.com/office/spreadsheetml/2017/richdata2" ref="B13:O87">
    <sortCondition sortBy="fontColor" ref="B13:B87" dxfId="425"/>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B24BFD1C-199D-44F2-9CE3-A361E92BF473}" name="Program Type" headerRowDxfId="424" dataDxfId="423"/>
    <tableColumn id="17" xr3:uid="{29E088ED-5C5C-419F-AF86-DE017E8A72E3}" name="Contracted Service?" headerRowDxfId="422" dataDxfId="421"/>
    <tableColumn id="12" xr3:uid="{EA2A027F-563C-402C-A4CE-0F064E6139C5}" name="Category" headerRowDxfId="420" dataDxfId="419"/>
    <tableColumn id="1" xr3:uid="{C14EB682-F1B3-4F61-8114-A1B547A20BB1}" name="Function Code" headerRowDxfId="418" dataDxfId="417"/>
    <tableColumn id="2" xr3:uid="{74617681-A897-4386-B831-CE4D465E0105}" name="Object _x000a_Code" headerRowDxfId="416" dataDxfId="415"/>
    <tableColumn id="3" xr3:uid="{6D96CE7F-DE0B-4D45-B299-77E97CD2B160}" name="Expenditure Description" headerRowDxfId="414" dataDxfId="413"/>
    <tableColumn id="5" xr3:uid="{17A0BFB2-C49C-45BD-873B-89947506E440}" name="21st CCLC,  Title IV-B" headerRowDxfId="412" dataDxfId="411"/>
    <tableColumn id="6" xr3:uid="{1C8BB746-257C-454D-8B39-13CF2DE81BB4}" name="(enter addt'l. fund source 1)" headerRowDxfId="410" dataDxfId="409"/>
    <tableColumn id="7" xr3:uid="{D1CCB577-FA01-40F6-9D3E-D9D4571F45D2}" name="(enter addt'l. fund source 2)" headerRowDxfId="408" dataDxfId="407"/>
    <tableColumn id="8" xr3:uid="{FED5273A-FD66-49A1-858A-2CCDB6C28F58}" name="(enter addt'l. fund source 3)" headerRowDxfId="406" dataDxfId="405"/>
    <tableColumn id="9" xr3:uid="{C2EB054C-8ED5-47B8-B6BE-502E00FEC2E1}" name="(enter addt'l. fund source 4)" headerRowDxfId="404" dataDxfId="403"/>
    <tableColumn id="10" xr3:uid="{D5746573-3F9A-46A6-88E6-1B8F2BAB8AD9}" name="(enter addt'l. fund source 5)" headerRowDxfId="402" dataDxfId="401"/>
    <tableColumn id="4" xr3:uid="{37B4BB7F-A3BA-4BF1-B901-72178993B0C8}" name="Total Budgeted Expenditures" headerRowDxfId="400" dataDxfId="399">
      <calculatedColumnFormula>ROUND(SUM(Site_Detail_11[[#This Row],[21st CCLC,  Title IV-B]:[(enter addt''l. fund source 5)]]),2)</calculatedColumnFormula>
    </tableColumn>
    <tableColumn id="16" xr3:uid="{4EEB26CA-4AB5-4FA3-97A3-9D4F3842DDC3}" name="Notes" headerRowDxfId="398" dataDxfId="397"/>
  </tableColumns>
  <tableStyleInfo name="ODE Default"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1EE5994D-A0B4-4703-8015-C41D31384876}" name="Site_Summary_11" displayName="Site_Summary_11" ref="G8:N10" headerRowCount="0" totalsRowShown="0" headerRowDxfId="396" dataDxfId="395">
  <tableColumns count="8">
    <tableColumn id="1" xr3:uid="{3FA06E7E-B377-4EEE-AF7F-0BF8887CA112}" name="Column1" headerRowDxfId="394" dataDxfId="393"/>
    <tableColumn id="3" xr3:uid="{274C51F4-AAF3-4487-85C7-742A68A962E9}" name="Column3" headerRowDxfId="392" dataDxfId="391"/>
    <tableColumn id="4" xr3:uid="{CC2A1954-FEA9-4995-BA3A-263766F16475}" name="Column4" headerRowDxfId="390" dataDxfId="389"/>
    <tableColumn id="5" xr3:uid="{90FCD97D-4F31-4966-B66F-517557685BBE}" name="Column5" headerRowDxfId="388" dataDxfId="387"/>
    <tableColumn id="6" xr3:uid="{64AD333B-04D5-4F2A-84EB-D7469DEDE53F}" name="Column6" headerRowDxfId="386" dataDxfId="385"/>
    <tableColumn id="7" xr3:uid="{2AFB9499-717C-4776-9708-B1C2E0EA615A}" name="Column7" headerRowDxfId="384" dataDxfId="383"/>
    <tableColumn id="8" xr3:uid="{C08D6699-88AC-41E2-9C04-59AD5B533F35}" name="Column8" headerRowDxfId="382" dataDxfId="381"/>
    <tableColumn id="2" xr3:uid="{E796B5C3-01E3-40A8-94B5-2027926A8AAD}" name="Column2" headerRowDxfId="380" dataDxfId="379">
      <calculatedColumnFormula>SUM(Site_Summary_11[[#This Row],[Column3]:[Column8]])</calculatedColumnFormula>
    </tableColumn>
  </tableColumns>
  <tableStyleInfo name="ODE Default" showFirstColumn="1" showLastColumn="0" showRowStripes="0"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F5899B0B-6020-4D68-AECD-BA6C9869C8F5}" name="Site_Category_Sum_11" displayName="Site_Category_Sum_11" ref="Q13:X31" headerRowCount="0" headerRowDxfId="378" dataDxfId="377" tableBorderDxfId="376" headerRowCellStyle="Normal 2" dataCellStyle="Normal 2">
  <tableColumns count="8">
    <tableColumn id="1" xr3:uid="{878DD908-E2B9-450B-976A-87B6032C68FD}" name="Column1" totalsRowLabel="Total" headerRowDxfId="375" dataDxfId="374" totalsRowDxfId="373" headerRowCellStyle="Normal 2" dataCellStyle="Normal 2"/>
    <tableColumn id="2" xr3:uid="{41FC3F01-26FE-4AB3-9CF0-F88E02DD5D70}" name="Column2" totalsRowFunction="sum" headerRowDxfId="372" dataDxfId="371" headerRowCellStyle="Normal 2" dataCellStyle="Normal 2">
      <calculatedColumnFormula array="1">SUMIF(#REF!,Site_Category_Sum_11[[#This Row],[Column1]:[Column1]],#REF!)</calculatedColumnFormula>
    </tableColumn>
    <tableColumn id="3" xr3:uid="{E7308549-06EF-4DF7-B143-7069992F3F5D}" name="Column3" totalsRowFunction="sum" headerRowDxfId="370" dataDxfId="369" totalsRowDxfId="368" headerRowCellStyle="Normal 2" dataCellStyle="Normal 2"/>
    <tableColumn id="4" xr3:uid="{883A1E6C-2AA0-4D55-B2D2-5E1B23043F40}" name="Column4" totalsRowFunction="sum" headerRowDxfId="367" dataDxfId="366" totalsRowDxfId="365" headerRowCellStyle="Normal 2" dataCellStyle="Normal 2"/>
    <tableColumn id="5" xr3:uid="{56F67E0F-198D-4A42-AC75-9732D498DD7E}" name="Column5" totalsRowFunction="sum" headerRowDxfId="364" dataDxfId="363" totalsRowDxfId="362" headerRowCellStyle="Normal 2" dataCellStyle="Normal 2"/>
    <tableColumn id="6" xr3:uid="{658E9FA2-7FCB-4619-A629-9476C4986CBC}" name="Column6" totalsRowFunction="sum" headerRowDxfId="361" dataDxfId="360" totalsRowDxfId="359" headerRowCellStyle="Normal 2" dataCellStyle="Normal 2"/>
    <tableColumn id="7" xr3:uid="{D7AA1367-C43C-432F-BB6D-E0F74698DDC6}" name="Column7" totalsRowFunction="sum" headerRowDxfId="358" dataDxfId="357" totalsRowDxfId="356" headerRowCellStyle="Normal 2" dataCellStyle="Normal 2"/>
    <tableColumn id="8" xr3:uid="{E18B372E-0499-4ED8-B2C2-FCDC613A56E2}" name="Column8" totalsRowFunction="sum" headerRowDxfId="355" dataDxfId="354" totalsRowDxfId="353" headerRowCellStyle="Normal 2" dataCellStyle="Normal 2">
      <calculatedColumnFormula>ROUND(SUM(Site_Category_Sum_11[[#This Row],[Column2]:[Column7]]),2)</calculatedColumnFormula>
    </tableColumn>
  </tableColumns>
  <tableStyleInfo name="ODE Default"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C6C04EE6-B8C6-4F08-9BA6-A44D52685708}" name="Site_Detail_12" displayName="Site_Detail_12" ref="B13:O87" headerRowCount="0" totalsRowShown="0" headerRowDxfId="352" dataDxfId="351">
  <sortState xmlns:xlrd2="http://schemas.microsoft.com/office/spreadsheetml/2017/richdata2" ref="B13:O87">
    <sortCondition sortBy="fontColor" ref="B13:B87" dxfId="350"/>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4F6387A5-49D8-44A0-B2EF-09CE636C8D95}" name="Program Type" headerRowDxfId="349" dataDxfId="348"/>
    <tableColumn id="17" xr3:uid="{78DA0EC4-8F2A-4079-A694-A7614AA99C5B}" name="Contracted Service?" headerRowDxfId="347" dataDxfId="346"/>
    <tableColumn id="12" xr3:uid="{2E83F844-6E2F-4A2E-9821-7624CFC6CD8E}" name="Category" headerRowDxfId="345" dataDxfId="344"/>
    <tableColumn id="1" xr3:uid="{76E001FD-9660-4210-A472-65D6A93D0FF5}" name="Function Code" headerRowDxfId="343" dataDxfId="342"/>
    <tableColumn id="2" xr3:uid="{67D48ADC-58BB-4848-BFBF-69F6000490A8}" name="Object _x000a_Code" headerRowDxfId="341" dataDxfId="340"/>
    <tableColumn id="3" xr3:uid="{145CD24F-8F3A-4B89-992E-6FC9499E3D81}" name="Expenditure Description" headerRowDxfId="339" dataDxfId="338"/>
    <tableColumn id="5" xr3:uid="{84587592-D9B4-4056-889E-52C6AFC0B133}" name="21st CCLC,  Title IV-B" headerRowDxfId="337" dataDxfId="336"/>
    <tableColumn id="6" xr3:uid="{8AC11DEA-D016-43F3-BA0C-B478A602A325}" name="(enter addt'l. fund source 1)" headerRowDxfId="335" dataDxfId="334"/>
    <tableColumn id="7" xr3:uid="{3F8FAF17-D876-412E-AF31-54EC8CD24E16}" name="(enter addt'l. fund source 2)" headerRowDxfId="333" dataDxfId="332"/>
    <tableColumn id="8" xr3:uid="{D9125C84-B021-492B-82C7-45E9E622D998}" name="(enter addt'l. fund source 3)" headerRowDxfId="331" dataDxfId="330"/>
    <tableColumn id="9" xr3:uid="{15221993-569F-4DDC-8D5F-1C2D09D5791B}" name="(enter addt'l. fund source 4)" headerRowDxfId="329" dataDxfId="328"/>
    <tableColumn id="10" xr3:uid="{4BDAA025-8B03-429B-A5A9-8E120ABB4DEB}" name="(enter addt'l. fund source 5)" headerRowDxfId="327" dataDxfId="326"/>
    <tableColumn id="4" xr3:uid="{FB932EAE-A4A0-4467-9C9A-1356F852C9F9}" name="Total Budgeted Expenditures" headerRowDxfId="325" dataDxfId="324">
      <calculatedColumnFormula>ROUND(SUM(Site_Detail_12[[#This Row],[21st CCLC,  Title IV-B]:[(enter addt''l. fund source 5)]]),2)</calculatedColumnFormula>
    </tableColumn>
    <tableColumn id="16" xr3:uid="{0DDD0384-F3BA-47FB-8C7F-3CB423A1E165}" name="Notes" headerRowDxfId="323" dataDxfId="322"/>
  </tableColumns>
  <tableStyleInfo name="ODE Default"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B89E6EB-32E9-47FA-899B-D842BB6B0C36}" name="Site_Summary_12" displayName="Site_Summary_12" ref="G8:N10" headerRowCount="0" totalsRowShown="0" headerRowDxfId="321" dataDxfId="320">
  <tableColumns count="8">
    <tableColumn id="1" xr3:uid="{9207612A-C2FD-4BC1-8CBC-9654C695EC88}" name="Column1" headerRowDxfId="319" dataDxfId="318"/>
    <tableColumn id="3" xr3:uid="{8D1C8EA1-F6FC-44B1-B57B-899AD64A3EEC}" name="Column3" headerRowDxfId="317" dataDxfId="316"/>
    <tableColumn id="4" xr3:uid="{93B8E6D0-EC34-4AB6-9427-78D280134FEA}" name="Column4" headerRowDxfId="315" dataDxfId="314"/>
    <tableColumn id="5" xr3:uid="{3BD9D169-4725-4F86-9C38-86D1883755A8}" name="Column5" headerRowDxfId="313" dataDxfId="312"/>
    <tableColumn id="6" xr3:uid="{69EEA989-1B9E-499D-B573-2E6899E2D60B}" name="Column6" headerRowDxfId="311" dataDxfId="310"/>
    <tableColumn id="7" xr3:uid="{FCD93BF4-BB84-4BD2-8AC4-A576104E7488}" name="Column7" headerRowDxfId="309" dataDxfId="308"/>
    <tableColumn id="8" xr3:uid="{4B31F915-CECE-45DB-B6B4-E2484BEA525F}" name="Column8" headerRowDxfId="307" dataDxfId="306"/>
    <tableColumn id="2" xr3:uid="{258EB99D-4760-4D1A-9D48-09EE6B94277A}" name="Column2" headerRowDxfId="305" dataDxfId="304">
      <calculatedColumnFormula>SUM(Site_Summary_12[[#This Row],[Column3]:[Column8]])</calculatedColumnFormula>
    </tableColumn>
  </tableColumns>
  <tableStyleInfo name="ODE Default" showFirstColumn="1" showLastColumn="0" showRowStripes="0"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6C6BEF3-4979-4835-AFB8-75FCF3E96AB7}" name="Site_Category_Sum_12" displayName="Site_Category_Sum_12" ref="Q13:X31" headerRowCount="0" headerRowDxfId="303" dataDxfId="302" tableBorderDxfId="301" headerRowCellStyle="Normal 2" dataCellStyle="Normal 2">
  <tableColumns count="8">
    <tableColumn id="1" xr3:uid="{BB9C085D-7AC4-4581-A38D-7A72B6E48622}" name="Column1" totalsRowLabel="Total" headerRowDxfId="300" dataDxfId="299" totalsRowDxfId="298" headerRowCellStyle="Normal 2" dataCellStyle="Normal 2"/>
    <tableColumn id="2" xr3:uid="{28240F5A-602A-4C2F-8611-E2DF9EF28CB7}" name="Column2" totalsRowFunction="sum" headerRowDxfId="297" dataDxfId="296" headerRowCellStyle="Normal 2" dataCellStyle="Normal 2">
      <calculatedColumnFormula array="1">SUMIF(#REF!,Site_Category_Sum_12[[#This Row],[Column1]:[Column1]],#REF!)</calculatedColumnFormula>
    </tableColumn>
    <tableColumn id="3" xr3:uid="{43900017-FD58-4FDA-BAA7-261C6D65545B}" name="Column3" totalsRowFunction="sum" headerRowDxfId="295" dataDxfId="294" totalsRowDxfId="293" headerRowCellStyle="Normal 2" dataCellStyle="Normal 2"/>
    <tableColumn id="4" xr3:uid="{802E4E97-E686-4E34-80D1-84925F0CE232}" name="Column4" totalsRowFunction="sum" headerRowDxfId="292" dataDxfId="291" totalsRowDxfId="290" headerRowCellStyle="Normal 2" dataCellStyle="Normal 2"/>
    <tableColumn id="5" xr3:uid="{3BD1B4F6-43E7-463A-A166-2EB911A12712}" name="Column5" totalsRowFunction="sum" headerRowDxfId="289" dataDxfId="288" totalsRowDxfId="287" headerRowCellStyle="Normal 2" dataCellStyle="Normal 2"/>
    <tableColumn id="6" xr3:uid="{64301E2A-8E59-4600-B1D0-20B83B4D9776}" name="Column6" totalsRowFunction="sum" headerRowDxfId="286" dataDxfId="285" totalsRowDxfId="284" headerRowCellStyle="Normal 2" dataCellStyle="Normal 2"/>
    <tableColumn id="7" xr3:uid="{28DED481-6119-442F-82AD-50E5994BE920}" name="Column7" totalsRowFunction="sum" headerRowDxfId="283" dataDxfId="282" totalsRowDxfId="281" headerRowCellStyle="Normal 2" dataCellStyle="Normal 2"/>
    <tableColumn id="8" xr3:uid="{5AC4D3BC-254F-4E72-A0D0-9CB86E4D8B44}" name="Column8" totalsRowFunction="sum" headerRowDxfId="280" dataDxfId="279" totalsRowDxfId="278" headerRowCellStyle="Normal 2" dataCellStyle="Normal 2">
      <calculatedColumnFormula>ROUND(SUM(Site_Category_Sum_12[[#This Row],[Column2]:[Column7]]),2)</calculatedColumnFormula>
    </tableColumn>
  </tableColumns>
  <tableStyleInfo name="ODE Defaul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FAE834-B8FE-4F6B-A062-2B12D6581FAA}" name="Site_Detail_1" displayName="Site_Detail_1" ref="B13:O87" headerRowCount="0" totalsRowShown="0" headerRowDxfId="1177" dataDxfId="1176">
  <sortState xmlns:xlrd2="http://schemas.microsoft.com/office/spreadsheetml/2017/richdata2" ref="B13:O87">
    <sortCondition sortBy="fontColor" ref="B13:B87" dxfId="1175"/>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CD98F96C-6798-407D-B373-D1956CA34801}" name="Program Type" headerRowDxfId="1174" dataDxfId="1173"/>
    <tableColumn id="17" xr3:uid="{D18E683A-FA23-4A5A-9542-63A95AB9CD8F}" name="Contracted Service?" headerRowDxfId="1172" dataDxfId="1171"/>
    <tableColumn id="12" xr3:uid="{5687CCCD-50DA-44C5-A81A-52B500E38A7C}" name="Category" headerRowDxfId="1170" dataDxfId="1169"/>
    <tableColumn id="1" xr3:uid="{40217B7F-A9C3-4A8D-B194-1E99323318AA}" name="Function Code" headerRowDxfId="1168" dataDxfId="1167"/>
    <tableColumn id="2" xr3:uid="{E798F40F-550D-4EB8-8909-62CFD7D5EE86}" name="Object _x000a_Code" headerRowDxfId="1166" dataDxfId="1165"/>
    <tableColumn id="3" xr3:uid="{BDC174CF-34EA-468C-B10E-03F3EB0C935C}" name="Expenditure Description" headerRowDxfId="1164" dataDxfId="1163"/>
    <tableColumn id="5" xr3:uid="{CFA22E22-D1DA-4560-B4D9-F0C4AC03B15A}" name="21st CCLC,  Title IV-B" headerRowDxfId="1162" dataDxfId="1161"/>
    <tableColumn id="6" xr3:uid="{84131DAF-4D9A-4FB7-BE9F-B13BC5A7AF0B}" name="(enter addt'l. fund source 1)" headerRowDxfId="1160" dataDxfId="1159"/>
    <tableColumn id="7" xr3:uid="{63CB8248-F71B-41A0-A663-305294FE748B}" name="(enter addt'l. fund source 2)" headerRowDxfId="1158" dataDxfId="1157"/>
    <tableColumn id="8" xr3:uid="{D89D30FF-F1FD-4B87-8C7A-C215E2465895}" name="(enter addt'l. fund source 3)" headerRowDxfId="1156" dataDxfId="1155"/>
    <tableColumn id="9" xr3:uid="{2ACAF104-CD53-49FF-96DC-485AE58BBFD9}" name="(enter addt'l. fund source 4)" headerRowDxfId="1154" dataDxfId="1153"/>
    <tableColumn id="10" xr3:uid="{BEED8B7F-3821-45D6-88CC-760C48287375}" name="(enter addt'l. fund source 5)" headerRowDxfId="1152" dataDxfId="1151"/>
    <tableColumn id="4" xr3:uid="{3C20A264-81FB-4409-A43B-4A812460F537}" name="Total Budgeted Expenditures" headerRowDxfId="1150" dataDxfId="1149">
      <calculatedColumnFormula>ROUND(SUM(Site_Detail_1[[#This Row],[21st CCLC,  Title IV-B]:[(enter addt''l. fund source 5)]]),2)</calculatedColumnFormula>
    </tableColumn>
    <tableColumn id="16" xr3:uid="{63313039-0B59-44B4-8435-B3D7EF90C34F}" name="Notes" headerRowDxfId="1148" dataDxfId="1147"/>
  </tableColumns>
  <tableStyleInfo name="ODE Default"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BFD881C-B2F8-49B6-816F-20E6D2E4121A}" name="Summary_by_Category" displayName="Summary_by_Category" ref="B13:I25" headerRowCount="0" totalsRowCount="1" headerRowDxfId="277" dataDxfId="276" tableBorderDxfId="275" headerRowCellStyle="Normal 2" dataCellStyle="Normal 2">
  <tableColumns count="8">
    <tableColumn id="1" xr3:uid="{7C0A4992-9321-409D-B0EF-3D166CAD349E}" name="Column1" totalsRowLabel="Total" headerRowDxfId="274" dataDxfId="273" totalsRowDxfId="272" headerRowCellStyle="Normal 2" dataCellStyle="Normal 2"/>
    <tableColumn id="2" xr3:uid="{99632D84-D253-41A4-86E8-8194DFC59204}" name="Column2" totalsRowFunction="sum" headerRowDxfId="271" dataDxfId="270" totalsRowDxfId="269" headerRowCellStyle="Normal 2" dataCellStyle="Normal 2">
      <calculatedColumnFormula>ROUND('Program Budget'!R16+'Site 1 Budget'!R13+'Site 2 Budget'!R13+'Site 3 Budget'!R13+'Site 4 Budget'!R13+'Site 5 Budget'!R13+'Site 6 Budget'!R13+'Site 7 Budget'!R13+'Site 8 Budget'!R13+'Site 9 Budget'!R13+'Site 10 Budget'!R13+'Site 11 Budget'!R13+'Site 12 Budget'!R13,2)</calculatedColumnFormula>
    </tableColumn>
    <tableColumn id="3" xr3:uid="{F218A934-FDF3-4143-B6D8-4B4DFC585CEB}" name="Column3" totalsRowFunction="sum" headerRowDxfId="268" dataDxfId="267" totalsRowDxfId="266" headerRowCellStyle="Normal 2" dataCellStyle="Normal 2">
      <calculatedColumnFormula>ROUND('Program Budget'!S16+'Site 1 Budget'!S13+'Site 2 Budget'!S13+'Site 3 Budget'!S13+'Site 4 Budget'!S13+'Site 5 Budget'!S13+'Site 6 Budget'!S13+'Site 7 Budget'!S13+'Site 8 Budget'!S13+'Site 9 Budget'!S13+'Site 10 Budget'!S13+'Site 11 Budget'!S13+'Site 12 Budget'!S13,2)</calculatedColumnFormula>
    </tableColumn>
    <tableColumn id="4" xr3:uid="{E4CA0431-84C8-47A2-9096-C442094AC572}" name="Column4" totalsRowFunction="sum" headerRowDxfId="265" dataDxfId="264" totalsRowDxfId="263" headerRowCellStyle="Normal 2" dataCellStyle="Normal 2">
      <calculatedColumnFormula>ROUND('Program Budget'!T16+'Site 1 Budget'!T13+'Site 2 Budget'!T13+'Site 3 Budget'!T13+'Site 4 Budget'!T13+'Site 5 Budget'!T13+'Site 6 Budget'!T13+'Site 7 Budget'!T13+'Site 8 Budget'!T13+'Site 9 Budget'!T13+'Site 10 Budget'!T13+'Site 11 Budget'!T13+'Site 12 Budget'!T13,2)</calculatedColumnFormula>
    </tableColumn>
    <tableColumn id="5" xr3:uid="{FDE70EFC-2A76-4E89-9C04-141F0BB4F67D}" name="Column5" totalsRowFunction="sum" headerRowDxfId="262" dataDxfId="261" totalsRowDxfId="260" headerRowCellStyle="Normal 2" dataCellStyle="Normal 2">
      <calculatedColumnFormula>ROUND('Program Budget'!U16+'Site 1 Budget'!U13+'Site 2 Budget'!U13+'Site 3 Budget'!U13+'Site 4 Budget'!U13+'Site 5 Budget'!U13+'Site 6 Budget'!U13+'Site 7 Budget'!U13+'Site 8 Budget'!U13+'Site 9 Budget'!U13+'Site 10 Budget'!U13+'Site 11 Budget'!U13+'Site 12 Budget'!U13,2)</calculatedColumnFormula>
    </tableColumn>
    <tableColumn id="6" xr3:uid="{FBE02DBE-A4FF-4BAF-914E-E6A9987D78F9}" name="Column6" totalsRowFunction="sum" headerRowDxfId="259" dataDxfId="258" totalsRowDxfId="257" headerRowCellStyle="Normal 2" dataCellStyle="Normal 2">
      <calculatedColumnFormula>ROUND('Program Budget'!V16+'Site 1 Budget'!V13+'Site 2 Budget'!V13+'Site 3 Budget'!V13+'Site 4 Budget'!V13+'Site 5 Budget'!V13+'Site 6 Budget'!V13+'Site 7 Budget'!V13+'Site 8 Budget'!V13+'Site 9 Budget'!V13+'Site 10 Budget'!V13+'Site 11 Budget'!V13+'Site 12 Budget'!V13,2)</calculatedColumnFormula>
    </tableColumn>
    <tableColumn id="7" xr3:uid="{876C2BA2-71FC-48D2-8ACE-0FB1D57A60FC}" name="Column7" totalsRowFunction="sum" headerRowDxfId="256" dataDxfId="255" totalsRowDxfId="254" headerRowCellStyle="Normal 2" dataCellStyle="Normal 2">
      <calculatedColumnFormula>ROUND('Program Budget'!W16+'Site 1 Budget'!W13+'Site 2 Budget'!W13+'Site 3 Budget'!W13+'Site 4 Budget'!W13+'Site 5 Budget'!W13+'Site 6 Budget'!W13+'Site 7 Budget'!W13+'Site 8 Budget'!W13+'Site 9 Budget'!W13+'Site 10 Budget'!W13+'Site 11 Budget'!W13+'Site 12 Budget'!W13,2)</calculatedColumnFormula>
    </tableColumn>
    <tableColumn id="8" xr3:uid="{590D6C9E-DC14-4280-9482-E4D1E5D96737}" name="Column8" totalsRowFunction="sum" headerRowDxfId="253" dataDxfId="252" totalsRowDxfId="251" headerRowCellStyle="Normal 2" dataCellStyle="Normal 2">
      <calculatedColumnFormula>SUM(Summary_by_Category[[#This Row],[Column2]:[Column7]])</calculatedColumnFormula>
    </tableColumn>
  </tableColumns>
  <tableStyleInfo name="ODE Default"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045FC3E-718F-4143-9146-6BF03673D050}" name="Summary_by_Prog_Type" displayName="Summary_by_Prog_Type" ref="B28:I30" headerRowCount="0" totalsRowCount="1" headerRowDxfId="250" dataDxfId="249" tableBorderDxfId="248" headerRowCellStyle="Normal 2" dataCellStyle="Normal 2">
  <tableColumns count="8">
    <tableColumn id="1" xr3:uid="{0A26330C-F7E0-49B5-8436-AB6B04C5F03E}" name="Column1" totalsRowLabel="Total" headerRowDxfId="247" totalsRowDxfId="246" headerRowCellStyle="Normal 2"/>
    <tableColumn id="2" xr3:uid="{F02AD440-5C29-45AC-89E5-DF097EB63C87}" name="Column2" totalsRowFunction="sum" headerRowDxfId="245" dataDxfId="244" totalsRowDxfId="243" headerRowCellStyle="Normal 2" dataCellStyle="Normal 2">
      <calculatedColumnFormula>ROUND('Program Budget'!R29+'Site 1 Budget'!R26+'Site 2 Budget'!R26+'Site 3 Budget'!R26+'Site 4 Budget'!R26+'Site 5 Budget'!R26+'Site 6 Budget'!R26+'Site 7 Budget'!R26+'Site 8 Budget'!R26+'Site 9 Budget'!R26+'Site 10 Budget'!R26+'Site 11 Budget'!R26+'Site 12 Budget'!R26,2)</calculatedColumnFormula>
    </tableColumn>
    <tableColumn id="3" xr3:uid="{F8CA8F31-0D60-4DC1-AFA2-4388267D59CE}" name="Column3" totalsRowFunction="sum" headerRowDxfId="242" dataDxfId="241" totalsRowDxfId="240" headerRowCellStyle="Normal 2" dataCellStyle="Normal 2">
      <calculatedColumnFormula>ROUND('Program Budget'!S29+'Site 1 Budget'!S26+'Site 2 Budget'!S26+'Site 3 Budget'!S26+'Site 4 Budget'!S26+'Site 5 Budget'!S26+'Site 6 Budget'!S26+'Site 7 Budget'!S26+'Site 8 Budget'!S26+'Site 9 Budget'!S26+'Site 10 Budget'!S26+'Site 11 Budget'!S26+'Site 12 Budget'!S26,2)</calculatedColumnFormula>
    </tableColumn>
    <tableColumn id="4" xr3:uid="{466431EF-457C-4B93-9715-9AFD75E53233}" name="Column4" totalsRowFunction="sum" headerRowDxfId="239" dataDxfId="238" totalsRowDxfId="237" headerRowCellStyle="Normal 2" dataCellStyle="Normal 2">
      <calculatedColumnFormula>ROUND('Program Budget'!T29+'Site 1 Budget'!T26+'Site 2 Budget'!T26+'Site 3 Budget'!T26+'Site 4 Budget'!T26+'Site 5 Budget'!T26+'Site 6 Budget'!T26+'Site 7 Budget'!T26+'Site 8 Budget'!T26+'Site 9 Budget'!T26+'Site 10 Budget'!T26+'Site 11 Budget'!T26+'Site 12 Budget'!T26,2)</calculatedColumnFormula>
    </tableColumn>
    <tableColumn id="5" xr3:uid="{B1CC45D6-EF13-4520-8444-A6C9776E0A7F}" name="Column5" totalsRowFunction="sum" headerRowDxfId="236" dataDxfId="235" totalsRowDxfId="234" headerRowCellStyle="Normal 2" dataCellStyle="Normal 2">
      <calculatedColumnFormula>ROUND('Program Budget'!U29+'Site 1 Budget'!U26+'Site 2 Budget'!U26+'Site 3 Budget'!U26+'Site 4 Budget'!U26+'Site 5 Budget'!U26+'Site 6 Budget'!U26+'Site 7 Budget'!U26+'Site 8 Budget'!U26+'Site 9 Budget'!U26+'Site 10 Budget'!U26+'Site 11 Budget'!U26+'Site 12 Budget'!U26,2)</calculatedColumnFormula>
    </tableColumn>
    <tableColumn id="6" xr3:uid="{87D09E62-C816-4CDD-B409-AA0A30517214}" name="Column6" totalsRowFunction="sum" headerRowDxfId="233" dataDxfId="232" totalsRowDxfId="231" headerRowCellStyle="Normal 2" dataCellStyle="Normal 2">
      <calculatedColumnFormula>ROUND('Program Budget'!V29+'Site 1 Budget'!V26+'Site 2 Budget'!V26+'Site 3 Budget'!V26+'Site 4 Budget'!V26+'Site 5 Budget'!V26+'Site 6 Budget'!V26+'Site 7 Budget'!V26+'Site 8 Budget'!V26+'Site 9 Budget'!V26+'Site 10 Budget'!V26+'Site 11 Budget'!V26+'Site 12 Budget'!V26,2)</calculatedColumnFormula>
    </tableColumn>
    <tableColumn id="7" xr3:uid="{F3A59CE2-BDA0-4C65-B26B-5F4242B77324}" name="Column7" totalsRowFunction="sum" headerRowDxfId="230" dataDxfId="229" totalsRowDxfId="228" headerRowCellStyle="Normal 2" dataCellStyle="Normal 2">
      <calculatedColumnFormula>ROUND('Program Budget'!W29+'Site 1 Budget'!W26+'Site 2 Budget'!W26+'Site 3 Budget'!W26+'Site 4 Budget'!W26+'Site 5 Budget'!W26+'Site 6 Budget'!W26+'Site 7 Budget'!W26+'Site 8 Budget'!W26+'Site 9 Budget'!W26+'Site 10 Budget'!W26+'Site 11 Budget'!W26+'Site 12 Budget'!W26,2)</calculatedColumnFormula>
    </tableColumn>
    <tableColumn id="8" xr3:uid="{CAEF0906-D4BC-46D8-91E0-0B19138DE240}" name="Column8" totalsRowFunction="sum" headerRowDxfId="227" dataDxfId="226" totalsRowDxfId="225" headerRowCellStyle="Normal 2" dataCellStyle="Normal 2">
      <calculatedColumnFormula>SUM(Summary_by_Prog_Type[[#This Row],[Column2]:[Column7]])</calculatedColumnFormula>
    </tableColumn>
  </tableColumns>
  <tableStyleInfo name="ODE Default"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9EA3DE6-8BB3-4AC7-89EA-F9FF40406261}" name="Requirements_Verification" displayName="Requirements_Verification" ref="B6:E9" headerRowCount="0" headerRowDxfId="224" dataDxfId="223" totalsRowDxfId="221" tableBorderDxfId="222" headerRowCellStyle="Normal 2" dataCellStyle="Normal 2">
  <tableColumns count="4">
    <tableColumn id="1" xr3:uid="{32EADA0C-5411-42E8-ABC7-A1F12689133E}" name="Column1" totalsRowLabel="Total" headerRowDxfId="220" dataDxfId="219" totalsRowDxfId="218" headerRowCellStyle="Normal 2" dataCellStyle="Normal 2"/>
    <tableColumn id="2" xr3:uid="{3217E400-9A20-4CD3-8B6B-7855E5A30F6D}" name="Column2" totalsRowFunction="sum" headerRowDxfId="217" dataDxfId="216" headerRowCellStyle="Normal 2" dataCellStyle="Currency">
      <calculatedColumnFormula>IFERROR(ROUND('Program Budget'!$C$7*0.9,2),"(autofill)")</calculatedColumnFormula>
    </tableColumn>
    <tableColumn id="3" xr3:uid="{522692C0-0302-4398-8761-1A782CB8803C}" name="Column3" headerRowDxfId="215" dataDxfId="214" headerRowCellStyle="Normal 2" dataCellStyle="Currency"/>
    <tableColumn id="4" xr3:uid="{32B7D426-B154-4CBC-81FC-47D1FDCD6B97}" name="Column4" headerRowDxfId="213" dataDxfId="212" headerRowCellStyle="Normal 2" dataCellStyle="Normal 2">
      <calculatedColumnFormula>IF(Requirements_Verification[[#This Row],[Column2]]="(autofill)","-",IF(ROUND(Requirements_Verification[[#This Row],[Column3]],2)&lt;=ROUND(Requirements_Verification[[#This Row],[Column2]],2),"Yes","No"))</calculatedColumnFormula>
    </tableColumn>
  </tableColumns>
  <tableStyleInfo name="ODE Default"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6BDE172-F199-402C-A3EB-02A25540A427}" name="Entity_IDs" displayName="Entity_IDs" ref="B3:D30" totalsRowShown="0" headerRowDxfId="211" dataDxfId="210">
  <autoFilter ref="B3:D30" xr:uid="{00000000-0009-0000-0100-000002000000}">
    <filterColumn colId="0" hiddenButton="1"/>
    <filterColumn colId="1" hiddenButton="1"/>
    <filterColumn colId="2" hiddenButton="1"/>
  </autoFilter>
  <sortState xmlns:xlrd2="http://schemas.microsoft.com/office/spreadsheetml/2017/richdata2" ref="B4:D30">
    <sortCondition ref="C4:C30"/>
  </sortState>
  <tableColumns count="3">
    <tableColumn id="1" xr3:uid="{6E7C32CE-96B8-4E4F-B897-E7421ECDAEDE}" name="Entity ID" dataDxfId="209"/>
    <tableColumn id="2" xr3:uid="{9C54CBC6-5E6F-4475-8A98-16E3FEF721FF}" name="Entity Name" dataDxfId="208"/>
    <tableColumn id="3" xr3:uid="{A9C81425-AFF0-4B38-BF2A-9EA40003C05E}" name="Year 1, 2023-24 Grant Amount" dataDxfId="207" dataCellStyle="Normal 4"/>
  </tableColumns>
  <tableStyleInfo name="ODE Default"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Function_Codes_Major" displayName="Function_Codes_Major" ref="H5:I71" totalsRowShown="0" headerRowDxfId="206" headerRowBorderDxfId="205" tableBorderDxfId="204">
  <autoFilter ref="H5:I71" xr:uid="{00000000-0009-0000-0100-000005000000}">
    <filterColumn colId="0" hiddenButton="1"/>
    <filterColumn colId="1" hiddenButton="1"/>
  </autoFilter>
  <tableColumns count="2">
    <tableColumn id="1" xr3:uid="{00000000-0010-0000-0300-000001000000}" name="Code" dataDxfId="203" totalsRowDxfId="202"/>
    <tableColumn id="2" xr3:uid="{00000000-0010-0000-0300-000002000000}" name="Description" dataDxfId="201" totalsRowDxfId="200"/>
  </tableColumns>
  <tableStyleInfo name="ODE Default" showFirstColumn="0" showLastColumn="0" showRowStripes="1" showColumnStripes="0"/>
  <extLst>
    <ext xmlns:x14="http://schemas.microsoft.com/office/spreadsheetml/2009/9/main" uri="{504A1905-F514-4f6f-8877-14C23A59335A}">
      <x14:table altTextSummary="List of function codes"/>
    </ext>
  </extLst>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Object_Codes_Major" displayName="Object_Codes_Major" ref="K5:L65" totalsRowShown="0" headerRowDxfId="199" headerRowBorderDxfId="198" tableBorderDxfId="197">
  <autoFilter ref="K5:L65" xr:uid="{00000000-0009-0000-0100-000007000000}">
    <filterColumn colId="0" hiddenButton="1"/>
    <filterColumn colId="1" hiddenButton="1"/>
  </autoFilter>
  <tableColumns count="2">
    <tableColumn id="1" xr3:uid="{00000000-0010-0000-0400-000001000000}" name="Code" dataDxfId="196"/>
    <tableColumn id="2" xr3:uid="{00000000-0010-0000-0400-000002000000}" name="Description" dataDxfId="195"/>
  </tableColumns>
  <tableStyleInfo name="ODE Default" showFirstColumn="0" showLastColumn="0" showRowStripes="1" showColumnStripes="0"/>
  <extLst>
    <ext xmlns:x14="http://schemas.microsoft.com/office/spreadsheetml/2009/9/main" uri="{504A1905-F514-4f6f-8877-14C23A59335A}">
      <x14:table altTextSummary="List of object codes"/>
    </ext>
  </extLst>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C384527-943C-4631-B58D-4BFACF193DB4}" name="Function_Codes_All" displayName="Function_Codes_All" ref="B5:C178" totalsRowShown="0" headerRowDxfId="194" dataDxfId="193">
  <autoFilter ref="B5:C178" xr:uid="{1C384527-943C-4631-B58D-4BFACF193DB4}">
    <filterColumn colId="0" hiddenButton="1"/>
    <filterColumn colId="1" hiddenButton="1"/>
  </autoFilter>
  <sortState xmlns:xlrd2="http://schemas.microsoft.com/office/spreadsheetml/2017/richdata2" ref="B6:C178">
    <sortCondition ref="B6:B178"/>
  </sortState>
  <tableColumns count="2">
    <tableColumn id="1" xr3:uid="{8167C228-57B7-44F6-8FDC-73A3791B477C}" name="Code" dataDxfId="192"/>
    <tableColumn id="2" xr3:uid="{C8418FEE-CBDA-4633-B7CD-C3C685426848}" name="Name" dataDxfId="191"/>
  </tableColumns>
  <tableStyleInfo name="ODE Default"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3A2A67C-1351-4F67-8548-0CB7982244A1}" name="Object_Codes_All" displayName="Object_Codes_All" ref="E5:F128" totalsRowShown="0" headerRowDxfId="190" dataDxfId="189">
  <autoFilter ref="E5:F128" xr:uid="{E3A2A67C-1351-4F67-8548-0CB7982244A1}">
    <filterColumn colId="0" hiddenButton="1"/>
    <filterColumn colId="1" hiddenButton="1"/>
  </autoFilter>
  <sortState xmlns:xlrd2="http://schemas.microsoft.com/office/spreadsheetml/2017/richdata2" ref="E6:F128">
    <sortCondition ref="E6:E128"/>
  </sortState>
  <tableColumns count="2">
    <tableColumn id="1" xr3:uid="{032F604B-0FEC-4FFC-BEBE-3048C0892B0B}" name="Code" dataDxfId="188"/>
    <tableColumn id="2" xr3:uid="{8B28FE3B-4203-4A50-AFFF-186C4787553C}" name="Name" dataDxfId="187"/>
  </tableColumns>
  <tableStyleInfo name="ODE Defaul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64A58D3-D4AE-41E3-BCE2-06C731337C97}" name="Site_Summary_1" displayName="Site_Summary_1" ref="G8:N10" headerRowCount="0" totalsRowShown="0" headerRowDxfId="1146" dataDxfId="1145">
  <tableColumns count="8">
    <tableColumn id="1" xr3:uid="{3EF28592-C63D-4F80-A4AF-86159F4895B8}" name="Column1" headerRowDxfId="1144" dataDxfId="1143"/>
    <tableColumn id="3" xr3:uid="{8E3F7D02-A12C-499D-A4D4-1B94E5077E9A}" name="Column3" headerRowDxfId="1142" dataDxfId="1141"/>
    <tableColumn id="4" xr3:uid="{F8BC56BB-142E-4986-B6F0-56372FE149DD}" name="Column4" headerRowDxfId="1140" dataDxfId="1139"/>
    <tableColumn id="5" xr3:uid="{68034764-7E3A-424D-BAD6-CF8FDBB4665F}" name="Column5" headerRowDxfId="1138" dataDxfId="1137"/>
    <tableColumn id="6" xr3:uid="{B1EBAD20-6C8E-46F7-8831-E24E10EB87D3}" name="Column6" headerRowDxfId="1136" dataDxfId="1135"/>
    <tableColumn id="7" xr3:uid="{2C4AF725-3169-4864-B7D8-A3DA34002AD2}" name="Column7" headerRowDxfId="1134" dataDxfId="1133"/>
    <tableColumn id="8" xr3:uid="{03BB69F9-23CA-472C-87C6-74BF7EB3EE96}" name="Column8" headerRowDxfId="1132" dataDxfId="1131"/>
    <tableColumn id="2" xr3:uid="{D298A9CE-8439-40FC-BFFA-6F34CCE3B3FD}" name="Column2" headerRowDxfId="1130" dataDxfId="1129">
      <calculatedColumnFormula>SUM(Site_Summary_1[[#This Row],[Column3]:[Column8]])</calculatedColumnFormula>
    </tableColumn>
  </tableColumns>
  <tableStyleInfo name="ODE Default" showFirstColumn="1"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1513C75-88BD-4973-834B-316B2FDE2A4A}" name="Site_Category_Sum_1" displayName="Site_Category_Sum_1" ref="Q13:X31" headerRowCount="0" headerRowDxfId="1128" dataDxfId="1127" tableBorderDxfId="1126" headerRowCellStyle="Normal 2" dataCellStyle="Normal 2">
  <tableColumns count="8">
    <tableColumn id="1" xr3:uid="{214BACA1-0E1F-410A-AD9A-7C84425B95C7}" name="Column1" totalsRowLabel="Total" headerRowDxfId="1125" dataDxfId="1124" totalsRowDxfId="1123" headerRowCellStyle="Normal 2" dataCellStyle="Normal 2"/>
    <tableColumn id="2" xr3:uid="{4668B78B-8BC7-4CC5-B25D-96E9858AEF5E}" name="Column2" totalsRowFunction="sum" headerRowDxfId="1122" dataDxfId="1121" headerRowCellStyle="Normal 2" dataCellStyle="Normal 2">
      <calculatedColumnFormula array="1">SUMIF(#REF!,Site_Category_Sum_1[[#This Row],[Column1]:[Column1]],#REF!)</calculatedColumnFormula>
    </tableColumn>
    <tableColumn id="3" xr3:uid="{E7DB4DAF-F09E-4AB7-B08B-76190CD877E3}" name="Column3" totalsRowFunction="sum" headerRowDxfId="1120" dataDxfId="1119" totalsRowDxfId="1118" headerRowCellStyle="Normal 2" dataCellStyle="Normal 2"/>
    <tableColumn id="4" xr3:uid="{5756D22C-9E99-4F96-88E8-98A66BC762C1}" name="Column4" totalsRowFunction="sum" headerRowDxfId="1117" dataDxfId="1116" totalsRowDxfId="1115" headerRowCellStyle="Normal 2" dataCellStyle="Normal 2"/>
    <tableColumn id="5" xr3:uid="{2E0EF173-2B4F-492B-BDB6-E7E3F1E06E81}" name="Column5" totalsRowFunction="sum" headerRowDxfId="1114" dataDxfId="1113" totalsRowDxfId="1112" headerRowCellStyle="Normal 2" dataCellStyle="Normal 2"/>
    <tableColumn id="6" xr3:uid="{62F74231-DE7F-4CDF-8470-53D5E39D6CD8}" name="Column6" totalsRowFunction="sum" headerRowDxfId="1111" dataDxfId="1110" totalsRowDxfId="1109" headerRowCellStyle="Normal 2" dataCellStyle="Normal 2"/>
    <tableColumn id="7" xr3:uid="{468471B3-2F78-442D-AA75-7D2E51B50278}" name="Column7" totalsRowFunction="sum" headerRowDxfId="1108" dataDxfId="1107" totalsRowDxfId="1106" headerRowCellStyle="Normal 2" dataCellStyle="Normal 2"/>
    <tableColumn id="8" xr3:uid="{4D31388C-BB02-4F29-BB24-3811E26D2EB7}" name="Column8" totalsRowFunction="sum" headerRowDxfId="1105" dataDxfId="1104" totalsRowDxfId="1103" headerRowCellStyle="Normal 2" dataCellStyle="Normal 2">
      <calculatedColumnFormula>ROUND(SUM(Site_Category_Sum_1[[#This Row],[Column2]:[Column7]]),2)</calculatedColumnFormula>
    </tableColumn>
  </tableColumns>
  <tableStyleInfo name="ODE Defaul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26018A8-305A-4331-8EED-0F240859FDDE}" name="Site_Detail_2" displayName="Site_Detail_2" ref="B13:O87" headerRowCount="0" totalsRowShown="0" headerRowDxfId="1102" dataDxfId="1101">
  <sortState xmlns:xlrd2="http://schemas.microsoft.com/office/spreadsheetml/2017/richdata2" ref="B13:O87">
    <sortCondition sortBy="fontColor" ref="B13:B87" dxfId="1100"/>
    <sortCondition ref="B13:B87"/>
    <sortCondition ref="D13:D87" customList="Direct Personnel,Non-Direct Personnel,Staff Development,Supplies &amp; Equipment,Curriculum,Family Engagement,Recruitment/Outreach,Travel,Transportation,Meals and Snacks,Facilities,Indirect"/>
    <sortCondition descending="1" ref="C13:C87"/>
  </sortState>
  <tableColumns count="14">
    <tableColumn id="11" xr3:uid="{58EC7F58-6A4E-4235-AF66-432E3E8DD3C4}" name="Program Type" headerRowDxfId="1099" dataDxfId="1098"/>
    <tableColumn id="17" xr3:uid="{8FD4FF8D-0698-40AC-AF72-9CF3CF1C0720}" name="Contracted Service?" headerRowDxfId="1097" dataDxfId="1096"/>
    <tableColumn id="12" xr3:uid="{D42C92D9-48B4-4A9D-B390-97B406505B70}" name="Category" headerRowDxfId="1095" dataDxfId="1094"/>
    <tableColumn id="1" xr3:uid="{60E2226E-701A-465C-ABC8-F2A9759EEB4A}" name="Function Code" headerRowDxfId="1093" dataDxfId="1092"/>
    <tableColumn id="2" xr3:uid="{2EB47F3C-087C-4625-8B96-4257F7C029FF}" name="Object _x000a_Code" headerRowDxfId="1091" dataDxfId="1090"/>
    <tableColumn id="3" xr3:uid="{EC621D70-D0E8-4F86-9AC8-CFCAA3759142}" name="Expenditure Description" headerRowDxfId="1089" dataDxfId="1088"/>
    <tableColumn id="5" xr3:uid="{25E8761B-2A8E-4D22-8F28-1389357ADD97}" name="21st CCLC,  Title IV-B" headerRowDxfId="1087" dataDxfId="1086"/>
    <tableColumn id="6" xr3:uid="{8CE1B882-AF01-498E-8AB3-A58DDE0F79B5}" name="(enter addt'l. fund source 1)" headerRowDxfId="1085" dataDxfId="1084"/>
    <tableColumn id="7" xr3:uid="{93CA3F3E-345F-45C9-9D3D-9022CA5720D2}" name="(enter addt'l. fund source 2)" headerRowDxfId="1083" dataDxfId="1082"/>
    <tableColumn id="8" xr3:uid="{29508847-61CF-4D34-A526-D1FBCB001CC3}" name="(enter addt'l. fund source 3)" headerRowDxfId="1081" dataDxfId="1080"/>
    <tableColumn id="9" xr3:uid="{C613057E-D07D-4DFE-9C74-674AFE7D74F1}" name="(enter addt'l. fund source 4)" headerRowDxfId="1079" dataDxfId="1078"/>
    <tableColumn id="10" xr3:uid="{240A6EB8-0004-4BD7-94B2-C2244BC39848}" name="(enter addt'l. fund source 5)" headerRowDxfId="1077" dataDxfId="1076"/>
    <tableColumn id="4" xr3:uid="{8E9A1771-C4D7-4A0B-9149-358A15B704F1}" name="Total Budgeted Expenditures" headerRowDxfId="1075" dataDxfId="1074">
      <calculatedColumnFormula>ROUND(SUM(Site_Detail_2[[#This Row],[21st CCLC,  Title IV-B]:[(enter addt''l. fund source 5)]]),2)</calculatedColumnFormula>
    </tableColumn>
    <tableColumn id="16" xr3:uid="{59E13513-4174-4692-8872-485A61C2DB71}" name="Notes" headerRowDxfId="1073" dataDxfId="1072"/>
  </tableColumns>
  <tableStyleInfo name="ODE Default"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2A864BF-7549-421B-B6D1-8B8E55B6C93E}" name="Site_Summary_2" displayName="Site_Summary_2" ref="G8:N10" headerRowCount="0" totalsRowShown="0" headerRowDxfId="1071" dataDxfId="1070">
  <tableColumns count="8">
    <tableColumn id="1" xr3:uid="{60C10858-F1E2-4F96-AF25-30E5283769D8}" name="Column1" headerRowDxfId="1069" dataDxfId="1068"/>
    <tableColumn id="3" xr3:uid="{C0CD29F8-4F54-488A-B4D9-8778C6B713ED}" name="Column3" headerRowDxfId="1067" dataDxfId="1066"/>
    <tableColumn id="4" xr3:uid="{DB3A7DAD-1E1F-47EC-B9FF-697CD8C53705}" name="Column4" headerRowDxfId="1065" dataDxfId="1064"/>
    <tableColumn id="5" xr3:uid="{83514DC0-C0A2-451D-8CDE-D2C31D233F50}" name="Column5" headerRowDxfId="1063" dataDxfId="1062"/>
    <tableColumn id="6" xr3:uid="{65F065C3-09EA-40E8-965C-D934F64FC9E6}" name="Column6" headerRowDxfId="1061" dataDxfId="1060"/>
    <tableColumn id="7" xr3:uid="{6F1E89DB-1EB2-45CA-BA9A-4996B8D7B766}" name="Column7" headerRowDxfId="1059" dataDxfId="1058"/>
    <tableColumn id="8" xr3:uid="{59FBF650-DC55-4182-B767-5FAAF96367CD}" name="Column8" headerRowDxfId="1057" dataDxfId="1056"/>
    <tableColumn id="2" xr3:uid="{5A6194F0-64BA-4A3A-9AC8-388C2C65736B}" name="Column2" headerRowDxfId="1055" dataDxfId="1054">
      <calculatedColumnFormula>SUM(Site_Summary_2[[#This Row],[Column3]:[Column8]])</calculatedColumnFormula>
    </tableColumn>
  </tableColumns>
  <tableStyleInfo name="ODE Default" showFirstColumn="1"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2C2975F-A6F5-4E50-A748-0D116C168B51}" name="Site_Category_Sum_2" displayName="Site_Category_Sum_2" ref="Q13:X31" headerRowCount="0" headerRowDxfId="1053" dataDxfId="1052" tableBorderDxfId="1051" headerRowCellStyle="Normal 2" dataCellStyle="Normal 2">
  <tableColumns count="8">
    <tableColumn id="1" xr3:uid="{8967FE84-3A82-4A6F-9059-BDAFCCD4A561}" name="Column1" totalsRowLabel="Total" headerRowDxfId="1050" dataDxfId="1049" totalsRowDxfId="1048" headerRowCellStyle="Normal 2" dataCellStyle="Normal 2"/>
    <tableColumn id="2" xr3:uid="{C936AC35-A885-49EE-81D6-09D8A88017E1}" name="Column2" totalsRowFunction="sum" headerRowDxfId="1047" dataDxfId="1046" headerRowCellStyle="Normal 2" dataCellStyle="Normal 2">
      <calculatedColumnFormula array="1">SUMIF(#REF!,Site_Category_Sum_2[[#This Row],[Column1]:[Column1]],#REF!)</calculatedColumnFormula>
    </tableColumn>
    <tableColumn id="3" xr3:uid="{A78995B0-361E-46E6-8996-53F2FFCBBE24}" name="Column3" totalsRowFunction="sum" headerRowDxfId="1045" dataDxfId="1044" totalsRowDxfId="1043" headerRowCellStyle="Normal 2" dataCellStyle="Normal 2"/>
    <tableColumn id="4" xr3:uid="{57C0FCC6-EBD2-4466-8458-FC9215F9E99E}" name="Column4" totalsRowFunction="sum" headerRowDxfId="1042" dataDxfId="1041" totalsRowDxfId="1040" headerRowCellStyle="Normal 2" dataCellStyle="Normal 2"/>
    <tableColumn id="5" xr3:uid="{AD353FA8-BBDE-4FF5-8862-AFFD4D2085D3}" name="Column5" totalsRowFunction="sum" headerRowDxfId="1039" dataDxfId="1038" totalsRowDxfId="1037" headerRowCellStyle="Normal 2" dataCellStyle="Normal 2"/>
    <tableColumn id="6" xr3:uid="{B0BDBFD3-75A1-409D-BC76-53A03CA21665}" name="Column6" totalsRowFunction="sum" headerRowDxfId="1036" dataDxfId="1035" totalsRowDxfId="1034" headerRowCellStyle="Normal 2" dataCellStyle="Normal 2"/>
    <tableColumn id="7" xr3:uid="{CB15FE2E-A6A0-42BF-94E6-46AFF6DCE96A}" name="Column7" totalsRowFunction="sum" headerRowDxfId="1033" dataDxfId="1032" totalsRowDxfId="1031" headerRowCellStyle="Normal 2" dataCellStyle="Normal 2"/>
    <tableColumn id="8" xr3:uid="{8CBF657A-16AC-4B0F-817C-515F9E66F0B3}" name="Column8" totalsRowFunction="sum" headerRowDxfId="1030" dataDxfId="1029" totalsRowDxfId="1028" headerRowCellStyle="Normal 2" dataCellStyle="Normal 2">
      <calculatedColumnFormula>ROUND(SUM(Site_Category_Sum_2[[#This Row],[Column2]:[Column7]]),2)</calculatedColumnFormula>
    </tableColumn>
  </tableColumns>
  <tableStyleInfo name="ODE Default" showFirstColumn="0" showLastColumn="0" showRowStripes="1" showColumnStripes="0"/>
</table>
</file>

<file path=xl/theme/theme1.xml><?xml version="1.0" encoding="utf-8"?>
<a:theme xmlns:a="http://schemas.openxmlformats.org/drawingml/2006/main" name="Office Theme">
  <a:themeElements>
    <a:clrScheme name="Sav's Favorites">
      <a:dk1>
        <a:sysClr val="windowText" lastClr="000000"/>
      </a:dk1>
      <a:lt1>
        <a:sysClr val="window" lastClr="FFFFFF"/>
      </a:lt1>
      <a:dk2>
        <a:srgbClr val="808080"/>
      </a:dk2>
      <a:lt2>
        <a:srgbClr val="C0C0C0"/>
      </a:lt2>
      <a:accent1>
        <a:srgbClr val="F14124"/>
      </a:accent1>
      <a:accent2>
        <a:srgbClr val="954F72"/>
      </a:accent2>
      <a:accent3>
        <a:srgbClr val="5B9BD5"/>
      </a:accent3>
      <a:accent4>
        <a:srgbClr val="FF8021"/>
      </a:accent4>
      <a:accent5>
        <a:srgbClr val="FFC000"/>
      </a:accent5>
      <a:accent6>
        <a:srgbClr val="9BBB59"/>
      </a:accent6>
      <a:hlink>
        <a:srgbClr val="2E75B5"/>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oregon.gov/ode/schools-and-districts/grants/Pages/Summer%20Learning/Summer-Learning-Resources.aspx" TargetMode="External"/><Relationship Id="rId13" Type="http://schemas.openxmlformats.org/officeDocument/2006/relationships/printerSettings" Target="../printerSettings/printerSettings1.bin"/><Relationship Id="rId3" Type="http://schemas.openxmlformats.org/officeDocument/2006/relationships/hyperlink" Target="https://www.oregon.gov/ode/schools-and-districts/grants/Documents/ODE%202022%20Summer%20Learning%20Best%20Practice%20Guide.pdf" TargetMode="External"/><Relationship Id="rId7" Type="http://schemas.openxmlformats.org/officeDocument/2006/relationships/hyperlink" Target="https://www.oregon.gov/ode/schools-and-districts/grants/Pages/Summer%20Learning/Summer-Learning-Resources.aspx" TargetMode="External"/><Relationship Id="rId12" Type="http://schemas.openxmlformats.org/officeDocument/2006/relationships/hyperlink" Target="mailto:Savanah.Solario@ode.oregon.gov" TargetMode="External"/><Relationship Id="rId2" Type="http://schemas.openxmlformats.org/officeDocument/2006/relationships/hyperlink" Target="https://www.wallacefoundation.org/knowledge-center/Documents/fed-funding-summer-afterschool.pdf" TargetMode="External"/><Relationship Id="rId1" Type="http://schemas.openxmlformats.org/officeDocument/2006/relationships/hyperlink" Target="mailto:Raquel.Gwynn@ode.oregon.gov" TargetMode="External"/><Relationship Id="rId6" Type="http://schemas.openxmlformats.org/officeDocument/2006/relationships/hyperlink" Target="https://www.oregon.gov/ode/schools-and-districts/grants/Documents/ODE%202022%20Summer%20Learning%20Best%20Practice%20Guide.pdf" TargetMode="External"/><Relationship Id="rId11" Type="http://schemas.openxmlformats.org/officeDocument/2006/relationships/hyperlink" Target="https://www.oregon.gov/ode/schools-and-districts/grants/ESEA/Documents/ADMIN%20COSTS.pdf" TargetMode="External"/><Relationship Id="rId5" Type="http://schemas.openxmlformats.org/officeDocument/2006/relationships/hyperlink" Target="https://www.oregon.gov/ode/schools-and-districts/grants/ESEA/21stCCLC/Pages/default.aspx" TargetMode="External"/><Relationship Id="rId10" Type="http://schemas.openxmlformats.org/officeDocument/2006/relationships/hyperlink" Target="https://www.oregon.gov/ode/schools-and-districts/grants/Documents/PBAM%20-%202019%20Edition%20Abridged%2021st%20CCLC.pdf" TargetMode="External"/><Relationship Id="rId4" Type="http://schemas.openxmlformats.org/officeDocument/2006/relationships/hyperlink" Target="https://www.oregon.gov/ode/schools-and-districts/grants/Documents/ODE_Summer_Learning_Best%20Practice%20Toolkit.pdf" TargetMode="External"/><Relationship Id="rId9" Type="http://schemas.openxmlformats.org/officeDocument/2006/relationships/hyperlink" Target="https://www.oregon.gov/ode/schools-and-districts/grants/ESEA/Pages/default.aspx"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table" Target="../tables/table22.xml"/><Relationship Id="rId1" Type="http://schemas.openxmlformats.org/officeDocument/2006/relationships/printerSettings" Target="../printerSettings/printerSettings10.bin"/><Relationship Id="rId4" Type="http://schemas.openxmlformats.org/officeDocument/2006/relationships/table" Target="../tables/table24.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table" Target="../tables/table25.xml"/><Relationship Id="rId1" Type="http://schemas.openxmlformats.org/officeDocument/2006/relationships/printerSettings" Target="../printerSettings/printerSettings11.bin"/><Relationship Id="rId4" Type="http://schemas.openxmlformats.org/officeDocument/2006/relationships/table" Target="../tables/table2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table" Target="../tables/table28.xml"/><Relationship Id="rId1" Type="http://schemas.openxmlformats.org/officeDocument/2006/relationships/printerSettings" Target="../printerSettings/printerSettings12.bin"/><Relationship Id="rId4" Type="http://schemas.openxmlformats.org/officeDocument/2006/relationships/table" Target="../tables/table3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32.xml"/><Relationship Id="rId2" Type="http://schemas.openxmlformats.org/officeDocument/2006/relationships/table" Target="../tables/table31.xml"/><Relationship Id="rId1" Type="http://schemas.openxmlformats.org/officeDocument/2006/relationships/printerSettings" Target="../printerSettings/printerSettings13.bin"/><Relationship Id="rId4" Type="http://schemas.openxmlformats.org/officeDocument/2006/relationships/table" Target="../tables/table33.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35.xml"/><Relationship Id="rId2" Type="http://schemas.openxmlformats.org/officeDocument/2006/relationships/table" Target="../tables/table34.xml"/><Relationship Id="rId1" Type="http://schemas.openxmlformats.org/officeDocument/2006/relationships/printerSettings" Target="../printerSettings/printerSettings14.bin"/><Relationship Id="rId4" Type="http://schemas.openxmlformats.org/officeDocument/2006/relationships/table" Target="../tables/table36.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38.xml"/><Relationship Id="rId2" Type="http://schemas.openxmlformats.org/officeDocument/2006/relationships/table" Target="../tables/table37.xml"/><Relationship Id="rId1" Type="http://schemas.openxmlformats.org/officeDocument/2006/relationships/printerSettings" Target="../printerSettings/printerSettings15.bin"/><Relationship Id="rId4" Type="http://schemas.openxmlformats.org/officeDocument/2006/relationships/table" Target="../tables/table39.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41.xml"/><Relationship Id="rId2" Type="http://schemas.openxmlformats.org/officeDocument/2006/relationships/table" Target="../tables/table40.xml"/><Relationship Id="rId1" Type="http://schemas.openxmlformats.org/officeDocument/2006/relationships/printerSettings" Target="../printerSettings/printerSettings16.bin"/><Relationship Id="rId4" Type="http://schemas.openxmlformats.org/officeDocument/2006/relationships/table" Target="../tables/table42.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44.xml"/><Relationship Id="rId2" Type="http://schemas.openxmlformats.org/officeDocument/2006/relationships/printerSettings" Target="../printerSettings/printerSettings18.bin"/><Relationship Id="rId1" Type="http://schemas.openxmlformats.org/officeDocument/2006/relationships/hyperlink" Target="https://www.oregon.gov/ode/schools-and-districts/grants/Documents/PBAM%20-%202019%20Edition%20Abridged%2021st%20CCLC.pdf" TargetMode="External"/><Relationship Id="rId6" Type="http://schemas.openxmlformats.org/officeDocument/2006/relationships/table" Target="../tables/table47.xml"/><Relationship Id="rId5" Type="http://schemas.openxmlformats.org/officeDocument/2006/relationships/table" Target="../tables/table46.xml"/><Relationship Id="rId4" Type="http://schemas.openxmlformats.org/officeDocument/2006/relationships/table" Target="../tables/table4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oregon.gov/ode/schools-and-districts/grants/ESEA/Documents/ADMIN%20COSTS.pdf" TargetMode="External"/><Relationship Id="rId2" Type="http://schemas.openxmlformats.org/officeDocument/2006/relationships/hyperlink" Target="https://www.ecfr.gov/current/title-2/subtitle-A/chapter-II/part-200/subpart-E/subject-group-ECFRea20080eff2ea53" TargetMode="External"/><Relationship Id="rId1" Type="http://schemas.openxmlformats.org/officeDocument/2006/relationships/hyperlink" Target="https://www.oregon.gov/ode/schools-and-districts/grants/Documents/PBAM%20-%202019%20Edition%20Abridged%2021st%20CCLC.pdf" TargetMode="External"/><Relationship Id="rId5" Type="http://schemas.openxmlformats.org/officeDocument/2006/relationships/printerSettings" Target="../printerSettings/printerSettings2.bin"/><Relationship Id="rId4" Type="http://schemas.openxmlformats.org/officeDocument/2006/relationships/hyperlink" Target="https://www.oregon.gov/ode/schools-and-districts/grants/ESEA/21stCCLC/Documents/Food%20Cost%20Guidance.pdf"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 Id="rId4" Type="http://schemas.openxmlformats.org/officeDocument/2006/relationships/table" Target="../tables/table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printerSettings" Target="../printerSettings/printerSettings6.bin"/><Relationship Id="rId4" Type="http://schemas.openxmlformats.org/officeDocument/2006/relationships/table" Target="../tables/table12.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printerSettings" Target="../printerSettings/printerSettings7.bin"/><Relationship Id="rId4" Type="http://schemas.openxmlformats.org/officeDocument/2006/relationships/table" Target="../tables/table1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printerSettings" Target="../printerSettings/printerSettings8.bin"/><Relationship Id="rId4" Type="http://schemas.openxmlformats.org/officeDocument/2006/relationships/table" Target="../tables/table1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printerSettings" Target="../printerSettings/printerSettings9.bin"/><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E88"/>
  <sheetViews>
    <sheetView showGridLines="0" showRowColHeaders="0" tabSelected="1" workbookViewId="0">
      <selection activeCell="A88" sqref="A88"/>
    </sheetView>
  </sheetViews>
  <sheetFormatPr defaultRowHeight="15" x14ac:dyDescent="0.25"/>
  <cols>
    <col min="1" max="1" width="2.7109375" style="33" customWidth="1"/>
    <col min="2" max="2" width="5.42578125" style="16" customWidth="1"/>
    <col min="3" max="3" width="89.7109375" style="17" customWidth="1"/>
    <col min="4" max="4" width="2" customWidth="1"/>
  </cols>
  <sheetData>
    <row r="1" spans="1:5" x14ac:dyDescent="0.25">
      <c r="A1" s="15" t="s">
        <v>0</v>
      </c>
    </row>
    <row r="2" spans="1:5" ht="24.75" x14ac:dyDescent="0.25">
      <c r="A2" s="15" t="s">
        <v>0</v>
      </c>
      <c r="B2" s="384" t="s">
        <v>159</v>
      </c>
      <c r="C2" s="385"/>
      <c r="D2" s="386"/>
    </row>
    <row r="3" spans="1:5" ht="24.75" x14ac:dyDescent="0.25">
      <c r="A3" s="15" t="s">
        <v>0</v>
      </c>
      <c r="B3" s="387" t="s">
        <v>158</v>
      </c>
      <c r="C3" s="388"/>
      <c r="D3" s="389"/>
    </row>
    <row r="4" spans="1:5" x14ac:dyDescent="0.25">
      <c r="A4" s="15" t="s">
        <v>0</v>
      </c>
      <c r="B4" s="22"/>
    </row>
    <row r="5" spans="1:5" ht="21" customHeight="1" x14ac:dyDescent="0.25">
      <c r="A5" s="15" t="s">
        <v>0</v>
      </c>
      <c r="B5" s="170" t="s">
        <v>553</v>
      </c>
      <c r="C5" s="162"/>
      <c r="D5" s="163"/>
    </row>
    <row r="6" spans="1:5" x14ac:dyDescent="0.25">
      <c r="A6" s="15" t="s">
        <v>0</v>
      </c>
      <c r="B6" s="39" t="s">
        <v>648</v>
      </c>
      <c r="C6" s="18"/>
      <c r="D6" s="27"/>
    </row>
    <row r="7" spans="1:5" x14ac:dyDescent="0.25">
      <c r="A7" s="15" t="s">
        <v>0</v>
      </c>
      <c r="B7" s="39" t="s">
        <v>677</v>
      </c>
      <c r="C7" s="18"/>
      <c r="D7" s="27"/>
      <c r="E7" s="49"/>
    </row>
    <row r="8" spans="1:5" ht="21" customHeight="1" x14ac:dyDescent="0.25">
      <c r="A8" s="15" t="s">
        <v>0</v>
      </c>
      <c r="B8" s="39" t="s">
        <v>678</v>
      </c>
      <c r="C8" s="18"/>
      <c r="D8" s="27"/>
      <c r="E8" s="49"/>
    </row>
    <row r="9" spans="1:5" ht="15" customHeight="1" x14ac:dyDescent="0.25">
      <c r="A9" s="15" t="s">
        <v>0</v>
      </c>
      <c r="B9" s="39" t="s">
        <v>672</v>
      </c>
      <c r="C9" s="18"/>
      <c r="D9" s="27"/>
    </row>
    <row r="10" spans="1:5" ht="15" customHeight="1" x14ac:dyDescent="0.25">
      <c r="A10" s="15" t="s">
        <v>0</v>
      </c>
      <c r="B10" s="39" t="s">
        <v>673</v>
      </c>
      <c r="C10" s="18"/>
      <c r="D10" s="19"/>
    </row>
    <row r="11" spans="1:5" ht="21" customHeight="1" x14ac:dyDescent="0.25">
      <c r="A11" s="15" t="s">
        <v>0</v>
      </c>
      <c r="B11" s="39" t="s">
        <v>671</v>
      </c>
      <c r="C11" s="18"/>
      <c r="D11" s="19"/>
    </row>
    <row r="12" spans="1:5" ht="19.5" customHeight="1" x14ac:dyDescent="0.25">
      <c r="A12" s="15" t="s">
        <v>0</v>
      </c>
      <c r="B12" s="381" t="s">
        <v>559</v>
      </c>
      <c r="C12" s="382"/>
      <c r="D12" s="383"/>
    </row>
    <row r="13" spans="1:5" ht="36" customHeight="1" x14ac:dyDescent="0.25">
      <c r="A13" s="15" t="s">
        <v>0</v>
      </c>
      <c r="B13" s="272" t="s">
        <v>1</v>
      </c>
      <c r="C13" s="271" t="s">
        <v>674</v>
      </c>
      <c r="D13" s="19"/>
    </row>
    <row r="14" spans="1:5" ht="19.5" customHeight="1" x14ac:dyDescent="0.25">
      <c r="A14" s="15" t="s">
        <v>0</v>
      </c>
      <c r="B14" s="381" t="s">
        <v>593</v>
      </c>
      <c r="C14" s="382"/>
      <c r="D14" s="383"/>
    </row>
    <row r="15" spans="1:5" ht="33" customHeight="1" x14ac:dyDescent="0.25">
      <c r="A15" s="15" t="s">
        <v>0</v>
      </c>
      <c r="B15" s="159" t="s">
        <v>1</v>
      </c>
      <c r="C15" s="273" t="s">
        <v>675</v>
      </c>
      <c r="D15" s="19"/>
    </row>
    <row r="16" spans="1:5" ht="48" customHeight="1" x14ac:dyDescent="0.25">
      <c r="A16" s="15" t="s">
        <v>0</v>
      </c>
      <c r="B16" s="41" t="s">
        <v>188</v>
      </c>
      <c r="C16" s="18" t="s">
        <v>649</v>
      </c>
      <c r="D16" s="19"/>
    </row>
    <row r="17" spans="1:4" ht="33" customHeight="1" x14ac:dyDescent="0.25">
      <c r="A17" s="15" t="s">
        <v>0</v>
      </c>
      <c r="B17" s="41" t="s">
        <v>189</v>
      </c>
      <c r="C17" s="18" t="s">
        <v>650</v>
      </c>
      <c r="D17" s="19"/>
    </row>
    <row r="18" spans="1:4" ht="33" customHeight="1" x14ac:dyDescent="0.25">
      <c r="A18" s="15" t="s">
        <v>0</v>
      </c>
      <c r="B18" s="41" t="s">
        <v>190</v>
      </c>
      <c r="C18" s="18" t="s">
        <v>653</v>
      </c>
      <c r="D18" s="19"/>
    </row>
    <row r="19" spans="1:4" ht="33" customHeight="1" x14ac:dyDescent="0.25">
      <c r="A19" s="15" t="s">
        <v>0</v>
      </c>
      <c r="B19" s="274" t="s">
        <v>6</v>
      </c>
      <c r="C19" s="35" t="s">
        <v>662</v>
      </c>
      <c r="D19" s="19"/>
    </row>
    <row r="20" spans="1:4" ht="33" customHeight="1" x14ac:dyDescent="0.25">
      <c r="A20" s="15" t="s">
        <v>0</v>
      </c>
      <c r="B20" s="274" t="s">
        <v>6</v>
      </c>
      <c r="C20" s="35" t="s">
        <v>651</v>
      </c>
      <c r="D20" s="19"/>
    </row>
    <row r="21" spans="1:4" ht="33" customHeight="1" x14ac:dyDescent="0.25">
      <c r="A21" s="15" t="s">
        <v>0</v>
      </c>
      <c r="B21" s="274" t="s">
        <v>6</v>
      </c>
      <c r="C21" s="35" t="s">
        <v>652</v>
      </c>
      <c r="D21" s="19"/>
    </row>
    <row r="22" spans="1:4" ht="18" customHeight="1" x14ac:dyDescent="0.25">
      <c r="A22" s="15" t="s">
        <v>0</v>
      </c>
      <c r="B22" s="274" t="s">
        <v>6</v>
      </c>
      <c r="C22" s="35" t="s">
        <v>661</v>
      </c>
      <c r="D22" s="19"/>
    </row>
    <row r="23" spans="1:4" ht="81" customHeight="1" x14ac:dyDescent="0.25">
      <c r="A23" s="15" t="s">
        <v>0</v>
      </c>
      <c r="B23" s="274" t="s">
        <v>6</v>
      </c>
      <c r="C23" s="35" t="s">
        <v>654</v>
      </c>
      <c r="D23" s="19"/>
    </row>
    <row r="24" spans="1:4" ht="19.5" customHeight="1" x14ac:dyDescent="0.25">
      <c r="A24" s="15" t="s">
        <v>0</v>
      </c>
      <c r="B24" s="381" t="s">
        <v>656</v>
      </c>
      <c r="C24" s="382"/>
      <c r="D24" s="383"/>
    </row>
    <row r="25" spans="1:4" ht="18" customHeight="1" x14ac:dyDescent="0.25">
      <c r="A25" s="15" t="s">
        <v>0</v>
      </c>
      <c r="B25" s="159" t="s">
        <v>1</v>
      </c>
      <c r="C25" s="273" t="s">
        <v>658</v>
      </c>
      <c r="D25" s="19"/>
    </row>
    <row r="26" spans="1:4" ht="63" customHeight="1" x14ac:dyDescent="0.25">
      <c r="A26" s="15" t="s">
        <v>0</v>
      </c>
      <c r="B26" s="280" t="s">
        <v>583</v>
      </c>
      <c r="C26" s="35" t="s">
        <v>659</v>
      </c>
      <c r="D26" s="19"/>
    </row>
    <row r="27" spans="1:4" ht="48" customHeight="1" x14ac:dyDescent="0.25">
      <c r="A27" s="15" t="s">
        <v>0</v>
      </c>
      <c r="B27" s="41" t="s">
        <v>188</v>
      </c>
      <c r="C27" s="18" t="s">
        <v>660</v>
      </c>
      <c r="D27" s="19"/>
    </row>
    <row r="28" spans="1:4" ht="33" customHeight="1" x14ac:dyDescent="0.25">
      <c r="A28" s="15" t="s">
        <v>0</v>
      </c>
      <c r="B28" s="41" t="s">
        <v>189</v>
      </c>
      <c r="C28" s="18" t="s">
        <v>663</v>
      </c>
      <c r="D28" s="19"/>
    </row>
    <row r="29" spans="1:4" ht="33" customHeight="1" x14ac:dyDescent="0.25">
      <c r="A29" s="15" t="s">
        <v>0</v>
      </c>
      <c r="B29" s="274" t="s">
        <v>6</v>
      </c>
      <c r="C29" s="35" t="s">
        <v>662</v>
      </c>
      <c r="D29" s="19"/>
    </row>
    <row r="30" spans="1:4" ht="33" customHeight="1" x14ac:dyDescent="0.25">
      <c r="A30" s="15" t="s">
        <v>0</v>
      </c>
      <c r="B30" s="274" t="s">
        <v>6</v>
      </c>
      <c r="C30" s="35" t="s">
        <v>651</v>
      </c>
      <c r="D30" s="19"/>
    </row>
    <row r="31" spans="1:4" ht="33" customHeight="1" x14ac:dyDescent="0.25">
      <c r="A31" s="15" t="s">
        <v>0</v>
      </c>
      <c r="B31" s="274" t="s">
        <v>6</v>
      </c>
      <c r="C31" s="35" t="s">
        <v>652</v>
      </c>
      <c r="D31" s="19"/>
    </row>
    <row r="32" spans="1:4" ht="21" customHeight="1" x14ac:dyDescent="0.25">
      <c r="A32" s="15" t="s">
        <v>0</v>
      </c>
      <c r="B32" s="274" t="s">
        <v>6</v>
      </c>
      <c r="C32" s="35" t="s">
        <v>661</v>
      </c>
      <c r="D32" s="19"/>
    </row>
    <row r="33" spans="1:4" ht="19.5" customHeight="1" x14ac:dyDescent="0.25">
      <c r="A33" s="15" t="s">
        <v>0</v>
      </c>
      <c r="B33" s="381" t="s">
        <v>594</v>
      </c>
      <c r="C33" s="382"/>
      <c r="D33" s="383"/>
    </row>
    <row r="34" spans="1:4" ht="33" customHeight="1" x14ac:dyDescent="0.25">
      <c r="A34" s="15" t="s">
        <v>0</v>
      </c>
      <c r="B34" s="159" t="s">
        <v>1</v>
      </c>
      <c r="C34" s="273" t="s">
        <v>664</v>
      </c>
      <c r="D34" s="19"/>
    </row>
    <row r="35" spans="1:4" ht="30.75" x14ac:dyDescent="0.25">
      <c r="A35" s="15" t="s">
        <v>0</v>
      </c>
      <c r="B35" s="283" t="s">
        <v>583</v>
      </c>
      <c r="C35" s="36" t="s">
        <v>665</v>
      </c>
      <c r="D35" s="19"/>
    </row>
    <row r="36" spans="1:4" ht="33" customHeight="1" x14ac:dyDescent="0.25">
      <c r="A36" s="15" t="s">
        <v>0</v>
      </c>
      <c r="B36" s="274" t="s">
        <v>6</v>
      </c>
      <c r="C36" s="282" t="s">
        <v>667</v>
      </c>
      <c r="D36" s="19"/>
    </row>
    <row r="37" spans="1:4" ht="33" customHeight="1" x14ac:dyDescent="0.25">
      <c r="A37" s="15" t="s">
        <v>0</v>
      </c>
      <c r="B37" s="274" t="s">
        <v>6</v>
      </c>
      <c r="C37" s="35" t="s">
        <v>668</v>
      </c>
      <c r="D37" s="19"/>
    </row>
    <row r="38" spans="1:4" ht="66" customHeight="1" x14ac:dyDescent="0.25">
      <c r="A38" s="15" t="s">
        <v>0</v>
      </c>
      <c r="B38" s="281" t="s">
        <v>6</v>
      </c>
      <c r="C38" s="43" t="s">
        <v>670</v>
      </c>
      <c r="D38" s="21"/>
    </row>
    <row r="39" spans="1:4" x14ac:dyDescent="0.25">
      <c r="A39" s="15" t="s">
        <v>0</v>
      </c>
    </row>
    <row r="40" spans="1:4" ht="21" customHeight="1" x14ac:dyDescent="0.25">
      <c r="A40" s="15" t="s">
        <v>0</v>
      </c>
      <c r="B40" s="169" t="s">
        <v>170</v>
      </c>
      <c r="C40" s="162"/>
      <c r="D40" s="163"/>
    </row>
    <row r="41" spans="1:4" ht="18" customHeight="1" x14ac:dyDescent="0.25">
      <c r="A41" s="15" t="s">
        <v>0</v>
      </c>
      <c r="B41" s="191" t="s">
        <v>1</v>
      </c>
      <c r="C41" s="173" t="s">
        <v>588</v>
      </c>
      <c r="D41" s="19"/>
    </row>
    <row r="42" spans="1:4" ht="18" customHeight="1" x14ac:dyDescent="0.25">
      <c r="A42" s="15" t="s">
        <v>0</v>
      </c>
      <c r="B42" s="191" t="s">
        <v>1</v>
      </c>
      <c r="C42" s="173" t="s">
        <v>657</v>
      </c>
      <c r="D42" s="19"/>
    </row>
    <row r="43" spans="1:4" ht="18" customHeight="1" x14ac:dyDescent="0.25">
      <c r="A43" s="15" t="s">
        <v>0</v>
      </c>
      <c r="B43" s="167" t="s">
        <v>1</v>
      </c>
      <c r="C43" s="173" t="s">
        <v>164</v>
      </c>
      <c r="D43" s="19"/>
    </row>
    <row r="44" spans="1:4" ht="18" customHeight="1" x14ac:dyDescent="0.25">
      <c r="A44" s="15" t="s">
        <v>0</v>
      </c>
      <c r="B44" s="192" t="s">
        <v>1</v>
      </c>
      <c r="C44" s="4" t="s">
        <v>168</v>
      </c>
      <c r="D44" s="19"/>
    </row>
    <row r="45" spans="1:4" ht="18" customHeight="1" x14ac:dyDescent="0.25">
      <c r="A45" s="15" t="s">
        <v>0</v>
      </c>
      <c r="B45" s="192" t="s">
        <v>1</v>
      </c>
      <c r="C45" s="4" t="s">
        <v>587</v>
      </c>
      <c r="D45" s="19"/>
    </row>
    <row r="46" spans="1:4" ht="18" customHeight="1" x14ac:dyDescent="0.25">
      <c r="A46" s="15" t="s">
        <v>0</v>
      </c>
      <c r="B46" s="192" t="s">
        <v>1</v>
      </c>
      <c r="C46" s="4" t="s">
        <v>169</v>
      </c>
      <c r="D46" s="19"/>
    </row>
    <row r="47" spans="1:4" ht="18" customHeight="1" x14ac:dyDescent="0.25">
      <c r="A47" s="15" t="s">
        <v>0</v>
      </c>
      <c r="B47" s="192" t="s">
        <v>1</v>
      </c>
      <c r="C47" s="4" t="s">
        <v>166</v>
      </c>
      <c r="D47" s="19"/>
    </row>
    <row r="48" spans="1:4" ht="18" customHeight="1" x14ac:dyDescent="0.25">
      <c r="A48" s="15" t="s">
        <v>0</v>
      </c>
      <c r="B48" s="192" t="s">
        <v>1</v>
      </c>
      <c r="C48" s="4" t="s">
        <v>165</v>
      </c>
      <c r="D48" s="19"/>
    </row>
    <row r="49" spans="1:4" ht="18" customHeight="1" x14ac:dyDescent="0.25">
      <c r="A49" s="15" t="s">
        <v>0</v>
      </c>
      <c r="B49" s="192" t="s">
        <v>1</v>
      </c>
      <c r="C49" s="4" t="s">
        <v>283</v>
      </c>
      <c r="D49" s="19"/>
    </row>
    <row r="50" spans="1:4" ht="18" customHeight="1" x14ac:dyDescent="0.25">
      <c r="A50" s="15" t="s">
        <v>0</v>
      </c>
      <c r="B50" s="190" t="s">
        <v>6</v>
      </c>
      <c r="C50" s="34" t="s">
        <v>284</v>
      </c>
      <c r="D50" s="19"/>
    </row>
    <row r="51" spans="1:4" ht="18" customHeight="1" x14ac:dyDescent="0.25">
      <c r="A51" s="15" t="s">
        <v>0</v>
      </c>
      <c r="B51" s="190" t="s">
        <v>6</v>
      </c>
      <c r="C51" s="34" t="s">
        <v>167</v>
      </c>
      <c r="D51" s="19"/>
    </row>
    <row r="52" spans="1:4" ht="21" customHeight="1" x14ac:dyDescent="0.25">
      <c r="A52" s="15" t="s">
        <v>0</v>
      </c>
      <c r="B52" s="193" t="s">
        <v>1</v>
      </c>
      <c r="C52" s="47" t="s">
        <v>2</v>
      </c>
      <c r="D52" s="21"/>
    </row>
    <row r="53" spans="1:4" x14ac:dyDescent="0.25">
      <c r="A53" s="15"/>
      <c r="B53"/>
      <c r="C53"/>
    </row>
    <row r="54" spans="1:4" ht="18" customHeight="1" x14ac:dyDescent="0.25">
      <c r="A54" s="15"/>
      <c r="B54"/>
      <c r="C54"/>
    </row>
    <row r="55" spans="1:4" x14ac:dyDescent="0.25">
      <c r="A55" s="15"/>
    </row>
    <row r="56" spans="1:4" x14ac:dyDescent="0.25">
      <c r="A56" s="15"/>
    </row>
    <row r="57" spans="1:4" x14ac:dyDescent="0.25">
      <c r="A57" s="15"/>
    </row>
    <row r="58" spans="1:4" x14ac:dyDescent="0.25">
      <c r="A58" s="15"/>
    </row>
    <row r="59" spans="1:4" x14ac:dyDescent="0.25">
      <c r="A59" s="15"/>
    </row>
    <row r="60" spans="1:4" x14ac:dyDescent="0.25">
      <c r="A60" s="15"/>
    </row>
    <row r="61" spans="1:4" x14ac:dyDescent="0.25">
      <c r="A61" s="15"/>
    </row>
    <row r="62" spans="1:4" x14ac:dyDescent="0.25">
      <c r="A62" s="15"/>
    </row>
    <row r="63" spans="1:4" x14ac:dyDescent="0.25">
      <c r="A63" s="15"/>
    </row>
    <row r="88" spans="1:1" x14ac:dyDescent="0.25">
      <c r="A88" s="45"/>
    </row>
  </sheetData>
  <sheetProtection sheet="1" objects="1" scenarios="1" selectLockedCells="1"/>
  <mergeCells count="6">
    <mergeCell ref="B33:D33"/>
    <mergeCell ref="B2:D2"/>
    <mergeCell ref="B3:D3"/>
    <mergeCell ref="B12:D12"/>
    <mergeCell ref="B14:D14"/>
    <mergeCell ref="B24:D24"/>
  </mergeCells>
  <hyperlinks>
    <hyperlink ref="C41" r:id="rId1" xr:uid="{00000000-0004-0000-0000-000000000000}"/>
    <hyperlink ref="C52" r:id="rId2" xr:uid="{00000000-0004-0000-0000-000001000000}"/>
    <hyperlink ref="C47" r:id="rId3" xr:uid="{00000000-0004-0000-0000-000002000000}"/>
    <hyperlink ref="C48" r:id="rId4" xr:uid="{00000000-0004-0000-0000-000003000000}"/>
    <hyperlink ref="C43" r:id="rId5" xr:uid="{00000000-0004-0000-0000-000004000000}"/>
    <hyperlink ref="C51" r:id="rId6" location="page=31" xr:uid="{2499D40F-FD1E-47AC-8507-A234846B7F1D}"/>
    <hyperlink ref="C49" r:id="rId7" location=":~:text=Effectively%20Braiding%20Funds%20for%20Summer%20Webinar%20(Recording)" xr:uid="{21C69B8B-7F6B-4321-BE95-C8EF54ED4B6A}"/>
    <hyperlink ref="C50" r:id="rId8" location=":~:text=Effectively%20Braiding%20Funds%20for%20Summer%20Webinar%20(Slide%20Deck)" xr:uid="{7622D28F-F243-483F-AC0F-6DD228AA2932}"/>
    <hyperlink ref="C44" r:id="rId9" location=":~:text=Supplement%20Not%20Supplant" xr:uid="{BD1878AA-F0EA-41E2-86DD-40EB95B6AEC5}"/>
    <hyperlink ref="C46" r:id="rId10" xr:uid="{B94E7AB6-9B42-416E-AD3C-F66008DAC4B0}"/>
    <hyperlink ref="C45" r:id="rId11" xr:uid="{9BF23F59-BCAB-474C-9CDD-37C69A1BBC78}"/>
    <hyperlink ref="B12:D12" location="'Budget Requirements'!A1" display="Budget Requirements" xr:uid="{5DD3A832-4396-4078-A7D1-077E4377D7E9}"/>
    <hyperlink ref="B14:D14" location="'Program Budget'!C4" display="Program Budget" xr:uid="{5CC4ABF3-5C81-4935-822C-7231B25E10B2}"/>
    <hyperlink ref="B24:D24" location="'Site 1 Budget'!C6" display="Site [#] Budget (x12)" xr:uid="{86F4AF04-47C7-4F92-8A34-A15393DA75F0}"/>
    <hyperlink ref="C42" r:id="rId12" display="Budget Form Technical Assistance Contact: Savanah Solario" xr:uid="{8C6BCD13-151F-42BD-A3CF-CF476A8F69BE}"/>
    <hyperlink ref="B33:D33" location="'Overall Budget Summary'!B2" display="Overall Budget Summary" xr:uid="{D905B536-8F1E-4EF6-B7EB-CBA2652DB1F5}"/>
  </hyperlinks>
  <pageMargins left="0.7" right="0.7" top="0.75" bottom="0.75" header="0.3" footer="0.3"/>
  <pageSetup orientation="portrait" horizontalDpi="300" verticalDpi="300" r:id="rId1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A7E2B-7B15-4416-AB78-FDC98E68F942}">
  <sheetPr>
    <tabColor rgb="FFAAD4F4"/>
    <pageSetUpPr autoPageBreaks="0" fitToPage="1"/>
  </sheetPr>
  <dimension ref="A1:Z87"/>
  <sheetViews>
    <sheetView showGridLines="0" showRowColHeaders="0" zoomScaleNormal="100" workbookViewId="0">
      <pane ySplit="12" topLeftCell="A13" activePane="bottomLeft" state="frozen"/>
      <selection activeCell="B2" sqref="B2:H2"/>
      <selection pane="bottomLeft" activeCell="B2" sqref="B2:H2"/>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623</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ROUND(SUMIF(Site_Detail_7[[Program Type]:[Program Type]],"Before/Afterschool",Site_Detail_7[21st CCLC,  Title IV-B]),2)</f>
        <v>0</v>
      </c>
      <c r="I8" s="150">
        <f>ROUND(SUMIF(Site_Detail_7[[Program Type]:[Program Type]],"Before/Afterschool",Site_Detail_7[(enter addt''l. fund source 1)]),2)</f>
        <v>0</v>
      </c>
      <c r="J8" s="150">
        <f>ROUND(SUMIF(Site_Detail_7[[Program Type]:[Program Type]],"Before/Afterschool",Site_Detail_7[(enter addt''l. fund source 2)]),2)</f>
        <v>0</v>
      </c>
      <c r="K8" s="150">
        <f>ROUND(SUMIF(Site_Detail_7[[Program Type]:[Program Type]],"Before/Afterschool",Site_Detail_7[(enter addt''l. fund source 3)]),2)</f>
        <v>0</v>
      </c>
      <c r="L8" s="150">
        <f>ROUND(SUMIF(Site_Detail_7[[Program Type]:[Program Type]],"Before/Afterschool",Site_Detail_7[(enter addt''l. fund source 4)]),2)</f>
        <v>0</v>
      </c>
      <c r="M8" s="203">
        <f>ROUND(SUMIF(Site_Detail_7[[Program Type]:[Program Type]],"Before/Afterschool",Site_Detail_7[(enter addt''l. fund source 5)]),2)</f>
        <v>0</v>
      </c>
      <c r="N8" s="198">
        <f>SUM(Site_Summary_7[[#This Row],[Column3]:[Column8]])</f>
        <v>0</v>
      </c>
    </row>
    <row r="9" spans="1:26" customFormat="1" x14ac:dyDescent="0.25">
      <c r="A9" s="1" t="s">
        <v>0</v>
      </c>
      <c r="B9" s="408"/>
      <c r="C9" s="410"/>
      <c r="G9" s="149" t="s">
        <v>609</v>
      </c>
      <c r="H9" s="151">
        <f>ROUND(SUMIF(Site_Detail_7[[Program Type]:[Program Type]],"Summer",Site_Detail_7[21st CCLC,  Title IV-B]),2)</f>
        <v>0</v>
      </c>
      <c r="I9" s="150">
        <f>ROUND(SUMIF(Site_Detail_7[[Program Type]:[Program Type]],"Summer",Site_Detail_7[(enter addt''l. fund source 1)]),2)</f>
        <v>0</v>
      </c>
      <c r="J9" s="150">
        <f>ROUND(SUMIF(Site_Detail_7[[Program Type]:[Program Type]],"Summer",Site_Detail_7[(enter addt''l. fund source 2)]),2)</f>
        <v>0</v>
      </c>
      <c r="K9" s="150">
        <f>ROUND(SUMIF(Site_Detail_7[[Program Type]:[Program Type]],"Summer",Site_Detail_7[(enter addt''l. fund source 3)]),2)</f>
        <v>0</v>
      </c>
      <c r="L9" s="150">
        <f>ROUND(SUMIF(Site_Detail_7[[Program Type]:[Program Type]],"Summer",Site_Detail_7[(enter addt''l. fund source 4)]),2)</f>
        <v>0</v>
      </c>
      <c r="M9" s="204">
        <f>ROUND(SUMIF(Site_Detail_7[[Program Type]:[Program Type]],"Summer",Site_Detail_7[(enter addt''l. fund source 5)]),2)</f>
        <v>0</v>
      </c>
      <c r="N9" s="199">
        <f>SUM(Site_Summary_7[[#This Row],[Column3]:[Column8]])</f>
        <v>0</v>
      </c>
    </row>
    <row r="10" spans="1:26" customFormat="1" x14ac:dyDescent="0.25">
      <c r="A10" s="1" t="s">
        <v>0</v>
      </c>
      <c r="G10" s="152" t="s">
        <v>624</v>
      </c>
      <c r="H10" s="247">
        <f>ROUND(SUM(Site_Detail_7[21st CCLC,  Title IV-B]),2)</f>
        <v>0</v>
      </c>
      <c r="I10" s="248">
        <f>ROUND(SUM(Site_Detail_7[(enter addt''l. fund source 1)]),2)</f>
        <v>0</v>
      </c>
      <c r="J10" s="109">
        <f>ROUND(SUM(Site_Detail_7[(enter addt''l. fund source 2)]),2)</f>
        <v>0</v>
      </c>
      <c r="K10" s="109">
        <f>ROUND(SUM(Site_Detail_7[(enter addt''l. fund source 3)]),2)</f>
        <v>0</v>
      </c>
      <c r="L10" s="109">
        <f>ROUND(SUM(Site_Detail_7[(enter addt''l. fund source 4)]),2)</f>
        <v>0</v>
      </c>
      <c r="M10" s="110">
        <f>ROUND(SUM(Site_Detail_7[(enter addt''l. fund source 5)]),2)</f>
        <v>0</v>
      </c>
      <c r="N10" s="238">
        <f>SUM(Site_Summary_7[[#This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ROUND(SUM(Site_Detail_7[[#This Row],[21st CCLC,  Title IV-B]:[(enter addt''l. fund source 5)]]),2)</f>
        <v>0</v>
      </c>
      <c r="O13" s="225" t="s">
        <v>28</v>
      </c>
      <c r="Q13" s="101" t="s">
        <v>545</v>
      </c>
      <c r="R13" s="230" cm="1">
        <f t="array" ref="R13">SUMIF(Site_Detail_7[[Category]:[Category]],Site_Category_Sum_7[[#This Row],[Column1]:[Column1]],Site_Detail_7[21st CCLC,  Title IV-B])</f>
        <v>0</v>
      </c>
      <c r="S13" s="124" cm="1">
        <f t="array" ref="S13">SUMIF(Site_Detail_7[[Category]:[Category]],Site_Category_Sum_7[[#This Row],[Column1]:[Column1]],Site_Detail_7[(enter addt''l. fund source 1)])</f>
        <v>0</v>
      </c>
      <c r="T13" s="124" cm="1">
        <f t="array" ref="T13">SUMIF(Site_Detail_7[[Category]:[Category]],Site_Category_Sum_7[[#This Row],[Column1]:[Column1]],Site_Detail_7[(enter addt''l. fund source 2)])</f>
        <v>0</v>
      </c>
      <c r="U13" s="124" cm="1">
        <f t="array" ref="U13">SUMIF(Site_Detail_7[[Category]:[Category]],Site_Category_Sum_7[[#This Row],[Column1]:[Column1]],Site_Detail_7[(enter addt''l. fund source 3)])</f>
        <v>0</v>
      </c>
      <c r="V13" s="124" cm="1">
        <f t="array" ref="V13">SUMIF(Site_Detail_7[[Category]:[Category]],Site_Category_Sum_7[[#This Row],[Column1]:[Column1]],Site_Detail_7[(enter addt''l. fund source 4)])</f>
        <v>0</v>
      </c>
      <c r="W13" s="124" cm="1">
        <f t="array" ref="W13">SUMIF(Site_Detail_7[[Category]:[Category]],Site_Category_Sum_7[[#This Row],[Column1]:[Column1]],Site_Detail_7[(enter addt''l. fund source 5)])</f>
        <v>0</v>
      </c>
      <c r="X13" s="233">
        <f>ROUND(SUM(Site_Category_Sum_7[[#This Row],[Column2]:[Column7]]),2)</f>
        <v>0</v>
      </c>
      <c r="Z13" s="178" t="s">
        <v>0</v>
      </c>
    </row>
    <row r="14" spans="1:26" x14ac:dyDescent="0.25">
      <c r="B14" s="53"/>
      <c r="C14" s="54"/>
      <c r="D14" s="53"/>
      <c r="E14" s="54"/>
      <c r="F14" s="54"/>
      <c r="G14" s="219"/>
      <c r="H14" s="196"/>
      <c r="I14" s="220"/>
      <c r="J14" s="55"/>
      <c r="K14" s="55"/>
      <c r="L14" s="55"/>
      <c r="M14" s="207"/>
      <c r="N14" s="200">
        <f>ROUND(SUM(Site_Detail_7[[#This Row],[21st CCLC,  Title IV-B]:[(enter addt''l. fund source 5)]]),2)</f>
        <v>0</v>
      </c>
      <c r="O14" s="208"/>
      <c r="Q14" s="103" t="s">
        <v>546</v>
      </c>
      <c r="R14" s="230" cm="1">
        <f t="array" ref="R14">SUMIF(Site_Detail_7[[Category]:[Category]],Site_Category_Sum_7[[#This Row],[Column1]:[Column1]],Site_Detail_7[21st CCLC,  Title IV-B])</f>
        <v>0</v>
      </c>
      <c r="S14" s="124" cm="1">
        <f t="array" ref="S14">SUMIF(Site_Detail_7[[Category]:[Category]],Site_Category_Sum_7[[#This Row],[Column1]:[Column1]],Site_Detail_7[(enter addt''l. fund source 1)])</f>
        <v>0</v>
      </c>
      <c r="T14" s="102" cm="1">
        <f t="array" ref="T14">SUMIF(Site_Detail_7[[Category]:[Category]],Site_Category_Sum_7[[#This Row],[Column1]:[Column1]],Site_Detail_7[(enter addt''l. fund source 2)])</f>
        <v>0</v>
      </c>
      <c r="U14" s="102" cm="1">
        <f t="array" ref="U14">SUMIF(Site_Detail_7[[Category]:[Category]],Site_Category_Sum_7[[#This Row],[Column1]:[Column1]],Site_Detail_7[(enter addt''l. fund source 3)])</f>
        <v>0</v>
      </c>
      <c r="V14" s="102" cm="1">
        <f t="array" ref="V14">SUMIF(Site_Detail_7[[Category]:[Category]],Site_Category_Sum_7[[#This Row],[Column1]:[Column1]],Site_Detail_7[(enter addt''l. fund source 4)])</f>
        <v>0</v>
      </c>
      <c r="W14" s="102" cm="1">
        <f t="array" ref="W14">SUMIF(Site_Detail_7[[Category]:[Category]],Site_Category_Sum_7[[#This Row],[Column1]:[Column1]],Site_Detail_7[(enter addt''l. fund source 5)])</f>
        <v>0</v>
      </c>
      <c r="X14" s="233">
        <f>ROUND(SUM(Site_Category_Sum_7[[#This Row],[Column2]:[Column7]]),2)</f>
        <v>0</v>
      </c>
      <c r="Z14" s="178" t="s">
        <v>0</v>
      </c>
    </row>
    <row r="15" spans="1:26" x14ac:dyDescent="0.25">
      <c r="B15" s="50"/>
      <c r="C15" s="51"/>
      <c r="D15" s="50"/>
      <c r="E15" s="51"/>
      <c r="F15" s="51"/>
      <c r="G15" s="221"/>
      <c r="H15" s="196"/>
      <c r="I15" s="222"/>
      <c r="J15" s="52"/>
      <c r="K15" s="52"/>
      <c r="L15" s="52"/>
      <c r="M15" s="205"/>
      <c r="N15" s="200">
        <f>ROUND(SUM(Site_Detail_7[[#This Row],[21st CCLC,  Title IV-B]:[(enter addt''l. fund source 5)]]),2)</f>
        <v>0</v>
      </c>
      <c r="O15" s="206"/>
      <c r="Q15" s="103" t="s">
        <v>161</v>
      </c>
      <c r="R15" s="230" cm="1">
        <f t="array" ref="R15">SUMIF(Site_Detail_7[[Category]:[Category]],Site_Category_Sum_7[[#This Row],[Column1]:[Column1]],Site_Detail_7[21st CCLC,  Title IV-B])</f>
        <v>0</v>
      </c>
      <c r="S15" s="124" cm="1">
        <f t="array" ref="S15">SUMIF(Site_Detail_7[[Category]:[Category]],Site_Category_Sum_7[[#This Row],[Column1]:[Column1]],Site_Detail_7[(enter addt''l. fund source 1)])</f>
        <v>0</v>
      </c>
      <c r="T15" s="102" cm="1">
        <f t="array" ref="T15">SUMIF(Site_Detail_7[[Category]:[Category]],Site_Category_Sum_7[[#This Row],[Column1]:[Column1]],Site_Detail_7[(enter addt''l. fund source 2)])</f>
        <v>0</v>
      </c>
      <c r="U15" s="102" cm="1">
        <f t="array" ref="U15">SUMIF(Site_Detail_7[[Category]:[Category]],Site_Category_Sum_7[[#This Row],[Column1]:[Column1]],Site_Detail_7[(enter addt''l. fund source 3)])</f>
        <v>0</v>
      </c>
      <c r="V15" s="102" cm="1">
        <f t="array" ref="V15">SUMIF(Site_Detail_7[[Category]:[Category]],Site_Category_Sum_7[[#This Row],[Column1]:[Column1]],Site_Detail_7[(enter addt''l. fund source 4)])</f>
        <v>0</v>
      </c>
      <c r="W15" s="102" cm="1">
        <f t="array" ref="W15">SUMIF(Site_Detail_7[[Category]:[Category]],Site_Category_Sum_7[[#This Row],[Column1]:[Column1]],Site_Detail_7[(enter addt''l. fund source 5)])</f>
        <v>0</v>
      </c>
      <c r="X15" s="233">
        <f>ROUND(SUM(Site_Category_Sum_7[[#This Row],[Column2]:[Column7]]),2)</f>
        <v>0</v>
      </c>
      <c r="Z15" s="178" t="s">
        <v>0</v>
      </c>
    </row>
    <row r="16" spans="1:26" x14ac:dyDescent="0.25">
      <c r="B16" s="53"/>
      <c r="C16" s="54"/>
      <c r="D16" s="53"/>
      <c r="E16" s="54"/>
      <c r="F16" s="54"/>
      <c r="G16" s="219"/>
      <c r="H16" s="196"/>
      <c r="I16" s="220"/>
      <c r="J16" s="55"/>
      <c r="K16" s="55"/>
      <c r="L16" s="55"/>
      <c r="M16" s="207"/>
      <c r="N16" s="200">
        <f>ROUND(SUM(Site_Detail_7[[#This Row],[21st CCLC,  Title IV-B]:[(enter addt''l. fund source 5)]]),2)</f>
        <v>0</v>
      </c>
      <c r="O16" s="208"/>
      <c r="Q16" s="103" t="s">
        <v>162</v>
      </c>
      <c r="R16" s="230" cm="1">
        <f t="array" ref="R16">SUMIF(Site_Detail_7[[Category]:[Category]],Site_Category_Sum_7[[#This Row],[Column1]:[Column1]],Site_Detail_7[21st CCLC,  Title IV-B])</f>
        <v>0</v>
      </c>
      <c r="S16" s="124" cm="1">
        <f t="array" ref="S16">SUMIF(Site_Detail_7[[Category]:[Category]],Site_Category_Sum_7[[#This Row],[Column1]:[Column1]],Site_Detail_7[(enter addt''l. fund source 1)])</f>
        <v>0</v>
      </c>
      <c r="T16" s="102" cm="1">
        <f t="array" ref="T16">SUMIF(Site_Detail_7[[Category]:[Category]],Site_Category_Sum_7[[#This Row],[Column1]:[Column1]],Site_Detail_7[(enter addt''l. fund source 2)])</f>
        <v>0</v>
      </c>
      <c r="U16" s="102" cm="1">
        <f t="array" ref="U16">SUMIF(Site_Detail_7[[Category]:[Category]],Site_Category_Sum_7[[#This Row],[Column1]:[Column1]],Site_Detail_7[(enter addt''l. fund source 3)])</f>
        <v>0</v>
      </c>
      <c r="V16" s="102" cm="1">
        <f t="array" ref="V16">SUMIF(Site_Detail_7[[Category]:[Category]],Site_Category_Sum_7[[#This Row],[Column1]:[Column1]],Site_Detail_7[(enter addt''l. fund source 4)])</f>
        <v>0</v>
      </c>
      <c r="W16" s="102" cm="1">
        <f t="array" ref="W16">SUMIF(Site_Detail_7[[Category]:[Category]],Site_Category_Sum_7[[#This Row],[Column1]:[Column1]],Site_Detail_7[(enter addt''l. fund source 5)])</f>
        <v>0</v>
      </c>
      <c r="X16" s="233">
        <f>ROUND(SUM(Site_Category_Sum_7[[#This Row],[Column2]:[Column7]]),2)</f>
        <v>0</v>
      </c>
      <c r="Z16" s="178" t="s">
        <v>0</v>
      </c>
    </row>
    <row r="17" spans="2:26" x14ac:dyDescent="0.25">
      <c r="B17" s="53"/>
      <c r="C17" s="54"/>
      <c r="D17" s="53"/>
      <c r="E17" s="54"/>
      <c r="F17" s="54"/>
      <c r="G17" s="219"/>
      <c r="H17" s="196"/>
      <c r="I17" s="220"/>
      <c r="J17" s="55"/>
      <c r="K17" s="55"/>
      <c r="L17" s="55"/>
      <c r="M17" s="207"/>
      <c r="N17" s="200">
        <f>ROUND(SUM(Site_Detail_7[[#This Row],[21st CCLC,  Title IV-B]:[(enter addt''l. fund source 5)]]),2)</f>
        <v>0</v>
      </c>
      <c r="O17" s="208"/>
      <c r="Q17" s="103" t="s">
        <v>596</v>
      </c>
      <c r="R17" s="230" cm="1">
        <f t="array" ref="R17">SUMIF(Site_Detail_7[[Category]:[Category]],Site_Category_Sum_7[[#This Row],[Column1]:[Column1]],Site_Detail_7[21st CCLC,  Title IV-B])</f>
        <v>0</v>
      </c>
      <c r="S17" s="124" cm="1">
        <f t="array" ref="S17">SUMIF(Site_Detail_7[[Category]:[Category]],Site_Category_Sum_7[[#This Row],[Column1]:[Column1]],Site_Detail_7[(enter addt''l. fund source 1)])</f>
        <v>0</v>
      </c>
      <c r="T17" s="102" cm="1">
        <f t="array" ref="T17">SUMIF(Site_Detail_7[[Category]:[Category]],Site_Category_Sum_7[[#This Row],[Column1]:[Column1]],Site_Detail_7[(enter addt''l. fund source 2)])</f>
        <v>0</v>
      </c>
      <c r="U17" s="102" cm="1">
        <f t="array" ref="U17">SUMIF(Site_Detail_7[[Category]:[Category]],Site_Category_Sum_7[[#This Row],[Column1]:[Column1]],Site_Detail_7[(enter addt''l. fund source 3)])</f>
        <v>0</v>
      </c>
      <c r="V17" s="102" cm="1">
        <f t="array" ref="V17">SUMIF(Site_Detail_7[[Category]:[Category]],Site_Category_Sum_7[[#This Row],[Column1]:[Column1]],Site_Detail_7[(enter addt''l. fund source 4)])</f>
        <v>0</v>
      </c>
      <c r="W17" s="102" cm="1">
        <f t="array" ref="W17">SUMIF(Site_Detail_7[[Category]:[Category]],Site_Category_Sum_7[[#This Row],[Column1]:[Column1]],Site_Detail_7[(enter addt''l. fund source 5)])</f>
        <v>0</v>
      </c>
      <c r="X17" s="233">
        <f>ROUND(SUM(Site_Category_Sum_7[[#This Row],[Column2]:[Column7]]),2)</f>
        <v>0</v>
      </c>
      <c r="Z17" s="178" t="s">
        <v>0</v>
      </c>
    </row>
    <row r="18" spans="2:26" x14ac:dyDescent="0.25">
      <c r="B18" s="53"/>
      <c r="C18" s="54"/>
      <c r="D18" s="53"/>
      <c r="E18" s="54"/>
      <c r="F18" s="54"/>
      <c r="G18" s="219"/>
      <c r="H18" s="196"/>
      <c r="I18" s="220"/>
      <c r="J18" s="55"/>
      <c r="K18" s="55"/>
      <c r="L18" s="55"/>
      <c r="M18" s="207"/>
      <c r="N18" s="200">
        <f>ROUND(SUM(Site_Detail_7[[#This Row],[21st CCLC,  Title IV-B]:[(enter addt''l. fund source 5)]]),2)</f>
        <v>0</v>
      </c>
      <c r="O18" s="208"/>
      <c r="Q18" s="103" t="s">
        <v>160</v>
      </c>
      <c r="R18" s="230" cm="1">
        <f t="array" ref="R18">SUMIF(Site_Detail_7[[Category]:[Category]],Site_Category_Sum_7[[#This Row],[Column1]:[Column1]],Site_Detail_7[21st CCLC,  Title IV-B])</f>
        <v>0</v>
      </c>
      <c r="S18" s="124" cm="1">
        <f t="array" ref="S18">SUMIF(Site_Detail_7[[Category]:[Category]],Site_Category_Sum_7[[#This Row],[Column1]:[Column1]],Site_Detail_7[(enter addt''l. fund source 1)])</f>
        <v>0</v>
      </c>
      <c r="T18" s="102" cm="1">
        <f t="array" ref="T18">SUMIF(Site_Detail_7[[Category]:[Category]],Site_Category_Sum_7[[#This Row],[Column1]:[Column1]],Site_Detail_7[(enter addt''l. fund source 2)])</f>
        <v>0</v>
      </c>
      <c r="U18" s="102" cm="1">
        <f t="array" ref="U18">SUMIF(Site_Detail_7[[Category]:[Category]],Site_Category_Sum_7[[#This Row],[Column1]:[Column1]],Site_Detail_7[(enter addt''l. fund source 3)])</f>
        <v>0</v>
      </c>
      <c r="V18" s="102" cm="1">
        <f t="array" ref="V18">SUMIF(Site_Detail_7[[Category]:[Category]],Site_Category_Sum_7[[#This Row],[Column1]:[Column1]],Site_Detail_7[(enter addt''l. fund source 4)])</f>
        <v>0</v>
      </c>
      <c r="W18" s="102" cm="1">
        <f t="array" ref="W18">SUMIF(Site_Detail_7[[Category]:[Category]],Site_Category_Sum_7[[#This Row],[Column1]:[Column1]],Site_Detail_7[(enter addt''l. fund source 5)])</f>
        <v>0</v>
      </c>
      <c r="X18" s="233">
        <f>ROUND(SUM(Site_Category_Sum_7[[#This Row],[Column2]:[Column7]]),2)</f>
        <v>0</v>
      </c>
      <c r="Z18" s="178" t="s">
        <v>0</v>
      </c>
    </row>
    <row r="19" spans="2:26" x14ac:dyDescent="0.25">
      <c r="B19" s="53"/>
      <c r="C19" s="54"/>
      <c r="D19" s="53"/>
      <c r="E19" s="54"/>
      <c r="F19" s="54"/>
      <c r="G19" s="219"/>
      <c r="H19" s="196"/>
      <c r="I19" s="220"/>
      <c r="J19" s="55"/>
      <c r="K19" s="55"/>
      <c r="L19" s="55"/>
      <c r="M19" s="207"/>
      <c r="N19" s="200">
        <f>ROUND(SUM(Site_Detail_7[[#This Row],[21st CCLC,  Title IV-B]:[(enter addt''l. fund source 5)]]),2)</f>
        <v>0</v>
      </c>
      <c r="O19" s="208"/>
      <c r="Q19" s="103" t="s">
        <v>566</v>
      </c>
      <c r="R19" s="230" cm="1">
        <f t="array" ref="R19">SUMIF(Site_Detail_7[[Category]:[Category]],Site_Category_Sum_7[[#This Row],[Column1]:[Column1]],Site_Detail_7[21st CCLC,  Title IV-B])</f>
        <v>0</v>
      </c>
      <c r="S19" s="124" cm="1">
        <f t="array" ref="S19">SUMIF(Site_Detail_7[[Category]:[Category]],Site_Category_Sum_7[[#This Row],[Column1]:[Column1]],Site_Detail_7[(enter addt''l. fund source 1)])</f>
        <v>0</v>
      </c>
      <c r="T19" s="102" cm="1">
        <f t="array" ref="T19">SUMIF(Site_Detail_7[[Category]:[Category]],Site_Category_Sum_7[[#This Row],[Column1]:[Column1]],Site_Detail_7[(enter addt''l. fund source 2)])</f>
        <v>0</v>
      </c>
      <c r="U19" s="102" cm="1">
        <f t="array" ref="U19">SUMIF(Site_Detail_7[[Category]:[Category]],Site_Category_Sum_7[[#This Row],[Column1]:[Column1]],Site_Detail_7[(enter addt''l. fund source 3)])</f>
        <v>0</v>
      </c>
      <c r="V19" s="102" cm="1">
        <f t="array" ref="V19">SUMIF(Site_Detail_7[[Category]:[Category]],Site_Category_Sum_7[[#This Row],[Column1]:[Column1]],Site_Detail_7[(enter addt''l. fund source 4)])</f>
        <v>0</v>
      </c>
      <c r="W19" s="102" cm="1">
        <f t="array" ref="W19">SUMIF(Site_Detail_7[[Category]:[Category]],Site_Category_Sum_7[[#This Row],[Column1]:[Column1]],Site_Detail_7[(enter addt''l. fund source 5)])</f>
        <v>0</v>
      </c>
      <c r="X19" s="233">
        <f>ROUND(SUM(Site_Category_Sum_7[[#This Row],[Column2]:[Column7]]),2)</f>
        <v>0</v>
      </c>
      <c r="Z19" s="178" t="s">
        <v>0</v>
      </c>
    </row>
    <row r="20" spans="2:26" x14ac:dyDescent="0.25">
      <c r="B20" s="53"/>
      <c r="C20" s="54"/>
      <c r="D20" s="53"/>
      <c r="E20" s="54"/>
      <c r="F20" s="54"/>
      <c r="G20" s="219"/>
      <c r="H20" s="196"/>
      <c r="I20" s="220"/>
      <c r="J20" s="55"/>
      <c r="K20" s="55"/>
      <c r="L20" s="55"/>
      <c r="M20" s="207"/>
      <c r="N20" s="200">
        <f>ROUND(SUM(Site_Detail_7[[#This Row],[21st CCLC,  Title IV-B]:[(enter addt''l. fund source 5)]]),2)</f>
        <v>0</v>
      </c>
      <c r="O20" s="208"/>
      <c r="Q20" s="103" t="s">
        <v>75</v>
      </c>
      <c r="R20" s="230" cm="1">
        <f t="array" ref="R20">SUMIF(Site_Detail_7[[Category]:[Category]],Site_Category_Sum_7[[#This Row],[Column1]:[Column1]],Site_Detail_7[21st CCLC,  Title IV-B])</f>
        <v>0</v>
      </c>
      <c r="S20" s="124" cm="1">
        <f t="array" ref="S20">SUMIF(Site_Detail_7[[Category]:[Category]],Site_Category_Sum_7[[#This Row],[Column1]:[Column1]],Site_Detail_7[(enter addt''l. fund source 1)])</f>
        <v>0</v>
      </c>
      <c r="T20" s="102" cm="1">
        <f t="array" ref="T20">SUMIF(Site_Detail_7[[Category]:[Category]],Site_Category_Sum_7[[#This Row],[Column1]:[Column1]],Site_Detail_7[(enter addt''l. fund source 2)])</f>
        <v>0</v>
      </c>
      <c r="U20" s="102" cm="1">
        <f t="array" ref="U20">SUMIF(Site_Detail_7[[Category]:[Category]],Site_Category_Sum_7[[#This Row],[Column1]:[Column1]],Site_Detail_7[(enter addt''l. fund source 3)])</f>
        <v>0</v>
      </c>
      <c r="V20" s="102" cm="1">
        <f t="array" ref="V20">SUMIF(Site_Detail_7[[Category]:[Category]],Site_Category_Sum_7[[#This Row],[Column1]:[Column1]],Site_Detail_7[(enter addt''l. fund source 4)])</f>
        <v>0</v>
      </c>
      <c r="W20" s="102" cm="1">
        <f t="array" ref="W20">SUMIF(Site_Detail_7[[Category]:[Category]],Site_Category_Sum_7[[#This Row],[Column1]:[Column1]],Site_Detail_7[(enter addt''l. fund source 5)])</f>
        <v>0</v>
      </c>
      <c r="X20" s="233">
        <f>ROUND(SUM(Site_Category_Sum_7[[#This Row],[Column2]:[Column7]]),2)</f>
        <v>0</v>
      </c>
      <c r="Z20" s="178" t="s">
        <v>0</v>
      </c>
    </row>
    <row r="21" spans="2:26" x14ac:dyDescent="0.25">
      <c r="B21" s="53"/>
      <c r="C21" s="54"/>
      <c r="D21" s="53"/>
      <c r="E21" s="54"/>
      <c r="F21" s="54"/>
      <c r="G21" s="219"/>
      <c r="H21" s="196"/>
      <c r="I21" s="220"/>
      <c r="J21" s="55"/>
      <c r="K21" s="55"/>
      <c r="L21" s="55"/>
      <c r="M21" s="207"/>
      <c r="N21" s="200">
        <f>ROUND(SUM(Site_Detail_7[[#This Row],[21st CCLC,  Title IV-B]:[(enter addt''l. fund source 5)]]),2)</f>
        <v>0</v>
      </c>
      <c r="O21" s="208"/>
      <c r="Q21" s="103" t="s">
        <v>603</v>
      </c>
      <c r="R21" s="230" cm="1">
        <f t="array" ref="R21">SUMIF(Site_Detail_7[[Category]:[Category]],Site_Category_Sum_7[[#This Row],[Column1]:[Column1]],Site_Detail_7[21st CCLC,  Title IV-B])</f>
        <v>0</v>
      </c>
      <c r="S21" s="124" cm="1">
        <f t="array" ref="S21">SUMIF(Site_Detail_7[[Category]:[Category]],Site_Category_Sum_7[[#This Row],[Column1]:[Column1]],Site_Detail_7[(enter addt''l. fund source 1)])</f>
        <v>0</v>
      </c>
      <c r="T21" s="102" cm="1">
        <f t="array" ref="T21">SUMIF(Site_Detail_7[[Category]:[Category]],Site_Category_Sum_7[[#This Row],[Column1]:[Column1]],Site_Detail_7[(enter addt''l. fund source 2)])</f>
        <v>0</v>
      </c>
      <c r="U21" s="102" cm="1">
        <f t="array" ref="U21">SUMIF(Site_Detail_7[[Category]:[Category]],Site_Category_Sum_7[[#This Row],[Column1]:[Column1]],Site_Detail_7[(enter addt''l. fund source 3)])</f>
        <v>0</v>
      </c>
      <c r="V21" s="102" cm="1">
        <f t="array" ref="V21">SUMIF(Site_Detail_7[[Category]:[Category]],Site_Category_Sum_7[[#This Row],[Column1]:[Column1]],Site_Detail_7[(enter addt''l. fund source 4)])</f>
        <v>0</v>
      </c>
      <c r="W21" s="102" cm="1">
        <f t="array" ref="W21">SUMIF(Site_Detail_7[[Category]:[Category]],Site_Category_Sum_7[[#This Row],[Column1]:[Column1]],Site_Detail_7[(enter addt''l. fund source 5)])</f>
        <v>0</v>
      </c>
      <c r="X21" s="233">
        <f>ROUND(SUM(Site_Category_Sum_7[[#This Row],[Column2]:[Column7]]),2)</f>
        <v>0</v>
      </c>
      <c r="Z21" s="178" t="s">
        <v>0</v>
      </c>
    </row>
    <row r="22" spans="2:26" x14ac:dyDescent="0.25">
      <c r="B22" s="53"/>
      <c r="C22" s="54"/>
      <c r="D22" s="53"/>
      <c r="E22" s="54"/>
      <c r="F22" s="54"/>
      <c r="G22" s="219"/>
      <c r="H22" s="196"/>
      <c r="I22" s="220"/>
      <c r="J22" s="55"/>
      <c r="K22" s="55"/>
      <c r="L22" s="55"/>
      <c r="M22" s="207"/>
      <c r="N22" s="200">
        <f>ROUND(SUM(Site_Detail_7[[#This Row],[21st CCLC,  Title IV-B]:[(enter addt''l. fund source 5)]]),2)</f>
        <v>0</v>
      </c>
      <c r="O22" s="208"/>
      <c r="Q22" s="103" t="s">
        <v>604</v>
      </c>
      <c r="R22" s="230" cm="1">
        <f t="array" ref="R22">SUMIF(Site_Detail_7[[Category]:[Category]],Site_Category_Sum_7[[#This Row],[Column1]:[Column1]],Site_Detail_7[21st CCLC,  Title IV-B])</f>
        <v>0</v>
      </c>
      <c r="S22" s="124" cm="1">
        <f t="array" ref="S22">SUMIF(Site_Detail_7[[Category]:[Category]],Site_Category_Sum_7[[#This Row],[Column1]:[Column1]],Site_Detail_7[(enter addt''l. fund source 1)])</f>
        <v>0</v>
      </c>
      <c r="T22" s="102" cm="1">
        <f t="array" ref="T22">SUMIF(Site_Detail_7[[Category]:[Category]],Site_Category_Sum_7[[#This Row],[Column1]:[Column1]],Site_Detail_7[(enter addt''l. fund source 2)])</f>
        <v>0</v>
      </c>
      <c r="U22" s="102" cm="1">
        <f t="array" ref="U22">SUMIF(Site_Detail_7[[Category]:[Category]],Site_Category_Sum_7[[#This Row],[Column1]:[Column1]],Site_Detail_7[(enter addt''l. fund source 3)])</f>
        <v>0</v>
      </c>
      <c r="V22" s="102" cm="1">
        <f t="array" ref="V22">SUMIF(Site_Detail_7[[Category]:[Category]],Site_Category_Sum_7[[#This Row],[Column1]:[Column1]],Site_Detail_7[(enter addt''l. fund source 4)])</f>
        <v>0</v>
      </c>
      <c r="W22" s="102" cm="1">
        <f t="array" ref="W22">SUMIF(Site_Detail_7[[Category]:[Category]],Site_Category_Sum_7[[#This Row],[Column1]:[Column1]],Site_Detail_7[(enter addt''l. fund source 5)])</f>
        <v>0</v>
      </c>
      <c r="X22" s="233">
        <f>ROUND(SUM(Site_Category_Sum_7[[#This Row],[Column2]:[Column7]]),2)</f>
        <v>0</v>
      </c>
      <c r="Z22" s="178" t="s">
        <v>0</v>
      </c>
    </row>
    <row r="23" spans="2:26" x14ac:dyDescent="0.25">
      <c r="B23" s="53"/>
      <c r="C23" s="54"/>
      <c r="D23" s="53"/>
      <c r="E23" s="54"/>
      <c r="F23" s="54"/>
      <c r="G23" s="219"/>
      <c r="H23" s="196"/>
      <c r="I23" s="220"/>
      <c r="J23" s="55"/>
      <c r="K23" s="55"/>
      <c r="L23" s="55"/>
      <c r="M23" s="207"/>
      <c r="N23" s="200">
        <f>ROUND(SUM(Site_Detail_7[[#This Row],[21st CCLC,  Title IV-B]:[(enter addt''l. fund source 5)]]),2)</f>
        <v>0</v>
      </c>
      <c r="O23" s="208"/>
      <c r="Q23" s="103" t="s">
        <v>567</v>
      </c>
      <c r="R23" s="230" cm="1">
        <f t="array" ref="R23">SUMIF(Site_Detail_7[[Category]:[Category]],Site_Category_Sum_7[[#This Row],[Column1]:[Column1]],Site_Detail_7[21st CCLC,  Title IV-B])</f>
        <v>0</v>
      </c>
      <c r="S23" s="124" cm="1">
        <f t="array" ref="S23">SUMIF(Site_Detail_7[[Category]:[Category]],Site_Category_Sum_7[[#This Row],[Column1]:[Column1]],Site_Detail_7[(enter addt''l. fund source 1)])</f>
        <v>0</v>
      </c>
      <c r="T23" s="102" cm="1">
        <f t="array" ref="T23">SUMIF(Site_Detail_7[[Category]:[Category]],Site_Category_Sum_7[[#This Row],[Column1]:[Column1]],Site_Detail_7[(enter addt''l. fund source 2)])</f>
        <v>0</v>
      </c>
      <c r="U23" s="102" cm="1">
        <f t="array" ref="U23">SUMIF(Site_Detail_7[[Category]:[Category]],Site_Category_Sum_7[[#This Row],[Column1]:[Column1]],Site_Detail_7[(enter addt''l. fund source 3)])</f>
        <v>0</v>
      </c>
      <c r="V23" s="102" cm="1">
        <f t="array" ref="V23">SUMIF(Site_Detail_7[[Category]:[Category]],Site_Category_Sum_7[[#This Row],[Column1]:[Column1]],Site_Detail_7[(enter addt''l. fund source 4)])</f>
        <v>0</v>
      </c>
      <c r="W23" s="102" cm="1">
        <f t="array" ref="W23">SUMIF(Site_Detail_7[[Category]:[Category]],Site_Category_Sum_7[[#This Row],[Column1]:[Column1]],Site_Detail_7[(enter addt''l. fund source 5)])</f>
        <v>0</v>
      </c>
      <c r="X23" s="233">
        <f>ROUND(SUM(Site_Category_Sum_7[[#This Row],[Column2]:[Column7]]),2)</f>
        <v>0</v>
      </c>
      <c r="Z23" s="178" t="s">
        <v>0</v>
      </c>
    </row>
    <row r="24" spans="2:26" x14ac:dyDescent="0.25">
      <c r="B24" s="53"/>
      <c r="C24" s="54"/>
      <c r="D24" s="53"/>
      <c r="E24" s="54"/>
      <c r="F24" s="54"/>
      <c r="G24" s="219"/>
      <c r="H24" s="196"/>
      <c r="I24" s="220"/>
      <c r="J24" s="55"/>
      <c r="K24" s="55"/>
      <c r="L24" s="55"/>
      <c r="M24" s="207"/>
      <c r="N24" s="200">
        <f>ROUND(SUM(Site_Detail_7[[#This Row],[21st CCLC,  Title IV-B]:[(enter addt''l. fund source 5)]]),2)</f>
        <v>0</v>
      </c>
      <c r="O24" s="208"/>
      <c r="Q24" s="103" t="s">
        <v>192</v>
      </c>
      <c r="R24" s="230">
        <f>ROUND(SUMIFS(Site_Detail_7[21st CCLC,  Title IV-B],Site_Detail_7[[Category]:[Category]],"Indirect",Site_Detail_7[[Contracted Service?]:[Contracted Service?]],"&lt;&gt;Yes"),2)</f>
        <v>0</v>
      </c>
      <c r="S24" s="124">
        <f>ROUND(SUMIFS(Site_Detail_7[(enter addt''l. fund source 1)],Site_Detail_7[[Category]:[Category]],"Indirect",Site_Detail_7[[Contracted Service?]:[Contracted Service?]],"&lt;&gt;Yes"),2)</f>
        <v>0</v>
      </c>
      <c r="T24" s="102">
        <f>ROUND(SUMIFS(Site_Detail_7[(enter addt''l. fund source 2)],Site_Detail_7[[Category]:[Category]],"Indirect",Site_Detail_7[[Contracted Service?]:[Contracted Service?]],"&lt;&gt;Yes"),2)</f>
        <v>0</v>
      </c>
      <c r="U24" s="102">
        <f>ROUND(SUMIFS(Site_Detail_7[(enter addt''l. fund source 3)],Site_Detail_7[[Category]:[Category]],"Indirect",Site_Detail_7[[Contracted Service?]:[Contracted Service?]],"&lt;&gt;Yes"),2)</f>
        <v>0</v>
      </c>
      <c r="V24" s="102">
        <f>ROUND(SUMIFS(Site_Detail_7[(enter addt''l. fund source 4)],Site_Detail_7[[Category]:[Category]],"Indirect",Site_Detail_7[[Contracted Service?]:[Contracted Service?]],"&lt;&gt;Yes"),2)</f>
        <v>0</v>
      </c>
      <c r="W24" s="102">
        <f>ROUND(SUMIFS(Site_Detail_7[(enter addt''l. fund source 5)],Site_Detail_7[[Category]:[Category]],"Indirect",Site_Detail_7[[Contracted Service?]:[Contracted Service?]],"&lt;&gt;Yes"),2)</f>
        <v>0</v>
      </c>
      <c r="X24" s="233">
        <f>ROUND(SUM(Site_Category_Sum_7[[#This Row],[Column2]:[Column7]]),2)</f>
        <v>0</v>
      </c>
      <c r="Z24" s="178" t="s">
        <v>0</v>
      </c>
    </row>
    <row r="25" spans="2:26" x14ac:dyDescent="0.25">
      <c r="B25" s="53"/>
      <c r="C25" s="54"/>
      <c r="D25" s="53"/>
      <c r="E25" s="54"/>
      <c r="F25" s="54"/>
      <c r="G25" s="219"/>
      <c r="H25" s="196"/>
      <c r="I25" s="220"/>
      <c r="J25" s="55"/>
      <c r="K25" s="55"/>
      <c r="L25" s="55"/>
      <c r="M25" s="207"/>
      <c r="N25" s="200">
        <f>ROUND(SUM(Site_Detail_7[[#This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ROUND(SUM(Site_Category_Sum_7[[#This Row],[Column2]:[Column7]]),2)</f>
        <v>0</v>
      </c>
      <c r="Z25" s="178" t="s">
        <v>0</v>
      </c>
    </row>
    <row r="26" spans="2:26" x14ac:dyDescent="0.25">
      <c r="B26" s="53"/>
      <c r="C26" s="54"/>
      <c r="D26" s="53"/>
      <c r="E26" s="54"/>
      <c r="F26" s="54"/>
      <c r="G26" s="219"/>
      <c r="H26" s="196"/>
      <c r="I26" s="220"/>
      <c r="J26" s="55"/>
      <c r="K26" s="55"/>
      <c r="L26" s="55"/>
      <c r="M26" s="207"/>
      <c r="N26" s="200">
        <f>ROUND(SUM(Site_Detail_7[[#This Row],[21st CCLC,  Title IV-B]:[(enter addt''l. fund source 5)]]),2)</f>
        <v>0</v>
      </c>
      <c r="O26" s="208"/>
      <c r="Q26" s="103" t="s">
        <v>291</v>
      </c>
      <c r="R26" s="230" cm="1">
        <f t="array" ref="R26">SUMIF(Site_Detail_7[[Program Type]:[Program Type]],Site_Category_Sum_7[[#This Row],[Column1]:[Column1]],Site_Detail_7[21st CCLC,  Title IV-B])</f>
        <v>0</v>
      </c>
      <c r="S26" s="124" cm="1">
        <f t="array" ref="S26">SUMIF(Site_Detail_7[[Program Type]:[Program Type]],Site_Category_Sum_7[[#This Row],[Column1]:[Column1]],Site_Detail_7[(enter addt''l. fund source 1)])</f>
        <v>0</v>
      </c>
      <c r="T26" s="102" cm="1">
        <f t="array" ref="T26">SUMIF(Site_Detail_7[[Program Type]:[Program Type]],Site_Category_Sum_7[[#This Row],[Column1]:[Column1]],Site_Detail_7[(enter addt''l. fund source 2)])</f>
        <v>0</v>
      </c>
      <c r="U26" s="102" cm="1">
        <f t="array" ref="U26">SUMIF(Site_Detail_7[[Program Type]:[Program Type]],Site_Category_Sum_7[[#This Row],[Column1]:[Column1]],Site_Detail_7[(enter addt''l. fund source 3)])</f>
        <v>0</v>
      </c>
      <c r="V26" s="102" cm="1">
        <f t="array" ref="V26">SUMIF(Site_Detail_7[[Program Type]:[Program Type]],Site_Category_Sum_7[[#This Row],[Column1]:[Column1]],Site_Detail_7[(enter addt''l. fund source 4)])</f>
        <v>0</v>
      </c>
      <c r="W26" s="102" cm="1">
        <f t="array" ref="W26">SUMIF(Site_Detail_7[[Program Type]:[Program Type]],Site_Category_Sum_7[[#This Row],[Column1]:[Column1]],Site_Detail_7[(enter addt''l. fund source 5)])</f>
        <v>0</v>
      </c>
      <c r="X26" s="233">
        <f>ROUND(SUM(Site_Category_Sum_7[[#This Row],[Column2]:[Column7]]),2)</f>
        <v>0</v>
      </c>
      <c r="Z26" s="178" t="s">
        <v>0</v>
      </c>
    </row>
    <row r="27" spans="2:26" x14ac:dyDescent="0.25">
      <c r="B27" s="53"/>
      <c r="C27" s="54"/>
      <c r="D27" s="53"/>
      <c r="E27" s="54"/>
      <c r="F27" s="54"/>
      <c r="G27" s="219"/>
      <c r="H27" s="196"/>
      <c r="I27" s="220"/>
      <c r="J27" s="55"/>
      <c r="K27" s="55"/>
      <c r="L27" s="55"/>
      <c r="M27" s="207"/>
      <c r="N27" s="200">
        <f>ROUND(SUM(Site_Detail_7[[#This Row],[21st CCLC,  Title IV-B]:[(enter addt''l. fund source 5)]]),2)</f>
        <v>0</v>
      </c>
      <c r="O27" s="208"/>
      <c r="Q27" s="103" t="s">
        <v>292</v>
      </c>
      <c r="R27" s="230" cm="1">
        <f t="array" ref="R27">SUMIF(Site_Detail_7[[Program Type]:[Program Type]],Site_Category_Sum_7[[#This Row],[Column1]:[Column1]],Site_Detail_7[21st CCLC,  Title IV-B])</f>
        <v>0</v>
      </c>
      <c r="S27" s="124" cm="1">
        <f t="array" ref="S27">SUMIF(Site_Detail_7[[Program Type]:[Program Type]],Site_Category_Sum_7[[#This Row],[Column1]:[Column1]],Site_Detail_7[(enter addt''l. fund source 1)])</f>
        <v>0</v>
      </c>
      <c r="T27" s="102" cm="1">
        <f t="array" ref="T27">SUMIF(Site_Detail_7[[Program Type]:[Program Type]],Site_Category_Sum_7[[#This Row],[Column1]:[Column1]],Site_Detail_7[(enter addt''l. fund source 2)])</f>
        <v>0</v>
      </c>
      <c r="U27" s="102" cm="1">
        <f t="array" ref="U27">SUMIF(Site_Detail_7[[Program Type]:[Program Type]],Site_Category_Sum_7[[#This Row],[Column1]:[Column1]],Site_Detail_7[(enter addt''l. fund source 3)])</f>
        <v>0</v>
      </c>
      <c r="V27" s="102" cm="1">
        <f t="array" ref="V27">SUMIF(Site_Detail_7[[Program Type]:[Program Type]],Site_Category_Sum_7[[#This Row],[Column1]:[Column1]],Site_Detail_7[(enter addt''l. fund source 4)])</f>
        <v>0</v>
      </c>
      <c r="W27" s="102" cm="1">
        <f t="array" ref="W27">SUMIF(Site_Detail_7[[Program Type]:[Program Type]],Site_Category_Sum_7[[#This Row],[Column1]:[Column1]],Site_Detail_7[(enter addt''l. fund source 5)])</f>
        <v>0</v>
      </c>
      <c r="X27" s="233">
        <f>ROUND(SUM(Site_Category_Sum_7[[#This Row],[Column2]:[Column7]]),2)</f>
        <v>0</v>
      </c>
    </row>
    <row r="28" spans="2:26" x14ac:dyDescent="0.25">
      <c r="B28" s="53"/>
      <c r="C28" s="54"/>
      <c r="D28" s="53"/>
      <c r="E28" s="54"/>
      <c r="F28" s="54"/>
      <c r="G28" s="219"/>
      <c r="H28" s="196"/>
      <c r="I28" s="220"/>
      <c r="J28" s="55"/>
      <c r="K28" s="55"/>
      <c r="L28" s="55"/>
      <c r="M28" s="207"/>
      <c r="N28" s="200">
        <f>ROUND(SUM(Site_Detail_7[[#This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ROUND(SUM(Site_Category_Sum_7[[#This Row],[Column2]:[Column7]]),2)</f>
        <v>0</v>
      </c>
    </row>
    <row r="29" spans="2:26" x14ac:dyDescent="0.25">
      <c r="B29" s="53"/>
      <c r="C29" s="54"/>
      <c r="D29" s="53"/>
      <c r="E29" s="54"/>
      <c r="F29" s="54"/>
      <c r="G29" s="219"/>
      <c r="H29" s="196"/>
      <c r="I29" s="220"/>
      <c r="J29" s="55"/>
      <c r="K29" s="55"/>
      <c r="L29" s="55"/>
      <c r="M29" s="207"/>
      <c r="N29" s="200">
        <f>ROUND(SUM(Site_Detail_7[[#This Row],[21st CCLC,  Title IV-B]:[(enter addt''l. fund source 5)]]),2)</f>
        <v>0</v>
      </c>
      <c r="O29" s="208"/>
      <c r="Q29" s="103" t="s">
        <v>591</v>
      </c>
      <c r="R29" s="230">
        <f>ROUND(SUMIF(Site_Detail_7[[Contracted Service?]:[Contracted Service?]],"Yes",Site_Detail_7[21st CCLC,  Title IV-B]),2)</f>
        <v>0</v>
      </c>
      <c r="S29" s="124">
        <f>ROUND(SUMIF(Site_Detail_7[[Contracted Service?]:[Contracted Service?]],"Yes",Site_Detail_7[(enter addt''l. fund source 1)]),2)</f>
        <v>0</v>
      </c>
      <c r="T29" s="102">
        <f>ROUND(SUMIF(Site_Detail_7[[Contracted Service?]:[Contracted Service?]],"Yes",Site_Detail_7[(enter addt''l. fund source 2)]),2)</f>
        <v>0</v>
      </c>
      <c r="U29" s="102">
        <f>ROUND(SUMIF(Site_Detail_7[[Contracted Service?]:[Contracted Service?]],"Yes",Site_Detail_7[(enter addt''l. fund source 3)]),2)</f>
        <v>0</v>
      </c>
      <c r="V29" s="102">
        <f>ROUND(SUMIF(Site_Detail_7[[Contracted Service?]:[Contracted Service?]],"Yes",Site_Detail_7[(enter addt''l. fund source 4)]),2)</f>
        <v>0</v>
      </c>
      <c r="W29" s="102">
        <f>ROUND(SUMIF(Site_Detail_7[[Contracted Service?]:[Contracted Service?]],"Yes",Site_Detail_7[(enter addt''l. fund source 5)]),2)</f>
        <v>0</v>
      </c>
      <c r="X29" s="233">
        <f>ROUND(SUM(Site_Category_Sum_7[[#This Row],[Column2]:[Column7]]),2)</f>
        <v>0</v>
      </c>
    </row>
    <row r="30" spans="2:26" x14ac:dyDescent="0.25">
      <c r="B30" s="53"/>
      <c r="C30" s="54"/>
      <c r="D30" s="53"/>
      <c r="E30" s="54"/>
      <c r="F30" s="54"/>
      <c r="G30" s="219"/>
      <c r="H30" s="196"/>
      <c r="I30" s="220"/>
      <c r="J30" s="55"/>
      <c r="K30" s="55"/>
      <c r="L30" s="55"/>
      <c r="M30" s="207"/>
      <c r="N30" s="200">
        <f>ROUND(SUM(Site_Detail_7[[#This Row],[21st CCLC,  Title IV-B]:[(enter addt''l. fund source 5)]]),2)</f>
        <v>0</v>
      </c>
      <c r="O30" s="208"/>
      <c r="Q30" s="103" t="s">
        <v>597</v>
      </c>
      <c r="R30" s="230">
        <f>ROUND(SUMIF(Site_Detail_7[[Contracted Service?]:[Contracted Service?]],"&lt;&gt;Yes",Site_Detail_7[21st CCLC,  Title IV-B]),2)</f>
        <v>0</v>
      </c>
      <c r="S30" s="124">
        <f>ROUND(SUMIF(Site_Detail_7[[Contracted Service?]:[Contracted Service?]],"&lt;&gt;Yes",Site_Detail_7[(enter addt''l. fund source 1)]),2)</f>
        <v>0</v>
      </c>
      <c r="T30" s="102">
        <f>ROUND(SUMIF(Site_Detail_7[[Contracted Service?]:[Contracted Service?]],"&lt;&gt;Yes",Site_Detail_7[(enter addt''l. fund source 2)]),2)</f>
        <v>0</v>
      </c>
      <c r="U30" s="102">
        <f>ROUND(SUMIF(Site_Detail_7[[Contracted Service?]:[Contracted Service?]],"&lt;&gt;Yes",Site_Detail_7[(enter addt''l. fund source 3)]),2)</f>
        <v>0</v>
      </c>
      <c r="V30" s="102">
        <f>ROUND(SUMIF(Site_Detail_7[[Contracted Service?]:[Contracted Service?]],"&lt;&gt;Yes",Site_Detail_7[(enter addt''l. fund source 4)]),2)</f>
        <v>0</v>
      </c>
      <c r="W30" s="102">
        <f>ROUND(SUMIF(Site_Detail_7[[Contracted Service?]:[Contracted Service?]],"&lt;&gt;Yes",Site_Detail_7[(enter addt''l. fund source 5)]),2)</f>
        <v>0</v>
      </c>
      <c r="X30" s="233">
        <f>ROUND(SUM(Site_Category_Sum_7[[#This Row],[Column2]:[Column7]]),2)</f>
        <v>0</v>
      </c>
    </row>
    <row r="31" spans="2:26" x14ac:dyDescent="0.25">
      <c r="B31" s="53"/>
      <c r="C31" s="54"/>
      <c r="D31" s="53"/>
      <c r="E31" s="54"/>
      <c r="F31" s="54"/>
      <c r="G31" s="219"/>
      <c r="H31" s="196"/>
      <c r="I31" s="220"/>
      <c r="J31" s="55"/>
      <c r="K31" s="55"/>
      <c r="L31" s="55"/>
      <c r="M31" s="207"/>
      <c r="N31" s="200">
        <f>ROUND(SUM(Site_Detail_7[[#This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ROUND(SUM(Site_Category_Sum_7[[#This Row],[Column2]:[Column7]]),2)</f>
        <v>0</v>
      </c>
    </row>
    <row r="32" spans="2:26" x14ac:dyDescent="0.25">
      <c r="B32" s="53"/>
      <c r="C32" s="54"/>
      <c r="D32" s="53"/>
      <c r="E32" s="54"/>
      <c r="F32" s="54"/>
      <c r="G32" s="219"/>
      <c r="H32" s="196"/>
      <c r="I32" s="220"/>
      <c r="J32" s="55"/>
      <c r="K32" s="55"/>
      <c r="L32" s="55"/>
      <c r="M32" s="207"/>
      <c r="N32" s="200">
        <f>ROUND(SUM(Site_Detail_7[[#This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ROUND(SUM(Site_Detail_7[[#This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ROUND(SUM(Site_Detail_7[[#This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ROUND(SUM(Site_Detail_7[[#This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ROUND(SUM(Site_Detail_7[[#This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ROUND(SUM(Site_Detail_7[[#This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ROUND(SUM(Site_Detail_7[[#This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ROUND(SUM(Site_Detail_7[[#This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ROUND(SUM(Site_Detail_7[[#This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ROUND(SUM(Site_Detail_7[[#This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ROUND(SUM(Site_Detail_7[[#This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ROUND(SUM(Site_Detail_7[[#This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ROUND(SUM(Site_Detail_7[[#This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ROUND(SUM(Site_Detail_7[[#This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ROUND(SUM(Site_Detail_7[[#This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ROUND(SUM(Site_Detail_7[[#This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ROUND(SUM(Site_Detail_7[[#This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ROUND(SUM(Site_Detail_7[[#This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ROUND(SUM(Site_Detail_7[[#This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ROUND(SUM(Site_Detail_7[[#This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ROUND(SUM(Site_Detail_7[[#This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ROUND(SUM(Site_Detail_7[[#This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ROUND(SUM(Site_Detail_7[[#This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ROUND(SUM(Site_Detail_7[[#This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ROUND(SUM(Site_Detail_7[[#This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ROUND(SUM(Site_Detail_7[[#This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ROUND(SUM(Site_Detail_7[[#This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ROUND(SUM(Site_Detail_7[[#This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ROUND(SUM(Site_Detail_7[[#This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ROUND(SUM(Site_Detail_7[[#This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ROUND(SUM(Site_Detail_7[[#This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ROUND(SUM(Site_Detail_7[[#This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ROUND(SUM(Site_Detail_7[[#This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ROUND(SUM(Site_Detail_7[[#This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ROUND(SUM(Site_Detail_7[[#This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ROUND(SUM(Site_Detail_7[[#This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ROUND(SUM(Site_Detail_7[[#This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ROUND(SUM(Site_Detail_7[[#This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ROUND(SUM(Site_Detail_7[[#This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ROUND(SUM(Site_Detail_7[[#This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ROUND(SUM(Site_Detail_7[[#This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ROUND(SUM(Site_Detail_7[[#This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ROUND(SUM(Site_Detail_7[[#This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ROUND(SUM(Site_Detail_7[[#This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ROUND(SUM(Site_Detail_7[[#This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ROUND(SUM(Site_Detail_7[[#This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ROUND(SUM(Site_Detail_7[[#This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ROUND(SUM(Site_Detail_7[[#This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ROUND(SUM(Site_Detail_7[[#This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ROUND(SUM(Site_Detail_7[[#This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ROUND(SUM(Site_Detail_7[[#This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ROUND(SUM(Site_Detail_7[[#This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ROUND(SUM(Site_Detail_7[[#This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ROUND(SUM(Site_Detail_7[[#This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ROUND(SUM(Site_Detail_7[[#This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ROUND(SUM(Site_Detail_7[[#This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108" priority="6" operator="equal">
      <formula>"(select)"</formula>
    </cfRule>
  </conditionalFormatting>
  <conditionalFormatting sqref="B13:G87">
    <cfRule type="expression" dxfId="107" priority="7">
      <formula>AND(SUM($H13:$M13)&gt;0,B13="")</formula>
    </cfRule>
  </conditionalFormatting>
  <conditionalFormatting sqref="C4:C5 C7">
    <cfRule type="cellIs" dxfId="106" priority="1" operator="equal">
      <formula>"(autofill)"</formula>
    </cfRule>
    <cfRule type="expression" dxfId="105" priority="2">
      <formula>$C$5="Invalid Entity ID"</formula>
    </cfRule>
  </conditionalFormatting>
  <conditionalFormatting sqref="C6">
    <cfRule type="cellIs" dxfId="104" priority="3" operator="equal">
      <formula>"(enter center/site name)"</formula>
    </cfRule>
  </conditionalFormatting>
  <conditionalFormatting sqref="C8">
    <cfRule type="cellIs" dxfId="103" priority="4" operator="equal">
      <formula>"(enter #)"</formula>
    </cfRule>
  </conditionalFormatting>
  <conditionalFormatting sqref="C13:C87">
    <cfRule type="cellIs" dxfId="102" priority="8" operator="equal">
      <formula>"Yes"</formula>
    </cfRule>
  </conditionalFormatting>
  <conditionalFormatting sqref="E13">
    <cfRule type="cellIs" dxfId="101" priority="9" operator="equal">
      <formula>"(fx code)"</formula>
    </cfRule>
  </conditionalFormatting>
  <conditionalFormatting sqref="F13">
    <cfRule type="cellIs" dxfId="100" priority="10" operator="equal">
      <formula>"(obj)"</formula>
    </cfRule>
  </conditionalFormatting>
  <conditionalFormatting sqref="G13">
    <cfRule type="cellIs" dxfId="99" priority="11" operator="equal">
      <formula>"(enter description)"</formula>
    </cfRule>
  </conditionalFormatting>
  <conditionalFormatting sqref="H13:M13">
    <cfRule type="cellIs" dxfId="98" priority="12" operator="equal">
      <formula>"(enter $)"</formula>
    </cfRule>
  </conditionalFormatting>
  <conditionalFormatting sqref="I7:M7 I12:M12 S12:W12">
    <cfRule type="containsText" dxfId="97" priority="5" operator="containsText" text="(addt'l. fund source">
      <formula>NOT(ISERROR(SEARCH("(addt'l. fund source",I7)))</formula>
    </cfRule>
  </conditionalFormatting>
  <conditionalFormatting sqref="O13">
    <cfRule type="cellIs" dxfId="96" priority="13" operator="equal">
      <formula>"(enter note)"</formula>
    </cfRule>
  </conditionalFormatting>
  <dataValidations count="4">
    <dataValidation type="list" allowBlank="1" showErrorMessage="1" sqref="C13:C87" xr:uid="{22622B9F-C4CF-4D13-BE7C-C1362C9F0B7B}">
      <formula1>Contracted_List</formula1>
    </dataValidation>
    <dataValidation type="list" allowBlank="1" showErrorMessage="1" sqref="D13:D87" xr:uid="{F47723F5-E93D-40FF-9061-133BC710217C}">
      <formula1>Categories_List</formula1>
    </dataValidation>
    <dataValidation type="list" allowBlank="1" showErrorMessage="1" sqref="B13:B87" xr:uid="{878E4D1D-DF1A-4639-8308-E2AF3AA4346B}">
      <formula1>Program_List</formula1>
    </dataValidation>
    <dataValidation allowBlank="1" showInputMessage="1" showErrorMessage="1" prompt="Each line item for salaries MUST indicate: _x000a__x000a_1) Amount of FTE, and _x000a__x000a_2) Type of position (see Budget Guidance tab for examples)." sqref="G13:G15" xr:uid="{F3B330AC-22B8-48CC-8362-D14785132DBD}"/>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0CCC6-F2FA-4327-8F6E-8896D6E67A6C}">
  <sheetPr>
    <tabColor rgb="FFAAD4F4"/>
    <pageSetUpPr autoPageBreaks="0" fitToPage="1"/>
  </sheetPr>
  <dimension ref="A1:Z87"/>
  <sheetViews>
    <sheetView showGridLines="0" showRowColHeaders="0" zoomScaleNormal="100" workbookViewId="0">
      <pane ySplit="12" topLeftCell="A13" activePane="bottomLeft" state="frozen"/>
      <selection activeCell="B2" sqref="B2:H2"/>
      <selection pane="bottomLeft" activeCell="B2" sqref="B2:H2"/>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625</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ROUND(SUMIF(Site_Detail_8[[Program Type]:[Program Type]],"Before/Afterschool",Site_Detail_8[21st CCLC,  Title IV-B]),2)</f>
        <v>0</v>
      </c>
      <c r="I8" s="150">
        <f>ROUND(SUMIF(Site_Detail_8[[Program Type]:[Program Type]],"Before/Afterschool",Site_Detail_8[(enter addt''l. fund source 1)]),2)</f>
        <v>0</v>
      </c>
      <c r="J8" s="150">
        <f>ROUND(SUMIF(Site_Detail_8[[Program Type]:[Program Type]],"Before/Afterschool",Site_Detail_8[(enter addt''l. fund source 2)]),2)</f>
        <v>0</v>
      </c>
      <c r="K8" s="150">
        <f>ROUND(SUMIF(Site_Detail_8[[Program Type]:[Program Type]],"Before/Afterschool",Site_Detail_8[(enter addt''l. fund source 3)]),2)</f>
        <v>0</v>
      </c>
      <c r="L8" s="150">
        <f>ROUND(SUMIF(Site_Detail_8[[Program Type]:[Program Type]],"Before/Afterschool",Site_Detail_8[(enter addt''l. fund source 4)]),2)</f>
        <v>0</v>
      </c>
      <c r="M8" s="203">
        <f>ROUND(SUMIF(Site_Detail_8[[Program Type]:[Program Type]],"Before/Afterschool",Site_Detail_8[(enter addt''l. fund source 5)]),2)</f>
        <v>0</v>
      </c>
      <c r="N8" s="198">
        <f>SUM(Site_Summary_8[[#This Row],[Column3]:[Column8]])</f>
        <v>0</v>
      </c>
    </row>
    <row r="9" spans="1:26" customFormat="1" x14ac:dyDescent="0.25">
      <c r="A9" s="1" t="s">
        <v>0</v>
      </c>
      <c r="B9" s="408"/>
      <c r="C9" s="410"/>
      <c r="G9" s="149" t="s">
        <v>609</v>
      </c>
      <c r="H9" s="151">
        <f>ROUND(SUMIF(Site_Detail_8[[Program Type]:[Program Type]],"Summer",Site_Detail_8[21st CCLC,  Title IV-B]),2)</f>
        <v>0</v>
      </c>
      <c r="I9" s="150">
        <f>ROUND(SUMIF(Site_Detail_8[[Program Type]:[Program Type]],"Summer",Site_Detail_8[(enter addt''l. fund source 1)]),2)</f>
        <v>0</v>
      </c>
      <c r="J9" s="150">
        <f>ROUND(SUMIF(Site_Detail_8[[Program Type]:[Program Type]],"Summer",Site_Detail_8[(enter addt''l. fund source 2)]),2)</f>
        <v>0</v>
      </c>
      <c r="K9" s="150">
        <f>ROUND(SUMIF(Site_Detail_8[[Program Type]:[Program Type]],"Summer",Site_Detail_8[(enter addt''l. fund source 3)]),2)</f>
        <v>0</v>
      </c>
      <c r="L9" s="150">
        <f>ROUND(SUMIF(Site_Detail_8[[Program Type]:[Program Type]],"Summer",Site_Detail_8[(enter addt''l. fund source 4)]),2)</f>
        <v>0</v>
      </c>
      <c r="M9" s="204">
        <f>ROUND(SUMIF(Site_Detail_8[[Program Type]:[Program Type]],"Summer",Site_Detail_8[(enter addt''l. fund source 5)]),2)</f>
        <v>0</v>
      </c>
      <c r="N9" s="199">
        <f>SUM(Site_Summary_8[[#This Row],[Column3]:[Column8]])</f>
        <v>0</v>
      </c>
    </row>
    <row r="10" spans="1:26" customFormat="1" x14ac:dyDescent="0.25">
      <c r="A10" s="1" t="s">
        <v>0</v>
      </c>
      <c r="G10" s="152" t="s">
        <v>626</v>
      </c>
      <c r="H10" s="247">
        <f>ROUND(SUM(Site_Detail_8[21st CCLC,  Title IV-B]),2)</f>
        <v>0</v>
      </c>
      <c r="I10" s="248">
        <f>ROUND(SUM(Site_Detail_8[(enter addt''l. fund source 1)]),2)</f>
        <v>0</v>
      </c>
      <c r="J10" s="109">
        <f>ROUND(SUM(Site_Detail_8[(enter addt''l. fund source 2)]),2)</f>
        <v>0</v>
      </c>
      <c r="K10" s="109">
        <f>ROUND(SUM(Site_Detail_8[(enter addt''l. fund source 3)]),2)</f>
        <v>0</v>
      </c>
      <c r="L10" s="109">
        <f>ROUND(SUM(Site_Detail_8[(enter addt''l. fund source 4)]),2)</f>
        <v>0</v>
      </c>
      <c r="M10" s="110">
        <f>ROUND(SUM(Site_Detail_8[(enter addt''l. fund source 5)]),2)</f>
        <v>0</v>
      </c>
      <c r="N10" s="238">
        <f>SUM(Site_Summary_8[[#This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ROUND(SUM(Site_Detail_8[[#This Row],[21st CCLC,  Title IV-B]:[(enter addt''l. fund source 5)]]),2)</f>
        <v>0</v>
      </c>
      <c r="O13" s="225" t="s">
        <v>28</v>
      </c>
      <c r="Q13" s="101" t="s">
        <v>545</v>
      </c>
      <c r="R13" s="230" cm="1">
        <f t="array" ref="R13">SUMIF(Site_Detail_8[[Category]:[Category]],Site_Category_Sum_8[[#This Row],[Column1]:[Column1]],Site_Detail_8[21st CCLC,  Title IV-B])</f>
        <v>0</v>
      </c>
      <c r="S13" s="124" cm="1">
        <f t="array" ref="S13">SUMIF(Site_Detail_8[[Category]:[Category]],Site_Category_Sum_8[[#This Row],[Column1]:[Column1]],Site_Detail_8[(enter addt''l. fund source 1)])</f>
        <v>0</v>
      </c>
      <c r="T13" s="124" cm="1">
        <f t="array" ref="T13">SUMIF(Site_Detail_8[[Category]:[Category]],Site_Category_Sum_8[[#This Row],[Column1]:[Column1]],Site_Detail_8[(enter addt''l. fund source 2)])</f>
        <v>0</v>
      </c>
      <c r="U13" s="124" cm="1">
        <f t="array" ref="U13">SUMIF(Site_Detail_8[[Category]:[Category]],Site_Category_Sum_8[[#This Row],[Column1]:[Column1]],Site_Detail_8[(enter addt''l. fund source 3)])</f>
        <v>0</v>
      </c>
      <c r="V13" s="124" cm="1">
        <f t="array" ref="V13">SUMIF(Site_Detail_8[[Category]:[Category]],Site_Category_Sum_8[[#This Row],[Column1]:[Column1]],Site_Detail_8[(enter addt''l. fund source 4)])</f>
        <v>0</v>
      </c>
      <c r="W13" s="124" cm="1">
        <f t="array" ref="W13">SUMIF(Site_Detail_8[[Category]:[Category]],Site_Category_Sum_8[[#This Row],[Column1]:[Column1]],Site_Detail_8[(enter addt''l. fund source 5)])</f>
        <v>0</v>
      </c>
      <c r="X13" s="233">
        <f>ROUND(SUM(Site_Category_Sum_8[[#This Row],[Column2]:[Column7]]),2)</f>
        <v>0</v>
      </c>
      <c r="Z13" s="178" t="s">
        <v>0</v>
      </c>
    </row>
    <row r="14" spans="1:26" x14ac:dyDescent="0.25">
      <c r="B14" s="53"/>
      <c r="C14" s="54"/>
      <c r="D14" s="53"/>
      <c r="E14" s="54"/>
      <c r="F14" s="54"/>
      <c r="G14" s="219"/>
      <c r="H14" s="196"/>
      <c r="I14" s="220"/>
      <c r="J14" s="55"/>
      <c r="K14" s="55"/>
      <c r="L14" s="55"/>
      <c r="M14" s="207"/>
      <c r="N14" s="200">
        <f>ROUND(SUM(Site_Detail_8[[#This Row],[21st CCLC,  Title IV-B]:[(enter addt''l. fund source 5)]]),2)</f>
        <v>0</v>
      </c>
      <c r="O14" s="208"/>
      <c r="Q14" s="103" t="s">
        <v>546</v>
      </c>
      <c r="R14" s="230" cm="1">
        <f t="array" ref="R14">SUMIF(Site_Detail_8[[Category]:[Category]],Site_Category_Sum_8[[#This Row],[Column1]:[Column1]],Site_Detail_8[21st CCLC,  Title IV-B])</f>
        <v>0</v>
      </c>
      <c r="S14" s="124" cm="1">
        <f t="array" ref="S14">SUMIF(Site_Detail_8[[Category]:[Category]],Site_Category_Sum_8[[#This Row],[Column1]:[Column1]],Site_Detail_8[(enter addt''l. fund source 1)])</f>
        <v>0</v>
      </c>
      <c r="T14" s="102" cm="1">
        <f t="array" ref="T14">SUMIF(Site_Detail_8[[Category]:[Category]],Site_Category_Sum_8[[#This Row],[Column1]:[Column1]],Site_Detail_8[(enter addt''l. fund source 2)])</f>
        <v>0</v>
      </c>
      <c r="U14" s="102" cm="1">
        <f t="array" ref="U14">SUMIF(Site_Detail_8[[Category]:[Category]],Site_Category_Sum_8[[#This Row],[Column1]:[Column1]],Site_Detail_8[(enter addt''l. fund source 3)])</f>
        <v>0</v>
      </c>
      <c r="V14" s="102" cm="1">
        <f t="array" ref="V14">SUMIF(Site_Detail_8[[Category]:[Category]],Site_Category_Sum_8[[#This Row],[Column1]:[Column1]],Site_Detail_8[(enter addt''l. fund source 4)])</f>
        <v>0</v>
      </c>
      <c r="W14" s="102" cm="1">
        <f t="array" ref="W14">SUMIF(Site_Detail_8[[Category]:[Category]],Site_Category_Sum_8[[#This Row],[Column1]:[Column1]],Site_Detail_8[(enter addt''l. fund source 5)])</f>
        <v>0</v>
      </c>
      <c r="X14" s="233">
        <f>ROUND(SUM(Site_Category_Sum_8[[#This Row],[Column2]:[Column7]]),2)</f>
        <v>0</v>
      </c>
      <c r="Z14" s="178" t="s">
        <v>0</v>
      </c>
    </row>
    <row r="15" spans="1:26" x14ac:dyDescent="0.25">
      <c r="B15" s="50"/>
      <c r="C15" s="51"/>
      <c r="D15" s="50"/>
      <c r="E15" s="51"/>
      <c r="F15" s="51"/>
      <c r="G15" s="221"/>
      <c r="H15" s="196"/>
      <c r="I15" s="222"/>
      <c r="J15" s="52"/>
      <c r="K15" s="52"/>
      <c r="L15" s="52"/>
      <c r="M15" s="205"/>
      <c r="N15" s="200">
        <f>ROUND(SUM(Site_Detail_8[[#This Row],[21st CCLC,  Title IV-B]:[(enter addt''l. fund source 5)]]),2)</f>
        <v>0</v>
      </c>
      <c r="O15" s="206"/>
      <c r="Q15" s="103" t="s">
        <v>161</v>
      </c>
      <c r="R15" s="230" cm="1">
        <f t="array" ref="R15">SUMIF(Site_Detail_8[[Category]:[Category]],Site_Category_Sum_8[[#This Row],[Column1]:[Column1]],Site_Detail_8[21st CCLC,  Title IV-B])</f>
        <v>0</v>
      </c>
      <c r="S15" s="124" cm="1">
        <f t="array" ref="S15">SUMIF(Site_Detail_8[[Category]:[Category]],Site_Category_Sum_8[[#This Row],[Column1]:[Column1]],Site_Detail_8[(enter addt''l. fund source 1)])</f>
        <v>0</v>
      </c>
      <c r="T15" s="102" cm="1">
        <f t="array" ref="T15">SUMIF(Site_Detail_8[[Category]:[Category]],Site_Category_Sum_8[[#This Row],[Column1]:[Column1]],Site_Detail_8[(enter addt''l. fund source 2)])</f>
        <v>0</v>
      </c>
      <c r="U15" s="102" cm="1">
        <f t="array" ref="U15">SUMIF(Site_Detail_8[[Category]:[Category]],Site_Category_Sum_8[[#This Row],[Column1]:[Column1]],Site_Detail_8[(enter addt''l. fund source 3)])</f>
        <v>0</v>
      </c>
      <c r="V15" s="102" cm="1">
        <f t="array" ref="V15">SUMIF(Site_Detail_8[[Category]:[Category]],Site_Category_Sum_8[[#This Row],[Column1]:[Column1]],Site_Detail_8[(enter addt''l. fund source 4)])</f>
        <v>0</v>
      </c>
      <c r="W15" s="102" cm="1">
        <f t="array" ref="W15">SUMIF(Site_Detail_8[[Category]:[Category]],Site_Category_Sum_8[[#This Row],[Column1]:[Column1]],Site_Detail_8[(enter addt''l. fund source 5)])</f>
        <v>0</v>
      </c>
      <c r="X15" s="233">
        <f>ROUND(SUM(Site_Category_Sum_8[[#This Row],[Column2]:[Column7]]),2)</f>
        <v>0</v>
      </c>
      <c r="Z15" s="178" t="s">
        <v>0</v>
      </c>
    </row>
    <row r="16" spans="1:26" x14ac:dyDescent="0.25">
      <c r="B16" s="53"/>
      <c r="C16" s="54"/>
      <c r="D16" s="53"/>
      <c r="E16" s="54"/>
      <c r="F16" s="54"/>
      <c r="G16" s="219"/>
      <c r="H16" s="196"/>
      <c r="I16" s="220"/>
      <c r="J16" s="55"/>
      <c r="K16" s="55"/>
      <c r="L16" s="55"/>
      <c r="M16" s="207"/>
      <c r="N16" s="200">
        <f>ROUND(SUM(Site_Detail_8[[#This Row],[21st CCLC,  Title IV-B]:[(enter addt''l. fund source 5)]]),2)</f>
        <v>0</v>
      </c>
      <c r="O16" s="208"/>
      <c r="Q16" s="103" t="s">
        <v>162</v>
      </c>
      <c r="R16" s="230" cm="1">
        <f t="array" ref="R16">SUMIF(Site_Detail_8[[Category]:[Category]],Site_Category_Sum_8[[#This Row],[Column1]:[Column1]],Site_Detail_8[21st CCLC,  Title IV-B])</f>
        <v>0</v>
      </c>
      <c r="S16" s="124" cm="1">
        <f t="array" ref="S16">SUMIF(Site_Detail_8[[Category]:[Category]],Site_Category_Sum_8[[#This Row],[Column1]:[Column1]],Site_Detail_8[(enter addt''l. fund source 1)])</f>
        <v>0</v>
      </c>
      <c r="T16" s="102" cm="1">
        <f t="array" ref="T16">SUMIF(Site_Detail_8[[Category]:[Category]],Site_Category_Sum_8[[#This Row],[Column1]:[Column1]],Site_Detail_8[(enter addt''l. fund source 2)])</f>
        <v>0</v>
      </c>
      <c r="U16" s="102" cm="1">
        <f t="array" ref="U16">SUMIF(Site_Detail_8[[Category]:[Category]],Site_Category_Sum_8[[#This Row],[Column1]:[Column1]],Site_Detail_8[(enter addt''l. fund source 3)])</f>
        <v>0</v>
      </c>
      <c r="V16" s="102" cm="1">
        <f t="array" ref="V16">SUMIF(Site_Detail_8[[Category]:[Category]],Site_Category_Sum_8[[#This Row],[Column1]:[Column1]],Site_Detail_8[(enter addt''l. fund source 4)])</f>
        <v>0</v>
      </c>
      <c r="W16" s="102" cm="1">
        <f t="array" ref="W16">SUMIF(Site_Detail_8[[Category]:[Category]],Site_Category_Sum_8[[#This Row],[Column1]:[Column1]],Site_Detail_8[(enter addt''l. fund source 5)])</f>
        <v>0</v>
      </c>
      <c r="X16" s="233">
        <f>ROUND(SUM(Site_Category_Sum_8[[#This Row],[Column2]:[Column7]]),2)</f>
        <v>0</v>
      </c>
      <c r="Z16" s="178" t="s">
        <v>0</v>
      </c>
    </row>
    <row r="17" spans="2:26" x14ac:dyDescent="0.25">
      <c r="B17" s="53"/>
      <c r="C17" s="54"/>
      <c r="D17" s="53"/>
      <c r="E17" s="54"/>
      <c r="F17" s="54"/>
      <c r="G17" s="219"/>
      <c r="H17" s="196"/>
      <c r="I17" s="220"/>
      <c r="J17" s="55"/>
      <c r="K17" s="55"/>
      <c r="L17" s="55"/>
      <c r="M17" s="207"/>
      <c r="N17" s="200">
        <f>ROUND(SUM(Site_Detail_8[[#This Row],[21st CCLC,  Title IV-B]:[(enter addt''l. fund source 5)]]),2)</f>
        <v>0</v>
      </c>
      <c r="O17" s="208"/>
      <c r="Q17" s="103" t="s">
        <v>596</v>
      </c>
      <c r="R17" s="230" cm="1">
        <f t="array" ref="R17">SUMIF(Site_Detail_8[[Category]:[Category]],Site_Category_Sum_8[[#This Row],[Column1]:[Column1]],Site_Detail_8[21st CCLC,  Title IV-B])</f>
        <v>0</v>
      </c>
      <c r="S17" s="124" cm="1">
        <f t="array" ref="S17">SUMIF(Site_Detail_8[[Category]:[Category]],Site_Category_Sum_8[[#This Row],[Column1]:[Column1]],Site_Detail_8[(enter addt''l. fund source 1)])</f>
        <v>0</v>
      </c>
      <c r="T17" s="102" cm="1">
        <f t="array" ref="T17">SUMIF(Site_Detail_8[[Category]:[Category]],Site_Category_Sum_8[[#This Row],[Column1]:[Column1]],Site_Detail_8[(enter addt''l. fund source 2)])</f>
        <v>0</v>
      </c>
      <c r="U17" s="102" cm="1">
        <f t="array" ref="U17">SUMIF(Site_Detail_8[[Category]:[Category]],Site_Category_Sum_8[[#This Row],[Column1]:[Column1]],Site_Detail_8[(enter addt''l. fund source 3)])</f>
        <v>0</v>
      </c>
      <c r="V17" s="102" cm="1">
        <f t="array" ref="V17">SUMIF(Site_Detail_8[[Category]:[Category]],Site_Category_Sum_8[[#This Row],[Column1]:[Column1]],Site_Detail_8[(enter addt''l. fund source 4)])</f>
        <v>0</v>
      </c>
      <c r="W17" s="102" cm="1">
        <f t="array" ref="W17">SUMIF(Site_Detail_8[[Category]:[Category]],Site_Category_Sum_8[[#This Row],[Column1]:[Column1]],Site_Detail_8[(enter addt''l. fund source 5)])</f>
        <v>0</v>
      </c>
      <c r="X17" s="233">
        <f>ROUND(SUM(Site_Category_Sum_8[[#This Row],[Column2]:[Column7]]),2)</f>
        <v>0</v>
      </c>
      <c r="Z17" s="178" t="s">
        <v>0</v>
      </c>
    </row>
    <row r="18" spans="2:26" x14ac:dyDescent="0.25">
      <c r="B18" s="53"/>
      <c r="C18" s="54"/>
      <c r="D18" s="53"/>
      <c r="E18" s="54"/>
      <c r="F18" s="54"/>
      <c r="G18" s="219"/>
      <c r="H18" s="196"/>
      <c r="I18" s="220"/>
      <c r="J18" s="55"/>
      <c r="K18" s="55"/>
      <c r="L18" s="55"/>
      <c r="M18" s="207"/>
      <c r="N18" s="200">
        <f>ROUND(SUM(Site_Detail_8[[#This Row],[21st CCLC,  Title IV-B]:[(enter addt''l. fund source 5)]]),2)</f>
        <v>0</v>
      </c>
      <c r="O18" s="208"/>
      <c r="Q18" s="103" t="s">
        <v>160</v>
      </c>
      <c r="R18" s="230" cm="1">
        <f t="array" ref="R18">SUMIF(Site_Detail_8[[Category]:[Category]],Site_Category_Sum_8[[#This Row],[Column1]:[Column1]],Site_Detail_8[21st CCLC,  Title IV-B])</f>
        <v>0</v>
      </c>
      <c r="S18" s="124" cm="1">
        <f t="array" ref="S18">SUMIF(Site_Detail_8[[Category]:[Category]],Site_Category_Sum_8[[#This Row],[Column1]:[Column1]],Site_Detail_8[(enter addt''l. fund source 1)])</f>
        <v>0</v>
      </c>
      <c r="T18" s="102" cm="1">
        <f t="array" ref="T18">SUMIF(Site_Detail_8[[Category]:[Category]],Site_Category_Sum_8[[#This Row],[Column1]:[Column1]],Site_Detail_8[(enter addt''l. fund source 2)])</f>
        <v>0</v>
      </c>
      <c r="U18" s="102" cm="1">
        <f t="array" ref="U18">SUMIF(Site_Detail_8[[Category]:[Category]],Site_Category_Sum_8[[#This Row],[Column1]:[Column1]],Site_Detail_8[(enter addt''l. fund source 3)])</f>
        <v>0</v>
      </c>
      <c r="V18" s="102" cm="1">
        <f t="array" ref="V18">SUMIF(Site_Detail_8[[Category]:[Category]],Site_Category_Sum_8[[#This Row],[Column1]:[Column1]],Site_Detail_8[(enter addt''l. fund source 4)])</f>
        <v>0</v>
      </c>
      <c r="W18" s="102" cm="1">
        <f t="array" ref="W18">SUMIF(Site_Detail_8[[Category]:[Category]],Site_Category_Sum_8[[#This Row],[Column1]:[Column1]],Site_Detail_8[(enter addt''l. fund source 5)])</f>
        <v>0</v>
      </c>
      <c r="X18" s="233">
        <f>ROUND(SUM(Site_Category_Sum_8[[#This Row],[Column2]:[Column7]]),2)</f>
        <v>0</v>
      </c>
      <c r="Z18" s="178" t="s">
        <v>0</v>
      </c>
    </row>
    <row r="19" spans="2:26" x14ac:dyDescent="0.25">
      <c r="B19" s="53"/>
      <c r="C19" s="54"/>
      <c r="D19" s="53"/>
      <c r="E19" s="54"/>
      <c r="F19" s="54"/>
      <c r="G19" s="219"/>
      <c r="H19" s="196"/>
      <c r="I19" s="220"/>
      <c r="J19" s="55"/>
      <c r="K19" s="55"/>
      <c r="L19" s="55"/>
      <c r="M19" s="207"/>
      <c r="N19" s="200">
        <f>ROUND(SUM(Site_Detail_8[[#This Row],[21st CCLC,  Title IV-B]:[(enter addt''l. fund source 5)]]),2)</f>
        <v>0</v>
      </c>
      <c r="O19" s="208"/>
      <c r="Q19" s="103" t="s">
        <v>566</v>
      </c>
      <c r="R19" s="230" cm="1">
        <f t="array" ref="R19">SUMIF(Site_Detail_8[[Category]:[Category]],Site_Category_Sum_8[[#This Row],[Column1]:[Column1]],Site_Detail_8[21st CCLC,  Title IV-B])</f>
        <v>0</v>
      </c>
      <c r="S19" s="124" cm="1">
        <f t="array" ref="S19">SUMIF(Site_Detail_8[[Category]:[Category]],Site_Category_Sum_8[[#This Row],[Column1]:[Column1]],Site_Detail_8[(enter addt''l. fund source 1)])</f>
        <v>0</v>
      </c>
      <c r="T19" s="102" cm="1">
        <f t="array" ref="T19">SUMIF(Site_Detail_8[[Category]:[Category]],Site_Category_Sum_8[[#This Row],[Column1]:[Column1]],Site_Detail_8[(enter addt''l. fund source 2)])</f>
        <v>0</v>
      </c>
      <c r="U19" s="102" cm="1">
        <f t="array" ref="U19">SUMIF(Site_Detail_8[[Category]:[Category]],Site_Category_Sum_8[[#This Row],[Column1]:[Column1]],Site_Detail_8[(enter addt''l. fund source 3)])</f>
        <v>0</v>
      </c>
      <c r="V19" s="102" cm="1">
        <f t="array" ref="V19">SUMIF(Site_Detail_8[[Category]:[Category]],Site_Category_Sum_8[[#This Row],[Column1]:[Column1]],Site_Detail_8[(enter addt''l. fund source 4)])</f>
        <v>0</v>
      </c>
      <c r="W19" s="102" cm="1">
        <f t="array" ref="W19">SUMIF(Site_Detail_8[[Category]:[Category]],Site_Category_Sum_8[[#This Row],[Column1]:[Column1]],Site_Detail_8[(enter addt''l. fund source 5)])</f>
        <v>0</v>
      </c>
      <c r="X19" s="233">
        <f>ROUND(SUM(Site_Category_Sum_8[[#This Row],[Column2]:[Column7]]),2)</f>
        <v>0</v>
      </c>
      <c r="Z19" s="178" t="s">
        <v>0</v>
      </c>
    </row>
    <row r="20" spans="2:26" x14ac:dyDescent="0.25">
      <c r="B20" s="53"/>
      <c r="C20" s="54"/>
      <c r="D20" s="53"/>
      <c r="E20" s="54"/>
      <c r="F20" s="54"/>
      <c r="G20" s="219"/>
      <c r="H20" s="196"/>
      <c r="I20" s="220"/>
      <c r="J20" s="55"/>
      <c r="K20" s="55"/>
      <c r="L20" s="55"/>
      <c r="M20" s="207"/>
      <c r="N20" s="200">
        <f>ROUND(SUM(Site_Detail_8[[#This Row],[21st CCLC,  Title IV-B]:[(enter addt''l. fund source 5)]]),2)</f>
        <v>0</v>
      </c>
      <c r="O20" s="208"/>
      <c r="Q20" s="103" t="s">
        <v>75</v>
      </c>
      <c r="R20" s="230" cm="1">
        <f t="array" ref="R20">SUMIF(Site_Detail_8[[Category]:[Category]],Site_Category_Sum_8[[#This Row],[Column1]:[Column1]],Site_Detail_8[21st CCLC,  Title IV-B])</f>
        <v>0</v>
      </c>
      <c r="S20" s="124" cm="1">
        <f t="array" ref="S20">SUMIF(Site_Detail_8[[Category]:[Category]],Site_Category_Sum_8[[#This Row],[Column1]:[Column1]],Site_Detail_8[(enter addt''l. fund source 1)])</f>
        <v>0</v>
      </c>
      <c r="T20" s="102" cm="1">
        <f t="array" ref="T20">SUMIF(Site_Detail_8[[Category]:[Category]],Site_Category_Sum_8[[#This Row],[Column1]:[Column1]],Site_Detail_8[(enter addt''l. fund source 2)])</f>
        <v>0</v>
      </c>
      <c r="U20" s="102" cm="1">
        <f t="array" ref="U20">SUMIF(Site_Detail_8[[Category]:[Category]],Site_Category_Sum_8[[#This Row],[Column1]:[Column1]],Site_Detail_8[(enter addt''l. fund source 3)])</f>
        <v>0</v>
      </c>
      <c r="V20" s="102" cm="1">
        <f t="array" ref="V20">SUMIF(Site_Detail_8[[Category]:[Category]],Site_Category_Sum_8[[#This Row],[Column1]:[Column1]],Site_Detail_8[(enter addt''l. fund source 4)])</f>
        <v>0</v>
      </c>
      <c r="W20" s="102" cm="1">
        <f t="array" ref="W20">SUMIF(Site_Detail_8[[Category]:[Category]],Site_Category_Sum_8[[#This Row],[Column1]:[Column1]],Site_Detail_8[(enter addt''l. fund source 5)])</f>
        <v>0</v>
      </c>
      <c r="X20" s="233">
        <f>ROUND(SUM(Site_Category_Sum_8[[#This Row],[Column2]:[Column7]]),2)</f>
        <v>0</v>
      </c>
      <c r="Z20" s="178" t="s">
        <v>0</v>
      </c>
    </row>
    <row r="21" spans="2:26" x14ac:dyDescent="0.25">
      <c r="B21" s="53"/>
      <c r="C21" s="54"/>
      <c r="D21" s="53"/>
      <c r="E21" s="54"/>
      <c r="F21" s="54"/>
      <c r="G21" s="219"/>
      <c r="H21" s="196"/>
      <c r="I21" s="220"/>
      <c r="J21" s="55"/>
      <c r="K21" s="55"/>
      <c r="L21" s="55"/>
      <c r="M21" s="207"/>
      <c r="N21" s="200">
        <f>ROUND(SUM(Site_Detail_8[[#This Row],[21st CCLC,  Title IV-B]:[(enter addt''l. fund source 5)]]),2)</f>
        <v>0</v>
      </c>
      <c r="O21" s="208"/>
      <c r="Q21" s="103" t="s">
        <v>603</v>
      </c>
      <c r="R21" s="230" cm="1">
        <f t="array" ref="R21">SUMIF(Site_Detail_8[[Category]:[Category]],Site_Category_Sum_8[[#This Row],[Column1]:[Column1]],Site_Detail_8[21st CCLC,  Title IV-B])</f>
        <v>0</v>
      </c>
      <c r="S21" s="124" cm="1">
        <f t="array" ref="S21">SUMIF(Site_Detail_8[[Category]:[Category]],Site_Category_Sum_8[[#This Row],[Column1]:[Column1]],Site_Detail_8[(enter addt''l. fund source 1)])</f>
        <v>0</v>
      </c>
      <c r="T21" s="102" cm="1">
        <f t="array" ref="T21">SUMIF(Site_Detail_8[[Category]:[Category]],Site_Category_Sum_8[[#This Row],[Column1]:[Column1]],Site_Detail_8[(enter addt''l. fund source 2)])</f>
        <v>0</v>
      </c>
      <c r="U21" s="102" cm="1">
        <f t="array" ref="U21">SUMIF(Site_Detail_8[[Category]:[Category]],Site_Category_Sum_8[[#This Row],[Column1]:[Column1]],Site_Detail_8[(enter addt''l. fund source 3)])</f>
        <v>0</v>
      </c>
      <c r="V21" s="102" cm="1">
        <f t="array" ref="V21">SUMIF(Site_Detail_8[[Category]:[Category]],Site_Category_Sum_8[[#This Row],[Column1]:[Column1]],Site_Detail_8[(enter addt''l. fund source 4)])</f>
        <v>0</v>
      </c>
      <c r="W21" s="102" cm="1">
        <f t="array" ref="W21">SUMIF(Site_Detail_8[[Category]:[Category]],Site_Category_Sum_8[[#This Row],[Column1]:[Column1]],Site_Detail_8[(enter addt''l. fund source 5)])</f>
        <v>0</v>
      </c>
      <c r="X21" s="233">
        <f>ROUND(SUM(Site_Category_Sum_8[[#This Row],[Column2]:[Column7]]),2)</f>
        <v>0</v>
      </c>
      <c r="Z21" s="178" t="s">
        <v>0</v>
      </c>
    </row>
    <row r="22" spans="2:26" x14ac:dyDescent="0.25">
      <c r="B22" s="53"/>
      <c r="C22" s="54"/>
      <c r="D22" s="53"/>
      <c r="E22" s="54"/>
      <c r="F22" s="54"/>
      <c r="G22" s="219"/>
      <c r="H22" s="196"/>
      <c r="I22" s="220"/>
      <c r="J22" s="55"/>
      <c r="K22" s="55"/>
      <c r="L22" s="55"/>
      <c r="M22" s="207"/>
      <c r="N22" s="200">
        <f>ROUND(SUM(Site_Detail_8[[#This Row],[21st CCLC,  Title IV-B]:[(enter addt''l. fund source 5)]]),2)</f>
        <v>0</v>
      </c>
      <c r="O22" s="208"/>
      <c r="Q22" s="103" t="s">
        <v>604</v>
      </c>
      <c r="R22" s="230" cm="1">
        <f t="array" ref="R22">SUMIF(Site_Detail_8[[Category]:[Category]],Site_Category_Sum_8[[#This Row],[Column1]:[Column1]],Site_Detail_8[21st CCLC,  Title IV-B])</f>
        <v>0</v>
      </c>
      <c r="S22" s="124" cm="1">
        <f t="array" ref="S22">SUMIF(Site_Detail_8[[Category]:[Category]],Site_Category_Sum_8[[#This Row],[Column1]:[Column1]],Site_Detail_8[(enter addt''l. fund source 1)])</f>
        <v>0</v>
      </c>
      <c r="T22" s="102" cm="1">
        <f t="array" ref="T22">SUMIF(Site_Detail_8[[Category]:[Category]],Site_Category_Sum_8[[#This Row],[Column1]:[Column1]],Site_Detail_8[(enter addt''l. fund source 2)])</f>
        <v>0</v>
      </c>
      <c r="U22" s="102" cm="1">
        <f t="array" ref="U22">SUMIF(Site_Detail_8[[Category]:[Category]],Site_Category_Sum_8[[#This Row],[Column1]:[Column1]],Site_Detail_8[(enter addt''l. fund source 3)])</f>
        <v>0</v>
      </c>
      <c r="V22" s="102" cm="1">
        <f t="array" ref="V22">SUMIF(Site_Detail_8[[Category]:[Category]],Site_Category_Sum_8[[#This Row],[Column1]:[Column1]],Site_Detail_8[(enter addt''l. fund source 4)])</f>
        <v>0</v>
      </c>
      <c r="W22" s="102" cm="1">
        <f t="array" ref="W22">SUMIF(Site_Detail_8[[Category]:[Category]],Site_Category_Sum_8[[#This Row],[Column1]:[Column1]],Site_Detail_8[(enter addt''l. fund source 5)])</f>
        <v>0</v>
      </c>
      <c r="X22" s="233">
        <f>ROUND(SUM(Site_Category_Sum_8[[#This Row],[Column2]:[Column7]]),2)</f>
        <v>0</v>
      </c>
      <c r="Z22" s="178" t="s">
        <v>0</v>
      </c>
    </row>
    <row r="23" spans="2:26" x14ac:dyDescent="0.25">
      <c r="B23" s="53"/>
      <c r="C23" s="54"/>
      <c r="D23" s="53"/>
      <c r="E23" s="54"/>
      <c r="F23" s="54"/>
      <c r="G23" s="219"/>
      <c r="H23" s="196"/>
      <c r="I23" s="220"/>
      <c r="J23" s="55"/>
      <c r="K23" s="55"/>
      <c r="L23" s="55"/>
      <c r="M23" s="207"/>
      <c r="N23" s="200">
        <f>ROUND(SUM(Site_Detail_8[[#This Row],[21st CCLC,  Title IV-B]:[(enter addt''l. fund source 5)]]),2)</f>
        <v>0</v>
      </c>
      <c r="O23" s="208"/>
      <c r="Q23" s="103" t="s">
        <v>567</v>
      </c>
      <c r="R23" s="230" cm="1">
        <f t="array" ref="R23">SUMIF(Site_Detail_8[[Category]:[Category]],Site_Category_Sum_8[[#This Row],[Column1]:[Column1]],Site_Detail_8[21st CCLC,  Title IV-B])</f>
        <v>0</v>
      </c>
      <c r="S23" s="124" cm="1">
        <f t="array" ref="S23">SUMIF(Site_Detail_8[[Category]:[Category]],Site_Category_Sum_8[[#This Row],[Column1]:[Column1]],Site_Detail_8[(enter addt''l. fund source 1)])</f>
        <v>0</v>
      </c>
      <c r="T23" s="102" cm="1">
        <f t="array" ref="T23">SUMIF(Site_Detail_8[[Category]:[Category]],Site_Category_Sum_8[[#This Row],[Column1]:[Column1]],Site_Detail_8[(enter addt''l. fund source 2)])</f>
        <v>0</v>
      </c>
      <c r="U23" s="102" cm="1">
        <f t="array" ref="U23">SUMIF(Site_Detail_8[[Category]:[Category]],Site_Category_Sum_8[[#This Row],[Column1]:[Column1]],Site_Detail_8[(enter addt''l. fund source 3)])</f>
        <v>0</v>
      </c>
      <c r="V23" s="102" cm="1">
        <f t="array" ref="V23">SUMIF(Site_Detail_8[[Category]:[Category]],Site_Category_Sum_8[[#This Row],[Column1]:[Column1]],Site_Detail_8[(enter addt''l. fund source 4)])</f>
        <v>0</v>
      </c>
      <c r="W23" s="102" cm="1">
        <f t="array" ref="W23">SUMIF(Site_Detail_8[[Category]:[Category]],Site_Category_Sum_8[[#This Row],[Column1]:[Column1]],Site_Detail_8[(enter addt''l. fund source 5)])</f>
        <v>0</v>
      </c>
      <c r="X23" s="233">
        <f>ROUND(SUM(Site_Category_Sum_8[[#This Row],[Column2]:[Column7]]),2)</f>
        <v>0</v>
      </c>
      <c r="Z23" s="178" t="s">
        <v>0</v>
      </c>
    </row>
    <row r="24" spans="2:26" x14ac:dyDescent="0.25">
      <c r="B24" s="53"/>
      <c r="C24" s="54"/>
      <c r="D24" s="53"/>
      <c r="E24" s="54"/>
      <c r="F24" s="54"/>
      <c r="G24" s="219"/>
      <c r="H24" s="196"/>
      <c r="I24" s="220"/>
      <c r="J24" s="55"/>
      <c r="K24" s="55"/>
      <c r="L24" s="55"/>
      <c r="M24" s="207"/>
      <c r="N24" s="200">
        <f>ROUND(SUM(Site_Detail_8[[#This Row],[21st CCLC,  Title IV-B]:[(enter addt''l. fund source 5)]]),2)</f>
        <v>0</v>
      </c>
      <c r="O24" s="208"/>
      <c r="Q24" s="103" t="s">
        <v>192</v>
      </c>
      <c r="R24" s="230">
        <f>ROUND(SUMIFS(Site_Detail_8[21st CCLC,  Title IV-B],Site_Detail_8[[Category]:[Category]],"Indirect",Site_Detail_8[[Contracted Service?]:[Contracted Service?]],"&lt;&gt;Yes"),2)</f>
        <v>0</v>
      </c>
      <c r="S24" s="124">
        <f>ROUND(SUMIFS(Site_Detail_8[(enter addt''l. fund source 1)],Site_Detail_8[[Category]:[Category]],"Indirect",Site_Detail_8[[Contracted Service?]:[Contracted Service?]],"&lt;&gt;Yes"),2)</f>
        <v>0</v>
      </c>
      <c r="T24" s="102">
        <f>ROUND(SUMIFS(Site_Detail_8[(enter addt''l. fund source 2)],Site_Detail_8[[Category]:[Category]],"Indirect",Site_Detail_8[[Contracted Service?]:[Contracted Service?]],"&lt;&gt;Yes"),2)</f>
        <v>0</v>
      </c>
      <c r="U24" s="102">
        <f>ROUND(SUMIFS(Site_Detail_8[(enter addt''l. fund source 3)],Site_Detail_8[[Category]:[Category]],"Indirect",Site_Detail_8[[Contracted Service?]:[Contracted Service?]],"&lt;&gt;Yes"),2)</f>
        <v>0</v>
      </c>
      <c r="V24" s="102">
        <f>ROUND(SUMIFS(Site_Detail_8[(enter addt''l. fund source 4)],Site_Detail_8[[Category]:[Category]],"Indirect",Site_Detail_8[[Contracted Service?]:[Contracted Service?]],"&lt;&gt;Yes"),2)</f>
        <v>0</v>
      </c>
      <c r="W24" s="102">
        <f>ROUND(SUMIFS(Site_Detail_8[(enter addt''l. fund source 5)],Site_Detail_8[[Category]:[Category]],"Indirect",Site_Detail_8[[Contracted Service?]:[Contracted Service?]],"&lt;&gt;Yes"),2)</f>
        <v>0</v>
      </c>
      <c r="X24" s="233">
        <f>ROUND(SUM(Site_Category_Sum_8[[#This Row],[Column2]:[Column7]]),2)</f>
        <v>0</v>
      </c>
      <c r="Z24" s="178" t="s">
        <v>0</v>
      </c>
    </row>
    <row r="25" spans="2:26" x14ac:dyDescent="0.25">
      <c r="B25" s="53"/>
      <c r="C25" s="54"/>
      <c r="D25" s="53"/>
      <c r="E25" s="54"/>
      <c r="F25" s="54"/>
      <c r="G25" s="219"/>
      <c r="H25" s="196"/>
      <c r="I25" s="220"/>
      <c r="J25" s="55"/>
      <c r="K25" s="55"/>
      <c r="L25" s="55"/>
      <c r="M25" s="207"/>
      <c r="N25" s="200">
        <f>ROUND(SUM(Site_Detail_8[[#This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ROUND(SUM(Site_Category_Sum_8[[#This Row],[Column2]:[Column7]]),2)</f>
        <v>0</v>
      </c>
      <c r="Z25" s="178" t="s">
        <v>0</v>
      </c>
    </row>
    <row r="26" spans="2:26" x14ac:dyDescent="0.25">
      <c r="B26" s="53"/>
      <c r="C26" s="54"/>
      <c r="D26" s="53"/>
      <c r="E26" s="54"/>
      <c r="F26" s="54"/>
      <c r="G26" s="219"/>
      <c r="H26" s="196"/>
      <c r="I26" s="220"/>
      <c r="J26" s="55"/>
      <c r="K26" s="55"/>
      <c r="L26" s="55"/>
      <c r="M26" s="207"/>
      <c r="N26" s="200">
        <f>ROUND(SUM(Site_Detail_8[[#This Row],[21st CCLC,  Title IV-B]:[(enter addt''l. fund source 5)]]),2)</f>
        <v>0</v>
      </c>
      <c r="O26" s="208"/>
      <c r="Q26" s="103" t="s">
        <v>291</v>
      </c>
      <c r="R26" s="230" cm="1">
        <f t="array" ref="R26">SUMIF(Site_Detail_8[[Program Type]:[Program Type]],Site_Category_Sum_8[[#This Row],[Column1]:[Column1]],Site_Detail_8[21st CCLC,  Title IV-B])</f>
        <v>0</v>
      </c>
      <c r="S26" s="124" cm="1">
        <f t="array" ref="S26">SUMIF(Site_Detail_8[[Program Type]:[Program Type]],Site_Category_Sum_8[[#This Row],[Column1]:[Column1]],Site_Detail_8[(enter addt''l. fund source 1)])</f>
        <v>0</v>
      </c>
      <c r="T26" s="102" cm="1">
        <f t="array" ref="T26">SUMIF(Site_Detail_8[[Program Type]:[Program Type]],Site_Category_Sum_8[[#This Row],[Column1]:[Column1]],Site_Detail_8[(enter addt''l. fund source 2)])</f>
        <v>0</v>
      </c>
      <c r="U26" s="102" cm="1">
        <f t="array" ref="U26">SUMIF(Site_Detail_8[[Program Type]:[Program Type]],Site_Category_Sum_8[[#This Row],[Column1]:[Column1]],Site_Detail_8[(enter addt''l. fund source 3)])</f>
        <v>0</v>
      </c>
      <c r="V26" s="102" cm="1">
        <f t="array" ref="V26">SUMIF(Site_Detail_8[[Program Type]:[Program Type]],Site_Category_Sum_8[[#This Row],[Column1]:[Column1]],Site_Detail_8[(enter addt''l. fund source 4)])</f>
        <v>0</v>
      </c>
      <c r="W26" s="102" cm="1">
        <f t="array" ref="W26">SUMIF(Site_Detail_8[[Program Type]:[Program Type]],Site_Category_Sum_8[[#This Row],[Column1]:[Column1]],Site_Detail_8[(enter addt''l. fund source 5)])</f>
        <v>0</v>
      </c>
      <c r="X26" s="233">
        <f>ROUND(SUM(Site_Category_Sum_8[[#This Row],[Column2]:[Column7]]),2)</f>
        <v>0</v>
      </c>
      <c r="Z26" s="178" t="s">
        <v>0</v>
      </c>
    </row>
    <row r="27" spans="2:26" x14ac:dyDescent="0.25">
      <c r="B27" s="53"/>
      <c r="C27" s="54"/>
      <c r="D27" s="53"/>
      <c r="E27" s="54"/>
      <c r="F27" s="54"/>
      <c r="G27" s="219"/>
      <c r="H27" s="196"/>
      <c r="I27" s="220"/>
      <c r="J27" s="55"/>
      <c r="K27" s="55"/>
      <c r="L27" s="55"/>
      <c r="M27" s="207"/>
      <c r="N27" s="200">
        <f>ROUND(SUM(Site_Detail_8[[#This Row],[21st CCLC,  Title IV-B]:[(enter addt''l. fund source 5)]]),2)</f>
        <v>0</v>
      </c>
      <c r="O27" s="208"/>
      <c r="Q27" s="103" t="s">
        <v>292</v>
      </c>
      <c r="R27" s="230" cm="1">
        <f t="array" ref="R27">SUMIF(Site_Detail_8[[Program Type]:[Program Type]],Site_Category_Sum_8[[#This Row],[Column1]:[Column1]],Site_Detail_8[21st CCLC,  Title IV-B])</f>
        <v>0</v>
      </c>
      <c r="S27" s="124" cm="1">
        <f t="array" ref="S27">SUMIF(Site_Detail_8[[Program Type]:[Program Type]],Site_Category_Sum_8[[#This Row],[Column1]:[Column1]],Site_Detail_8[(enter addt''l. fund source 1)])</f>
        <v>0</v>
      </c>
      <c r="T27" s="102" cm="1">
        <f t="array" ref="T27">SUMIF(Site_Detail_8[[Program Type]:[Program Type]],Site_Category_Sum_8[[#This Row],[Column1]:[Column1]],Site_Detail_8[(enter addt''l. fund source 2)])</f>
        <v>0</v>
      </c>
      <c r="U27" s="102" cm="1">
        <f t="array" ref="U27">SUMIF(Site_Detail_8[[Program Type]:[Program Type]],Site_Category_Sum_8[[#This Row],[Column1]:[Column1]],Site_Detail_8[(enter addt''l. fund source 3)])</f>
        <v>0</v>
      </c>
      <c r="V27" s="102" cm="1">
        <f t="array" ref="V27">SUMIF(Site_Detail_8[[Program Type]:[Program Type]],Site_Category_Sum_8[[#This Row],[Column1]:[Column1]],Site_Detail_8[(enter addt''l. fund source 4)])</f>
        <v>0</v>
      </c>
      <c r="W27" s="102" cm="1">
        <f t="array" ref="W27">SUMIF(Site_Detail_8[[Program Type]:[Program Type]],Site_Category_Sum_8[[#This Row],[Column1]:[Column1]],Site_Detail_8[(enter addt''l. fund source 5)])</f>
        <v>0</v>
      </c>
      <c r="X27" s="233">
        <f>ROUND(SUM(Site_Category_Sum_8[[#This Row],[Column2]:[Column7]]),2)</f>
        <v>0</v>
      </c>
    </row>
    <row r="28" spans="2:26" x14ac:dyDescent="0.25">
      <c r="B28" s="53"/>
      <c r="C28" s="54"/>
      <c r="D28" s="53"/>
      <c r="E28" s="54"/>
      <c r="F28" s="54"/>
      <c r="G28" s="219"/>
      <c r="H28" s="196"/>
      <c r="I28" s="220"/>
      <c r="J28" s="55"/>
      <c r="K28" s="55"/>
      <c r="L28" s="55"/>
      <c r="M28" s="207"/>
      <c r="N28" s="200">
        <f>ROUND(SUM(Site_Detail_8[[#This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ROUND(SUM(Site_Category_Sum_8[[#This Row],[Column2]:[Column7]]),2)</f>
        <v>0</v>
      </c>
    </row>
    <row r="29" spans="2:26" x14ac:dyDescent="0.25">
      <c r="B29" s="53"/>
      <c r="C29" s="54"/>
      <c r="D29" s="53"/>
      <c r="E29" s="54"/>
      <c r="F29" s="54"/>
      <c r="G29" s="219"/>
      <c r="H29" s="196"/>
      <c r="I29" s="220"/>
      <c r="J29" s="55"/>
      <c r="K29" s="55"/>
      <c r="L29" s="55"/>
      <c r="M29" s="207"/>
      <c r="N29" s="200">
        <f>ROUND(SUM(Site_Detail_8[[#This Row],[21st CCLC,  Title IV-B]:[(enter addt''l. fund source 5)]]),2)</f>
        <v>0</v>
      </c>
      <c r="O29" s="208"/>
      <c r="Q29" s="103" t="s">
        <v>591</v>
      </c>
      <c r="R29" s="230">
        <f>ROUND(SUMIF(Site_Detail_8[[Contracted Service?]:[Contracted Service?]],"Yes",Site_Detail_8[21st CCLC,  Title IV-B]),2)</f>
        <v>0</v>
      </c>
      <c r="S29" s="124">
        <f>ROUND(SUMIF(Site_Detail_8[[Contracted Service?]:[Contracted Service?]],"Yes",Site_Detail_8[(enter addt''l. fund source 1)]),2)</f>
        <v>0</v>
      </c>
      <c r="T29" s="102">
        <f>ROUND(SUMIF(Site_Detail_8[[Contracted Service?]:[Contracted Service?]],"Yes",Site_Detail_8[(enter addt''l. fund source 2)]),2)</f>
        <v>0</v>
      </c>
      <c r="U29" s="102">
        <f>ROUND(SUMIF(Site_Detail_8[[Contracted Service?]:[Contracted Service?]],"Yes",Site_Detail_8[(enter addt''l. fund source 3)]),2)</f>
        <v>0</v>
      </c>
      <c r="V29" s="102">
        <f>ROUND(SUMIF(Site_Detail_8[[Contracted Service?]:[Contracted Service?]],"Yes",Site_Detail_8[(enter addt''l. fund source 4)]),2)</f>
        <v>0</v>
      </c>
      <c r="W29" s="102">
        <f>ROUND(SUMIF(Site_Detail_8[[Contracted Service?]:[Contracted Service?]],"Yes",Site_Detail_8[(enter addt''l. fund source 5)]),2)</f>
        <v>0</v>
      </c>
      <c r="X29" s="233">
        <f>ROUND(SUM(Site_Category_Sum_8[[#This Row],[Column2]:[Column7]]),2)</f>
        <v>0</v>
      </c>
    </row>
    <row r="30" spans="2:26" x14ac:dyDescent="0.25">
      <c r="B30" s="53"/>
      <c r="C30" s="54"/>
      <c r="D30" s="53"/>
      <c r="E30" s="54"/>
      <c r="F30" s="54"/>
      <c r="G30" s="219"/>
      <c r="H30" s="196"/>
      <c r="I30" s="220"/>
      <c r="J30" s="55"/>
      <c r="K30" s="55"/>
      <c r="L30" s="55"/>
      <c r="M30" s="207"/>
      <c r="N30" s="200">
        <f>ROUND(SUM(Site_Detail_8[[#This Row],[21st CCLC,  Title IV-B]:[(enter addt''l. fund source 5)]]),2)</f>
        <v>0</v>
      </c>
      <c r="O30" s="208"/>
      <c r="Q30" s="103" t="s">
        <v>597</v>
      </c>
      <c r="R30" s="230">
        <f>ROUND(SUMIF(Site_Detail_8[[Contracted Service?]:[Contracted Service?]],"&lt;&gt;Yes",Site_Detail_8[21st CCLC,  Title IV-B]),2)</f>
        <v>0</v>
      </c>
      <c r="S30" s="124">
        <f>ROUND(SUMIF(Site_Detail_8[[Contracted Service?]:[Contracted Service?]],"&lt;&gt;Yes",Site_Detail_8[(enter addt''l. fund source 1)]),2)</f>
        <v>0</v>
      </c>
      <c r="T30" s="102">
        <f>ROUND(SUMIF(Site_Detail_8[[Contracted Service?]:[Contracted Service?]],"&lt;&gt;Yes",Site_Detail_8[(enter addt''l. fund source 2)]),2)</f>
        <v>0</v>
      </c>
      <c r="U30" s="102">
        <f>ROUND(SUMIF(Site_Detail_8[[Contracted Service?]:[Contracted Service?]],"&lt;&gt;Yes",Site_Detail_8[(enter addt''l. fund source 3)]),2)</f>
        <v>0</v>
      </c>
      <c r="V30" s="102">
        <f>ROUND(SUMIF(Site_Detail_8[[Contracted Service?]:[Contracted Service?]],"&lt;&gt;Yes",Site_Detail_8[(enter addt''l. fund source 4)]),2)</f>
        <v>0</v>
      </c>
      <c r="W30" s="102">
        <f>ROUND(SUMIF(Site_Detail_8[[Contracted Service?]:[Contracted Service?]],"&lt;&gt;Yes",Site_Detail_8[(enter addt''l. fund source 5)]),2)</f>
        <v>0</v>
      </c>
      <c r="X30" s="233">
        <f>ROUND(SUM(Site_Category_Sum_8[[#This Row],[Column2]:[Column7]]),2)</f>
        <v>0</v>
      </c>
    </row>
    <row r="31" spans="2:26" x14ac:dyDescent="0.25">
      <c r="B31" s="53"/>
      <c r="C31" s="54"/>
      <c r="D31" s="53"/>
      <c r="E31" s="54"/>
      <c r="F31" s="54"/>
      <c r="G31" s="219"/>
      <c r="H31" s="196"/>
      <c r="I31" s="220"/>
      <c r="J31" s="55"/>
      <c r="K31" s="55"/>
      <c r="L31" s="55"/>
      <c r="M31" s="207"/>
      <c r="N31" s="200">
        <f>ROUND(SUM(Site_Detail_8[[#This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ROUND(SUM(Site_Category_Sum_8[[#This Row],[Column2]:[Column7]]),2)</f>
        <v>0</v>
      </c>
    </row>
    <row r="32" spans="2:26" x14ac:dyDescent="0.25">
      <c r="B32" s="53"/>
      <c r="C32" s="54"/>
      <c r="D32" s="53"/>
      <c r="E32" s="54"/>
      <c r="F32" s="54"/>
      <c r="G32" s="219"/>
      <c r="H32" s="196"/>
      <c r="I32" s="220"/>
      <c r="J32" s="55"/>
      <c r="K32" s="55"/>
      <c r="L32" s="55"/>
      <c r="M32" s="207"/>
      <c r="N32" s="200">
        <f>ROUND(SUM(Site_Detail_8[[#This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ROUND(SUM(Site_Detail_8[[#This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ROUND(SUM(Site_Detail_8[[#This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ROUND(SUM(Site_Detail_8[[#This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ROUND(SUM(Site_Detail_8[[#This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ROUND(SUM(Site_Detail_8[[#This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ROUND(SUM(Site_Detail_8[[#This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ROUND(SUM(Site_Detail_8[[#This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ROUND(SUM(Site_Detail_8[[#This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ROUND(SUM(Site_Detail_8[[#This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ROUND(SUM(Site_Detail_8[[#This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ROUND(SUM(Site_Detail_8[[#This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ROUND(SUM(Site_Detail_8[[#This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ROUND(SUM(Site_Detail_8[[#This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ROUND(SUM(Site_Detail_8[[#This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ROUND(SUM(Site_Detail_8[[#This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ROUND(SUM(Site_Detail_8[[#This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ROUND(SUM(Site_Detail_8[[#This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ROUND(SUM(Site_Detail_8[[#This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ROUND(SUM(Site_Detail_8[[#This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ROUND(SUM(Site_Detail_8[[#This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ROUND(SUM(Site_Detail_8[[#This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ROUND(SUM(Site_Detail_8[[#This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ROUND(SUM(Site_Detail_8[[#This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ROUND(SUM(Site_Detail_8[[#This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ROUND(SUM(Site_Detail_8[[#This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ROUND(SUM(Site_Detail_8[[#This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ROUND(SUM(Site_Detail_8[[#This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ROUND(SUM(Site_Detail_8[[#This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ROUND(SUM(Site_Detail_8[[#This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ROUND(SUM(Site_Detail_8[[#This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ROUND(SUM(Site_Detail_8[[#This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ROUND(SUM(Site_Detail_8[[#This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ROUND(SUM(Site_Detail_8[[#This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ROUND(SUM(Site_Detail_8[[#This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ROUND(SUM(Site_Detail_8[[#This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ROUND(SUM(Site_Detail_8[[#This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ROUND(SUM(Site_Detail_8[[#This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ROUND(SUM(Site_Detail_8[[#This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ROUND(SUM(Site_Detail_8[[#This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ROUND(SUM(Site_Detail_8[[#This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ROUND(SUM(Site_Detail_8[[#This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ROUND(SUM(Site_Detail_8[[#This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ROUND(SUM(Site_Detail_8[[#This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ROUND(SUM(Site_Detail_8[[#This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ROUND(SUM(Site_Detail_8[[#This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ROUND(SUM(Site_Detail_8[[#This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ROUND(SUM(Site_Detail_8[[#This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ROUND(SUM(Site_Detail_8[[#This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ROUND(SUM(Site_Detail_8[[#This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ROUND(SUM(Site_Detail_8[[#This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ROUND(SUM(Site_Detail_8[[#This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ROUND(SUM(Site_Detail_8[[#This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ROUND(SUM(Site_Detail_8[[#This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ROUND(SUM(Site_Detail_8[[#This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ROUND(SUM(Site_Detail_8[[#This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95" priority="6" operator="equal">
      <formula>"(select)"</formula>
    </cfRule>
  </conditionalFormatting>
  <conditionalFormatting sqref="B13:G87">
    <cfRule type="expression" dxfId="94" priority="7">
      <formula>AND(SUM($H13:$M13)&gt;0,B13="")</formula>
    </cfRule>
  </conditionalFormatting>
  <conditionalFormatting sqref="C4:C5 C7">
    <cfRule type="cellIs" dxfId="93" priority="1" operator="equal">
      <formula>"(autofill)"</formula>
    </cfRule>
    <cfRule type="expression" dxfId="92" priority="2">
      <formula>$C$5="Invalid Entity ID"</formula>
    </cfRule>
  </conditionalFormatting>
  <conditionalFormatting sqref="C6">
    <cfRule type="cellIs" dxfId="91" priority="3" operator="equal">
      <formula>"(enter center/site name)"</formula>
    </cfRule>
  </conditionalFormatting>
  <conditionalFormatting sqref="C8">
    <cfRule type="cellIs" dxfId="90" priority="4" operator="equal">
      <formula>"(enter #)"</formula>
    </cfRule>
  </conditionalFormatting>
  <conditionalFormatting sqref="C13:C87">
    <cfRule type="cellIs" dxfId="89" priority="8" operator="equal">
      <formula>"Yes"</formula>
    </cfRule>
  </conditionalFormatting>
  <conditionalFormatting sqref="E13">
    <cfRule type="cellIs" dxfId="88" priority="9" operator="equal">
      <formula>"(fx code)"</formula>
    </cfRule>
  </conditionalFormatting>
  <conditionalFormatting sqref="F13">
    <cfRule type="cellIs" dxfId="87" priority="10" operator="equal">
      <formula>"(obj)"</formula>
    </cfRule>
  </conditionalFormatting>
  <conditionalFormatting sqref="G13">
    <cfRule type="cellIs" dxfId="86" priority="11" operator="equal">
      <formula>"(enter description)"</formula>
    </cfRule>
  </conditionalFormatting>
  <conditionalFormatting sqref="H13:M13">
    <cfRule type="cellIs" dxfId="85" priority="12" operator="equal">
      <formula>"(enter $)"</formula>
    </cfRule>
  </conditionalFormatting>
  <conditionalFormatting sqref="I7:M7 I12:M12 S12:W12">
    <cfRule type="containsText" dxfId="84" priority="5" operator="containsText" text="(addt'l. fund source">
      <formula>NOT(ISERROR(SEARCH("(addt'l. fund source",I7)))</formula>
    </cfRule>
  </conditionalFormatting>
  <conditionalFormatting sqref="O13">
    <cfRule type="cellIs" dxfId="83" priority="13" operator="equal">
      <formula>"(enter note)"</formula>
    </cfRule>
  </conditionalFormatting>
  <dataValidations count="4">
    <dataValidation allowBlank="1" showInputMessage="1" showErrorMessage="1" prompt="Each line item for salaries MUST indicate: _x000a__x000a_1) Amount of FTE, and _x000a__x000a_2) Type of position (see Budget Guidance tab for examples)." sqref="G13:G15" xr:uid="{DE35FA41-6DFA-4DC8-AEFA-47464DC2454D}"/>
    <dataValidation type="list" allowBlank="1" showErrorMessage="1" sqref="B13:B87" xr:uid="{9A274EDD-A00F-4B74-99E5-690C01DB4B07}">
      <formula1>Program_List</formula1>
    </dataValidation>
    <dataValidation type="list" allowBlank="1" showErrorMessage="1" sqref="D13:D87" xr:uid="{E5C6C48B-AE3D-411E-BA8F-D1270E042134}">
      <formula1>Categories_List</formula1>
    </dataValidation>
    <dataValidation type="list" allowBlank="1" showErrorMessage="1" sqref="C13:C87" xr:uid="{3D63B21C-5B14-469E-B416-5CAA5A8BB8B9}">
      <formula1>Contracted_List</formula1>
    </dataValidation>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48B34-7DC1-40A7-B118-9D7B002455A0}">
  <sheetPr>
    <tabColor rgb="FFAAD4F4"/>
    <pageSetUpPr autoPageBreaks="0" fitToPage="1"/>
  </sheetPr>
  <dimension ref="A1:Z87"/>
  <sheetViews>
    <sheetView showGridLines="0" showRowColHeaders="0" zoomScaleNormal="100" workbookViewId="0">
      <pane ySplit="12" topLeftCell="A13" activePane="bottomLeft" state="frozen"/>
      <selection activeCell="B2" sqref="B2:H2"/>
      <selection pane="bottomLeft" activeCell="B2" sqref="B2:H2"/>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627</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ROUND(SUMIF(Site_Detail_9[[Program Type]:[Program Type]],"Before/Afterschool",Site_Detail_9[21st CCLC,  Title IV-B]),2)</f>
        <v>0</v>
      </c>
      <c r="I8" s="150">
        <f>ROUND(SUMIF(Site_Detail_9[[Program Type]:[Program Type]],"Before/Afterschool",Site_Detail_9[(enter addt''l. fund source 1)]),2)</f>
        <v>0</v>
      </c>
      <c r="J8" s="150">
        <f>ROUND(SUMIF(Site_Detail_9[[Program Type]:[Program Type]],"Before/Afterschool",Site_Detail_9[(enter addt''l. fund source 2)]),2)</f>
        <v>0</v>
      </c>
      <c r="K8" s="150">
        <f>ROUND(SUMIF(Site_Detail_9[[Program Type]:[Program Type]],"Before/Afterschool",Site_Detail_9[(enter addt''l. fund source 3)]),2)</f>
        <v>0</v>
      </c>
      <c r="L8" s="150">
        <f>ROUND(SUMIF(Site_Detail_9[[Program Type]:[Program Type]],"Before/Afterschool",Site_Detail_9[(enter addt''l. fund source 4)]),2)</f>
        <v>0</v>
      </c>
      <c r="M8" s="203">
        <f>ROUND(SUMIF(Site_Detail_9[[Program Type]:[Program Type]],"Before/Afterschool",Site_Detail_9[(enter addt''l. fund source 5)]),2)</f>
        <v>0</v>
      </c>
      <c r="N8" s="198">
        <f>SUM(Site_Summary_9[[#This Row],[Column3]:[Column8]])</f>
        <v>0</v>
      </c>
    </row>
    <row r="9" spans="1:26" customFormat="1" x14ac:dyDescent="0.25">
      <c r="A9" s="1" t="s">
        <v>0</v>
      </c>
      <c r="B9" s="408"/>
      <c r="C9" s="410"/>
      <c r="G9" s="149" t="s">
        <v>609</v>
      </c>
      <c r="H9" s="151">
        <f>ROUND(SUMIF(Site_Detail_9[[Program Type]:[Program Type]],"Summer",Site_Detail_9[21st CCLC,  Title IV-B]),2)</f>
        <v>0</v>
      </c>
      <c r="I9" s="150">
        <f>ROUND(SUMIF(Site_Detail_9[[Program Type]:[Program Type]],"Summer",Site_Detail_9[(enter addt''l. fund source 1)]),2)</f>
        <v>0</v>
      </c>
      <c r="J9" s="150">
        <f>ROUND(SUMIF(Site_Detail_9[[Program Type]:[Program Type]],"Summer",Site_Detail_9[(enter addt''l. fund source 2)]),2)</f>
        <v>0</v>
      </c>
      <c r="K9" s="150">
        <f>ROUND(SUMIF(Site_Detail_9[[Program Type]:[Program Type]],"Summer",Site_Detail_9[(enter addt''l. fund source 3)]),2)</f>
        <v>0</v>
      </c>
      <c r="L9" s="150">
        <f>ROUND(SUMIF(Site_Detail_9[[Program Type]:[Program Type]],"Summer",Site_Detail_9[(enter addt''l. fund source 4)]),2)</f>
        <v>0</v>
      </c>
      <c r="M9" s="204">
        <f>ROUND(SUMIF(Site_Detail_9[[Program Type]:[Program Type]],"Summer",Site_Detail_9[(enter addt''l. fund source 5)]),2)</f>
        <v>0</v>
      </c>
      <c r="N9" s="199">
        <f>SUM(Site_Summary_9[[#This Row],[Column3]:[Column8]])</f>
        <v>0</v>
      </c>
    </row>
    <row r="10" spans="1:26" customFormat="1" x14ac:dyDescent="0.25">
      <c r="A10" s="1" t="s">
        <v>0</v>
      </c>
      <c r="G10" s="152" t="s">
        <v>628</v>
      </c>
      <c r="H10" s="247">
        <f>ROUND(SUM(Site_Detail_9[21st CCLC,  Title IV-B]),2)</f>
        <v>0</v>
      </c>
      <c r="I10" s="248">
        <f>ROUND(SUM(Site_Detail_9[(enter addt''l. fund source 1)]),2)</f>
        <v>0</v>
      </c>
      <c r="J10" s="109">
        <f>ROUND(SUM(Site_Detail_9[(enter addt''l. fund source 2)]),2)</f>
        <v>0</v>
      </c>
      <c r="K10" s="109">
        <f>ROUND(SUM(Site_Detail_9[(enter addt''l. fund source 3)]),2)</f>
        <v>0</v>
      </c>
      <c r="L10" s="109">
        <f>ROUND(SUM(Site_Detail_9[(enter addt''l. fund source 4)]),2)</f>
        <v>0</v>
      </c>
      <c r="M10" s="110">
        <f>ROUND(SUM(Site_Detail_9[(enter addt''l. fund source 5)]),2)</f>
        <v>0</v>
      </c>
      <c r="N10" s="238">
        <f>SUM(Site_Summary_9[[#This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ROUND(SUM(Site_Detail_9[[#This Row],[21st CCLC,  Title IV-B]:[(enter addt''l. fund source 5)]]),2)</f>
        <v>0</v>
      </c>
      <c r="O13" s="225" t="s">
        <v>28</v>
      </c>
      <c r="Q13" s="101" t="s">
        <v>545</v>
      </c>
      <c r="R13" s="230" cm="1">
        <f t="array" ref="R13">SUMIF(Site_Detail_9[[Category]:[Category]],Site_Category_Sum_9[[#This Row],[Column1]:[Column1]],Site_Detail_9[21st CCLC,  Title IV-B])</f>
        <v>0</v>
      </c>
      <c r="S13" s="124" cm="1">
        <f t="array" ref="S13">SUMIF(Site_Detail_9[[Category]:[Category]],Site_Category_Sum_9[[#This Row],[Column1]:[Column1]],Site_Detail_9[(enter addt''l. fund source 1)])</f>
        <v>0</v>
      </c>
      <c r="T13" s="124" cm="1">
        <f t="array" ref="T13">SUMIF(Site_Detail_9[[Category]:[Category]],Site_Category_Sum_9[[#This Row],[Column1]:[Column1]],Site_Detail_9[(enter addt''l. fund source 2)])</f>
        <v>0</v>
      </c>
      <c r="U13" s="124" cm="1">
        <f t="array" ref="U13">SUMIF(Site_Detail_9[[Category]:[Category]],Site_Category_Sum_9[[#This Row],[Column1]:[Column1]],Site_Detail_9[(enter addt''l. fund source 3)])</f>
        <v>0</v>
      </c>
      <c r="V13" s="124" cm="1">
        <f t="array" ref="V13">SUMIF(Site_Detail_9[[Category]:[Category]],Site_Category_Sum_9[[#This Row],[Column1]:[Column1]],Site_Detail_9[(enter addt''l. fund source 4)])</f>
        <v>0</v>
      </c>
      <c r="W13" s="124" cm="1">
        <f t="array" ref="W13">SUMIF(Site_Detail_9[[Category]:[Category]],Site_Category_Sum_9[[#This Row],[Column1]:[Column1]],Site_Detail_9[(enter addt''l. fund source 5)])</f>
        <v>0</v>
      </c>
      <c r="X13" s="233">
        <f>ROUND(SUM(Site_Category_Sum_9[[#This Row],[Column2]:[Column7]]),2)</f>
        <v>0</v>
      </c>
      <c r="Z13" s="178" t="s">
        <v>0</v>
      </c>
    </row>
    <row r="14" spans="1:26" x14ac:dyDescent="0.25">
      <c r="B14" s="53"/>
      <c r="C14" s="54"/>
      <c r="D14" s="53"/>
      <c r="E14" s="54"/>
      <c r="F14" s="54"/>
      <c r="G14" s="219"/>
      <c r="H14" s="196"/>
      <c r="I14" s="220"/>
      <c r="J14" s="55"/>
      <c r="K14" s="55"/>
      <c r="L14" s="55"/>
      <c r="M14" s="207"/>
      <c r="N14" s="200">
        <f>ROUND(SUM(Site_Detail_9[[#This Row],[21st CCLC,  Title IV-B]:[(enter addt''l. fund source 5)]]),2)</f>
        <v>0</v>
      </c>
      <c r="O14" s="208"/>
      <c r="Q14" s="103" t="s">
        <v>546</v>
      </c>
      <c r="R14" s="230" cm="1">
        <f t="array" ref="R14">SUMIF(Site_Detail_9[[Category]:[Category]],Site_Category_Sum_9[[#This Row],[Column1]:[Column1]],Site_Detail_9[21st CCLC,  Title IV-B])</f>
        <v>0</v>
      </c>
      <c r="S14" s="124" cm="1">
        <f t="array" ref="S14">SUMIF(Site_Detail_9[[Category]:[Category]],Site_Category_Sum_9[[#This Row],[Column1]:[Column1]],Site_Detail_9[(enter addt''l. fund source 1)])</f>
        <v>0</v>
      </c>
      <c r="T14" s="102" cm="1">
        <f t="array" ref="T14">SUMIF(Site_Detail_9[[Category]:[Category]],Site_Category_Sum_9[[#This Row],[Column1]:[Column1]],Site_Detail_9[(enter addt''l. fund source 2)])</f>
        <v>0</v>
      </c>
      <c r="U14" s="102" cm="1">
        <f t="array" ref="U14">SUMIF(Site_Detail_9[[Category]:[Category]],Site_Category_Sum_9[[#This Row],[Column1]:[Column1]],Site_Detail_9[(enter addt''l. fund source 3)])</f>
        <v>0</v>
      </c>
      <c r="V14" s="102" cm="1">
        <f t="array" ref="V14">SUMIF(Site_Detail_9[[Category]:[Category]],Site_Category_Sum_9[[#This Row],[Column1]:[Column1]],Site_Detail_9[(enter addt''l. fund source 4)])</f>
        <v>0</v>
      </c>
      <c r="W14" s="102" cm="1">
        <f t="array" ref="W14">SUMIF(Site_Detail_9[[Category]:[Category]],Site_Category_Sum_9[[#This Row],[Column1]:[Column1]],Site_Detail_9[(enter addt''l. fund source 5)])</f>
        <v>0</v>
      </c>
      <c r="X14" s="233">
        <f>ROUND(SUM(Site_Category_Sum_9[[#This Row],[Column2]:[Column7]]),2)</f>
        <v>0</v>
      </c>
      <c r="Z14" s="178" t="s">
        <v>0</v>
      </c>
    </row>
    <row r="15" spans="1:26" x14ac:dyDescent="0.25">
      <c r="B15" s="50"/>
      <c r="C15" s="51"/>
      <c r="D15" s="50"/>
      <c r="E15" s="51"/>
      <c r="F15" s="51"/>
      <c r="G15" s="221"/>
      <c r="H15" s="196"/>
      <c r="I15" s="222"/>
      <c r="J15" s="52"/>
      <c r="K15" s="52"/>
      <c r="L15" s="52"/>
      <c r="M15" s="205"/>
      <c r="N15" s="200">
        <f>ROUND(SUM(Site_Detail_9[[#This Row],[21st CCLC,  Title IV-B]:[(enter addt''l. fund source 5)]]),2)</f>
        <v>0</v>
      </c>
      <c r="O15" s="206"/>
      <c r="Q15" s="103" t="s">
        <v>161</v>
      </c>
      <c r="R15" s="230" cm="1">
        <f t="array" ref="R15">SUMIF(Site_Detail_9[[Category]:[Category]],Site_Category_Sum_9[[#This Row],[Column1]:[Column1]],Site_Detail_9[21st CCLC,  Title IV-B])</f>
        <v>0</v>
      </c>
      <c r="S15" s="124" cm="1">
        <f t="array" ref="S15">SUMIF(Site_Detail_9[[Category]:[Category]],Site_Category_Sum_9[[#This Row],[Column1]:[Column1]],Site_Detail_9[(enter addt''l. fund source 1)])</f>
        <v>0</v>
      </c>
      <c r="T15" s="102" cm="1">
        <f t="array" ref="T15">SUMIF(Site_Detail_9[[Category]:[Category]],Site_Category_Sum_9[[#This Row],[Column1]:[Column1]],Site_Detail_9[(enter addt''l. fund source 2)])</f>
        <v>0</v>
      </c>
      <c r="U15" s="102" cm="1">
        <f t="array" ref="U15">SUMIF(Site_Detail_9[[Category]:[Category]],Site_Category_Sum_9[[#This Row],[Column1]:[Column1]],Site_Detail_9[(enter addt''l. fund source 3)])</f>
        <v>0</v>
      </c>
      <c r="V15" s="102" cm="1">
        <f t="array" ref="V15">SUMIF(Site_Detail_9[[Category]:[Category]],Site_Category_Sum_9[[#This Row],[Column1]:[Column1]],Site_Detail_9[(enter addt''l. fund source 4)])</f>
        <v>0</v>
      </c>
      <c r="W15" s="102" cm="1">
        <f t="array" ref="W15">SUMIF(Site_Detail_9[[Category]:[Category]],Site_Category_Sum_9[[#This Row],[Column1]:[Column1]],Site_Detail_9[(enter addt''l. fund source 5)])</f>
        <v>0</v>
      </c>
      <c r="X15" s="233">
        <f>ROUND(SUM(Site_Category_Sum_9[[#This Row],[Column2]:[Column7]]),2)</f>
        <v>0</v>
      </c>
      <c r="Z15" s="178" t="s">
        <v>0</v>
      </c>
    </row>
    <row r="16" spans="1:26" x14ac:dyDescent="0.25">
      <c r="B16" s="53"/>
      <c r="C16" s="54"/>
      <c r="D16" s="53"/>
      <c r="E16" s="54"/>
      <c r="F16" s="54"/>
      <c r="G16" s="219"/>
      <c r="H16" s="196"/>
      <c r="I16" s="220"/>
      <c r="J16" s="55"/>
      <c r="K16" s="55"/>
      <c r="L16" s="55"/>
      <c r="M16" s="207"/>
      <c r="N16" s="200">
        <f>ROUND(SUM(Site_Detail_9[[#This Row],[21st CCLC,  Title IV-B]:[(enter addt''l. fund source 5)]]),2)</f>
        <v>0</v>
      </c>
      <c r="O16" s="208"/>
      <c r="Q16" s="103" t="s">
        <v>162</v>
      </c>
      <c r="R16" s="230" cm="1">
        <f t="array" ref="R16">SUMIF(Site_Detail_9[[Category]:[Category]],Site_Category_Sum_9[[#This Row],[Column1]:[Column1]],Site_Detail_9[21st CCLC,  Title IV-B])</f>
        <v>0</v>
      </c>
      <c r="S16" s="124" cm="1">
        <f t="array" ref="S16">SUMIF(Site_Detail_9[[Category]:[Category]],Site_Category_Sum_9[[#This Row],[Column1]:[Column1]],Site_Detail_9[(enter addt''l. fund source 1)])</f>
        <v>0</v>
      </c>
      <c r="T16" s="102" cm="1">
        <f t="array" ref="T16">SUMIF(Site_Detail_9[[Category]:[Category]],Site_Category_Sum_9[[#This Row],[Column1]:[Column1]],Site_Detail_9[(enter addt''l. fund source 2)])</f>
        <v>0</v>
      </c>
      <c r="U16" s="102" cm="1">
        <f t="array" ref="U16">SUMIF(Site_Detail_9[[Category]:[Category]],Site_Category_Sum_9[[#This Row],[Column1]:[Column1]],Site_Detail_9[(enter addt''l. fund source 3)])</f>
        <v>0</v>
      </c>
      <c r="V16" s="102" cm="1">
        <f t="array" ref="V16">SUMIF(Site_Detail_9[[Category]:[Category]],Site_Category_Sum_9[[#This Row],[Column1]:[Column1]],Site_Detail_9[(enter addt''l. fund source 4)])</f>
        <v>0</v>
      </c>
      <c r="W16" s="102" cm="1">
        <f t="array" ref="W16">SUMIF(Site_Detail_9[[Category]:[Category]],Site_Category_Sum_9[[#This Row],[Column1]:[Column1]],Site_Detail_9[(enter addt''l. fund source 5)])</f>
        <v>0</v>
      </c>
      <c r="X16" s="233">
        <f>ROUND(SUM(Site_Category_Sum_9[[#This Row],[Column2]:[Column7]]),2)</f>
        <v>0</v>
      </c>
      <c r="Z16" s="178" t="s">
        <v>0</v>
      </c>
    </row>
    <row r="17" spans="2:26" x14ac:dyDescent="0.25">
      <c r="B17" s="53"/>
      <c r="C17" s="54"/>
      <c r="D17" s="53"/>
      <c r="E17" s="54"/>
      <c r="F17" s="54"/>
      <c r="G17" s="219"/>
      <c r="H17" s="196"/>
      <c r="I17" s="220"/>
      <c r="J17" s="55"/>
      <c r="K17" s="55"/>
      <c r="L17" s="55"/>
      <c r="M17" s="207"/>
      <c r="N17" s="200">
        <f>ROUND(SUM(Site_Detail_9[[#This Row],[21st CCLC,  Title IV-B]:[(enter addt''l. fund source 5)]]),2)</f>
        <v>0</v>
      </c>
      <c r="O17" s="208"/>
      <c r="Q17" s="103" t="s">
        <v>596</v>
      </c>
      <c r="R17" s="230" cm="1">
        <f t="array" ref="R17">SUMIF(Site_Detail_9[[Category]:[Category]],Site_Category_Sum_9[[#This Row],[Column1]:[Column1]],Site_Detail_9[21st CCLC,  Title IV-B])</f>
        <v>0</v>
      </c>
      <c r="S17" s="124" cm="1">
        <f t="array" ref="S17">SUMIF(Site_Detail_9[[Category]:[Category]],Site_Category_Sum_9[[#This Row],[Column1]:[Column1]],Site_Detail_9[(enter addt''l. fund source 1)])</f>
        <v>0</v>
      </c>
      <c r="T17" s="102" cm="1">
        <f t="array" ref="T17">SUMIF(Site_Detail_9[[Category]:[Category]],Site_Category_Sum_9[[#This Row],[Column1]:[Column1]],Site_Detail_9[(enter addt''l. fund source 2)])</f>
        <v>0</v>
      </c>
      <c r="U17" s="102" cm="1">
        <f t="array" ref="U17">SUMIF(Site_Detail_9[[Category]:[Category]],Site_Category_Sum_9[[#This Row],[Column1]:[Column1]],Site_Detail_9[(enter addt''l. fund source 3)])</f>
        <v>0</v>
      </c>
      <c r="V17" s="102" cm="1">
        <f t="array" ref="V17">SUMIF(Site_Detail_9[[Category]:[Category]],Site_Category_Sum_9[[#This Row],[Column1]:[Column1]],Site_Detail_9[(enter addt''l. fund source 4)])</f>
        <v>0</v>
      </c>
      <c r="W17" s="102" cm="1">
        <f t="array" ref="W17">SUMIF(Site_Detail_9[[Category]:[Category]],Site_Category_Sum_9[[#This Row],[Column1]:[Column1]],Site_Detail_9[(enter addt''l. fund source 5)])</f>
        <v>0</v>
      </c>
      <c r="X17" s="233">
        <f>ROUND(SUM(Site_Category_Sum_9[[#This Row],[Column2]:[Column7]]),2)</f>
        <v>0</v>
      </c>
      <c r="Z17" s="178" t="s">
        <v>0</v>
      </c>
    </row>
    <row r="18" spans="2:26" x14ac:dyDescent="0.25">
      <c r="B18" s="53"/>
      <c r="C18" s="54"/>
      <c r="D18" s="53"/>
      <c r="E18" s="54"/>
      <c r="F18" s="54"/>
      <c r="G18" s="219"/>
      <c r="H18" s="196"/>
      <c r="I18" s="220"/>
      <c r="J18" s="55"/>
      <c r="K18" s="55"/>
      <c r="L18" s="55"/>
      <c r="M18" s="207"/>
      <c r="N18" s="200">
        <f>ROUND(SUM(Site_Detail_9[[#This Row],[21st CCLC,  Title IV-B]:[(enter addt''l. fund source 5)]]),2)</f>
        <v>0</v>
      </c>
      <c r="O18" s="208"/>
      <c r="Q18" s="103" t="s">
        <v>160</v>
      </c>
      <c r="R18" s="230" cm="1">
        <f t="array" ref="R18">SUMIF(Site_Detail_9[[Category]:[Category]],Site_Category_Sum_9[[#This Row],[Column1]:[Column1]],Site_Detail_9[21st CCLC,  Title IV-B])</f>
        <v>0</v>
      </c>
      <c r="S18" s="124" cm="1">
        <f t="array" ref="S18">SUMIF(Site_Detail_9[[Category]:[Category]],Site_Category_Sum_9[[#This Row],[Column1]:[Column1]],Site_Detail_9[(enter addt''l. fund source 1)])</f>
        <v>0</v>
      </c>
      <c r="T18" s="102" cm="1">
        <f t="array" ref="T18">SUMIF(Site_Detail_9[[Category]:[Category]],Site_Category_Sum_9[[#This Row],[Column1]:[Column1]],Site_Detail_9[(enter addt''l. fund source 2)])</f>
        <v>0</v>
      </c>
      <c r="U18" s="102" cm="1">
        <f t="array" ref="U18">SUMIF(Site_Detail_9[[Category]:[Category]],Site_Category_Sum_9[[#This Row],[Column1]:[Column1]],Site_Detail_9[(enter addt''l. fund source 3)])</f>
        <v>0</v>
      </c>
      <c r="V18" s="102" cm="1">
        <f t="array" ref="V18">SUMIF(Site_Detail_9[[Category]:[Category]],Site_Category_Sum_9[[#This Row],[Column1]:[Column1]],Site_Detail_9[(enter addt''l. fund source 4)])</f>
        <v>0</v>
      </c>
      <c r="W18" s="102" cm="1">
        <f t="array" ref="W18">SUMIF(Site_Detail_9[[Category]:[Category]],Site_Category_Sum_9[[#This Row],[Column1]:[Column1]],Site_Detail_9[(enter addt''l. fund source 5)])</f>
        <v>0</v>
      </c>
      <c r="X18" s="233">
        <f>ROUND(SUM(Site_Category_Sum_9[[#This Row],[Column2]:[Column7]]),2)</f>
        <v>0</v>
      </c>
      <c r="Z18" s="178" t="s">
        <v>0</v>
      </c>
    </row>
    <row r="19" spans="2:26" x14ac:dyDescent="0.25">
      <c r="B19" s="53"/>
      <c r="C19" s="54"/>
      <c r="D19" s="53"/>
      <c r="E19" s="54"/>
      <c r="F19" s="54"/>
      <c r="G19" s="219"/>
      <c r="H19" s="196"/>
      <c r="I19" s="220"/>
      <c r="J19" s="55"/>
      <c r="K19" s="55"/>
      <c r="L19" s="55"/>
      <c r="M19" s="207"/>
      <c r="N19" s="200">
        <f>ROUND(SUM(Site_Detail_9[[#This Row],[21st CCLC,  Title IV-B]:[(enter addt''l. fund source 5)]]),2)</f>
        <v>0</v>
      </c>
      <c r="O19" s="208"/>
      <c r="Q19" s="103" t="s">
        <v>566</v>
      </c>
      <c r="R19" s="230" cm="1">
        <f t="array" ref="R19">SUMIF(Site_Detail_9[[Category]:[Category]],Site_Category_Sum_9[[#This Row],[Column1]:[Column1]],Site_Detail_9[21st CCLC,  Title IV-B])</f>
        <v>0</v>
      </c>
      <c r="S19" s="124" cm="1">
        <f t="array" ref="S19">SUMIF(Site_Detail_9[[Category]:[Category]],Site_Category_Sum_9[[#This Row],[Column1]:[Column1]],Site_Detail_9[(enter addt''l. fund source 1)])</f>
        <v>0</v>
      </c>
      <c r="T19" s="102" cm="1">
        <f t="array" ref="T19">SUMIF(Site_Detail_9[[Category]:[Category]],Site_Category_Sum_9[[#This Row],[Column1]:[Column1]],Site_Detail_9[(enter addt''l. fund source 2)])</f>
        <v>0</v>
      </c>
      <c r="U19" s="102" cm="1">
        <f t="array" ref="U19">SUMIF(Site_Detail_9[[Category]:[Category]],Site_Category_Sum_9[[#This Row],[Column1]:[Column1]],Site_Detail_9[(enter addt''l. fund source 3)])</f>
        <v>0</v>
      </c>
      <c r="V19" s="102" cm="1">
        <f t="array" ref="V19">SUMIF(Site_Detail_9[[Category]:[Category]],Site_Category_Sum_9[[#This Row],[Column1]:[Column1]],Site_Detail_9[(enter addt''l. fund source 4)])</f>
        <v>0</v>
      </c>
      <c r="W19" s="102" cm="1">
        <f t="array" ref="W19">SUMIF(Site_Detail_9[[Category]:[Category]],Site_Category_Sum_9[[#This Row],[Column1]:[Column1]],Site_Detail_9[(enter addt''l. fund source 5)])</f>
        <v>0</v>
      </c>
      <c r="X19" s="233">
        <f>ROUND(SUM(Site_Category_Sum_9[[#This Row],[Column2]:[Column7]]),2)</f>
        <v>0</v>
      </c>
      <c r="Z19" s="178" t="s">
        <v>0</v>
      </c>
    </row>
    <row r="20" spans="2:26" x14ac:dyDescent="0.25">
      <c r="B20" s="53"/>
      <c r="C20" s="54"/>
      <c r="D20" s="53"/>
      <c r="E20" s="54"/>
      <c r="F20" s="54"/>
      <c r="G20" s="219"/>
      <c r="H20" s="196"/>
      <c r="I20" s="220"/>
      <c r="J20" s="55"/>
      <c r="K20" s="55"/>
      <c r="L20" s="55"/>
      <c r="M20" s="207"/>
      <c r="N20" s="200">
        <f>ROUND(SUM(Site_Detail_9[[#This Row],[21st CCLC,  Title IV-B]:[(enter addt''l. fund source 5)]]),2)</f>
        <v>0</v>
      </c>
      <c r="O20" s="208"/>
      <c r="Q20" s="103" t="s">
        <v>75</v>
      </c>
      <c r="R20" s="230" cm="1">
        <f t="array" ref="R20">SUMIF(Site_Detail_9[[Category]:[Category]],Site_Category_Sum_9[[#This Row],[Column1]:[Column1]],Site_Detail_9[21st CCLC,  Title IV-B])</f>
        <v>0</v>
      </c>
      <c r="S20" s="124" cm="1">
        <f t="array" ref="S20">SUMIF(Site_Detail_9[[Category]:[Category]],Site_Category_Sum_9[[#This Row],[Column1]:[Column1]],Site_Detail_9[(enter addt''l. fund source 1)])</f>
        <v>0</v>
      </c>
      <c r="T20" s="102" cm="1">
        <f t="array" ref="T20">SUMIF(Site_Detail_9[[Category]:[Category]],Site_Category_Sum_9[[#This Row],[Column1]:[Column1]],Site_Detail_9[(enter addt''l. fund source 2)])</f>
        <v>0</v>
      </c>
      <c r="U20" s="102" cm="1">
        <f t="array" ref="U20">SUMIF(Site_Detail_9[[Category]:[Category]],Site_Category_Sum_9[[#This Row],[Column1]:[Column1]],Site_Detail_9[(enter addt''l. fund source 3)])</f>
        <v>0</v>
      </c>
      <c r="V20" s="102" cm="1">
        <f t="array" ref="V20">SUMIF(Site_Detail_9[[Category]:[Category]],Site_Category_Sum_9[[#This Row],[Column1]:[Column1]],Site_Detail_9[(enter addt''l. fund source 4)])</f>
        <v>0</v>
      </c>
      <c r="W20" s="102" cm="1">
        <f t="array" ref="W20">SUMIF(Site_Detail_9[[Category]:[Category]],Site_Category_Sum_9[[#This Row],[Column1]:[Column1]],Site_Detail_9[(enter addt''l. fund source 5)])</f>
        <v>0</v>
      </c>
      <c r="X20" s="233">
        <f>ROUND(SUM(Site_Category_Sum_9[[#This Row],[Column2]:[Column7]]),2)</f>
        <v>0</v>
      </c>
      <c r="Z20" s="178" t="s">
        <v>0</v>
      </c>
    </row>
    <row r="21" spans="2:26" x14ac:dyDescent="0.25">
      <c r="B21" s="53"/>
      <c r="C21" s="54"/>
      <c r="D21" s="53"/>
      <c r="E21" s="54"/>
      <c r="F21" s="54"/>
      <c r="G21" s="219"/>
      <c r="H21" s="196"/>
      <c r="I21" s="220"/>
      <c r="J21" s="55"/>
      <c r="K21" s="55"/>
      <c r="L21" s="55"/>
      <c r="M21" s="207"/>
      <c r="N21" s="200">
        <f>ROUND(SUM(Site_Detail_9[[#This Row],[21st CCLC,  Title IV-B]:[(enter addt''l. fund source 5)]]),2)</f>
        <v>0</v>
      </c>
      <c r="O21" s="208"/>
      <c r="Q21" s="103" t="s">
        <v>603</v>
      </c>
      <c r="R21" s="230" cm="1">
        <f t="array" ref="R21">SUMIF(Site_Detail_9[[Category]:[Category]],Site_Category_Sum_9[[#This Row],[Column1]:[Column1]],Site_Detail_9[21st CCLC,  Title IV-B])</f>
        <v>0</v>
      </c>
      <c r="S21" s="124" cm="1">
        <f t="array" ref="S21">SUMIF(Site_Detail_9[[Category]:[Category]],Site_Category_Sum_9[[#This Row],[Column1]:[Column1]],Site_Detail_9[(enter addt''l. fund source 1)])</f>
        <v>0</v>
      </c>
      <c r="T21" s="102" cm="1">
        <f t="array" ref="T21">SUMIF(Site_Detail_9[[Category]:[Category]],Site_Category_Sum_9[[#This Row],[Column1]:[Column1]],Site_Detail_9[(enter addt''l. fund source 2)])</f>
        <v>0</v>
      </c>
      <c r="U21" s="102" cm="1">
        <f t="array" ref="U21">SUMIF(Site_Detail_9[[Category]:[Category]],Site_Category_Sum_9[[#This Row],[Column1]:[Column1]],Site_Detail_9[(enter addt''l. fund source 3)])</f>
        <v>0</v>
      </c>
      <c r="V21" s="102" cm="1">
        <f t="array" ref="V21">SUMIF(Site_Detail_9[[Category]:[Category]],Site_Category_Sum_9[[#This Row],[Column1]:[Column1]],Site_Detail_9[(enter addt''l. fund source 4)])</f>
        <v>0</v>
      </c>
      <c r="W21" s="102" cm="1">
        <f t="array" ref="W21">SUMIF(Site_Detail_9[[Category]:[Category]],Site_Category_Sum_9[[#This Row],[Column1]:[Column1]],Site_Detail_9[(enter addt''l. fund source 5)])</f>
        <v>0</v>
      </c>
      <c r="X21" s="233">
        <f>ROUND(SUM(Site_Category_Sum_9[[#This Row],[Column2]:[Column7]]),2)</f>
        <v>0</v>
      </c>
      <c r="Z21" s="178" t="s">
        <v>0</v>
      </c>
    </row>
    <row r="22" spans="2:26" x14ac:dyDescent="0.25">
      <c r="B22" s="53"/>
      <c r="C22" s="54"/>
      <c r="D22" s="53"/>
      <c r="E22" s="54"/>
      <c r="F22" s="54"/>
      <c r="G22" s="219"/>
      <c r="H22" s="196"/>
      <c r="I22" s="220"/>
      <c r="J22" s="55"/>
      <c r="K22" s="55"/>
      <c r="L22" s="55"/>
      <c r="M22" s="207"/>
      <c r="N22" s="200">
        <f>ROUND(SUM(Site_Detail_9[[#This Row],[21st CCLC,  Title IV-B]:[(enter addt''l. fund source 5)]]),2)</f>
        <v>0</v>
      </c>
      <c r="O22" s="208"/>
      <c r="Q22" s="103" t="s">
        <v>604</v>
      </c>
      <c r="R22" s="230" cm="1">
        <f t="array" ref="R22">SUMIF(Site_Detail_9[[Category]:[Category]],Site_Category_Sum_9[[#This Row],[Column1]:[Column1]],Site_Detail_9[21st CCLC,  Title IV-B])</f>
        <v>0</v>
      </c>
      <c r="S22" s="124" cm="1">
        <f t="array" ref="S22">SUMIF(Site_Detail_9[[Category]:[Category]],Site_Category_Sum_9[[#This Row],[Column1]:[Column1]],Site_Detail_9[(enter addt''l. fund source 1)])</f>
        <v>0</v>
      </c>
      <c r="T22" s="102" cm="1">
        <f t="array" ref="T22">SUMIF(Site_Detail_9[[Category]:[Category]],Site_Category_Sum_9[[#This Row],[Column1]:[Column1]],Site_Detail_9[(enter addt''l. fund source 2)])</f>
        <v>0</v>
      </c>
      <c r="U22" s="102" cm="1">
        <f t="array" ref="U22">SUMIF(Site_Detail_9[[Category]:[Category]],Site_Category_Sum_9[[#This Row],[Column1]:[Column1]],Site_Detail_9[(enter addt''l. fund source 3)])</f>
        <v>0</v>
      </c>
      <c r="V22" s="102" cm="1">
        <f t="array" ref="V22">SUMIF(Site_Detail_9[[Category]:[Category]],Site_Category_Sum_9[[#This Row],[Column1]:[Column1]],Site_Detail_9[(enter addt''l. fund source 4)])</f>
        <v>0</v>
      </c>
      <c r="W22" s="102" cm="1">
        <f t="array" ref="W22">SUMIF(Site_Detail_9[[Category]:[Category]],Site_Category_Sum_9[[#This Row],[Column1]:[Column1]],Site_Detail_9[(enter addt''l. fund source 5)])</f>
        <v>0</v>
      </c>
      <c r="X22" s="233">
        <f>ROUND(SUM(Site_Category_Sum_9[[#This Row],[Column2]:[Column7]]),2)</f>
        <v>0</v>
      </c>
      <c r="Z22" s="178" t="s">
        <v>0</v>
      </c>
    </row>
    <row r="23" spans="2:26" x14ac:dyDescent="0.25">
      <c r="B23" s="53"/>
      <c r="C23" s="54"/>
      <c r="D23" s="53"/>
      <c r="E23" s="54"/>
      <c r="F23" s="54"/>
      <c r="G23" s="219"/>
      <c r="H23" s="196"/>
      <c r="I23" s="220"/>
      <c r="J23" s="55"/>
      <c r="K23" s="55"/>
      <c r="L23" s="55"/>
      <c r="M23" s="207"/>
      <c r="N23" s="200">
        <f>ROUND(SUM(Site_Detail_9[[#This Row],[21st CCLC,  Title IV-B]:[(enter addt''l. fund source 5)]]),2)</f>
        <v>0</v>
      </c>
      <c r="O23" s="208"/>
      <c r="Q23" s="103" t="s">
        <v>567</v>
      </c>
      <c r="R23" s="230" cm="1">
        <f t="array" ref="R23">SUMIF(Site_Detail_9[[Category]:[Category]],Site_Category_Sum_9[[#This Row],[Column1]:[Column1]],Site_Detail_9[21st CCLC,  Title IV-B])</f>
        <v>0</v>
      </c>
      <c r="S23" s="124" cm="1">
        <f t="array" ref="S23">SUMIF(Site_Detail_9[[Category]:[Category]],Site_Category_Sum_9[[#This Row],[Column1]:[Column1]],Site_Detail_9[(enter addt''l. fund source 1)])</f>
        <v>0</v>
      </c>
      <c r="T23" s="102" cm="1">
        <f t="array" ref="T23">SUMIF(Site_Detail_9[[Category]:[Category]],Site_Category_Sum_9[[#This Row],[Column1]:[Column1]],Site_Detail_9[(enter addt''l. fund source 2)])</f>
        <v>0</v>
      </c>
      <c r="U23" s="102" cm="1">
        <f t="array" ref="U23">SUMIF(Site_Detail_9[[Category]:[Category]],Site_Category_Sum_9[[#This Row],[Column1]:[Column1]],Site_Detail_9[(enter addt''l. fund source 3)])</f>
        <v>0</v>
      </c>
      <c r="V23" s="102" cm="1">
        <f t="array" ref="V23">SUMIF(Site_Detail_9[[Category]:[Category]],Site_Category_Sum_9[[#This Row],[Column1]:[Column1]],Site_Detail_9[(enter addt''l. fund source 4)])</f>
        <v>0</v>
      </c>
      <c r="W23" s="102" cm="1">
        <f t="array" ref="W23">SUMIF(Site_Detail_9[[Category]:[Category]],Site_Category_Sum_9[[#This Row],[Column1]:[Column1]],Site_Detail_9[(enter addt''l. fund source 5)])</f>
        <v>0</v>
      </c>
      <c r="X23" s="233">
        <f>ROUND(SUM(Site_Category_Sum_9[[#This Row],[Column2]:[Column7]]),2)</f>
        <v>0</v>
      </c>
      <c r="Z23" s="178" t="s">
        <v>0</v>
      </c>
    </row>
    <row r="24" spans="2:26" x14ac:dyDescent="0.25">
      <c r="B24" s="53"/>
      <c r="C24" s="54"/>
      <c r="D24" s="53"/>
      <c r="E24" s="54"/>
      <c r="F24" s="54"/>
      <c r="G24" s="219"/>
      <c r="H24" s="196"/>
      <c r="I24" s="220"/>
      <c r="J24" s="55"/>
      <c r="K24" s="55"/>
      <c r="L24" s="55"/>
      <c r="M24" s="207"/>
      <c r="N24" s="200">
        <f>ROUND(SUM(Site_Detail_9[[#This Row],[21st CCLC,  Title IV-B]:[(enter addt''l. fund source 5)]]),2)</f>
        <v>0</v>
      </c>
      <c r="O24" s="208"/>
      <c r="Q24" s="103" t="s">
        <v>192</v>
      </c>
      <c r="R24" s="230">
        <f>ROUND(SUMIFS(Site_Detail_9[21st CCLC,  Title IV-B],Site_Detail_9[[Category]:[Category]],"Indirect",Site_Detail_9[[Contracted Service?]:[Contracted Service?]],"&lt;&gt;Yes"),2)</f>
        <v>0</v>
      </c>
      <c r="S24" s="124">
        <f>ROUND(SUMIFS(Site_Detail_9[(enter addt''l. fund source 1)],Site_Detail_9[[Category]:[Category]],"Indirect",Site_Detail_9[[Contracted Service?]:[Contracted Service?]],"&lt;&gt;Yes"),2)</f>
        <v>0</v>
      </c>
      <c r="T24" s="102">
        <f>ROUND(SUMIFS(Site_Detail_9[(enter addt''l. fund source 2)],Site_Detail_9[[Category]:[Category]],"Indirect",Site_Detail_9[[Contracted Service?]:[Contracted Service?]],"&lt;&gt;Yes"),2)</f>
        <v>0</v>
      </c>
      <c r="U24" s="102">
        <f>ROUND(SUMIFS(Site_Detail_9[(enter addt''l. fund source 3)],Site_Detail_9[[Category]:[Category]],"Indirect",Site_Detail_9[[Contracted Service?]:[Contracted Service?]],"&lt;&gt;Yes"),2)</f>
        <v>0</v>
      </c>
      <c r="V24" s="102">
        <f>ROUND(SUMIFS(Site_Detail_9[(enter addt''l. fund source 4)],Site_Detail_9[[Category]:[Category]],"Indirect",Site_Detail_9[[Contracted Service?]:[Contracted Service?]],"&lt;&gt;Yes"),2)</f>
        <v>0</v>
      </c>
      <c r="W24" s="102">
        <f>ROUND(SUMIFS(Site_Detail_9[(enter addt''l. fund source 5)],Site_Detail_9[[Category]:[Category]],"Indirect",Site_Detail_9[[Contracted Service?]:[Contracted Service?]],"&lt;&gt;Yes"),2)</f>
        <v>0</v>
      </c>
      <c r="X24" s="233">
        <f>ROUND(SUM(Site_Category_Sum_9[[#This Row],[Column2]:[Column7]]),2)</f>
        <v>0</v>
      </c>
      <c r="Z24" s="178" t="s">
        <v>0</v>
      </c>
    </row>
    <row r="25" spans="2:26" x14ac:dyDescent="0.25">
      <c r="B25" s="53"/>
      <c r="C25" s="54"/>
      <c r="D25" s="53"/>
      <c r="E25" s="54"/>
      <c r="F25" s="54"/>
      <c r="G25" s="219"/>
      <c r="H25" s="196"/>
      <c r="I25" s="220"/>
      <c r="J25" s="55"/>
      <c r="K25" s="55"/>
      <c r="L25" s="55"/>
      <c r="M25" s="207"/>
      <c r="N25" s="200">
        <f>ROUND(SUM(Site_Detail_9[[#This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ROUND(SUM(Site_Category_Sum_9[[#This Row],[Column2]:[Column7]]),2)</f>
        <v>0</v>
      </c>
      <c r="Z25" s="178" t="s">
        <v>0</v>
      </c>
    </row>
    <row r="26" spans="2:26" x14ac:dyDescent="0.25">
      <c r="B26" s="53"/>
      <c r="C26" s="54"/>
      <c r="D26" s="53"/>
      <c r="E26" s="54"/>
      <c r="F26" s="54"/>
      <c r="G26" s="219"/>
      <c r="H26" s="196"/>
      <c r="I26" s="220"/>
      <c r="J26" s="55"/>
      <c r="K26" s="55"/>
      <c r="L26" s="55"/>
      <c r="M26" s="207"/>
      <c r="N26" s="200">
        <f>ROUND(SUM(Site_Detail_9[[#This Row],[21st CCLC,  Title IV-B]:[(enter addt''l. fund source 5)]]),2)</f>
        <v>0</v>
      </c>
      <c r="O26" s="208"/>
      <c r="Q26" s="103" t="s">
        <v>291</v>
      </c>
      <c r="R26" s="230" cm="1">
        <f t="array" ref="R26">SUMIF(Site_Detail_9[[Program Type]:[Program Type]],Site_Category_Sum_9[[#This Row],[Column1]:[Column1]],Site_Detail_9[21st CCLC,  Title IV-B])</f>
        <v>0</v>
      </c>
      <c r="S26" s="124" cm="1">
        <f t="array" ref="S26">SUMIF(Site_Detail_9[[Program Type]:[Program Type]],Site_Category_Sum_9[[#This Row],[Column1]:[Column1]],Site_Detail_9[(enter addt''l. fund source 1)])</f>
        <v>0</v>
      </c>
      <c r="T26" s="102" cm="1">
        <f t="array" ref="T26">SUMIF(Site_Detail_9[[Program Type]:[Program Type]],Site_Category_Sum_9[[#This Row],[Column1]:[Column1]],Site_Detail_9[(enter addt''l. fund source 2)])</f>
        <v>0</v>
      </c>
      <c r="U26" s="102" cm="1">
        <f t="array" ref="U26">SUMIF(Site_Detail_9[[Program Type]:[Program Type]],Site_Category_Sum_9[[#This Row],[Column1]:[Column1]],Site_Detail_9[(enter addt''l. fund source 3)])</f>
        <v>0</v>
      </c>
      <c r="V26" s="102" cm="1">
        <f t="array" ref="V26">SUMIF(Site_Detail_9[[Program Type]:[Program Type]],Site_Category_Sum_9[[#This Row],[Column1]:[Column1]],Site_Detail_9[(enter addt''l. fund source 4)])</f>
        <v>0</v>
      </c>
      <c r="W26" s="102" cm="1">
        <f t="array" ref="W26">SUMIF(Site_Detail_9[[Program Type]:[Program Type]],Site_Category_Sum_9[[#This Row],[Column1]:[Column1]],Site_Detail_9[(enter addt''l. fund source 5)])</f>
        <v>0</v>
      </c>
      <c r="X26" s="233">
        <f>ROUND(SUM(Site_Category_Sum_9[[#This Row],[Column2]:[Column7]]),2)</f>
        <v>0</v>
      </c>
      <c r="Z26" s="178" t="s">
        <v>0</v>
      </c>
    </row>
    <row r="27" spans="2:26" x14ac:dyDescent="0.25">
      <c r="B27" s="53"/>
      <c r="C27" s="54"/>
      <c r="D27" s="53"/>
      <c r="E27" s="54"/>
      <c r="F27" s="54"/>
      <c r="G27" s="219"/>
      <c r="H27" s="196"/>
      <c r="I27" s="220"/>
      <c r="J27" s="55"/>
      <c r="K27" s="55"/>
      <c r="L27" s="55"/>
      <c r="M27" s="207"/>
      <c r="N27" s="200">
        <f>ROUND(SUM(Site_Detail_9[[#This Row],[21st CCLC,  Title IV-B]:[(enter addt''l. fund source 5)]]),2)</f>
        <v>0</v>
      </c>
      <c r="O27" s="208"/>
      <c r="Q27" s="103" t="s">
        <v>292</v>
      </c>
      <c r="R27" s="230" cm="1">
        <f t="array" ref="R27">SUMIF(Site_Detail_9[[Program Type]:[Program Type]],Site_Category_Sum_9[[#This Row],[Column1]:[Column1]],Site_Detail_9[21st CCLC,  Title IV-B])</f>
        <v>0</v>
      </c>
      <c r="S27" s="124" cm="1">
        <f t="array" ref="S27">SUMIF(Site_Detail_9[[Program Type]:[Program Type]],Site_Category_Sum_9[[#This Row],[Column1]:[Column1]],Site_Detail_9[(enter addt''l. fund source 1)])</f>
        <v>0</v>
      </c>
      <c r="T27" s="102" cm="1">
        <f t="array" ref="T27">SUMIF(Site_Detail_9[[Program Type]:[Program Type]],Site_Category_Sum_9[[#This Row],[Column1]:[Column1]],Site_Detail_9[(enter addt''l. fund source 2)])</f>
        <v>0</v>
      </c>
      <c r="U27" s="102" cm="1">
        <f t="array" ref="U27">SUMIF(Site_Detail_9[[Program Type]:[Program Type]],Site_Category_Sum_9[[#This Row],[Column1]:[Column1]],Site_Detail_9[(enter addt''l. fund source 3)])</f>
        <v>0</v>
      </c>
      <c r="V27" s="102" cm="1">
        <f t="array" ref="V27">SUMIF(Site_Detail_9[[Program Type]:[Program Type]],Site_Category_Sum_9[[#This Row],[Column1]:[Column1]],Site_Detail_9[(enter addt''l. fund source 4)])</f>
        <v>0</v>
      </c>
      <c r="W27" s="102" cm="1">
        <f t="array" ref="W27">SUMIF(Site_Detail_9[[Program Type]:[Program Type]],Site_Category_Sum_9[[#This Row],[Column1]:[Column1]],Site_Detail_9[(enter addt''l. fund source 5)])</f>
        <v>0</v>
      </c>
      <c r="X27" s="233">
        <f>ROUND(SUM(Site_Category_Sum_9[[#This Row],[Column2]:[Column7]]),2)</f>
        <v>0</v>
      </c>
    </row>
    <row r="28" spans="2:26" x14ac:dyDescent="0.25">
      <c r="B28" s="53"/>
      <c r="C28" s="54"/>
      <c r="D28" s="53"/>
      <c r="E28" s="54"/>
      <c r="F28" s="54"/>
      <c r="G28" s="219"/>
      <c r="H28" s="196"/>
      <c r="I28" s="220"/>
      <c r="J28" s="55"/>
      <c r="K28" s="55"/>
      <c r="L28" s="55"/>
      <c r="M28" s="207"/>
      <c r="N28" s="200">
        <f>ROUND(SUM(Site_Detail_9[[#This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ROUND(SUM(Site_Category_Sum_9[[#This Row],[Column2]:[Column7]]),2)</f>
        <v>0</v>
      </c>
    </row>
    <row r="29" spans="2:26" x14ac:dyDescent="0.25">
      <c r="B29" s="53"/>
      <c r="C29" s="54"/>
      <c r="D29" s="53"/>
      <c r="E29" s="54"/>
      <c r="F29" s="54"/>
      <c r="G29" s="219"/>
      <c r="H29" s="196"/>
      <c r="I29" s="220"/>
      <c r="J29" s="55"/>
      <c r="K29" s="55"/>
      <c r="L29" s="55"/>
      <c r="M29" s="207"/>
      <c r="N29" s="200">
        <f>ROUND(SUM(Site_Detail_9[[#This Row],[21st CCLC,  Title IV-B]:[(enter addt''l. fund source 5)]]),2)</f>
        <v>0</v>
      </c>
      <c r="O29" s="208"/>
      <c r="Q29" s="103" t="s">
        <v>591</v>
      </c>
      <c r="R29" s="230">
        <f>ROUND(SUMIF(Site_Detail_9[[Contracted Service?]:[Contracted Service?]],"Yes",Site_Detail_9[21st CCLC,  Title IV-B]),2)</f>
        <v>0</v>
      </c>
      <c r="S29" s="124">
        <f>ROUND(SUMIF(Site_Detail_9[[Contracted Service?]:[Contracted Service?]],"Yes",Site_Detail_9[(enter addt''l. fund source 1)]),2)</f>
        <v>0</v>
      </c>
      <c r="T29" s="102">
        <f>ROUND(SUMIF(Site_Detail_9[[Contracted Service?]:[Contracted Service?]],"Yes",Site_Detail_9[(enter addt''l. fund source 2)]),2)</f>
        <v>0</v>
      </c>
      <c r="U29" s="102">
        <f>ROUND(SUMIF(Site_Detail_9[[Contracted Service?]:[Contracted Service?]],"Yes",Site_Detail_9[(enter addt''l. fund source 3)]),2)</f>
        <v>0</v>
      </c>
      <c r="V29" s="102">
        <f>ROUND(SUMIF(Site_Detail_9[[Contracted Service?]:[Contracted Service?]],"Yes",Site_Detail_9[(enter addt''l. fund source 4)]),2)</f>
        <v>0</v>
      </c>
      <c r="W29" s="102">
        <f>ROUND(SUMIF(Site_Detail_9[[Contracted Service?]:[Contracted Service?]],"Yes",Site_Detail_9[(enter addt''l. fund source 5)]),2)</f>
        <v>0</v>
      </c>
      <c r="X29" s="233">
        <f>ROUND(SUM(Site_Category_Sum_9[[#This Row],[Column2]:[Column7]]),2)</f>
        <v>0</v>
      </c>
    </row>
    <row r="30" spans="2:26" x14ac:dyDescent="0.25">
      <c r="B30" s="53"/>
      <c r="C30" s="54"/>
      <c r="D30" s="53"/>
      <c r="E30" s="54"/>
      <c r="F30" s="54"/>
      <c r="G30" s="219"/>
      <c r="H30" s="196"/>
      <c r="I30" s="220"/>
      <c r="J30" s="55"/>
      <c r="K30" s="55"/>
      <c r="L30" s="55"/>
      <c r="M30" s="207"/>
      <c r="N30" s="200">
        <f>ROUND(SUM(Site_Detail_9[[#This Row],[21st CCLC,  Title IV-B]:[(enter addt''l. fund source 5)]]),2)</f>
        <v>0</v>
      </c>
      <c r="O30" s="208"/>
      <c r="Q30" s="103" t="s">
        <v>597</v>
      </c>
      <c r="R30" s="230">
        <f>ROUND(SUMIF(Site_Detail_9[[Contracted Service?]:[Contracted Service?]],"&lt;&gt;Yes",Site_Detail_9[21st CCLC,  Title IV-B]),2)</f>
        <v>0</v>
      </c>
      <c r="S30" s="124">
        <f>ROUND(SUMIF(Site_Detail_9[[Contracted Service?]:[Contracted Service?]],"&lt;&gt;Yes",Site_Detail_9[(enter addt''l. fund source 1)]),2)</f>
        <v>0</v>
      </c>
      <c r="T30" s="102">
        <f>ROUND(SUMIF(Site_Detail_9[[Contracted Service?]:[Contracted Service?]],"&lt;&gt;Yes",Site_Detail_9[(enter addt''l. fund source 2)]),2)</f>
        <v>0</v>
      </c>
      <c r="U30" s="102">
        <f>ROUND(SUMIF(Site_Detail_9[[Contracted Service?]:[Contracted Service?]],"&lt;&gt;Yes",Site_Detail_9[(enter addt''l. fund source 3)]),2)</f>
        <v>0</v>
      </c>
      <c r="V30" s="102">
        <f>ROUND(SUMIF(Site_Detail_9[[Contracted Service?]:[Contracted Service?]],"&lt;&gt;Yes",Site_Detail_9[(enter addt''l. fund source 4)]),2)</f>
        <v>0</v>
      </c>
      <c r="W30" s="102">
        <f>ROUND(SUMIF(Site_Detail_9[[Contracted Service?]:[Contracted Service?]],"&lt;&gt;Yes",Site_Detail_9[(enter addt''l. fund source 5)]),2)</f>
        <v>0</v>
      </c>
      <c r="X30" s="233">
        <f>ROUND(SUM(Site_Category_Sum_9[[#This Row],[Column2]:[Column7]]),2)</f>
        <v>0</v>
      </c>
    </row>
    <row r="31" spans="2:26" x14ac:dyDescent="0.25">
      <c r="B31" s="53"/>
      <c r="C31" s="54"/>
      <c r="D31" s="53"/>
      <c r="E31" s="54"/>
      <c r="F31" s="54"/>
      <c r="G31" s="219"/>
      <c r="H31" s="196"/>
      <c r="I31" s="220"/>
      <c r="J31" s="55"/>
      <c r="K31" s="55"/>
      <c r="L31" s="55"/>
      <c r="M31" s="207"/>
      <c r="N31" s="200">
        <f>ROUND(SUM(Site_Detail_9[[#This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ROUND(SUM(Site_Category_Sum_9[[#This Row],[Column2]:[Column7]]),2)</f>
        <v>0</v>
      </c>
    </row>
    <row r="32" spans="2:26" x14ac:dyDescent="0.25">
      <c r="B32" s="53"/>
      <c r="C32" s="54"/>
      <c r="D32" s="53"/>
      <c r="E32" s="54"/>
      <c r="F32" s="54"/>
      <c r="G32" s="219"/>
      <c r="H32" s="196"/>
      <c r="I32" s="220"/>
      <c r="J32" s="55"/>
      <c r="K32" s="55"/>
      <c r="L32" s="55"/>
      <c r="M32" s="207"/>
      <c r="N32" s="200">
        <f>ROUND(SUM(Site_Detail_9[[#This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ROUND(SUM(Site_Detail_9[[#This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ROUND(SUM(Site_Detail_9[[#This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ROUND(SUM(Site_Detail_9[[#This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ROUND(SUM(Site_Detail_9[[#This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ROUND(SUM(Site_Detail_9[[#This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ROUND(SUM(Site_Detail_9[[#This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ROUND(SUM(Site_Detail_9[[#This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ROUND(SUM(Site_Detail_9[[#This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ROUND(SUM(Site_Detail_9[[#This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ROUND(SUM(Site_Detail_9[[#This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ROUND(SUM(Site_Detail_9[[#This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ROUND(SUM(Site_Detail_9[[#This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ROUND(SUM(Site_Detail_9[[#This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ROUND(SUM(Site_Detail_9[[#This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ROUND(SUM(Site_Detail_9[[#This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ROUND(SUM(Site_Detail_9[[#This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ROUND(SUM(Site_Detail_9[[#This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ROUND(SUM(Site_Detail_9[[#This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ROUND(SUM(Site_Detail_9[[#This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ROUND(SUM(Site_Detail_9[[#This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ROUND(SUM(Site_Detail_9[[#This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ROUND(SUM(Site_Detail_9[[#This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ROUND(SUM(Site_Detail_9[[#This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ROUND(SUM(Site_Detail_9[[#This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ROUND(SUM(Site_Detail_9[[#This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ROUND(SUM(Site_Detail_9[[#This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ROUND(SUM(Site_Detail_9[[#This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ROUND(SUM(Site_Detail_9[[#This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ROUND(SUM(Site_Detail_9[[#This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ROUND(SUM(Site_Detail_9[[#This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ROUND(SUM(Site_Detail_9[[#This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ROUND(SUM(Site_Detail_9[[#This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ROUND(SUM(Site_Detail_9[[#This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ROUND(SUM(Site_Detail_9[[#This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ROUND(SUM(Site_Detail_9[[#This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ROUND(SUM(Site_Detail_9[[#This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ROUND(SUM(Site_Detail_9[[#This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ROUND(SUM(Site_Detail_9[[#This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ROUND(SUM(Site_Detail_9[[#This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ROUND(SUM(Site_Detail_9[[#This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ROUND(SUM(Site_Detail_9[[#This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ROUND(SUM(Site_Detail_9[[#This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ROUND(SUM(Site_Detail_9[[#This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ROUND(SUM(Site_Detail_9[[#This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ROUND(SUM(Site_Detail_9[[#This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ROUND(SUM(Site_Detail_9[[#This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ROUND(SUM(Site_Detail_9[[#This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ROUND(SUM(Site_Detail_9[[#This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ROUND(SUM(Site_Detail_9[[#This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ROUND(SUM(Site_Detail_9[[#This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ROUND(SUM(Site_Detail_9[[#This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ROUND(SUM(Site_Detail_9[[#This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ROUND(SUM(Site_Detail_9[[#This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ROUND(SUM(Site_Detail_9[[#This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ROUND(SUM(Site_Detail_9[[#This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82" priority="6" operator="equal">
      <formula>"(select)"</formula>
    </cfRule>
  </conditionalFormatting>
  <conditionalFormatting sqref="B13:G87">
    <cfRule type="expression" dxfId="81" priority="7">
      <formula>AND(SUM($H13:$M13)&gt;0,B13="")</formula>
    </cfRule>
  </conditionalFormatting>
  <conditionalFormatting sqref="C4:C5 C7">
    <cfRule type="cellIs" dxfId="80" priority="1" operator="equal">
      <formula>"(autofill)"</formula>
    </cfRule>
    <cfRule type="expression" dxfId="79" priority="2">
      <formula>$C$5="Invalid Entity ID"</formula>
    </cfRule>
  </conditionalFormatting>
  <conditionalFormatting sqref="C6">
    <cfRule type="cellIs" dxfId="78" priority="3" operator="equal">
      <formula>"(enter center/site name)"</formula>
    </cfRule>
  </conditionalFormatting>
  <conditionalFormatting sqref="C8">
    <cfRule type="cellIs" dxfId="77" priority="4" operator="equal">
      <formula>"(enter #)"</formula>
    </cfRule>
  </conditionalFormatting>
  <conditionalFormatting sqref="C13:C87">
    <cfRule type="cellIs" dxfId="76" priority="8" operator="equal">
      <formula>"Yes"</formula>
    </cfRule>
  </conditionalFormatting>
  <conditionalFormatting sqref="E13">
    <cfRule type="cellIs" dxfId="75" priority="9" operator="equal">
      <formula>"(fx code)"</formula>
    </cfRule>
  </conditionalFormatting>
  <conditionalFormatting sqref="F13">
    <cfRule type="cellIs" dxfId="74" priority="10" operator="equal">
      <formula>"(obj)"</formula>
    </cfRule>
  </conditionalFormatting>
  <conditionalFormatting sqref="G13">
    <cfRule type="cellIs" dxfId="73" priority="11" operator="equal">
      <formula>"(enter description)"</formula>
    </cfRule>
  </conditionalFormatting>
  <conditionalFormatting sqref="H13:M13">
    <cfRule type="cellIs" dxfId="72" priority="12" operator="equal">
      <formula>"(enter $)"</formula>
    </cfRule>
  </conditionalFormatting>
  <conditionalFormatting sqref="I7:M7 I12:M12 S12:W12">
    <cfRule type="containsText" dxfId="71" priority="5" operator="containsText" text="(addt'l. fund source">
      <formula>NOT(ISERROR(SEARCH("(addt'l. fund source",I7)))</formula>
    </cfRule>
  </conditionalFormatting>
  <conditionalFormatting sqref="O13">
    <cfRule type="cellIs" dxfId="70" priority="13" operator="equal">
      <formula>"(enter note)"</formula>
    </cfRule>
  </conditionalFormatting>
  <dataValidations count="4">
    <dataValidation type="list" allowBlank="1" showErrorMessage="1" sqref="C13:C87" xr:uid="{D7AE8D34-BE35-4F6A-BCB8-6AF614683507}">
      <formula1>Contracted_List</formula1>
    </dataValidation>
    <dataValidation type="list" allowBlank="1" showErrorMessage="1" sqref="D13:D87" xr:uid="{8C947B1C-A836-4FE0-A90D-765479364654}">
      <formula1>Categories_List</formula1>
    </dataValidation>
    <dataValidation type="list" allowBlank="1" showErrorMessage="1" sqref="B13:B87" xr:uid="{20FE4580-EF6A-4355-ABAA-2559EEACD03E}">
      <formula1>Program_List</formula1>
    </dataValidation>
    <dataValidation allowBlank="1" showInputMessage="1" showErrorMessage="1" prompt="Each line item for salaries MUST indicate: _x000a__x000a_1) Amount of FTE, and _x000a__x000a_2) Type of position (see Budget Guidance tab for examples)." sqref="G13:G15" xr:uid="{3A7CAFCA-DACF-4D18-97CC-F28F6BD2BDB3}"/>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40EB-C1EE-40BF-AB62-34F0F7CAEE8E}">
  <sheetPr>
    <tabColor rgb="FFAAD4F4"/>
    <pageSetUpPr autoPageBreaks="0" fitToPage="1"/>
  </sheetPr>
  <dimension ref="A1:Z87"/>
  <sheetViews>
    <sheetView showGridLines="0" showRowColHeaders="0" zoomScaleNormal="100" workbookViewId="0">
      <pane ySplit="12" topLeftCell="A13" activePane="bottomLeft" state="frozen"/>
      <selection activeCell="B2" sqref="B2:H2"/>
      <selection pane="bottomLeft" activeCell="B2" sqref="B2:H2"/>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629</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ROUND(SUMIF(Site_Detail_10[[Program Type]:[Program Type]],"Before/Afterschool",Site_Detail_10[21st CCLC,  Title IV-B]),2)</f>
        <v>0</v>
      </c>
      <c r="I8" s="150">
        <f>ROUND(SUMIF(Site_Detail_10[[Program Type]:[Program Type]],"Before/Afterschool",Site_Detail_10[(enter addt''l. fund source 1)]),2)</f>
        <v>0</v>
      </c>
      <c r="J8" s="150">
        <f>ROUND(SUMIF(Site_Detail_10[[Program Type]:[Program Type]],"Before/Afterschool",Site_Detail_10[(enter addt''l. fund source 2)]),2)</f>
        <v>0</v>
      </c>
      <c r="K8" s="150">
        <f>ROUND(SUMIF(Site_Detail_10[[Program Type]:[Program Type]],"Before/Afterschool",Site_Detail_10[(enter addt''l. fund source 3)]),2)</f>
        <v>0</v>
      </c>
      <c r="L8" s="150">
        <f>ROUND(SUMIF(Site_Detail_10[[Program Type]:[Program Type]],"Before/Afterschool",Site_Detail_10[(enter addt''l. fund source 4)]),2)</f>
        <v>0</v>
      </c>
      <c r="M8" s="203">
        <f>ROUND(SUMIF(Site_Detail_10[[Program Type]:[Program Type]],"Before/Afterschool",Site_Detail_10[(enter addt''l. fund source 5)]),2)</f>
        <v>0</v>
      </c>
      <c r="N8" s="198">
        <f>SUM(Site_Summary_10[[#This Row],[Column3]:[Column8]])</f>
        <v>0</v>
      </c>
    </row>
    <row r="9" spans="1:26" customFormat="1" x14ac:dyDescent="0.25">
      <c r="A9" s="1" t="s">
        <v>0</v>
      </c>
      <c r="B9" s="408"/>
      <c r="C9" s="410"/>
      <c r="G9" s="149" t="s">
        <v>609</v>
      </c>
      <c r="H9" s="151">
        <f>ROUND(SUMIF(Site_Detail_10[[Program Type]:[Program Type]],"Summer",Site_Detail_10[21st CCLC,  Title IV-B]),2)</f>
        <v>0</v>
      </c>
      <c r="I9" s="150">
        <f>ROUND(SUMIF(Site_Detail_10[[Program Type]:[Program Type]],"Summer",Site_Detail_10[(enter addt''l. fund source 1)]),2)</f>
        <v>0</v>
      </c>
      <c r="J9" s="150">
        <f>ROUND(SUMIF(Site_Detail_10[[Program Type]:[Program Type]],"Summer",Site_Detail_10[(enter addt''l. fund source 2)]),2)</f>
        <v>0</v>
      </c>
      <c r="K9" s="150">
        <f>ROUND(SUMIF(Site_Detail_10[[Program Type]:[Program Type]],"Summer",Site_Detail_10[(enter addt''l. fund source 3)]),2)</f>
        <v>0</v>
      </c>
      <c r="L9" s="150">
        <f>ROUND(SUMIF(Site_Detail_10[[Program Type]:[Program Type]],"Summer",Site_Detail_10[(enter addt''l. fund source 4)]),2)</f>
        <v>0</v>
      </c>
      <c r="M9" s="204">
        <f>ROUND(SUMIF(Site_Detail_10[[Program Type]:[Program Type]],"Summer",Site_Detail_10[(enter addt''l. fund source 5)]),2)</f>
        <v>0</v>
      </c>
      <c r="N9" s="199">
        <f>SUM(Site_Summary_10[[#This Row],[Column3]:[Column8]])</f>
        <v>0</v>
      </c>
    </row>
    <row r="10" spans="1:26" customFormat="1" x14ac:dyDescent="0.25">
      <c r="A10" s="1" t="s">
        <v>0</v>
      </c>
      <c r="G10" s="152" t="s">
        <v>630</v>
      </c>
      <c r="H10" s="247">
        <f>ROUND(SUM(Site_Detail_10[21st CCLC,  Title IV-B]),2)</f>
        <v>0</v>
      </c>
      <c r="I10" s="248">
        <f>ROUND(SUM(Site_Detail_10[(enter addt''l. fund source 1)]),2)</f>
        <v>0</v>
      </c>
      <c r="J10" s="109">
        <f>ROUND(SUM(Site_Detail_10[(enter addt''l. fund source 2)]),2)</f>
        <v>0</v>
      </c>
      <c r="K10" s="109">
        <f>ROUND(SUM(Site_Detail_10[(enter addt''l. fund source 3)]),2)</f>
        <v>0</v>
      </c>
      <c r="L10" s="109">
        <f>ROUND(SUM(Site_Detail_10[(enter addt''l. fund source 4)]),2)</f>
        <v>0</v>
      </c>
      <c r="M10" s="110">
        <f>ROUND(SUM(Site_Detail_10[(enter addt''l. fund source 5)]),2)</f>
        <v>0</v>
      </c>
      <c r="N10" s="238">
        <f>SUM(Site_Summary_10[[#This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ROUND(SUM(Site_Detail_10[[#This Row],[21st CCLC,  Title IV-B]:[(enter addt''l. fund source 5)]]),2)</f>
        <v>0</v>
      </c>
      <c r="O13" s="225" t="s">
        <v>28</v>
      </c>
      <c r="Q13" s="101" t="s">
        <v>545</v>
      </c>
      <c r="R13" s="230" cm="1">
        <f t="array" ref="R13">SUMIF(Site_Detail_10[[Category]:[Category]],Site_Category_Sum_10[[#This Row],[Column1]:[Column1]],Site_Detail_10[21st CCLC,  Title IV-B])</f>
        <v>0</v>
      </c>
      <c r="S13" s="124" cm="1">
        <f t="array" ref="S13">SUMIF(Site_Detail_10[[Category]:[Category]],Site_Category_Sum_10[[#This Row],[Column1]:[Column1]],Site_Detail_10[(enter addt''l. fund source 1)])</f>
        <v>0</v>
      </c>
      <c r="T13" s="124" cm="1">
        <f t="array" ref="T13">SUMIF(Site_Detail_10[[Category]:[Category]],Site_Category_Sum_10[[#This Row],[Column1]:[Column1]],Site_Detail_10[(enter addt''l. fund source 2)])</f>
        <v>0</v>
      </c>
      <c r="U13" s="124" cm="1">
        <f t="array" ref="U13">SUMIF(Site_Detail_10[[Category]:[Category]],Site_Category_Sum_10[[#This Row],[Column1]:[Column1]],Site_Detail_10[(enter addt''l. fund source 3)])</f>
        <v>0</v>
      </c>
      <c r="V13" s="124" cm="1">
        <f t="array" ref="V13">SUMIF(Site_Detail_10[[Category]:[Category]],Site_Category_Sum_10[[#This Row],[Column1]:[Column1]],Site_Detail_10[(enter addt''l. fund source 4)])</f>
        <v>0</v>
      </c>
      <c r="W13" s="124" cm="1">
        <f t="array" ref="W13">SUMIF(Site_Detail_10[[Category]:[Category]],Site_Category_Sum_10[[#This Row],[Column1]:[Column1]],Site_Detail_10[(enter addt''l. fund source 5)])</f>
        <v>0</v>
      </c>
      <c r="X13" s="233">
        <f>ROUND(SUM(Site_Category_Sum_10[[#This Row],[Column2]:[Column7]]),2)</f>
        <v>0</v>
      </c>
      <c r="Z13" s="178" t="s">
        <v>0</v>
      </c>
    </row>
    <row r="14" spans="1:26" x14ac:dyDescent="0.25">
      <c r="B14" s="53"/>
      <c r="C14" s="54"/>
      <c r="D14" s="53"/>
      <c r="E14" s="54"/>
      <c r="F14" s="54"/>
      <c r="G14" s="219"/>
      <c r="H14" s="196"/>
      <c r="I14" s="220"/>
      <c r="J14" s="55"/>
      <c r="K14" s="55"/>
      <c r="L14" s="55"/>
      <c r="M14" s="207"/>
      <c r="N14" s="200">
        <f>ROUND(SUM(Site_Detail_10[[#This Row],[21st CCLC,  Title IV-B]:[(enter addt''l. fund source 5)]]),2)</f>
        <v>0</v>
      </c>
      <c r="O14" s="208"/>
      <c r="Q14" s="103" t="s">
        <v>546</v>
      </c>
      <c r="R14" s="230" cm="1">
        <f t="array" ref="R14">SUMIF(Site_Detail_10[[Category]:[Category]],Site_Category_Sum_10[[#This Row],[Column1]:[Column1]],Site_Detail_10[21st CCLC,  Title IV-B])</f>
        <v>0</v>
      </c>
      <c r="S14" s="124" cm="1">
        <f t="array" ref="S14">SUMIF(Site_Detail_10[[Category]:[Category]],Site_Category_Sum_10[[#This Row],[Column1]:[Column1]],Site_Detail_10[(enter addt''l. fund source 1)])</f>
        <v>0</v>
      </c>
      <c r="T14" s="102" cm="1">
        <f t="array" ref="T14">SUMIF(Site_Detail_10[[Category]:[Category]],Site_Category_Sum_10[[#This Row],[Column1]:[Column1]],Site_Detail_10[(enter addt''l. fund source 2)])</f>
        <v>0</v>
      </c>
      <c r="U14" s="102" cm="1">
        <f t="array" ref="U14">SUMIF(Site_Detail_10[[Category]:[Category]],Site_Category_Sum_10[[#This Row],[Column1]:[Column1]],Site_Detail_10[(enter addt''l. fund source 3)])</f>
        <v>0</v>
      </c>
      <c r="V14" s="102" cm="1">
        <f t="array" ref="V14">SUMIF(Site_Detail_10[[Category]:[Category]],Site_Category_Sum_10[[#This Row],[Column1]:[Column1]],Site_Detail_10[(enter addt''l. fund source 4)])</f>
        <v>0</v>
      </c>
      <c r="W14" s="102" cm="1">
        <f t="array" ref="W14">SUMIF(Site_Detail_10[[Category]:[Category]],Site_Category_Sum_10[[#This Row],[Column1]:[Column1]],Site_Detail_10[(enter addt''l. fund source 5)])</f>
        <v>0</v>
      </c>
      <c r="X14" s="233">
        <f>ROUND(SUM(Site_Category_Sum_10[[#This Row],[Column2]:[Column7]]),2)</f>
        <v>0</v>
      </c>
      <c r="Z14" s="178" t="s">
        <v>0</v>
      </c>
    </row>
    <row r="15" spans="1:26" x14ac:dyDescent="0.25">
      <c r="B15" s="50"/>
      <c r="C15" s="51"/>
      <c r="D15" s="50"/>
      <c r="E15" s="51"/>
      <c r="F15" s="51"/>
      <c r="G15" s="221"/>
      <c r="H15" s="196"/>
      <c r="I15" s="222"/>
      <c r="J15" s="52"/>
      <c r="K15" s="52"/>
      <c r="L15" s="52"/>
      <c r="M15" s="205"/>
      <c r="N15" s="200">
        <f>ROUND(SUM(Site_Detail_10[[#This Row],[21st CCLC,  Title IV-B]:[(enter addt''l. fund source 5)]]),2)</f>
        <v>0</v>
      </c>
      <c r="O15" s="206"/>
      <c r="Q15" s="103" t="s">
        <v>161</v>
      </c>
      <c r="R15" s="230" cm="1">
        <f t="array" ref="R15">SUMIF(Site_Detail_10[[Category]:[Category]],Site_Category_Sum_10[[#This Row],[Column1]:[Column1]],Site_Detail_10[21st CCLC,  Title IV-B])</f>
        <v>0</v>
      </c>
      <c r="S15" s="124" cm="1">
        <f t="array" ref="S15">SUMIF(Site_Detail_10[[Category]:[Category]],Site_Category_Sum_10[[#This Row],[Column1]:[Column1]],Site_Detail_10[(enter addt''l. fund source 1)])</f>
        <v>0</v>
      </c>
      <c r="T15" s="102" cm="1">
        <f t="array" ref="T15">SUMIF(Site_Detail_10[[Category]:[Category]],Site_Category_Sum_10[[#This Row],[Column1]:[Column1]],Site_Detail_10[(enter addt''l. fund source 2)])</f>
        <v>0</v>
      </c>
      <c r="U15" s="102" cm="1">
        <f t="array" ref="U15">SUMIF(Site_Detail_10[[Category]:[Category]],Site_Category_Sum_10[[#This Row],[Column1]:[Column1]],Site_Detail_10[(enter addt''l. fund source 3)])</f>
        <v>0</v>
      </c>
      <c r="V15" s="102" cm="1">
        <f t="array" ref="V15">SUMIF(Site_Detail_10[[Category]:[Category]],Site_Category_Sum_10[[#This Row],[Column1]:[Column1]],Site_Detail_10[(enter addt''l. fund source 4)])</f>
        <v>0</v>
      </c>
      <c r="W15" s="102" cm="1">
        <f t="array" ref="W15">SUMIF(Site_Detail_10[[Category]:[Category]],Site_Category_Sum_10[[#This Row],[Column1]:[Column1]],Site_Detail_10[(enter addt''l. fund source 5)])</f>
        <v>0</v>
      </c>
      <c r="X15" s="233">
        <f>ROUND(SUM(Site_Category_Sum_10[[#This Row],[Column2]:[Column7]]),2)</f>
        <v>0</v>
      </c>
      <c r="Z15" s="178" t="s">
        <v>0</v>
      </c>
    </row>
    <row r="16" spans="1:26" x14ac:dyDescent="0.25">
      <c r="B16" s="53"/>
      <c r="C16" s="54"/>
      <c r="D16" s="53"/>
      <c r="E16" s="54"/>
      <c r="F16" s="54"/>
      <c r="G16" s="219"/>
      <c r="H16" s="196"/>
      <c r="I16" s="220"/>
      <c r="J16" s="55"/>
      <c r="K16" s="55"/>
      <c r="L16" s="55"/>
      <c r="M16" s="207"/>
      <c r="N16" s="200">
        <f>ROUND(SUM(Site_Detail_10[[#This Row],[21st CCLC,  Title IV-B]:[(enter addt''l. fund source 5)]]),2)</f>
        <v>0</v>
      </c>
      <c r="O16" s="208"/>
      <c r="Q16" s="103" t="s">
        <v>162</v>
      </c>
      <c r="R16" s="230" cm="1">
        <f t="array" ref="R16">SUMIF(Site_Detail_10[[Category]:[Category]],Site_Category_Sum_10[[#This Row],[Column1]:[Column1]],Site_Detail_10[21st CCLC,  Title IV-B])</f>
        <v>0</v>
      </c>
      <c r="S16" s="124" cm="1">
        <f t="array" ref="S16">SUMIF(Site_Detail_10[[Category]:[Category]],Site_Category_Sum_10[[#This Row],[Column1]:[Column1]],Site_Detail_10[(enter addt''l. fund source 1)])</f>
        <v>0</v>
      </c>
      <c r="T16" s="102" cm="1">
        <f t="array" ref="T16">SUMIF(Site_Detail_10[[Category]:[Category]],Site_Category_Sum_10[[#This Row],[Column1]:[Column1]],Site_Detail_10[(enter addt''l. fund source 2)])</f>
        <v>0</v>
      </c>
      <c r="U16" s="102" cm="1">
        <f t="array" ref="U16">SUMIF(Site_Detail_10[[Category]:[Category]],Site_Category_Sum_10[[#This Row],[Column1]:[Column1]],Site_Detail_10[(enter addt''l. fund source 3)])</f>
        <v>0</v>
      </c>
      <c r="V16" s="102" cm="1">
        <f t="array" ref="V16">SUMIF(Site_Detail_10[[Category]:[Category]],Site_Category_Sum_10[[#This Row],[Column1]:[Column1]],Site_Detail_10[(enter addt''l. fund source 4)])</f>
        <v>0</v>
      </c>
      <c r="W16" s="102" cm="1">
        <f t="array" ref="W16">SUMIF(Site_Detail_10[[Category]:[Category]],Site_Category_Sum_10[[#This Row],[Column1]:[Column1]],Site_Detail_10[(enter addt''l. fund source 5)])</f>
        <v>0</v>
      </c>
      <c r="X16" s="233">
        <f>ROUND(SUM(Site_Category_Sum_10[[#This Row],[Column2]:[Column7]]),2)</f>
        <v>0</v>
      </c>
      <c r="Z16" s="178" t="s">
        <v>0</v>
      </c>
    </row>
    <row r="17" spans="2:26" x14ac:dyDescent="0.25">
      <c r="B17" s="53"/>
      <c r="C17" s="54"/>
      <c r="D17" s="53"/>
      <c r="E17" s="54"/>
      <c r="F17" s="54"/>
      <c r="G17" s="219"/>
      <c r="H17" s="196"/>
      <c r="I17" s="220"/>
      <c r="J17" s="55"/>
      <c r="K17" s="55"/>
      <c r="L17" s="55"/>
      <c r="M17" s="207"/>
      <c r="N17" s="200">
        <f>ROUND(SUM(Site_Detail_10[[#This Row],[21st CCLC,  Title IV-B]:[(enter addt''l. fund source 5)]]),2)</f>
        <v>0</v>
      </c>
      <c r="O17" s="208"/>
      <c r="Q17" s="103" t="s">
        <v>596</v>
      </c>
      <c r="R17" s="230" cm="1">
        <f t="array" ref="R17">SUMIF(Site_Detail_10[[Category]:[Category]],Site_Category_Sum_10[[#This Row],[Column1]:[Column1]],Site_Detail_10[21st CCLC,  Title IV-B])</f>
        <v>0</v>
      </c>
      <c r="S17" s="124" cm="1">
        <f t="array" ref="S17">SUMIF(Site_Detail_10[[Category]:[Category]],Site_Category_Sum_10[[#This Row],[Column1]:[Column1]],Site_Detail_10[(enter addt''l. fund source 1)])</f>
        <v>0</v>
      </c>
      <c r="T17" s="102" cm="1">
        <f t="array" ref="T17">SUMIF(Site_Detail_10[[Category]:[Category]],Site_Category_Sum_10[[#This Row],[Column1]:[Column1]],Site_Detail_10[(enter addt''l. fund source 2)])</f>
        <v>0</v>
      </c>
      <c r="U17" s="102" cm="1">
        <f t="array" ref="U17">SUMIF(Site_Detail_10[[Category]:[Category]],Site_Category_Sum_10[[#This Row],[Column1]:[Column1]],Site_Detail_10[(enter addt''l. fund source 3)])</f>
        <v>0</v>
      </c>
      <c r="V17" s="102" cm="1">
        <f t="array" ref="V17">SUMIF(Site_Detail_10[[Category]:[Category]],Site_Category_Sum_10[[#This Row],[Column1]:[Column1]],Site_Detail_10[(enter addt''l. fund source 4)])</f>
        <v>0</v>
      </c>
      <c r="W17" s="102" cm="1">
        <f t="array" ref="W17">SUMIF(Site_Detail_10[[Category]:[Category]],Site_Category_Sum_10[[#This Row],[Column1]:[Column1]],Site_Detail_10[(enter addt''l. fund source 5)])</f>
        <v>0</v>
      </c>
      <c r="X17" s="233">
        <f>ROUND(SUM(Site_Category_Sum_10[[#This Row],[Column2]:[Column7]]),2)</f>
        <v>0</v>
      </c>
      <c r="Z17" s="178" t="s">
        <v>0</v>
      </c>
    </row>
    <row r="18" spans="2:26" x14ac:dyDescent="0.25">
      <c r="B18" s="53"/>
      <c r="C18" s="54"/>
      <c r="D18" s="53"/>
      <c r="E18" s="54"/>
      <c r="F18" s="54"/>
      <c r="G18" s="219"/>
      <c r="H18" s="196"/>
      <c r="I18" s="220"/>
      <c r="J18" s="55"/>
      <c r="K18" s="55"/>
      <c r="L18" s="55"/>
      <c r="M18" s="207"/>
      <c r="N18" s="200">
        <f>ROUND(SUM(Site_Detail_10[[#This Row],[21st CCLC,  Title IV-B]:[(enter addt''l. fund source 5)]]),2)</f>
        <v>0</v>
      </c>
      <c r="O18" s="208"/>
      <c r="Q18" s="103" t="s">
        <v>160</v>
      </c>
      <c r="R18" s="230" cm="1">
        <f t="array" ref="R18">SUMIF(Site_Detail_10[[Category]:[Category]],Site_Category_Sum_10[[#This Row],[Column1]:[Column1]],Site_Detail_10[21st CCLC,  Title IV-B])</f>
        <v>0</v>
      </c>
      <c r="S18" s="124" cm="1">
        <f t="array" ref="S18">SUMIF(Site_Detail_10[[Category]:[Category]],Site_Category_Sum_10[[#This Row],[Column1]:[Column1]],Site_Detail_10[(enter addt''l. fund source 1)])</f>
        <v>0</v>
      </c>
      <c r="T18" s="102" cm="1">
        <f t="array" ref="T18">SUMIF(Site_Detail_10[[Category]:[Category]],Site_Category_Sum_10[[#This Row],[Column1]:[Column1]],Site_Detail_10[(enter addt''l. fund source 2)])</f>
        <v>0</v>
      </c>
      <c r="U18" s="102" cm="1">
        <f t="array" ref="U18">SUMIF(Site_Detail_10[[Category]:[Category]],Site_Category_Sum_10[[#This Row],[Column1]:[Column1]],Site_Detail_10[(enter addt''l. fund source 3)])</f>
        <v>0</v>
      </c>
      <c r="V18" s="102" cm="1">
        <f t="array" ref="V18">SUMIF(Site_Detail_10[[Category]:[Category]],Site_Category_Sum_10[[#This Row],[Column1]:[Column1]],Site_Detail_10[(enter addt''l. fund source 4)])</f>
        <v>0</v>
      </c>
      <c r="W18" s="102" cm="1">
        <f t="array" ref="W18">SUMIF(Site_Detail_10[[Category]:[Category]],Site_Category_Sum_10[[#This Row],[Column1]:[Column1]],Site_Detail_10[(enter addt''l. fund source 5)])</f>
        <v>0</v>
      </c>
      <c r="X18" s="233">
        <f>ROUND(SUM(Site_Category_Sum_10[[#This Row],[Column2]:[Column7]]),2)</f>
        <v>0</v>
      </c>
      <c r="Z18" s="178" t="s">
        <v>0</v>
      </c>
    </row>
    <row r="19" spans="2:26" x14ac:dyDescent="0.25">
      <c r="B19" s="53"/>
      <c r="C19" s="54"/>
      <c r="D19" s="53"/>
      <c r="E19" s="54"/>
      <c r="F19" s="54"/>
      <c r="G19" s="219"/>
      <c r="H19" s="196"/>
      <c r="I19" s="220"/>
      <c r="J19" s="55"/>
      <c r="K19" s="55"/>
      <c r="L19" s="55"/>
      <c r="M19" s="207"/>
      <c r="N19" s="200">
        <f>ROUND(SUM(Site_Detail_10[[#This Row],[21st CCLC,  Title IV-B]:[(enter addt''l. fund source 5)]]),2)</f>
        <v>0</v>
      </c>
      <c r="O19" s="208"/>
      <c r="Q19" s="103" t="s">
        <v>566</v>
      </c>
      <c r="R19" s="230" cm="1">
        <f t="array" ref="R19">SUMIF(Site_Detail_10[[Category]:[Category]],Site_Category_Sum_10[[#This Row],[Column1]:[Column1]],Site_Detail_10[21st CCLC,  Title IV-B])</f>
        <v>0</v>
      </c>
      <c r="S19" s="124" cm="1">
        <f t="array" ref="S19">SUMIF(Site_Detail_10[[Category]:[Category]],Site_Category_Sum_10[[#This Row],[Column1]:[Column1]],Site_Detail_10[(enter addt''l. fund source 1)])</f>
        <v>0</v>
      </c>
      <c r="T19" s="102" cm="1">
        <f t="array" ref="T19">SUMIF(Site_Detail_10[[Category]:[Category]],Site_Category_Sum_10[[#This Row],[Column1]:[Column1]],Site_Detail_10[(enter addt''l. fund source 2)])</f>
        <v>0</v>
      </c>
      <c r="U19" s="102" cm="1">
        <f t="array" ref="U19">SUMIF(Site_Detail_10[[Category]:[Category]],Site_Category_Sum_10[[#This Row],[Column1]:[Column1]],Site_Detail_10[(enter addt''l. fund source 3)])</f>
        <v>0</v>
      </c>
      <c r="V19" s="102" cm="1">
        <f t="array" ref="V19">SUMIF(Site_Detail_10[[Category]:[Category]],Site_Category_Sum_10[[#This Row],[Column1]:[Column1]],Site_Detail_10[(enter addt''l. fund source 4)])</f>
        <v>0</v>
      </c>
      <c r="W19" s="102" cm="1">
        <f t="array" ref="W19">SUMIF(Site_Detail_10[[Category]:[Category]],Site_Category_Sum_10[[#This Row],[Column1]:[Column1]],Site_Detail_10[(enter addt''l. fund source 5)])</f>
        <v>0</v>
      </c>
      <c r="X19" s="233">
        <f>ROUND(SUM(Site_Category_Sum_10[[#This Row],[Column2]:[Column7]]),2)</f>
        <v>0</v>
      </c>
      <c r="Z19" s="178" t="s">
        <v>0</v>
      </c>
    </row>
    <row r="20" spans="2:26" x14ac:dyDescent="0.25">
      <c r="B20" s="53"/>
      <c r="C20" s="54"/>
      <c r="D20" s="53"/>
      <c r="E20" s="54"/>
      <c r="F20" s="54"/>
      <c r="G20" s="219"/>
      <c r="H20" s="196"/>
      <c r="I20" s="220"/>
      <c r="J20" s="55"/>
      <c r="K20" s="55"/>
      <c r="L20" s="55"/>
      <c r="M20" s="207"/>
      <c r="N20" s="200">
        <f>ROUND(SUM(Site_Detail_10[[#This Row],[21st CCLC,  Title IV-B]:[(enter addt''l. fund source 5)]]),2)</f>
        <v>0</v>
      </c>
      <c r="O20" s="208"/>
      <c r="Q20" s="103" t="s">
        <v>75</v>
      </c>
      <c r="R20" s="230" cm="1">
        <f t="array" ref="R20">SUMIF(Site_Detail_10[[Category]:[Category]],Site_Category_Sum_10[[#This Row],[Column1]:[Column1]],Site_Detail_10[21st CCLC,  Title IV-B])</f>
        <v>0</v>
      </c>
      <c r="S20" s="124" cm="1">
        <f t="array" ref="S20">SUMIF(Site_Detail_10[[Category]:[Category]],Site_Category_Sum_10[[#This Row],[Column1]:[Column1]],Site_Detail_10[(enter addt''l. fund source 1)])</f>
        <v>0</v>
      </c>
      <c r="T20" s="102" cm="1">
        <f t="array" ref="T20">SUMIF(Site_Detail_10[[Category]:[Category]],Site_Category_Sum_10[[#This Row],[Column1]:[Column1]],Site_Detail_10[(enter addt''l. fund source 2)])</f>
        <v>0</v>
      </c>
      <c r="U20" s="102" cm="1">
        <f t="array" ref="U20">SUMIF(Site_Detail_10[[Category]:[Category]],Site_Category_Sum_10[[#This Row],[Column1]:[Column1]],Site_Detail_10[(enter addt''l. fund source 3)])</f>
        <v>0</v>
      </c>
      <c r="V20" s="102" cm="1">
        <f t="array" ref="V20">SUMIF(Site_Detail_10[[Category]:[Category]],Site_Category_Sum_10[[#This Row],[Column1]:[Column1]],Site_Detail_10[(enter addt''l. fund source 4)])</f>
        <v>0</v>
      </c>
      <c r="W20" s="102" cm="1">
        <f t="array" ref="W20">SUMIF(Site_Detail_10[[Category]:[Category]],Site_Category_Sum_10[[#This Row],[Column1]:[Column1]],Site_Detail_10[(enter addt''l. fund source 5)])</f>
        <v>0</v>
      </c>
      <c r="X20" s="233">
        <f>ROUND(SUM(Site_Category_Sum_10[[#This Row],[Column2]:[Column7]]),2)</f>
        <v>0</v>
      </c>
      <c r="Z20" s="178" t="s">
        <v>0</v>
      </c>
    </row>
    <row r="21" spans="2:26" x14ac:dyDescent="0.25">
      <c r="B21" s="53"/>
      <c r="C21" s="54"/>
      <c r="D21" s="53"/>
      <c r="E21" s="54"/>
      <c r="F21" s="54"/>
      <c r="G21" s="219"/>
      <c r="H21" s="196"/>
      <c r="I21" s="220"/>
      <c r="J21" s="55"/>
      <c r="K21" s="55"/>
      <c r="L21" s="55"/>
      <c r="M21" s="207"/>
      <c r="N21" s="200">
        <f>ROUND(SUM(Site_Detail_10[[#This Row],[21st CCLC,  Title IV-B]:[(enter addt''l. fund source 5)]]),2)</f>
        <v>0</v>
      </c>
      <c r="O21" s="208"/>
      <c r="Q21" s="103" t="s">
        <v>603</v>
      </c>
      <c r="R21" s="230" cm="1">
        <f t="array" ref="R21">SUMIF(Site_Detail_10[[Category]:[Category]],Site_Category_Sum_10[[#This Row],[Column1]:[Column1]],Site_Detail_10[21st CCLC,  Title IV-B])</f>
        <v>0</v>
      </c>
      <c r="S21" s="124" cm="1">
        <f t="array" ref="S21">SUMIF(Site_Detail_10[[Category]:[Category]],Site_Category_Sum_10[[#This Row],[Column1]:[Column1]],Site_Detail_10[(enter addt''l. fund source 1)])</f>
        <v>0</v>
      </c>
      <c r="T21" s="102" cm="1">
        <f t="array" ref="T21">SUMIF(Site_Detail_10[[Category]:[Category]],Site_Category_Sum_10[[#This Row],[Column1]:[Column1]],Site_Detail_10[(enter addt''l. fund source 2)])</f>
        <v>0</v>
      </c>
      <c r="U21" s="102" cm="1">
        <f t="array" ref="U21">SUMIF(Site_Detail_10[[Category]:[Category]],Site_Category_Sum_10[[#This Row],[Column1]:[Column1]],Site_Detail_10[(enter addt''l. fund source 3)])</f>
        <v>0</v>
      </c>
      <c r="V21" s="102" cm="1">
        <f t="array" ref="V21">SUMIF(Site_Detail_10[[Category]:[Category]],Site_Category_Sum_10[[#This Row],[Column1]:[Column1]],Site_Detail_10[(enter addt''l. fund source 4)])</f>
        <v>0</v>
      </c>
      <c r="W21" s="102" cm="1">
        <f t="array" ref="W21">SUMIF(Site_Detail_10[[Category]:[Category]],Site_Category_Sum_10[[#This Row],[Column1]:[Column1]],Site_Detail_10[(enter addt''l. fund source 5)])</f>
        <v>0</v>
      </c>
      <c r="X21" s="233">
        <f>ROUND(SUM(Site_Category_Sum_10[[#This Row],[Column2]:[Column7]]),2)</f>
        <v>0</v>
      </c>
      <c r="Z21" s="178" t="s">
        <v>0</v>
      </c>
    </row>
    <row r="22" spans="2:26" x14ac:dyDescent="0.25">
      <c r="B22" s="53"/>
      <c r="C22" s="54"/>
      <c r="D22" s="53"/>
      <c r="E22" s="54"/>
      <c r="F22" s="54"/>
      <c r="G22" s="219"/>
      <c r="H22" s="196"/>
      <c r="I22" s="220"/>
      <c r="J22" s="55"/>
      <c r="K22" s="55"/>
      <c r="L22" s="55"/>
      <c r="M22" s="207"/>
      <c r="N22" s="200">
        <f>ROUND(SUM(Site_Detail_10[[#This Row],[21st CCLC,  Title IV-B]:[(enter addt''l. fund source 5)]]),2)</f>
        <v>0</v>
      </c>
      <c r="O22" s="208"/>
      <c r="Q22" s="103" t="s">
        <v>604</v>
      </c>
      <c r="R22" s="230" cm="1">
        <f t="array" ref="R22">SUMIF(Site_Detail_10[[Category]:[Category]],Site_Category_Sum_10[[#This Row],[Column1]:[Column1]],Site_Detail_10[21st CCLC,  Title IV-B])</f>
        <v>0</v>
      </c>
      <c r="S22" s="124" cm="1">
        <f t="array" ref="S22">SUMIF(Site_Detail_10[[Category]:[Category]],Site_Category_Sum_10[[#This Row],[Column1]:[Column1]],Site_Detail_10[(enter addt''l. fund source 1)])</f>
        <v>0</v>
      </c>
      <c r="T22" s="102" cm="1">
        <f t="array" ref="T22">SUMIF(Site_Detail_10[[Category]:[Category]],Site_Category_Sum_10[[#This Row],[Column1]:[Column1]],Site_Detail_10[(enter addt''l. fund source 2)])</f>
        <v>0</v>
      </c>
      <c r="U22" s="102" cm="1">
        <f t="array" ref="U22">SUMIF(Site_Detail_10[[Category]:[Category]],Site_Category_Sum_10[[#This Row],[Column1]:[Column1]],Site_Detail_10[(enter addt''l. fund source 3)])</f>
        <v>0</v>
      </c>
      <c r="V22" s="102" cm="1">
        <f t="array" ref="V22">SUMIF(Site_Detail_10[[Category]:[Category]],Site_Category_Sum_10[[#This Row],[Column1]:[Column1]],Site_Detail_10[(enter addt''l. fund source 4)])</f>
        <v>0</v>
      </c>
      <c r="W22" s="102" cm="1">
        <f t="array" ref="W22">SUMIF(Site_Detail_10[[Category]:[Category]],Site_Category_Sum_10[[#This Row],[Column1]:[Column1]],Site_Detail_10[(enter addt''l. fund source 5)])</f>
        <v>0</v>
      </c>
      <c r="X22" s="233">
        <f>ROUND(SUM(Site_Category_Sum_10[[#This Row],[Column2]:[Column7]]),2)</f>
        <v>0</v>
      </c>
      <c r="Z22" s="178" t="s">
        <v>0</v>
      </c>
    </row>
    <row r="23" spans="2:26" x14ac:dyDescent="0.25">
      <c r="B23" s="53"/>
      <c r="C23" s="54"/>
      <c r="D23" s="53"/>
      <c r="E23" s="54"/>
      <c r="F23" s="54"/>
      <c r="G23" s="219"/>
      <c r="H23" s="196"/>
      <c r="I23" s="220"/>
      <c r="J23" s="55"/>
      <c r="K23" s="55"/>
      <c r="L23" s="55"/>
      <c r="M23" s="207"/>
      <c r="N23" s="200">
        <f>ROUND(SUM(Site_Detail_10[[#This Row],[21st CCLC,  Title IV-B]:[(enter addt''l. fund source 5)]]),2)</f>
        <v>0</v>
      </c>
      <c r="O23" s="208"/>
      <c r="Q23" s="103" t="s">
        <v>567</v>
      </c>
      <c r="R23" s="230" cm="1">
        <f t="array" ref="R23">SUMIF(Site_Detail_10[[Category]:[Category]],Site_Category_Sum_10[[#This Row],[Column1]:[Column1]],Site_Detail_10[21st CCLC,  Title IV-B])</f>
        <v>0</v>
      </c>
      <c r="S23" s="124" cm="1">
        <f t="array" ref="S23">SUMIF(Site_Detail_10[[Category]:[Category]],Site_Category_Sum_10[[#This Row],[Column1]:[Column1]],Site_Detail_10[(enter addt''l. fund source 1)])</f>
        <v>0</v>
      </c>
      <c r="T23" s="102" cm="1">
        <f t="array" ref="T23">SUMIF(Site_Detail_10[[Category]:[Category]],Site_Category_Sum_10[[#This Row],[Column1]:[Column1]],Site_Detail_10[(enter addt''l. fund source 2)])</f>
        <v>0</v>
      </c>
      <c r="U23" s="102" cm="1">
        <f t="array" ref="U23">SUMIF(Site_Detail_10[[Category]:[Category]],Site_Category_Sum_10[[#This Row],[Column1]:[Column1]],Site_Detail_10[(enter addt''l. fund source 3)])</f>
        <v>0</v>
      </c>
      <c r="V23" s="102" cm="1">
        <f t="array" ref="V23">SUMIF(Site_Detail_10[[Category]:[Category]],Site_Category_Sum_10[[#This Row],[Column1]:[Column1]],Site_Detail_10[(enter addt''l. fund source 4)])</f>
        <v>0</v>
      </c>
      <c r="W23" s="102" cm="1">
        <f t="array" ref="W23">SUMIF(Site_Detail_10[[Category]:[Category]],Site_Category_Sum_10[[#This Row],[Column1]:[Column1]],Site_Detail_10[(enter addt''l. fund source 5)])</f>
        <v>0</v>
      </c>
      <c r="X23" s="233">
        <f>ROUND(SUM(Site_Category_Sum_10[[#This Row],[Column2]:[Column7]]),2)</f>
        <v>0</v>
      </c>
      <c r="Z23" s="178" t="s">
        <v>0</v>
      </c>
    </row>
    <row r="24" spans="2:26" x14ac:dyDescent="0.25">
      <c r="B24" s="53"/>
      <c r="C24" s="54"/>
      <c r="D24" s="53"/>
      <c r="E24" s="54"/>
      <c r="F24" s="54"/>
      <c r="G24" s="219"/>
      <c r="H24" s="196"/>
      <c r="I24" s="220"/>
      <c r="J24" s="55"/>
      <c r="K24" s="55"/>
      <c r="L24" s="55"/>
      <c r="M24" s="207"/>
      <c r="N24" s="200">
        <f>ROUND(SUM(Site_Detail_10[[#This Row],[21st CCLC,  Title IV-B]:[(enter addt''l. fund source 5)]]),2)</f>
        <v>0</v>
      </c>
      <c r="O24" s="208"/>
      <c r="Q24" s="103" t="s">
        <v>192</v>
      </c>
      <c r="R24" s="230">
        <f>ROUND(SUMIFS(Site_Detail_10[21st CCLC,  Title IV-B],Site_Detail_10[[Category]:[Category]],"Indirect",Site_Detail_10[[Contracted Service?]:[Contracted Service?]],"&lt;&gt;Yes"),2)</f>
        <v>0</v>
      </c>
      <c r="S24" s="124">
        <f>ROUND(SUMIFS(Site_Detail_10[(enter addt''l. fund source 1)],Site_Detail_10[[Category]:[Category]],"Indirect",Site_Detail_10[[Contracted Service?]:[Contracted Service?]],"&lt;&gt;Yes"),2)</f>
        <v>0</v>
      </c>
      <c r="T24" s="102">
        <f>ROUND(SUMIFS(Site_Detail_10[(enter addt''l. fund source 2)],Site_Detail_10[[Category]:[Category]],"Indirect",Site_Detail_10[[Contracted Service?]:[Contracted Service?]],"&lt;&gt;Yes"),2)</f>
        <v>0</v>
      </c>
      <c r="U24" s="102">
        <f>ROUND(SUMIFS(Site_Detail_10[(enter addt''l. fund source 3)],Site_Detail_10[[Category]:[Category]],"Indirect",Site_Detail_10[[Contracted Service?]:[Contracted Service?]],"&lt;&gt;Yes"),2)</f>
        <v>0</v>
      </c>
      <c r="V24" s="102">
        <f>ROUND(SUMIFS(Site_Detail_10[(enter addt''l. fund source 4)],Site_Detail_10[[Category]:[Category]],"Indirect",Site_Detail_10[[Contracted Service?]:[Contracted Service?]],"&lt;&gt;Yes"),2)</f>
        <v>0</v>
      </c>
      <c r="W24" s="102">
        <f>ROUND(SUMIFS(Site_Detail_10[(enter addt''l. fund source 5)],Site_Detail_10[[Category]:[Category]],"Indirect",Site_Detail_10[[Contracted Service?]:[Contracted Service?]],"&lt;&gt;Yes"),2)</f>
        <v>0</v>
      </c>
      <c r="X24" s="233">
        <f>ROUND(SUM(Site_Category_Sum_10[[#This Row],[Column2]:[Column7]]),2)</f>
        <v>0</v>
      </c>
      <c r="Z24" s="178" t="s">
        <v>0</v>
      </c>
    </row>
    <row r="25" spans="2:26" x14ac:dyDescent="0.25">
      <c r="B25" s="53"/>
      <c r="C25" s="54"/>
      <c r="D25" s="53"/>
      <c r="E25" s="54"/>
      <c r="F25" s="54"/>
      <c r="G25" s="219"/>
      <c r="H25" s="196"/>
      <c r="I25" s="220"/>
      <c r="J25" s="55"/>
      <c r="K25" s="55"/>
      <c r="L25" s="55"/>
      <c r="M25" s="207"/>
      <c r="N25" s="200">
        <f>ROUND(SUM(Site_Detail_10[[#This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ROUND(SUM(Site_Category_Sum_10[[#This Row],[Column2]:[Column7]]),2)</f>
        <v>0</v>
      </c>
      <c r="Z25" s="178" t="s">
        <v>0</v>
      </c>
    </row>
    <row r="26" spans="2:26" x14ac:dyDescent="0.25">
      <c r="B26" s="53"/>
      <c r="C26" s="54"/>
      <c r="D26" s="53"/>
      <c r="E26" s="54"/>
      <c r="F26" s="54"/>
      <c r="G26" s="219"/>
      <c r="H26" s="196"/>
      <c r="I26" s="220"/>
      <c r="J26" s="55"/>
      <c r="K26" s="55"/>
      <c r="L26" s="55"/>
      <c r="M26" s="207"/>
      <c r="N26" s="200">
        <f>ROUND(SUM(Site_Detail_10[[#This Row],[21st CCLC,  Title IV-B]:[(enter addt''l. fund source 5)]]),2)</f>
        <v>0</v>
      </c>
      <c r="O26" s="208"/>
      <c r="Q26" s="103" t="s">
        <v>291</v>
      </c>
      <c r="R26" s="230" cm="1">
        <f t="array" ref="R26">SUMIF(Site_Detail_10[[Program Type]:[Program Type]],Site_Category_Sum_10[[#This Row],[Column1]:[Column1]],Site_Detail_10[21st CCLC,  Title IV-B])</f>
        <v>0</v>
      </c>
      <c r="S26" s="124" cm="1">
        <f t="array" ref="S26">SUMIF(Site_Detail_10[[Program Type]:[Program Type]],Site_Category_Sum_10[[#This Row],[Column1]:[Column1]],Site_Detail_10[(enter addt''l. fund source 1)])</f>
        <v>0</v>
      </c>
      <c r="T26" s="102" cm="1">
        <f t="array" ref="T26">SUMIF(Site_Detail_10[[Program Type]:[Program Type]],Site_Category_Sum_10[[#This Row],[Column1]:[Column1]],Site_Detail_10[(enter addt''l. fund source 2)])</f>
        <v>0</v>
      </c>
      <c r="U26" s="102" cm="1">
        <f t="array" ref="U26">SUMIF(Site_Detail_10[[Program Type]:[Program Type]],Site_Category_Sum_10[[#This Row],[Column1]:[Column1]],Site_Detail_10[(enter addt''l. fund source 3)])</f>
        <v>0</v>
      </c>
      <c r="V26" s="102" cm="1">
        <f t="array" ref="V26">SUMIF(Site_Detail_10[[Program Type]:[Program Type]],Site_Category_Sum_10[[#This Row],[Column1]:[Column1]],Site_Detail_10[(enter addt''l. fund source 4)])</f>
        <v>0</v>
      </c>
      <c r="W26" s="102" cm="1">
        <f t="array" ref="W26">SUMIF(Site_Detail_10[[Program Type]:[Program Type]],Site_Category_Sum_10[[#This Row],[Column1]:[Column1]],Site_Detail_10[(enter addt''l. fund source 5)])</f>
        <v>0</v>
      </c>
      <c r="X26" s="233">
        <f>ROUND(SUM(Site_Category_Sum_10[[#This Row],[Column2]:[Column7]]),2)</f>
        <v>0</v>
      </c>
      <c r="Z26" s="178" t="s">
        <v>0</v>
      </c>
    </row>
    <row r="27" spans="2:26" x14ac:dyDescent="0.25">
      <c r="B27" s="53"/>
      <c r="C27" s="54"/>
      <c r="D27" s="53"/>
      <c r="E27" s="54"/>
      <c r="F27" s="54"/>
      <c r="G27" s="219"/>
      <c r="H27" s="196"/>
      <c r="I27" s="220"/>
      <c r="J27" s="55"/>
      <c r="K27" s="55"/>
      <c r="L27" s="55"/>
      <c r="M27" s="207"/>
      <c r="N27" s="200">
        <f>ROUND(SUM(Site_Detail_10[[#This Row],[21st CCLC,  Title IV-B]:[(enter addt''l. fund source 5)]]),2)</f>
        <v>0</v>
      </c>
      <c r="O27" s="208"/>
      <c r="Q27" s="103" t="s">
        <v>292</v>
      </c>
      <c r="R27" s="230" cm="1">
        <f t="array" ref="R27">SUMIF(Site_Detail_10[[Program Type]:[Program Type]],Site_Category_Sum_10[[#This Row],[Column1]:[Column1]],Site_Detail_10[21st CCLC,  Title IV-B])</f>
        <v>0</v>
      </c>
      <c r="S27" s="124" cm="1">
        <f t="array" ref="S27">SUMIF(Site_Detail_10[[Program Type]:[Program Type]],Site_Category_Sum_10[[#This Row],[Column1]:[Column1]],Site_Detail_10[(enter addt''l. fund source 1)])</f>
        <v>0</v>
      </c>
      <c r="T27" s="102" cm="1">
        <f t="array" ref="T27">SUMIF(Site_Detail_10[[Program Type]:[Program Type]],Site_Category_Sum_10[[#This Row],[Column1]:[Column1]],Site_Detail_10[(enter addt''l. fund source 2)])</f>
        <v>0</v>
      </c>
      <c r="U27" s="102" cm="1">
        <f t="array" ref="U27">SUMIF(Site_Detail_10[[Program Type]:[Program Type]],Site_Category_Sum_10[[#This Row],[Column1]:[Column1]],Site_Detail_10[(enter addt''l. fund source 3)])</f>
        <v>0</v>
      </c>
      <c r="V27" s="102" cm="1">
        <f t="array" ref="V27">SUMIF(Site_Detail_10[[Program Type]:[Program Type]],Site_Category_Sum_10[[#This Row],[Column1]:[Column1]],Site_Detail_10[(enter addt''l. fund source 4)])</f>
        <v>0</v>
      </c>
      <c r="W27" s="102" cm="1">
        <f t="array" ref="W27">SUMIF(Site_Detail_10[[Program Type]:[Program Type]],Site_Category_Sum_10[[#This Row],[Column1]:[Column1]],Site_Detail_10[(enter addt''l. fund source 5)])</f>
        <v>0</v>
      </c>
      <c r="X27" s="233">
        <f>ROUND(SUM(Site_Category_Sum_10[[#This Row],[Column2]:[Column7]]),2)</f>
        <v>0</v>
      </c>
    </row>
    <row r="28" spans="2:26" x14ac:dyDescent="0.25">
      <c r="B28" s="53"/>
      <c r="C28" s="54"/>
      <c r="D28" s="53"/>
      <c r="E28" s="54"/>
      <c r="F28" s="54"/>
      <c r="G28" s="219"/>
      <c r="H28" s="196"/>
      <c r="I28" s="220"/>
      <c r="J28" s="55"/>
      <c r="K28" s="55"/>
      <c r="L28" s="55"/>
      <c r="M28" s="207"/>
      <c r="N28" s="200">
        <f>ROUND(SUM(Site_Detail_10[[#This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ROUND(SUM(Site_Category_Sum_10[[#This Row],[Column2]:[Column7]]),2)</f>
        <v>0</v>
      </c>
    </row>
    <row r="29" spans="2:26" x14ac:dyDescent="0.25">
      <c r="B29" s="53"/>
      <c r="C29" s="54"/>
      <c r="D29" s="53"/>
      <c r="E29" s="54"/>
      <c r="F29" s="54"/>
      <c r="G29" s="219"/>
      <c r="H29" s="196"/>
      <c r="I29" s="220"/>
      <c r="J29" s="55"/>
      <c r="K29" s="55"/>
      <c r="L29" s="55"/>
      <c r="M29" s="207"/>
      <c r="N29" s="200">
        <f>ROUND(SUM(Site_Detail_10[[#This Row],[21st CCLC,  Title IV-B]:[(enter addt''l. fund source 5)]]),2)</f>
        <v>0</v>
      </c>
      <c r="O29" s="208"/>
      <c r="Q29" s="103" t="s">
        <v>591</v>
      </c>
      <c r="R29" s="230">
        <f>ROUND(SUMIF(Site_Detail_10[[Contracted Service?]:[Contracted Service?]],"Yes",Site_Detail_10[21st CCLC,  Title IV-B]),2)</f>
        <v>0</v>
      </c>
      <c r="S29" s="124">
        <f>ROUND(SUMIF(Site_Detail_10[[Contracted Service?]:[Contracted Service?]],"Yes",Site_Detail_10[(enter addt''l. fund source 1)]),2)</f>
        <v>0</v>
      </c>
      <c r="T29" s="102">
        <f>ROUND(SUMIF(Site_Detail_10[[Contracted Service?]:[Contracted Service?]],"Yes",Site_Detail_10[(enter addt''l. fund source 2)]),2)</f>
        <v>0</v>
      </c>
      <c r="U29" s="102">
        <f>ROUND(SUMIF(Site_Detail_10[[Contracted Service?]:[Contracted Service?]],"Yes",Site_Detail_10[(enter addt''l. fund source 3)]),2)</f>
        <v>0</v>
      </c>
      <c r="V29" s="102">
        <f>ROUND(SUMIF(Site_Detail_10[[Contracted Service?]:[Contracted Service?]],"Yes",Site_Detail_10[(enter addt''l. fund source 4)]),2)</f>
        <v>0</v>
      </c>
      <c r="W29" s="102">
        <f>ROUND(SUMIF(Site_Detail_10[[Contracted Service?]:[Contracted Service?]],"Yes",Site_Detail_10[(enter addt''l. fund source 5)]),2)</f>
        <v>0</v>
      </c>
      <c r="X29" s="233">
        <f>ROUND(SUM(Site_Category_Sum_10[[#This Row],[Column2]:[Column7]]),2)</f>
        <v>0</v>
      </c>
    </row>
    <row r="30" spans="2:26" x14ac:dyDescent="0.25">
      <c r="B30" s="53"/>
      <c r="C30" s="54"/>
      <c r="D30" s="53"/>
      <c r="E30" s="54"/>
      <c r="F30" s="54"/>
      <c r="G30" s="219"/>
      <c r="H30" s="196"/>
      <c r="I30" s="220"/>
      <c r="J30" s="55"/>
      <c r="K30" s="55"/>
      <c r="L30" s="55"/>
      <c r="M30" s="207"/>
      <c r="N30" s="200">
        <f>ROUND(SUM(Site_Detail_10[[#This Row],[21st CCLC,  Title IV-B]:[(enter addt''l. fund source 5)]]),2)</f>
        <v>0</v>
      </c>
      <c r="O30" s="208"/>
      <c r="Q30" s="103" t="s">
        <v>597</v>
      </c>
      <c r="R30" s="230">
        <f>ROUND(SUMIF(Site_Detail_10[[Contracted Service?]:[Contracted Service?]],"&lt;&gt;Yes",Site_Detail_10[21st CCLC,  Title IV-B]),2)</f>
        <v>0</v>
      </c>
      <c r="S30" s="124">
        <f>ROUND(SUMIF(Site_Detail_10[[Contracted Service?]:[Contracted Service?]],"&lt;&gt;Yes",Site_Detail_10[(enter addt''l. fund source 1)]),2)</f>
        <v>0</v>
      </c>
      <c r="T30" s="102">
        <f>ROUND(SUMIF(Site_Detail_10[[Contracted Service?]:[Contracted Service?]],"&lt;&gt;Yes",Site_Detail_10[(enter addt''l. fund source 2)]),2)</f>
        <v>0</v>
      </c>
      <c r="U30" s="102">
        <f>ROUND(SUMIF(Site_Detail_10[[Contracted Service?]:[Contracted Service?]],"&lt;&gt;Yes",Site_Detail_10[(enter addt''l. fund source 3)]),2)</f>
        <v>0</v>
      </c>
      <c r="V30" s="102">
        <f>ROUND(SUMIF(Site_Detail_10[[Contracted Service?]:[Contracted Service?]],"&lt;&gt;Yes",Site_Detail_10[(enter addt''l. fund source 4)]),2)</f>
        <v>0</v>
      </c>
      <c r="W30" s="102">
        <f>ROUND(SUMIF(Site_Detail_10[[Contracted Service?]:[Contracted Service?]],"&lt;&gt;Yes",Site_Detail_10[(enter addt''l. fund source 5)]),2)</f>
        <v>0</v>
      </c>
      <c r="X30" s="233">
        <f>ROUND(SUM(Site_Category_Sum_10[[#This Row],[Column2]:[Column7]]),2)</f>
        <v>0</v>
      </c>
    </row>
    <row r="31" spans="2:26" x14ac:dyDescent="0.25">
      <c r="B31" s="53"/>
      <c r="C31" s="54"/>
      <c r="D31" s="53"/>
      <c r="E31" s="54"/>
      <c r="F31" s="54"/>
      <c r="G31" s="219"/>
      <c r="H31" s="196"/>
      <c r="I31" s="220"/>
      <c r="J31" s="55"/>
      <c r="K31" s="55"/>
      <c r="L31" s="55"/>
      <c r="M31" s="207"/>
      <c r="N31" s="200">
        <f>ROUND(SUM(Site_Detail_10[[#This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ROUND(SUM(Site_Category_Sum_10[[#This Row],[Column2]:[Column7]]),2)</f>
        <v>0</v>
      </c>
    </row>
    <row r="32" spans="2:26" x14ac:dyDescent="0.25">
      <c r="B32" s="53"/>
      <c r="C32" s="54"/>
      <c r="D32" s="53"/>
      <c r="E32" s="54"/>
      <c r="F32" s="54"/>
      <c r="G32" s="219"/>
      <c r="H32" s="196"/>
      <c r="I32" s="220"/>
      <c r="J32" s="55"/>
      <c r="K32" s="55"/>
      <c r="L32" s="55"/>
      <c r="M32" s="207"/>
      <c r="N32" s="200">
        <f>ROUND(SUM(Site_Detail_10[[#This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ROUND(SUM(Site_Detail_10[[#This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ROUND(SUM(Site_Detail_10[[#This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ROUND(SUM(Site_Detail_10[[#This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ROUND(SUM(Site_Detail_10[[#This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ROUND(SUM(Site_Detail_10[[#This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ROUND(SUM(Site_Detail_10[[#This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ROUND(SUM(Site_Detail_10[[#This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ROUND(SUM(Site_Detail_10[[#This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ROUND(SUM(Site_Detail_10[[#This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ROUND(SUM(Site_Detail_10[[#This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ROUND(SUM(Site_Detail_10[[#This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ROUND(SUM(Site_Detail_10[[#This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ROUND(SUM(Site_Detail_10[[#This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ROUND(SUM(Site_Detail_10[[#This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ROUND(SUM(Site_Detail_10[[#This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ROUND(SUM(Site_Detail_10[[#This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ROUND(SUM(Site_Detail_10[[#This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ROUND(SUM(Site_Detail_10[[#This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ROUND(SUM(Site_Detail_10[[#This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ROUND(SUM(Site_Detail_10[[#This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ROUND(SUM(Site_Detail_10[[#This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ROUND(SUM(Site_Detail_10[[#This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ROUND(SUM(Site_Detail_10[[#This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ROUND(SUM(Site_Detail_10[[#This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ROUND(SUM(Site_Detail_10[[#This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ROUND(SUM(Site_Detail_10[[#This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ROUND(SUM(Site_Detail_10[[#This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ROUND(SUM(Site_Detail_10[[#This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ROUND(SUM(Site_Detail_10[[#This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ROUND(SUM(Site_Detail_10[[#This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ROUND(SUM(Site_Detail_10[[#This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ROUND(SUM(Site_Detail_10[[#This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ROUND(SUM(Site_Detail_10[[#This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ROUND(SUM(Site_Detail_10[[#This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ROUND(SUM(Site_Detail_10[[#This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ROUND(SUM(Site_Detail_10[[#This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ROUND(SUM(Site_Detail_10[[#This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ROUND(SUM(Site_Detail_10[[#This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ROUND(SUM(Site_Detail_10[[#This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ROUND(SUM(Site_Detail_10[[#This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ROUND(SUM(Site_Detail_10[[#This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ROUND(SUM(Site_Detail_10[[#This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ROUND(SUM(Site_Detail_10[[#This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ROUND(SUM(Site_Detail_10[[#This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ROUND(SUM(Site_Detail_10[[#This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ROUND(SUM(Site_Detail_10[[#This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ROUND(SUM(Site_Detail_10[[#This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ROUND(SUM(Site_Detail_10[[#This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ROUND(SUM(Site_Detail_10[[#This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ROUND(SUM(Site_Detail_10[[#This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ROUND(SUM(Site_Detail_10[[#This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ROUND(SUM(Site_Detail_10[[#This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ROUND(SUM(Site_Detail_10[[#This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ROUND(SUM(Site_Detail_10[[#This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ROUND(SUM(Site_Detail_10[[#This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69" priority="6" operator="equal">
      <formula>"(select)"</formula>
    </cfRule>
  </conditionalFormatting>
  <conditionalFormatting sqref="B13:G87">
    <cfRule type="expression" dxfId="68" priority="7">
      <formula>AND(SUM($H13:$M13)&gt;0,B13="")</formula>
    </cfRule>
  </conditionalFormatting>
  <conditionalFormatting sqref="C4:C5 C7">
    <cfRule type="cellIs" dxfId="67" priority="1" operator="equal">
      <formula>"(autofill)"</formula>
    </cfRule>
    <cfRule type="expression" dxfId="66" priority="2">
      <formula>$C$5="Invalid Entity ID"</formula>
    </cfRule>
  </conditionalFormatting>
  <conditionalFormatting sqref="C6">
    <cfRule type="cellIs" dxfId="65" priority="3" operator="equal">
      <formula>"(enter center/site name)"</formula>
    </cfRule>
  </conditionalFormatting>
  <conditionalFormatting sqref="C8">
    <cfRule type="cellIs" dxfId="64" priority="4" operator="equal">
      <formula>"(enter #)"</formula>
    </cfRule>
  </conditionalFormatting>
  <conditionalFormatting sqref="C13:C87">
    <cfRule type="cellIs" dxfId="63" priority="8" operator="equal">
      <formula>"Yes"</formula>
    </cfRule>
  </conditionalFormatting>
  <conditionalFormatting sqref="E13">
    <cfRule type="cellIs" dxfId="62" priority="9" operator="equal">
      <formula>"(fx code)"</formula>
    </cfRule>
  </conditionalFormatting>
  <conditionalFormatting sqref="F13">
    <cfRule type="cellIs" dxfId="61" priority="10" operator="equal">
      <formula>"(obj)"</formula>
    </cfRule>
  </conditionalFormatting>
  <conditionalFormatting sqref="G13">
    <cfRule type="cellIs" dxfId="60" priority="11" operator="equal">
      <formula>"(enter description)"</formula>
    </cfRule>
  </conditionalFormatting>
  <conditionalFormatting sqref="H13:M13">
    <cfRule type="cellIs" dxfId="59" priority="12" operator="equal">
      <formula>"(enter $)"</formula>
    </cfRule>
  </conditionalFormatting>
  <conditionalFormatting sqref="I7:M7 I12:M12 S12:W12">
    <cfRule type="containsText" dxfId="58" priority="5" operator="containsText" text="(addt'l. fund source">
      <formula>NOT(ISERROR(SEARCH("(addt'l. fund source",I7)))</formula>
    </cfRule>
  </conditionalFormatting>
  <conditionalFormatting sqref="O13">
    <cfRule type="cellIs" dxfId="57" priority="13" operator="equal">
      <formula>"(enter note)"</formula>
    </cfRule>
  </conditionalFormatting>
  <dataValidations count="4">
    <dataValidation allowBlank="1" showInputMessage="1" showErrorMessage="1" prompt="Each line item for salaries MUST indicate: _x000a__x000a_1) Amount of FTE, and _x000a__x000a_2) Type of position (see Budget Guidance tab for examples)." sqref="G13:G15" xr:uid="{56F7E9CB-D860-493F-85E9-CB06FE99728F}"/>
    <dataValidation type="list" allowBlank="1" showErrorMessage="1" sqref="B13:B87" xr:uid="{3775FB91-594D-4751-986B-F29019C3846D}">
      <formula1>Program_List</formula1>
    </dataValidation>
    <dataValidation type="list" allowBlank="1" showErrorMessage="1" sqref="D13:D87" xr:uid="{7DE5431F-5EE0-4432-A6FC-C745065BC41C}">
      <formula1>Categories_List</formula1>
    </dataValidation>
    <dataValidation type="list" allowBlank="1" showErrorMessage="1" sqref="C13:C87" xr:uid="{E02A10EA-6828-484C-8D53-8BAFA9E8BEB2}">
      <formula1>Contracted_List</formula1>
    </dataValidation>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5A1BE-43CC-4400-BE6C-8D5C4E0410F2}">
  <sheetPr>
    <tabColor rgb="FFAAD4F4"/>
    <pageSetUpPr autoPageBreaks="0" fitToPage="1"/>
  </sheetPr>
  <dimension ref="A1:Z87"/>
  <sheetViews>
    <sheetView showGridLines="0" showRowColHeaders="0" zoomScaleNormal="100" workbookViewId="0">
      <pane ySplit="12" topLeftCell="A13" activePane="bottomLeft" state="frozen"/>
      <selection activeCell="B2" sqref="B2:H2"/>
      <selection pane="bottomLeft" activeCell="B2" sqref="B2:H2"/>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631</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ROUND(SUMIF(Site_Detail_11[[Program Type]:[Program Type]],"Before/Afterschool",Site_Detail_11[21st CCLC,  Title IV-B]),2)</f>
        <v>0</v>
      </c>
      <c r="I8" s="150">
        <f>ROUND(SUMIF(Site_Detail_11[[Program Type]:[Program Type]],"Before/Afterschool",Site_Detail_11[(enter addt''l. fund source 1)]),2)</f>
        <v>0</v>
      </c>
      <c r="J8" s="150">
        <f>ROUND(SUMIF(Site_Detail_11[[Program Type]:[Program Type]],"Before/Afterschool",Site_Detail_11[(enter addt''l. fund source 2)]),2)</f>
        <v>0</v>
      </c>
      <c r="K8" s="150">
        <f>ROUND(SUMIF(Site_Detail_11[[Program Type]:[Program Type]],"Before/Afterschool",Site_Detail_11[(enter addt''l. fund source 3)]),2)</f>
        <v>0</v>
      </c>
      <c r="L8" s="150">
        <f>ROUND(SUMIF(Site_Detail_11[[Program Type]:[Program Type]],"Before/Afterschool",Site_Detail_11[(enter addt''l. fund source 4)]),2)</f>
        <v>0</v>
      </c>
      <c r="M8" s="203">
        <f>ROUND(SUMIF(Site_Detail_11[[Program Type]:[Program Type]],"Before/Afterschool",Site_Detail_11[(enter addt''l. fund source 5)]),2)</f>
        <v>0</v>
      </c>
      <c r="N8" s="198">
        <f>SUM(Site_Summary_11[[#This Row],[Column3]:[Column8]])</f>
        <v>0</v>
      </c>
    </row>
    <row r="9" spans="1:26" customFormat="1" x14ac:dyDescent="0.25">
      <c r="A9" s="1" t="s">
        <v>0</v>
      </c>
      <c r="B9" s="408"/>
      <c r="C9" s="410"/>
      <c r="G9" s="149" t="s">
        <v>609</v>
      </c>
      <c r="H9" s="151">
        <f>ROUND(SUMIF(Site_Detail_11[[Program Type]:[Program Type]],"Summer",Site_Detail_11[21st CCLC,  Title IV-B]),2)</f>
        <v>0</v>
      </c>
      <c r="I9" s="150">
        <f>ROUND(SUMIF(Site_Detail_11[[Program Type]:[Program Type]],"Summer",Site_Detail_11[(enter addt''l. fund source 1)]),2)</f>
        <v>0</v>
      </c>
      <c r="J9" s="150">
        <f>ROUND(SUMIF(Site_Detail_11[[Program Type]:[Program Type]],"Summer",Site_Detail_11[(enter addt''l. fund source 2)]),2)</f>
        <v>0</v>
      </c>
      <c r="K9" s="150">
        <f>ROUND(SUMIF(Site_Detail_11[[Program Type]:[Program Type]],"Summer",Site_Detail_11[(enter addt''l. fund source 3)]),2)</f>
        <v>0</v>
      </c>
      <c r="L9" s="150">
        <f>ROUND(SUMIF(Site_Detail_11[[Program Type]:[Program Type]],"Summer",Site_Detail_11[(enter addt''l. fund source 4)]),2)</f>
        <v>0</v>
      </c>
      <c r="M9" s="204">
        <f>ROUND(SUMIF(Site_Detail_11[[Program Type]:[Program Type]],"Summer",Site_Detail_11[(enter addt''l. fund source 5)]),2)</f>
        <v>0</v>
      </c>
      <c r="N9" s="199">
        <f>SUM(Site_Summary_11[[#This Row],[Column3]:[Column8]])</f>
        <v>0</v>
      </c>
    </row>
    <row r="10" spans="1:26" customFormat="1" x14ac:dyDescent="0.25">
      <c r="A10" s="1" t="s">
        <v>0</v>
      </c>
      <c r="G10" s="152" t="s">
        <v>632</v>
      </c>
      <c r="H10" s="247">
        <f>ROUND(SUM(Site_Detail_11[21st CCLC,  Title IV-B]),2)</f>
        <v>0</v>
      </c>
      <c r="I10" s="248">
        <f>ROUND(SUM(Site_Detail_11[(enter addt''l. fund source 1)]),2)</f>
        <v>0</v>
      </c>
      <c r="J10" s="109">
        <f>ROUND(SUM(Site_Detail_11[(enter addt''l. fund source 2)]),2)</f>
        <v>0</v>
      </c>
      <c r="K10" s="109">
        <f>ROUND(SUM(Site_Detail_11[(enter addt''l. fund source 3)]),2)</f>
        <v>0</v>
      </c>
      <c r="L10" s="109">
        <f>ROUND(SUM(Site_Detail_11[(enter addt''l. fund source 4)]),2)</f>
        <v>0</v>
      </c>
      <c r="M10" s="110">
        <f>ROUND(SUM(Site_Detail_11[(enter addt''l. fund source 5)]),2)</f>
        <v>0</v>
      </c>
      <c r="N10" s="238">
        <f>SUM(Site_Summary_11[[#This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ROUND(SUM(Site_Detail_11[[#This Row],[21st CCLC,  Title IV-B]:[(enter addt''l. fund source 5)]]),2)</f>
        <v>0</v>
      </c>
      <c r="O13" s="225" t="s">
        <v>28</v>
      </c>
      <c r="Q13" s="101" t="s">
        <v>545</v>
      </c>
      <c r="R13" s="230" cm="1">
        <f t="array" ref="R13">SUMIF(Site_Detail_11[[Category]:[Category]],Site_Category_Sum_11[[#This Row],[Column1]:[Column1]],Site_Detail_11[21st CCLC,  Title IV-B])</f>
        <v>0</v>
      </c>
      <c r="S13" s="124" cm="1">
        <f t="array" ref="S13">SUMIF(Site_Detail_11[[Category]:[Category]],Site_Category_Sum_11[[#This Row],[Column1]:[Column1]],Site_Detail_11[(enter addt''l. fund source 1)])</f>
        <v>0</v>
      </c>
      <c r="T13" s="124" cm="1">
        <f t="array" ref="T13">SUMIF(Site_Detail_11[[Category]:[Category]],Site_Category_Sum_11[[#This Row],[Column1]:[Column1]],Site_Detail_11[(enter addt''l. fund source 2)])</f>
        <v>0</v>
      </c>
      <c r="U13" s="124" cm="1">
        <f t="array" ref="U13">SUMIF(Site_Detail_11[[Category]:[Category]],Site_Category_Sum_11[[#This Row],[Column1]:[Column1]],Site_Detail_11[(enter addt''l. fund source 3)])</f>
        <v>0</v>
      </c>
      <c r="V13" s="124" cm="1">
        <f t="array" ref="V13">SUMIF(Site_Detail_11[[Category]:[Category]],Site_Category_Sum_11[[#This Row],[Column1]:[Column1]],Site_Detail_11[(enter addt''l. fund source 4)])</f>
        <v>0</v>
      </c>
      <c r="W13" s="124" cm="1">
        <f t="array" ref="W13">SUMIF(Site_Detail_11[[Category]:[Category]],Site_Category_Sum_11[[#This Row],[Column1]:[Column1]],Site_Detail_11[(enter addt''l. fund source 5)])</f>
        <v>0</v>
      </c>
      <c r="X13" s="233">
        <f>ROUND(SUM(Site_Category_Sum_11[[#This Row],[Column2]:[Column7]]),2)</f>
        <v>0</v>
      </c>
      <c r="Z13" s="178" t="s">
        <v>0</v>
      </c>
    </row>
    <row r="14" spans="1:26" x14ac:dyDescent="0.25">
      <c r="B14" s="53"/>
      <c r="C14" s="54"/>
      <c r="D14" s="53"/>
      <c r="E14" s="54"/>
      <c r="F14" s="54"/>
      <c r="G14" s="219"/>
      <c r="H14" s="196"/>
      <c r="I14" s="220"/>
      <c r="J14" s="55"/>
      <c r="K14" s="55"/>
      <c r="L14" s="55"/>
      <c r="M14" s="207"/>
      <c r="N14" s="200">
        <f>ROUND(SUM(Site_Detail_11[[#This Row],[21st CCLC,  Title IV-B]:[(enter addt''l. fund source 5)]]),2)</f>
        <v>0</v>
      </c>
      <c r="O14" s="208"/>
      <c r="Q14" s="103" t="s">
        <v>546</v>
      </c>
      <c r="R14" s="230" cm="1">
        <f t="array" ref="R14">SUMIF(Site_Detail_11[[Category]:[Category]],Site_Category_Sum_11[[#This Row],[Column1]:[Column1]],Site_Detail_11[21st CCLC,  Title IV-B])</f>
        <v>0</v>
      </c>
      <c r="S14" s="124" cm="1">
        <f t="array" ref="S14">SUMIF(Site_Detail_11[[Category]:[Category]],Site_Category_Sum_11[[#This Row],[Column1]:[Column1]],Site_Detail_11[(enter addt''l. fund source 1)])</f>
        <v>0</v>
      </c>
      <c r="T14" s="102" cm="1">
        <f t="array" ref="T14">SUMIF(Site_Detail_11[[Category]:[Category]],Site_Category_Sum_11[[#This Row],[Column1]:[Column1]],Site_Detail_11[(enter addt''l. fund source 2)])</f>
        <v>0</v>
      </c>
      <c r="U14" s="102" cm="1">
        <f t="array" ref="U14">SUMIF(Site_Detail_11[[Category]:[Category]],Site_Category_Sum_11[[#This Row],[Column1]:[Column1]],Site_Detail_11[(enter addt''l. fund source 3)])</f>
        <v>0</v>
      </c>
      <c r="V14" s="102" cm="1">
        <f t="array" ref="V14">SUMIF(Site_Detail_11[[Category]:[Category]],Site_Category_Sum_11[[#This Row],[Column1]:[Column1]],Site_Detail_11[(enter addt''l. fund source 4)])</f>
        <v>0</v>
      </c>
      <c r="W14" s="102" cm="1">
        <f t="array" ref="W14">SUMIF(Site_Detail_11[[Category]:[Category]],Site_Category_Sum_11[[#This Row],[Column1]:[Column1]],Site_Detail_11[(enter addt''l. fund source 5)])</f>
        <v>0</v>
      </c>
      <c r="X14" s="233">
        <f>ROUND(SUM(Site_Category_Sum_11[[#This Row],[Column2]:[Column7]]),2)</f>
        <v>0</v>
      </c>
      <c r="Z14" s="178" t="s">
        <v>0</v>
      </c>
    </row>
    <row r="15" spans="1:26" x14ac:dyDescent="0.25">
      <c r="B15" s="50"/>
      <c r="C15" s="51"/>
      <c r="D15" s="50"/>
      <c r="E15" s="51"/>
      <c r="F15" s="51"/>
      <c r="G15" s="221"/>
      <c r="H15" s="196"/>
      <c r="I15" s="222"/>
      <c r="J15" s="52"/>
      <c r="K15" s="52"/>
      <c r="L15" s="52"/>
      <c r="M15" s="205"/>
      <c r="N15" s="200">
        <f>ROUND(SUM(Site_Detail_11[[#This Row],[21st CCLC,  Title IV-B]:[(enter addt''l. fund source 5)]]),2)</f>
        <v>0</v>
      </c>
      <c r="O15" s="206"/>
      <c r="Q15" s="103" t="s">
        <v>161</v>
      </c>
      <c r="R15" s="230" cm="1">
        <f t="array" ref="R15">SUMIF(Site_Detail_11[[Category]:[Category]],Site_Category_Sum_11[[#This Row],[Column1]:[Column1]],Site_Detail_11[21st CCLC,  Title IV-B])</f>
        <v>0</v>
      </c>
      <c r="S15" s="124" cm="1">
        <f t="array" ref="S15">SUMIF(Site_Detail_11[[Category]:[Category]],Site_Category_Sum_11[[#This Row],[Column1]:[Column1]],Site_Detail_11[(enter addt''l. fund source 1)])</f>
        <v>0</v>
      </c>
      <c r="T15" s="102" cm="1">
        <f t="array" ref="T15">SUMIF(Site_Detail_11[[Category]:[Category]],Site_Category_Sum_11[[#This Row],[Column1]:[Column1]],Site_Detail_11[(enter addt''l. fund source 2)])</f>
        <v>0</v>
      </c>
      <c r="U15" s="102" cm="1">
        <f t="array" ref="U15">SUMIF(Site_Detail_11[[Category]:[Category]],Site_Category_Sum_11[[#This Row],[Column1]:[Column1]],Site_Detail_11[(enter addt''l. fund source 3)])</f>
        <v>0</v>
      </c>
      <c r="V15" s="102" cm="1">
        <f t="array" ref="V15">SUMIF(Site_Detail_11[[Category]:[Category]],Site_Category_Sum_11[[#This Row],[Column1]:[Column1]],Site_Detail_11[(enter addt''l. fund source 4)])</f>
        <v>0</v>
      </c>
      <c r="W15" s="102" cm="1">
        <f t="array" ref="W15">SUMIF(Site_Detail_11[[Category]:[Category]],Site_Category_Sum_11[[#This Row],[Column1]:[Column1]],Site_Detail_11[(enter addt''l. fund source 5)])</f>
        <v>0</v>
      </c>
      <c r="X15" s="233">
        <f>ROUND(SUM(Site_Category_Sum_11[[#This Row],[Column2]:[Column7]]),2)</f>
        <v>0</v>
      </c>
      <c r="Z15" s="178" t="s">
        <v>0</v>
      </c>
    </row>
    <row r="16" spans="1:26" x14ac:dyDescent="0.25">
      <c r="B16" s="53"/>
      <c r="C16" s="54"/>
      <c r="D16" s="53"/>
      <c r="E16" s="54"/>
      <c r="F16" s="54"/>
      <c r="G16" s="219"/>
      <c r="H16" s="196"/>
      <c r="I16" s="220"/>
      <c r="J16" s="55"/>
      <c r="K16" s="55"/>
      <c r="L16" s="55"/>
      <c r="M16" s="207"/>
      <c r="N16" s="200">
        <f>ROUND(SUM(Site_Detail_11[[#This Row],[21st CCLC,  Title IV-B]:[(enter addt''l. fund source 5)]]),2)</f>
        <v>0</v>
      </c>
      <c r="O16" s="208"/>
      <c r="Q16" s="103" t="s">
        <v>162</v>
      </c>
      <c r="R16" s="230" cm="1">
        <f t="array" ref="R16">SUMIF(Site_Detail_11[[Category]:[Category]],Site_Category_Sum_11[[#This Row],[Column1]:[Column1]],Site_Detail_11[21st CCLC,  Title IV-B])</f>
        <v>0</v>
      </c>
      <c r="S16" s="124" cm="1">
        <f t="array" ref="S16">SUMIF(Site_Detail_11[[Category]:[Category]],Site_Category_Sum_11[[#This Row],[Column1]:[Column1]],Site_Detail_11[(enter addt''l. fund source 1)])</f>
        <v>0</v>
      </c>
      <c r="T16" s="102" cm="1">
        <f t="array" ref="T16">SUMIF(Site_Detail_11[[Category]:[Category]],Site_Category_Sum_11[[#This Row],[Column1]:[Column1]],Site_Detail_11[(enter addt''l. fund source 2)])</f>
        <v>0</v>
      </c>
      <c r="U16" s="102" cm="1">
        <f t="array" ref="U16">SUMIF(Site_Detail_11[[Category]:[Category]],Site_Category_Sum_11[[#This Row],[Column1]:[Column1]],Site_Detail_11[(enter addt''l. fund source 3)])</f>
        <v>0</v>
      </c>
      <c r="V16" s="102" cm="1">
        <f t="array" ref="V16">SUMIF(Site_Detail_11[[Category]:[Category]],Site_Category_Sum_11[[#This Row],[Column1]:[Column1]],Site_Detail_11[(enter addt''l. fund source 4)])</f>
        <v>0</v>
      </c>
      <c r="W16" s="102" cm="1">
        <f t="array" ref="W16">SUMIF(Site_Detail_11[[Category]:[Category]],Site_Category_Sum_11[[#This Row],[Column1]:[Column1]],Site_Detail_11[(enter addt''l. fund source 5)])</f>
        <v>0</v>
      </c>
      <c r="X16" s="233">
        <f>ROUND(SUM(Site_Category_Sum_11[[#This Row],[Column2]:[Column7]]),2)</f>
        <v>0</v>
      </c>
      <c r="Z16" s="178" t="s">
        <v>0</v>
      </c>
    </row>
    <row r="17" spans="2:26" x14ac:dyDescent="0.25">
      <c r="B17" s="53"/>
      <c r="C17" s="54"/>
      <c r="D17" s="53"/>
      <c r="E17" s="54"/>
      <c r="F17" s="54"/>
      <c r="G17" s="219"/>
      <c r="H17" s="196"/>
      <c r="I17" s="220"/>
      <c r="J17" s="55"/>
      <c r="K17" s="55"/>
      <c r="L17" s="55"/>
      <c r="M17" s="207"/>
      <c r="N17" s="200">
        <f>ROUND(SUM(Site_Detail_11[[#This Row],[21st CCLC,  Title IV-B]:[(enter addt''l. fund source 5)]]),2)</f>
        <v>0</v>
      </c>
      <c r="O17" s="208"/>
      <c r="Q17" s="103" t="s">
        <v>596</v>
      </c>
      <c r="R17" s="230" cm="1">
        <f t="array" ref="R17">SUMIF(Site_Detail_11[[Category]:[Category]],Site_Category_Sum_11[[#This Row],[Column1]:[Column1]],Site_Detail_11[21st CCLC,  Title IV-B])</f>
        <v>0</v>
      </c>
      <c r="S17" s="124" cm="1">
        <f t="array" ref="S17">SUMIF(Site_Detail_11[[Category]:[Category]],Site_Category_Sum_11[[#This Row],[Column1]:[Column1]],Site_Detail_11[(enter addt''l. fund source 1)])</f>
        <v>0</v>
      </c>
      <c r="T17" s="102" cm="1">
        <f t="array" ref="T17">SUMIF(Site_Detail_11[[Category]:[Category]],Site_Category_Sum_11[[#This Row],[Column1]:[Column1]],Site_Detail_11[(enter addt''l. fund source 2)])</f>
        <v>0</v>
      </c>
      <c r="U17" s="102" cm="1">
        <f t="array" ref="U17">SUMIF(Site_Detail_11[[Category]:[Category]],Site_Category_Sum_11[[#This Row],[Column1]:[Column1]],Site_Detail_11[(enter addt''l. fund source 3)])</f>
        <v>0</v>
      </c>
      <c r="V17" s="102" cm="1">
        <f t="array" ref="V17">SUMIF(Site_Detail_11[[Category]:[Category]],Site_Category_Sum_11[[#This Row],[Column1]:[Column1]],Site_Detail_11[(enter addt''l. fund source 4)])</f>
        <v>0</v>
      </c>
      <c r="W17" s="102" cm="1">
        <f t="array" ref="W17">SUMIF(Site_Detail_11[[Category]:[Category]],Site_Category_Sum_11[[#This Row],[Column1]:[Column1]],Site_Detail_11[(enter addt''l. fund source 5)])</f>
        <v>0</v>
      </c>
      <c r="X17" s="233">
        <f>ROUND(SUM(Site_Category_Sum_11[[#This Row],[Column2]:[Column7]]),2)</f>
        <v>0</v>
      </c>
      <c r="Z17" s="178" t="s">
        <v>0</v>
      </c>
    </row>
    <row r="18" spans="2:26" x14ac:dyDescent="0.25">
      <c r="B18" s="53"/>
      <c r="C18" s="54"/>
      <c r="D18" s="53"/>
      <c r="E18" s="54"/>
      <c r="F18" s="54"/>
      <c r="G18" s="219"/>
      <c r="H18" s="196"/>
      <c r="I18" s="220"/>
      <c r="J18" s="55"/>
      <c r="K18" s="55"/>
      <c r="L18" s="55"/>
      <c r="M18" s="207"/>
      <c r="N18" s="200">
        <f>ROUND(SUM(Site_Detail_11[[#This Row],[21st CCLC,  Title IV-B]:[(enter addt''l. fund source 5)]]),2)</f>
        <v>0</v>
      </c>
      <c r="O18" s="208"/>
      <c r="Q18" s="103" t="s">
        <v>160</v>
      </c>
      <c r="R18" s="230" cm="1">
        <f t="array" ref="R18">SUMIF(Site_Detail_11[[Category]:[Category]],Site_Category_Sum_11[[#This Row],[Column1]:[Column1]],Site_Detail_11[21st CCLC,  Title IV-B])</f>
        <v>0</v>
      </c>
      <c r="S18" s="124" cm="1">
        <f t="array" ref="S18">SUMIF(Site_Detail_11[[Category]:[Category]],Site_Category_Sum_11[[#This Row],[Column1]:[Column1]],Site_Detail_11[(enter addt''l. fund source 1)])</f>
        <v>0</v>
      </c>
      <c r="T18" s="102" cm="1">
        <f t="array" ref="T18">SUMIF(Site_Detail_11[[Category]:[Category]],Site_Category_Sum_11[[#This Row],[Column1]:[Column1]],Site_Detail_11[(enter addt''l. fund source 2)])</f>
        <v>0</v>
      </c>
      <c r="U18" s="102" cm="1">
        <f t="array" ref="U18">SUMIF(Site_Detail_11[[Category]:[Category]],Site_Category_Sum_11[[#This Row],[Column1]:[Column1]],Site_Detail_11[(enter addt''l. fund source 3)])</f>
        <v>0</v>
      </c>
      <c r="V18" s="102" cm="1">
        <f t="array" ref="V18">SUMIF(Site_Detail_11[[Category]:[Category]],Site_Category_Sum_11[[#This Row],[Column1]:[Column1]],Site_Detail_11[(enter addt''l. fund source 4)])</f>
        <v>0</v>
      </c>
      <c r="W18" s="102" cm="1">
        <f t="array" ref="W18">SUMIF(Site_Detail_11[[Category]:[Category]],Site_Category_Sum_11[[#This Row],[Column1]:[Column1]],Site_Detail_11[(enter addt''l. fund source 5)])</f>
        <v>0</v>
      </c>
      <c r="X18" s="233">
        <f>ROUND(SUM(Site_Category_Sum_11[[#This Row],[Column2]:[Column7]]),2)</f>
        <v>0</v>
      </c>
      <c r="Z18" s="178" t="s">
        <v>0</v>
      </c>
    </row>
    <row r="19" spans="2:26" x14ac:dyDescent="0.25">
      <c r="B19" s="53"/>
      <c r="C19" s="54"/>
      <c r="D19" s="53"/>
      <c r="E19" s="54"/>
      <c r="F19" s="54"/>
      <c r="G19" s="219"/>
      <c r="H19" s="196"/>
      <c r="I19" s="220"/>
      <c r="J19" s="55"/>
      <c r="K19" s="55"/>
      <c r="L19" s="55"/>
      <c r="M19" s="207"/>
      <c r="N19" s="200">
        <f>ROUND(SUM(Site_Detail_11[[#This Row],[21st CCLC,  Title IV-B]:[(enter addt''l. fund source 5)]]),2)</f>
        <v>0</v>
      </c>
      <c r="O19" s="208"/>
      <c r="Q19" s="103" t="s">
        <v>566</v>
      </c>
      <c r="R19" s="230" cm="1">
        <f t="array" ref="R19">SUMIF(Site_Detail_11[[Category]:[Category]],Site_Category_Sum_11[[#This Row],[Column1]:[Column1]],Site_Detail_11[21st CCLC,  Title IV-B])</f>
        <v>0</v>
      </c>
      <c r="S19" s="124" cm="1">
        <f t="array" ref="S19">SUMIF(Site_Detail_11[[Category]:[Category]],Site_Category_Sum_11[[#This Row],[Column1]:[Column1]],Site_Detail_11[(enter addt''l. fund source 1)])</f>
        <v>0</v>
      </c>
      <c r="T19" s="102" cm="1">
        <f t="array" ref="T19">SUMIF(Site_Detail_11[[Category]:[Category]],Site_Category_Sum_11[[#This Row],[Column1]:[Column1]],Site_Detail_11[(enter addt''l. fund source 2)])</f>
        <v>0</v>
      </c>
      <c r="U19" s="102" cm="1">
        <f t="array" ref="U19">SUMIF(Site_Detail_11[[Category]:[Category]],Site_Category_Sum_11[[#This Row],[Column1]:[Column1]],Site_Detail_11[(enter addt''l. fund source 3)])</f>
        <v>0</v>
      </c>
      <c r="V19" s="102" cm="1">
        <f t="array" ref="V19">SUMIF(Site_Detail_11[[Category]:[Category]],Site_Category_Sum_11[[#This Row],[Column1]:[Column1]],Site_Detail_11[(enter addt''l. fund source 4)])</f>
        <v>0</v>
      </c>
      <c r="W19" s="102" cm="1">
        <f t="array" ref="W19">SUMIF(Site_Detail_11[[Category]:[Category]],Site_Category_Sum_11[[#This Row],[Column1]:[Column1]],Site_Detail_11[(enter addt''l. fund source 5)])</f>
        <v>0</v>
      </c>
      <c r="X19" s="233">
        <f>ROUND(SUM(Site_Category_Sum_11[[#This Row],[Column2]:[Column7]]),2)</f>
        <v>0</v>
      </c>
      <c r="Z19" s="178" t="s">
        <v>0</v>
      </c>
    </row>
    <row r="20" spans="2:26" x14ac:dyDescent="0.25">
      <c r="B20" s="53"/>
      <c r="C20" s="54"/>
      <c r="D20" s="53"/>
      <c r="E20" s="54"/>
      <c r="F20" s="54"/>
      <c r="G20" s="219"/>
      <c r="H20" s="196"/>
      <c r="I20" s="220"/>
      <c r="J20" s="55"/>
      <c r="K20" s="55"/>
      <c r="L20" s="55"/>
      <c r="M20" s="207"/>
      <c r="N20" s="200">
        <f>ROUND(SUM(Site_Detail_11[[#This Row],[21st CCLC,  Title IV-B]:[(enter addt''l. fund source 5)]]),2)</f>
        <v>0</v>
      </c>
      <c r="O20" s="208"/>
      <c r="Q20" s="103" t="s">
        <v>75</v>
      </c>
      <c r="R20" s="230" cm="1">
        <f t="array" ref="R20">SUMIF(Site_Detail_11[[Category]:[Category]],Site_Category_Sum_11[[#This Row],[Column1]:[Column1]],Site_Detail_11[21st CCLC,  Title IV-B])</f>
        <v>0</v>
      </c>
      <c r="S20" s="124" cm="1">
        <f t="array" ref="S20">SUMIF(Site_Detail_11[[Category]:[Category]],Site_Category_Sum_11[[#This Row],[Column1]:[Column1]],Site_Detail_11[(enter addt''l. fund source 1)])</f>
        <v>0</v>
      </c>
      <c r="T20" s="102" cm="1">
        <f t="array" ref="T20">SUMIF(Site_Detail_11[[Category]:[Category]],Site_Category_Sum_11[[#This Row],[Column1]:[Column1]],Site_Detail_11[(enter addt''l. fund source 2)])</f>
        <v>0</v>
      </c>
      <c r="U20" s="102" cm="1">
        <f t="array" ref="U20">SUMIF(Site_Detail_11[[Category]:[Category]],Site_Category_Sum_11[[#This Row],[Column1]:[Column1]],Site_Detail_11[(enter addt''l. fund source 3)])</f>
        <v>0</v>
      </c>
      <c r="V20" s="102" cm="1">
        <f t="array" ref="V20">SUMIF(Site_Detail_11[[Category]:[Category]],Site_Category_Sum_11[[#This Row],[Column1]:[Column1]],Site_Detail_11[(enter addt''l. fund source 4)])</f>
        <v>0</v>
      </c>
      <c r="W20" s="102" cm="1">
        <f t="array" ref="W20">SUMIF(Site_Detail_11[[Category]:[Category]],Site_Category_Sum_11[[#This Row],[Column1]:[Column1]],Site_Detail_11[(enter addt''l. fund source 5)])</f>
        <v>0</v>
      </c>
      <c r="X20" s="233">
        <f>ROUND(SUM(Site_Category_Sum_11[[#This Row],[Column2]:[Column7]]),2)</f>
        <v>0</v>
      </c>
      <c r="Z20" s="178" t="s">
        <v>0</v>
      </c>
    </row>
    <row r="21" spans="2:26" x14ac:dyDescent="0.25">
      <c r="B21" s="53"/>
      <c r="C21" s="54"/>
      <c r="D21" s="53"/>
      <c r="E21" s="54"/>
      <c r="F21" s="54"/>
      <c r="G21" s="219"/>
      <c r="H21" s="196"/>
      <c r="I21" s="220"/>
      <c r="J21" s="55"/>
      <c r="K21" s="55"/>
      <c r="L21" s="55"/>
      <c r="M21" s="207"/>
      <c r="N21" s="200">
        <f>ROUND(SUM(Site_Detail_11[[#This Row],[21st CCLC,  Title IV-B]:[(enter addt''l. fund source 5)]]),2)</f>
        <v>0</v>
      </c>
      <c r="O21" s="208"/>
      <c r="Q21" s="103" t="s">
        <v>603</v>
      </c>
      <c r="R21" s="230" cm="1">
        <f t="array" ref="R21">SUMIF(Site_Detail_11[[Category]:[Category]],Site_Category_Sum_11[[#This Row],[Column1]:[Column1]],Site_Detail_11[21st CCLC,  Title IV-B])</f>
        <v>0</v>
      </c>
      <c r="S21" s="124" cm="1">
        <f t="array" ref="S21">SUMIF(Site_Detail_11[[Category]:[Category]],Site_Category_Sum_11[[#This Row],[Column1]:[Column1]],Site_Detail_11[(enter addt''l. fund source 1)])</f>
        <v>0</v>
      </c>
      <c r="T21" s="102" cm="1">
        <f t="array" ref="T21">SUMIF(Site_Detail_11[[Category]:[Category]],Site_Category_Sum_11[[#This Row],[Column1]:[Column1]],Site_Detail_11[(enter addt''l. fund source 2)])</f>
        <v>0</v>
      </c>
      <c r="U21" s="102" cm="1">
        <f t="array" ref="U21">SUMIF(Site_Detail_11[[Category]:[Category]],Site_Category_Sum_11[[#This Row],[Column1]:[Column1]],Site_Detail_11[(enter addt''l. fund source 3)])</f>
        <v>0</v>
      </c>
      <c r="V21" s="102" cm="1">
        <f t="array" ref="V21">SUMIF(Site_Detail_11[[Category]:[Category]],Site_Category_Sum_11[[#This Row],[Column1]:[Column1]],Site_Detail_11[(enter addt''l. fund source 4)])</f>
        <v>0</v>
      </c>
      <c r="W21" s="102" cm="1">
        <f t="array" ref="W21">SUMIF(Site_Detail_11[[Category]:[Category]],Site_Category_Sum_11[[#This Row],[Column1]:[Column1]],Site_Detail_11[(enter addt''l. fund source 5)])</f>
        <v>0</v>
      </c>
      <c r="X21" s="233">
        <f>ROUND(SUM(Site_Category_Sum_11[[#This Row],[Column2]:[Column7]]),2)</f>
        <v>0</v>
      </c>
      <c r="Z21" s="178" t="s">
        <v>0</v>
      </c>
    </row>
    <row r="22" spans="2:26" x14ac:dyDescent="0.25">
      <c r="B22" s="53"/>
      <c r="C22" s="54"/>
      <c r="D22" s="53"/>
      <c r="E22" s="54"/>
      <c r="F22" s="54"/>
      <c r="G22" s="219"/>
      <c r="H22" s="196"/>
      <c r="I22" s="220"/>
      <c r="J22" s="55"/>
      <c r="K22" s="55"/>
      <c r="L22" s="55"/>
      <c r="M22" s="207"/>
      <c r="N22" s="200">
        <f>ROUND(SUM(Site_Detail_11[[#This Row],[21st CCLC,  Title IV-B]:[(enter addt''l. fund source 5)]]),2)</f>
        <v>0</v>
      </c>
      <c r="O22" s="208"/>
      <c r="Q22" s="103" t="s">
        <v>604</v>
      </c>
      <c r="R22" s="230" cm="1">
        <f t="array" ref="R22">SUMIF(Site_Detail_11[[Category]:[Category]],Site_Category_Sum_11[[#This Row],[Column1]:[Column1]],Site_Detail_11[21st CCLC,  Title IV-B])</f>
        <v>0</v>
      </c>
      <c r="S22" s="124" cm="1">
        <f t="array" ref="S22">SUMIF(Site_Detail_11[[Category]:[Category]],Site_Category_Sum_11[[#This Row],[Column1]:[Column1]],Site_Detail_11[(enter addt''l. fund source 1)])</f>
        <v>0</v>
      </c>
      <c r="T22" s="102" cm="1">
        <f t="array" ref="T22">SUMIF(Site_Detail_11[[Category]:[Category]],Site_Category_Sum_11[[#This Row],[Column1]:[Column1]],Site_Detail_11[(enter addt''l. fund source 2)])</f>
        <v>0</v>
      </c>
      <c r="U22" s="102" cm="1">
        <f t="array" ref="U22">SUMIF(Site_Detail_11[[Category]:[Category]],Site_Category_Sum_11[[#This Row],[Column1]:[Column1]],Site_Detail_11[(enter addt''l. fund source 3)])</f>
        <v>0</v>
      </c>
      <c r="V22" s="102" cm="1">
        <f t="array" ref="V22">SUMIF(Site_Detail_11[[Category]:[Category]],Site_Category_Sum_11[[#This Row],[Column1]:[Column1]],Site_Detail_11[(enter addt''l. fund source 4)])</f>
        <v>0</v>
      </c>
      <c r="W22" s="102" cm="1">
        <f t="array" ref="W22">SUMIF(Site_Detail_11[[Category]:[Category]],Site_Category_Sum_11[[#This Row],[Column1]:[Column1]],Site_Detail_11[(enter addt''l. fund source 5)])</f>
        <v>0</v>
      </c>
      <c r="X22" s="233">
        <f>ROUND(SUM(Site_Category_Sum_11[[#This Row],[Column2]:[Column7]]),2)</f>
        <v>0</v>
      </c>
      <c r="Z22" s="178" t="s">
        <v>0</v>
      </c>
    </row>
    <row r="23" spans="2:26" x14ac:dyDescent="0.25">
      <c r="B23" s="53"/>
      <c r="C23" s="54"/>
      <c r="D23" s="53"/>
      <c r="E23" s="54"/>
      <c r="F23" s="54"/>
      <c r="G23" s="219"/>
      <c r="H23" s="196"/>
      <c r="I23" s="220"/>
      <c r="J23" s="55"/>
      <c r="K23" s="55"/>
      <c r="L23" s="55"/>
      <c r="M23" s="207"/>
      <c r="N23" s="200">
        <f>ROUND(SUM(Site_Detail_11[[#This Row],[21st CCLC,  Title IV-B]:[(enter addt''l. fund source 5)]]),2)</f>
        <v>0</v>
      </c>
      <c r="O23" s="208"/>
      <c r="Q23" s="103" t="s">
        <v>567</v>
      </c>
      <c r="R23" s="230" cm="1">
        <f t="array" ref="R23">SUMIF(Site_Detail_11[[Category]:[Category]],Site_Category_Sum_11[[#This Row],[Column1]:[Column1]],Site_Detail_11[21st CCLC,  Title IV-B])</f>
        <v>0</v>
      </c>
      <c r="S23" s="124" cm="1">
        <f t="array" ref="S23">SUMIF(Site_Detail_11[[Category]:[Category]],Site_Category_Sum_11[[#This Row],[Column1]:[Column1]],Site_Detail_11[(enter addt''l. fund source 1)])</f>
        <v>0</v>
      </c>
      <c r="T23" s="102" cm="1">
        <f t="array" ref="T23">SUMIF(Site_Detail_11[[Category]:[Category]],Site_Category_Sum_11[[#This Row],[Column1]:[Column1]],Site_Detail_11[(enter addt''l. fund source 2)])</f>
        <v>0</v>
      </c>
      <c r="U23" s="102" cm="1">
        <f t="array" ref="U23">SUMIF(Site_Detail_11[[Category]:[Category]],Site_Category_Sum_11[[#This Row],[Column1]:[Column1]],Site_Detail_11[(enter addt''l. fund source 3)])</f>
        <v>0</v>
      </c>
      <c r="V23" s="102" cm="1">
        <f t="array" ref="V23">SUMIF(Site_Detail_11[[Category]:[Category]],Site_Category_Sum_11[[#This Row],[Column1]:[Column1]],Site_Detail_11[(enter addt''l. fund source 4)])</f>
        <v>0</v>
      </c>
      <c r="W23" s="102" cm="1">
        <f t="array" ref="W23">SUMIF(Site_Detail_11[[Category]:[Category]],Site_Category_Sum_11[[#This Row],[Column1]:[Column1]],Site_Detail_11[(enter addt''l. fund source 5)])</f>
        <v>0</v>
      </c>
      <c r="X23" s="233">
        <f>ROUND(SUM(Site_Category_Sum_11[[#This Row],[Column2]:[Column7]]),2)</f>
        <v>0</v>
      </c>
      <c r="Z23" s="178" t="s">
        <v>0</v>
      </c>
    </row>
    <row r="24" spans="2:26" x14ac:dyDescent="0.25">
      <c r="B24" s="53"/>
      <c r="C24" s="54"/>
      <c r="D24" s="53"/>
      <c r="E24" s="54"/>
      <c r="F24" s="54"/>
      <c r="G24" s="219"/>
      <c r="H24" s="196"/>
      <c r="I24" s="220"/>
      <c r="J24" s="55"/>
      <c r="K24" s="55"/>
      <c r="L24" s="55"/>
      <c r="M24" s="207"/>
      <c r="N24" s="200">
        <f>ROUND(SUM(Site_Detail_11[[#This Row],[21st CCLC,  Title IV-B]:[(enter addt''l. fund source 5)]]),2)</f>
        <v>0</v>
      </c>
      <c r="O24" s="208"/>
      <c r="Q24" s="103" t="s">
        <v>192</v>
      </c>
      <c r="R24" s="230">
        <f>ROUND(SUMIFS(Site_Detail_11[21st CCLC,  Title IV-B],Site_Detail_11[[Category]:[Category]],"Indirect",Site_Detail_11[[Contracted Service?]:[Contracted Service?]],"&lt;&gt;Yes"),2)</f>
        <v>0</v>
      </c>
      <c r="S24" s="124">
        <f>ROUND(SUMIFS(Site_Detail_11[(enter addt''l. fund source 1)],Site_Detail_11[[Category]:[Category]],"Indirect",Site_Detail_11[[Contracted Service?]:[Contracted Service?]],"&lt;&gt;Yes"),2)</f>
        <v>0</v>
      </c>
      <c r="T24" s="102">
        <f>ROUND(SUMIFS(Site_Detail_11[(enter addt''l. fund source 2)],Site_Detail_11[[Category]:[Category]],"Indirect",Site_Detail_11[[Contracted Service?]:[Contracted Service?]],"&lt;&gt;Yes"),2)</f>
        <v>0</v>
      </c>
      <c r="U24" s="102">
        <f>ROUND(SUMIFS(Site_Detail_11[(enter addt''l. fund source 3)],Site_Detail_11[[Category]:[Category]],"Indirect",Site_Detail_11[[Contracted Service?]:[Contracted Service?]],"&lt;&gt;Yes"),2)</f>
        <v>0</v>
      </c>
      <c r="V24" s="102">
        <f>ROUND(SUMIFS(Site_Detail_11[(enter addt''l. fund source 4)],Site_Detail_11[[Category]:[Category]],"Indirect",Site_Detail_11[[Contracted Service?]:[Contracted Service?]],"&lt;&gt;Yes"),2)</f>
        <v>0</v>
      </c>
      <c r="W24" s="102">
        <f>ROUND(SUMIFS(Site_Detail_11[(enter addt''l. fund source 5)],Site_Detail_11[[Category]:[Category]],"Indirect",Site_Detail_11[[Contracted Service?]:[Contracted Service?]],"&lt;&gt;Yes"),2)</f>
        <v>0</v>
      </c>
      <c r="X24" s="233">
        <f>ROUND(SUM(Site_Category_Sum_11[[#This Row],[Column2]:[Column7]]),2)</f>
        <v>0</v>
      </c>
      <c r="Z24" s="178" t="s">
        <v>0</v>
      </c>
    </row>
    <row r="25" spans="2:26" x14ac:dyDescent="0.25">
      <c r="B25" s="53"/>
      <c r="C25" s="54"/>
      <c r="D25" s="53"/>
      <c r="E25" s="54"/>
      <c r="F25" s="54"/>
      <c r="G25" s="219"/>
      <c r="H25" s="196"/>
      <c r="I25" s="220"/>
      <c r="J25" s="55"/>
      <c r="K25" s="55"/>
      <c r="L25" s="55"/>
      <c r="M25" s="207"/>
      <c r="N25" s="200">
        <f>ROUND(SUM(Site_Detail_11[[#This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ROUND(SUM(Site_Category_Sum_11[[#This Row],[Column2]:[Column7]]),2)</f>
        <v>0</v>
      </c>
      <c r="Z25" s="178" t="s">
        <v>0</v>
      </c>
    </row>
    <row r="26" spans="2:26" x14ac:dyDescent="0.25">
      <c r="B26" s="53"/>
      <c r="C26" s="54"/>
      <c r="D26" s="53"/>
      <c r="E26" s="54"/>
      <c r="F26" s="54"/>
      <c r="G26" s="219"/>
      <c r="H26" s="196"/>
      <c r="I26" s="220"/>
      <c r="J26" s="55"/>
      <c r="K26" s="55"/>
      <c r="L26" s="55"/>
      <c r="M26" s="207"/>
      <c r="N26" s="200">
        <f>ROUND(SUM(Site_Detail_11[[#This Row],[21st CCLC,  Title IV-B]:[(enter addt''l. fund source 5)]]),2)</f>
        <v>0</v>
      </c>
      <c r="O26" s="208"/>
      <c r="Q26" s="103" t="s">
        <v>291</v>
      </c>
      <c r="R26" s="230" cm="1">
        <f t="array" ref="R26">SUMIF(Site_Detail_11[[Program Type]:[Program Type]],Site_Category_Sum_11[[#This Row],[Column1]:[Column1]],Site_Detail_11[21st CCLC,  Title IV-B])</f>
        <v>0</v>
      </c>
      <c r="S26" s="124" cm="1">
        <f t="array" ref="S26">SUMIF(Site_Detail_11[[Program Type]:[Program Type]],Site_Category_Sum_11[[#This Row],[Column1]:[Column1]],Site_Detail_11[(enter addt''l. fund source 1)])</f>
        <v>0</v>
      </c>
      <c r="T26" s="102" cm="1">
        <f t="array" ref="T26">SUMIF(Site_Detail_11[[Program Type]:[Program Type]],Site_Category_Sum_11[[#This Row],[Column1]:[Column1]],Site_Detail_11[(enter addt''l. fund source 2)])</f>
        <v>0</v>
      </c>
      <c r="U26" s="102" cm="1">
        <f t="array" ref="U26">SUMIF(Site_Detail_11[[Program Type]:[Program Type]],Site_Category_Sum_11[[#This Row],[Column1]:[Column1]],Site_Detail_11[(enter addt''l. fund source 3)])</f>
        <v>0</v>
      </c>
      <c r="V26" s="102" cm="1">
        <f t="array" ref="V26">SUMIF(Site_Detail_11[[Program Type]:[Program Type]],Site_Category_Sum_11[[#This Row],[Column1]:[Column1]],Site_Detail_11[(enter addt''l. fund source 4)])</f>
        <v>0</v>
      </c>
      <c r="W26" s="102" cm="1">
        <f t="array" ref="W26">SUMIF(Site_Detail_11[[Program Type]:[Program Type]],Site_Category_Sum_11[[#This Row],[Column1]:[Column1]],Site_Detail_11[(enter addt''l. fund source 5)])</f>
        <v>0</v>
      </c>
      <c r="X26" s="233">
        <f>ROUND(SUM(Site_Category_Sum_11[[#This Row],[Column2]:[Column7]]),2)</f>
        <v>0</v>
      </c>
      <c r="Z26" s="178" t="s">
        <v>0</v>
      </c>
    </row>
    <row r="27" spans="2:26" x14ac:dyDescent="0.25">
      <c r="B27" s="53"/>
      <c r="C27" s="54"/>
      <c r="D27" s="53"/>
      <c r="E27" s="54"/>
      <c r="F27" s="54"/>
      <c r="G27" s="219"/>
      <c r="H27" s="196"/>
      <c r="I27" s="220"/>
      <c r="J27" s="55"/>
      <c r="K27" s="55"/>
      <c r="L27" s="55"/>
      <c r="M27" s="207"/>
      <c r="N27" s="200">
        <f>ROUND(SUM(Site_Detail_11[[#This Row],[21st CCLC,  Title IV-B]:[(enter addt''l. fund source 5)]]),2)</f>
        <v>0</v>
      </c>
      <c r="O27" s="208"/>
      <c r="Q27" s="103" t="s">
        <v>292</v>
      </c>
      <c r="R27" s="230" cm="1">
        <f t="array" ref="R27">SUMIF(Site_Detail_11[[Program Type]:[Program Type]],Site_Category_Sum_11[[#This Row],[Column1]:[Column1]],Site_Detail_11[21st CCLC,  Title IV-B])</f>
        <v>0</v>
      </c>
      <c r="S27" s="124" cm="1">
        <f t="array" ref="S27">SUMIF(Site_Detail_11[[Program Type]:[Program Type]],Site_Category_Sum_11[[#This Row],[Column1]:[Column1]],Site_Detail_11[(enter addt''l. fund source 1)])</f>
        <v>0</v>
      </c>
      <c r="T27" s="102" cm="1">
        <f t="array" ref="T27">SUMIF(Site_Detail_11[[Program Type]:[Program Type]],Site_Category_Sum_11[[#This Row],[Column1]:[Column1]],Site_Detail_11[(enter addt''l. fund source 2)])</f>
        <v>0</v>
      </c>
      <c r="U27" s="102" cm="1">
        <f t="array" ref="U27">SUMIF(Site_Detail_11[[Program Type]:[Program Type]],Site_Category_Sum_11[[#This Row],[Column1]:[Column1]],Site_Detail_11[(enter addt''l. fund source 3)])</f>
        <v>0</v>
      </c>
      <c r="V27" s="102" cm="1">
        <f t="array" ref="V27">SUMIF(Site_Detail_11[[Program Type]:[Program Type]],Site_Category_Sum_11[[#This Row],[Column1]:[Column1]],Site_Detail_11[(enter addt''l. fund source 4)])</f>
        <v>0</v>
      </c>
      <c r="W27" s="102" cm="1">
        <f t="array" ref="W27">SUMIF(Site_Detail_11[[Program Type]:[Program Type]],Site_Category_Sum_11[[#This Row],[Column1]:[Column1]],Site_Detail_11[(enter addt''l. fund source 5)])</f>
        <v>0</v>
      </c>
      <c r="X27" s="233">
        <f>ROUND(SUM(Site_Category_Sum_11[[#This Row],[Column2]:[Column7]]),2)</f>
        <v>0</v>
      </c>
    </row>
    <row r="28" spans="2:26" x14ac:dyDescent="0.25">
      <c r="B28" s="53"/>
      <c r="C28" s="54"/>
      <c r="D28" s="53"/>
      <c r="E28" s="54"/>
      <c r="F28" s="54"/>
      <c r="G28" s="219"/>
      <c r="H28" s="196"/>
      <c r="I28" s="220"/>
      <c r="J28" s="55"/>
      <c r="K28" s="55"/>
      <c r="L28" s="55"/>
      <c r="M28" s="207"/>
      <c r="N28" s="200">
        <f>ROUND(SUM(Site_Detail_11[[#This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ROUND(SUM(Site_Category_Sum_11[[#This Row],[Column2]:[Column7]]),2)</f>
        <v>0</v>
      </c>
    </row>
    <row r="29" spans="2:26" x14ac:dyDescent="0.25">
      <c r="B29" s="53"/>
      <c r="C29" s="54"/>
      <c r="D29" s="53"/>
      <c r="E29" s="54"/>
      <c r="F29" s="54"/>
      <c r="G29" s="219"/>
      <c r="H29" s="196"/>
      <c r="I29" s="220"/>
      <c r="J29" s="55"/>
      <c r="K29" s="55"/>
      <c r="L29" s="55"/>
      <c r="M29" s="207"/>
      <c r="N29" s="200">
        <f>ROUND(SUM(Site_Detail_11[[#This Row],[21st CCLC,  Title IV-B]:[(enter addt''l. fund source 5)]]),2)</f>
        <v>0</v>
      </c>
      <c r="O29" s="208"/>
      <c r="Q29" s="103" t="s">
        <v>591</v>
      </c>
      <c r="R29" s="230">
        <f>ROUND(SUMIF(Site_Detail_11[[Contracted Service?]:[Contracted Service?]],"Yes",Site_Detail_11[21st CCLC,  Title IV-B]),2)</f>
        <v>0</v>
      </c>
      <c r="S29" s="124">
        <f>ROUND(SUMIF(Site_Detail_11[[Contracted Service?]:[Contracted Service?]],"Yes",Site_Detail_11[(enter addt''l. fund source 1)]),2)</f>
        <v>0</v>
      </c>
      <c r="T29" s="102">
        <f>ROUND(SUMIF(Site_Detail_11[[Contracted Service?]:[Contracted Service?]],"Yes",Site_Detail_11[(enter addt''l. fund source 2)]),2)</f>
        <v>0</v>
      </c>
      <c r="U29" s="102">
        <f>ROUND(SUMIF(Site_Detail_11[[Contracted Service?]:[Contracted Service?]],"Yes",Site_Detail_11[(enter addt''l. fund source 3)]),2)</f>
        <v>0</v>
      </c>
      <c r="V29" s="102">
        <f>ROUND(SUMIF(Site_Detail_11[[Contracted Service?]:[Contracted Service?]],"Yes",Site_Detail_11[(enter addt''l. fund source 4)]),2)</f>
        <v>0</v>
      </c>
      <c r="W29" s="102">
        <f>ROUND(SUMIF(Site_Detail_11[[Contracted Service?]:[Contracted Service?]],"Yes",Site_Detail_11[(enter addt''l. fund source 5)]),2)</f>
        <v>0</v>
      </c>
      <c r="X29" s="233">
        <f>ROUND(SUM(Site_Category_Sum_11[[#This Row],[Column2]:[Column7]]),2)</f>
        <v>0</v>
      </c>
    </row>
    <row r="30" spans="2:26" x14ac:dyDescent="0.25">
      <c r="B30" s="53"/>
      <c r="C30" s="54"/>
      <c r="D30" s="53"/>
      <c r="E30" s="54"/>
      <c r="F30" s="54"/>
      <c r="G30" s="219"/>
      <c r="H30" s="196"/>
      <c r="I30" s="220"/>
      <c r="J30" s="55"/>
      <c r="K30" s="55"/>
      <c r="L30" s="55"/>
      <c r="M30" s="207"/>
      <c r="N30" s="200">
        <f>ROUND(SUM(Site_Detail_11[[#This Row],[21st CCLC,  Title IV-B]:[(enter addt''l. fund source 5)]]),2)</f>
        <v>0</v>
      </c>
      <c r="O30" s="208"/>
      <c r="Q30" s="103" t="s">
        <v>597</v>
      </c>
      <c r="R30" s="230">
        <f>ROUND(SUMIF(Site_Detail_11[[Contracted Service?]:[Contracted Service?]],"&lt;&gt;Yes",Site_Detail_11[21st CCLC,  Title IV-B]),2)</f>
        <v>0</v>
      </c>
      <c r="S30" s="124">
        <f>ROUND(SUMIF(Site_Detail_11[[Contracted Service?]:[Contracted Service?]],"&lt;&gt;Yes",Site_Detail_11[(enter addt''l. fund source 1)]),2)</f>
        <v>0</v>
      </c>
      <c r="T30" s="102">
        <f>ROUND(SUMIF(Site_Detail_11[[Contracted Service?]:[Contracted Service?]],"&lt;&gt;Yes",Site_Detail_11[(enter addt''l. fund source 2)]),2)</f>
        <v>0</v>
      </c>
      <c r="U30" s="102">
        <f>ROUND(SUMIF(Site_Detail_11[[Contracted Service?]:[Contracted Service?]],"&lt;&gt;Yes",Site_Detail_11[(enter addt''l. fund source 3)]),2)</f>
        <v>0</v>
      </c>
      <c r="V30" s="102">
        <f>ROUND(SUMIF(Site_Detail_11[[Contracted Service?]:[Contracted Service?]],"&lt;&gt;Yes",Site_Detail_11[(enter addt''l. fund source 4)]),2)</f>
        <v>0</v>
      </c>
      <c r="W30" s="102">
        <f>ROUND(SUMIF(Site_Detail_11[[Contracted Service?]:[Contracted Service?]],"&lt;&gt;Yes",Site_Detail_11[(enter addt''l. fund source 5)]),2)</f>
        <v>0</v>
      </c>
      <c r="X30" s="233">
        <f>ROUND(SUM(Site_Category_Sum_11[[#This Row],[Column2]:[Column7]]),2)</f>
        <v>0</v>
      </c>
    </row>
    <row r="31" spans="2:26" x14ac:dyDescent="0.25">
      <c r="B31" s="53"/>
      <c r="C31" s="54"/>
      <c r="D31" s="53"/>
      <c r="E31" s="54"/>
      <c r="F31" s="54"/>
      <c r="G31" s="219"/>
      <c r="H31" s="196"/>
      <c r="I31" s="220"/>
      <c r="J31" s="55"/>
      <c r="K31" s="55"/>
      <c r="L31" s="55"/>
      <c r="M31" s="207"/>
      <c r="N31" s="200">
        <f>ROUND(SUM(Site_Detail_11[[#This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ROUND(SUM(Site_Category_Sum_11[[#This Row],[Column2]:[Column7]]),2)</f>
        <v>0</v>
      </c>
    </row>
    <row r="32" spans="2:26" x14ac:dyDescent="0.25">
      <c r="B32" s="53"/>
      <c r="C32" s="54"/>
      <c r="D32" s="53"/>
      <c r="E32" s="54"/>
      <c r="F32" s="54"/>
      <c r="G32" s="219"/>
      <c r="H32" s="196"/>
      <c r="I32" s="220"/>
      <c r="J32" s="55"/>
      <c r="K32" s="55"/>
      <c r="L32" s="55"/>
      <c r="M32" s="207"/>
      <c r="N32" s="200">
        <f>ROUND(SUM(Site_Detail_11[[#This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ROUND(SUM(Site_Detail_11[[#This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ROUND(SUM(Site_Detail_11[[#This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ROUND(SUM(Site_Detail_11[[#This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ROUND(SUM(Site_Detail_11[[#This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ROUND(SUM(Site_Detail_11[[#This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ROUND(SUM(Site_Detail_11[[#This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ROUND(SUM(Site_Detail_11[[#This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ROUND(SUM(Site_Detail_11[[#This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ROUND(SUM(Site_Detail_11[[#This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ROUND(SUM(Site_Detail_11[[#This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ROUND(SUM(Site_Detail_11[[#This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ROUND(SUM(Site_Detail_11[[#This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ROUND(SUM(Site_Detail_11[[#This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ROUND(SUM(Site_Detail_11[[#This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ROUND(SUM(Site_Detail_11[[#This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ROUND(SUM(Site_Detail_11[[#This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ROUND(SUM(Site_Detail_11[[#This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ROUND(SUM(Site_Detail_11[[#This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ROUND(SUM(Site_Detail_11[[#This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ROUND(SUM(Site_Detail_11[[#This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ROUND(SUM(Site_Detail_11[[#This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ROUND(SUM(Site_Detail_11[[#This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ROUND(SUM(Site_Detail_11[[#This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ROUND(SUM(Site_Detail_11[[#This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ROUND(SUM(Site_Detail_11[[#This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ROUND(SUM(Site_Detail_11[[#This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ROUND(SUM(Site_Detail_11[[#This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ROUND(SUM(Site_Detail_11[[#This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ROUND(SUM(Site_Detail_11[[#This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ROUND(SUM(Site_Detail_11[[#This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ROUND(SUM(Site_Detail_11[[#This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ROUND(SUM(Site_Detail_11[[#This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ROUND(SUM(Site_Detail_11[[#This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ROUND(SUM(Site_Detail_11[[#This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ROUND(SUM(Site_Detail_11[[#This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ROUND(SUM(Site_Detail_11[[#This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ROUND(SUM(Site_Detail_11[[#This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ROUND(SUM(Site_Detail_11[[#This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ROUND(SUM(Site_Detail_11[[#This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ROUND(SUM(Site_Detail_11[[#This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ROUND(SUM(Site_Detail_11[[#This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ROUND(SUM(Site_Detail_11[[#This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ROUND(SUM(Site_Detail_11[[#This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ROUND(SUM(Site_Detail_11[[#This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ROUND(SUM(Site_Detail_11[[#This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ROUND(SUM(Site_Detail_11[[#This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ROUND(SUM(Site_Detail_11[[#This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ROUND(SUM(Site_Detail_11[[#This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ROUND(SUM(Site_Detail_11[[#This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ROUND(SUM(Site_Detail_11[[#This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ROUND(SUM(Site_Detail_11[[#This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ROUND(SUM(Site_Detail_11[[#This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ROUND(SUM(Site_Detail_11[[#This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ROUND(SUM(Site_Detail_11[[#This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ROUND(SUM(Site_Detail_11[[#This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56" priority="6" operator="equal">
      <formula>"(select)"</formula>
    </cfRule>
  </conditionalFormatting>
  <conditionalFormatting sqref="B13:G87">
    <cfRule type="expression" dxfId="55" priority="7">
      <formula>AND(SUM($H13:$M13)&gt;0,B13="")</formula>
    </cfRule>
  </conditionalFormatting>
  <conditionalFormatting sqref="C4:C5 C7">
    <cfRule type="cellIs" dxfId="54" priority="1" operator="equal">
      <formula>"(autofill)"</formula>
    </cfRule>
    <cfRule type="expression" dxfId="53" priority="2">
      <formula>$C$5="Invalid Entity ID"</formula>
    </cfRule>
  </conditionalFormatting>
  <conditionalFormatting sqref="C6">
    <cfRule type="cellIs" dxfId="52" priority="3" operator="equal">
      <formula>"(enter center/site name)"</formula>
    </cfRule>
  </conditionalFormatting>
  <conditionalFormatting sqref="C8">
    <cfRule type="cellIs" dxfId="51" priority="4" operator="equal">
      <formula>"(enter #)"</formula>
    </cfRule>
  </conditionalFormatting>
  <conditionalFormatting sqref="C13:C87">
    <cfRule type="cellIs" dxfId="50" priority="8" operator="equal">
      <formula>"Yes"</formula>
    </cfRule>
  </conditionalFormatting>
  <conditionalFormatting sqref="E13">
    <cfRule type="cellIs" dxfId="49" priority="9" operator="equal">
      <formula>"(fx code)"</formula>
    </cfRule>
  </conditionalFormatting>
  <conditionalFormatting sqref="F13">
    <cfRule type="cellIs" dxfId="48" priority="10" operator="equal">
      <formula>"(obj)"</formula>
    </cfRule>
  </conditionalFormatting>
  <conditionalFormatting sqref="G13">
    <cfRule type="cellIs" dxfId="47" priority="11" operator="equal">
      <formula>"(enter description)"</formula>
    </cfRule>
  </conditionalFormatting>
  <conditionalFormatting sqref="H13:M13">
    <cfRule type="cellIs" dxfId="46" priority="12" operator="equal">
      <formula>"(enter $)"</formula>
    </cfRule>
  </conditionalFormatting>
  <conditionalFormatting sqref="I7:M7 I12:M12 S12:W12">
    <cfRule type="containsText" dxfId="45" priority="5" operator="containsText" text="(addt'l. fund source">
      <formula>NOT(ISERROR(SEARCH("(addt'l. fund source",I7)))</formula>
    </cfRule>
  </conditionalFormatting>
  <conditionalFormatting sqref="O13">
    <cfRule type="cellIs" dxfId="44" priority="13" operator="equal">
      <formula>"(enter note)"</formula>
    </cfRule>
  </conditionalFormatting>
  <dataValidations count="4">
    <dataValidation type="list" allowBlank="1" showErrorMessage="1" sqref="C13:C87" xr:uid="{47C608E0-A051-4179-A7CF-33141684ADE3}">
      <formula1>Contracted_List</formula1>
    </dataValidation>
    <dataValidation type="list" allowBlank="1" showErrorMessage="1" sqref="D13:D87" xr:uid="{A3F5DC2B-C155-4906-8865-06CB0CB56E36}">
      <formula1>Categories_List</formula1>
    </dataValidation>
    <dataValidation type="list" allowBlank="1" showErrorMessage="1" sqref="B13:B87" xr:uid="{A2BB3CCD-662B-4C82-8646-A3581302E2E3}">
      <formula1>Program_List</formula1>
    </dataValidation>
    <dataValidation allowBlank="1" showInputMessage="1" showErrorMessage="1" prompt="Each line item for salaries MUST indicate: _x000a__x000a_1) Amount of FTE, and _x000a__x000a_2) Type of position (see Budget Guidance tab for examples)." sqref="G13:G15" xr:uid="{52932033-074A-439D-B766-780E2FCB06C1}"/>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69FD6-1870-41B5-B7B1-A55CEEA6F18F}">
  <sheetPr>
    <tabColor rgb="FFAAD4F4"/>
    <pageSetUpPr autoPageBreaks="0" fitToPage="1"/>
  </sheetPr>
  <dimension ref="A1:Z87"/>
  <sheetViews>
    <sheetView showGridLines="0" showRowColHeaders="0" zoomScaleNormal="100" workbookViewId="0">
      <pane ySplit="12" topLeftCell="A13" activePane="bottomLeft" state="frozen"/>
      <selection activeCell="B2" sqref="B2:H2"/>
      <selection pane="bottomLeft" activeCell="B2" sqref="B2:H2"/>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633</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ROUND(SUMIF(Site_Detail_12[[Program Type]:[Program Type]],"Before/Afterschool",Site_Detail_12[21st CCLC,  Title IV-B]),2)</f>
        <v>0</v>
      </c>
      <c r="I8" s="150">
        <f>ROUND(SUMIF(Site_Detail_12[[Program Type]:[Program Type]],"Before/Afterschool",Site_Detail_12[(enter addt''l. fund source 1)]),2)</f>
        <v>0</v>
      </c>
      <c r="J8" s="150">
        <f>ROUND(SUMIF(Site_Detail_12[[Program Type]:[Program Type]],"Before/Afterschool",Site_Detail_12[(enter addt''l. fund source 2)]),2)</f>
        <v>0</v>
      </c>
      <c r="K8" s="150">
        <f>ROUND(SUMIF(Site_Detail_12[[Program Type]:[Program Type]],"Before/Afterschool",Site_Detail_12[(enter addt''l. fund source 3)]),2)</f>
        <v>0</v>
      </c>
      <c r="L8" s="150">
        <f>ROUND(SUMIF(Site_Detail_12[[Program Type]:[Program Type]],"Before/Afterschool",Site_Detail_12[(enter addt''l. fund source 4)]),2)</f>
        <v>0</v>
      </c>
      <c r="M8" s="203">
        <f>ROUND(SUMIF(Site_Detail_12[[Program Type]:[Program Type]],"Before/Afterschool",Site_Detail_12[(enter addt''l. fund source 5)]),2)</f>
        <v>0</v>
      </c>
      <c r="N8" s="198">
        <f>SUM(Site_Summary_12[[#This Row],[Column3]:[Column8]])</f>
        <v>0</v>
      </c>
    </row>
    <row r="9" spans="1:26" customFormat="1" x14ac:dyDescent="0.25">
      <c r="A9" s="1" t="s">
        <v>0</v>
      </c>
      <c r="B9" s="408"/>
      <c r="C9" s="410"/>
      <c r="G9" s="149" t="s">
        <v>609</v>
      </c>
      <c r="H9" s="151">
        <f>ROUND(SUMIF(Site_Detail_12[[Program Type]:[Program Type]],"Summer",Site_Detail_12[21st CCLC,  Title IV-B]),2)</f>
        <v>0</v>
      </c>
      <c r="I9" s="150">
        <f>ROUND(SUMIF(Site_Detail_12[[Program Type]:[Program Type]],"Summer",Site_Detail_12[(enter addt''l. fund source 1)]),2)</f>
        <v>0</v>
      </c>
      <c r="J9" s="150">
        <f>ROUND(SUMIF(Site_Detail_12[[Program Type]:[Program Type]],"Summer",Site_Detail_12[(enter addt''l. fund source 2)]),2)</f>
        <v>0</v>
      </c>
      <c r="K9" s="150">
        <f>ROUND(SUMIF(Site_Detail_12[[Program Type]:[Program Type]],"Summer",Site_Detail_12[(enter addt''l. fund source 3)]),2)</f>
        <v>0</v>
      </c>
      <c r="L9" s="150">
        <f>ROUND(SUMIF(Site_Detail_12[[Program Type]:[Program Type]],"Summer",Site_Detail_12[(enter addt''l. fund source 4)]),2)</f>
        <v>0</v>
      </c>
      <c r="M9" s="204">
        <f>ROUND(SUMIF(Site_Detail_12[[Program Type]:[Program Type]],"Summer",Site_Detail_12[(enter addt''l. fund source 5)]),2)</f>
        <v>0</v>
      </c>
      <c r="N9" s="199">
        <f>SUM(Site_Summary_12[[#This Row],[Column3]:[Column8]])</f>
        <v>0</v>
      </c>
    </row>
    <row r="10" spans="1:26" customFormat="1" x14ac:dyDescent="0.25">
      <c r="A10" s="1" t="s">
        <v>0</v>
      </c>
      <c r="G10" s="152" t="s">
        <v>634</v>
      </c>
      <c r="H10" s="247">
        <f>ROUND(SUM(Site_Detail_12[21st CCLC,  Title IV-B]),2)</f>
        <v>0</v>
      </c>
      <c r="I10" s="248">
        <f>ROUND(SUM(Site_Detail_12[(enter addt''l. fund source 1)]),2)</f>
        <v>0</v>
      </c>
      <c r="J10" s="109">
        <f>ROUND(SUM(Site_Detail_12[(enter addt''l. fund source 2)]),2)</f>
        <v>0</v>
      </c>
      <c r="K10" s="109">
        <f>ROUND(SUM(Site_Detail_12[(enter addt''l. fund source 3)]),2)</f>
        <v>0</v>
      </c>
      <c r="L10" s="109">
        <f>ROUND(SUM(Site_Detail_12[(enter addt''l. fund source 4)]),2)</f>
        <v>0</v>
      </c>
      <c r="M10" s="110">
        <f>ROUND(SUM(Site_Detail_12[(enter addt''l. fund source 5)]),2)</f>
        <v>0</v>
      </c>
      <c r="N10" s="238">
        <f>SUM(Site_Summary_12[[#This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
        <v>635</v>
      </c>
      <c r="J12" s="157" t="s">
        <v>636</v>
      </c>
      <c r="K12" s="157" t="s">
        <v>637</v>
      </c>
      <c r="L12" s="157" t="s">
        <v>638</v>
      </c>
      <c r="M12" s="213" t="s">
        <v>639</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ROUND(SUM(Site_Detail_12[[#This Row],[21st CCLC,  Title IV-B]:[(enter addt''l. fund source 5)]]),2)</f>
        <v>0</v>
      </c>
      <c r="O13" s="225" t="s">
        <v>28</v>
      </c>
      <c r="Q13" s="101" t="s">
        <v>545</v>
      </c>
      <c r="R13" s="230" cm="1">
        <f t="array" ref="R13">SUMIF(Site_Detail_12[[Category]:[Category]],Site_Category_Sum_12[[#This Row],[Column1]:[Column1]],Site_Detail_12[21st CCLC,  Title IV-B])</f>
        <v>0</v>
      </c>
      <c r="S13" s="124" cm="1">
        <f t="array" ref="S13">SUMIF(Site_Detail_12[[Category]:[Category]],Site_Category_Sum_12[[#This Row],[Column1]:[Column1]],Site_Detail_12[(enter addt''l. fund source 1)])</f>
        <v>0</v>
      </c>
      <c r="T13" s="124" cm="1">
        <f t="array" ref="T13">SUMIF(Site_Detail_12[[Category]:[Category]],Site_Category_Sum_12[[#This Row],[Column1]:[Column1]],Site_Detail_12[(enter addt''l. fund source 2)])</f>
        <v>0</v>
      </c>
      <c r="U13" s="124" cm="1">
        <f t="array" ref="U13">SUMIF(Site_Detail_12[[Category]:[Category]],Site_Category_Sum_12[[#This Row],[Column1]:[Column1]],Site_Detail_12[(enter addt''l. fund source 3)])</f>
        <v>0</v>
      </c>
      <c r="V13" s="124" cm="1">
        <f t="array" ref="V13">SUMIF(Site_Detail_12[[Category]:[Category]],Site_Category_Sum_12[[#This Row],[Column1]:[Column1]],Site_Detail_12[(enter addt''l. fund source 4)])</f>
        <v>0</v>
      </c>
      <c r="W13" s="124" cm="1">
        <f t="array" ref="W13">SUMIF(Site_Detail_12[[Category]:[Category]],Site_Category_Sum_12[[#This Row],[Column1]:[Column1]],Site_Detail_12[(enter addt''l. fund source 5)])</f>
        <v>0</v>
      </c>
      <c r="X13" s="233">
        <f>ROUND(SUM(Site_Category_Sum_12[[#This Row],[Column2]:[Column7]]),2)</f>
        <v>0</v>
      </c>
      <c r="Z13" s="178" t="s">
        <v>0</v>
      </c>
    </row>
    <row r="14" spans="1:26" x14ac:dyDescent="0.25">
      <c r="B14" s="53"/>
      <c r="C14" s="54"/>
      <c r="D14" s="53"/>
      <c r="E14" s="54"/>
      <c r="F14" s="54"/>
      <c r="G14" s="219"/>
      <c r="H14" s="196"/>
      <c r="I14" s="220"/>
      <c r="J14" s="55"/>
      <c r="K14" s="55"/>
      <c r="L14" s="55"/>
      <c r="M14" s="207"/>
      <c r="N14" s="200">
        <f>ROUND(SUM(Site_Detail_12[[#This Row],[21st CCLC,  Title IV-B]:[(enter addt''l. fund source 5)]]),2)</f>
        <v>0</v>
      </c>
      <c r="O14" s="208"/>
      <c r="Q14" s="103" t="s">
        <v>546</v>
      </c>
      <c r="R14" s="230" cm="1">
        <f t="array" ref="R14">SUMIF(Site_Detail_12[[Category]:[Category]],Site_Category_Sum_12[[#This Row],[Column1]:[Column1]],Site_Detail_12[21st CCLC,  Title IV-B])</f>
        <v>0</v>
      </c>
      <c r="S14" s="124" cm="1">
        <f t="array" ref="S14">SUMIF(Site_Detail_12[[Category]:[Category]],Site_Category_Sum_12[[#This Row],[Column1]:[Column1]],Site_Detail_12[(enter addt''l. fund source 1)])</f>
        <v>0</v>
      </c>
      <c r="T14" s="102" cm="1">
        <f t="array" ref="T14">SUMIF(Site_Detail_12[[Category]:[Category]],Site_Category_Sum_12[[#This Row],[Column1]:[Column1]],Site_Detail_12[(enter addt''l. fund source 2)])</f>
        <v>0</v>
      </c>
      <c r="U14" s="102" cm="1">
        <f t="array" ref="U14">SUMIF(Site_Detail_12[[Category]:[Category]],Site_Category_Sum_12[[#This Row],[Column1]:[Column1]],Site_Detail_12[(enter addt''l. fund source 3)])</f>
        <v>0</v>
      </c>
      <c r="V14" s="102" cm="1">
        <f t="array" ref="V14">SUMIF(Site_Detail_12[[Category]:[Category]],Site_Category_Sum_12[[#This Row],[Column1]:[Column1]],Site_Detail_12[(enter addt''l. fund source 4)])</f>
        <v>0</v>
      </c>
      <c r="W14" s="102" cm="1">
        <f t="array" ref="W14">SUMIF(Site_Detail_12[[Category]:[Category]],Site_Category_Sum_12[[#This Row],[Column1]:[Column1]],Site_Detail_12[(enter addt''l. fund source 5)])</f>
        <v>0</v>
      </c>
      <c r="X14" s="233">
        <f>ROUND(SUM(Site_Category_Sum_12[[#This Row],[Column2]:[Column7]]),2)</f>
        <v>0</v>
      </c>
      <c r="Z14" s="178" t="s">
        <v>0</v>
      </c>
    </row>
    <row r="15" spans="1:26" x14ac:dyDescent="0.25">
      <c r="B15" s="50"/>
      <c r="C15" s="51"/>
      <c r="D15" s="50"/>
      <c r="E15" s="51"/>
      <c r="F15" s="51"/>
      <c r="G15" s="221"/>
      <c r="H15" s="196"/>
      <c r="I15" s="222"/>
      <c r="J15" s="52"/>
      <c r="K15" s="52"/>
      <c r="L15" s="52"/>
      <c r="M15" s="205"/>
      <c r="N15" s="200">
        <f>ROUND(SUM(Site_Detail_12[[#This Row],[21st CCLC,  Title IV-B]:[(enter addt''l. fund source 5)]]),2)</f>
        <v>0</v>
      </c>
      <c r="O15" s="206"/>
      <c r="Q15" s="103" t="s">
        <v>161</v>
      </c>
      <c r="R15" s="230" cm="1">
        <f t="array" ref="R15">SUMIF(Site_Detail_12[[Category]:[Category]],Site_Category_Sum_12[[#This Row],[Column1]:[Column1]],Site_Detail_12[21st CCLC,  Title IV-B])</f>
        <v>0</v>
      </c>
      <c r="S15" s="124" cm="1">
        <f t="array" ref="S15">SUMIF(Site_Detail_12[[Category]:[Category]],Site_Category_Sum_12[[#This Row],[Column1]:[Column1]],Site_Detail_12[(enter addt''l. fund source 1)])</f>
        <v>0</v>
      </c>
      <c r="T15" s="102" cm="1">
        <f t="array" ref="T15">SUMIF(Site_Detail_12[[Category]:[Category]],Site_Category_Sum_12[[#This Row],[Column1]:[Column1]],Site_Detail_12[(enter addt''l. fund source 2)])</f>
        <v>0</v>
      </c>
      <c r="U15" s="102" cm="1">
        <f t="array" ref="U15">SUMIF(Site_Detail_12[[Category]:[Category]],Site_Category_Sum_12[[#This Row],[Column1]:[Column1]],Site_Detail_12[(enter addt''l. fund source 3)])</f>
        <v>0</v>
      </c>
      <c r="V15" s="102" cm="1">
        <f t="array" ref="V15">SUMIF(Site_Detail_12[[Category]:[Category]],Site_Category_Sum_12[[#This Row],[Column1]:[Column1]],Site_Detail_12[(enter addt''l. fund source 4)])</f>
        <v>0</v>
      </c>
      <c r="W15" s="102" cm="1">
        <f t="array" ref="W15">SUMIF(Site_Detail_12[[Category]:[Category]],Site_Category_Sum_12[[#This Row],[Column1]:[Column1]],Site_Detail_12[(enter addt''l. fund source 5)])</f>
        <v>0</v>
      </c>
      <c r="X15" s="233">
        <f>ROUND(SUM(Site_Category_Sum_12[[#This Row],[Column2]:[Column7]]),2)</f>
        <v>0</v>
      </c>
      <c r="Z15" s="178" t="s">
        <v>0</v>
      </c>
    </row>
    <row r="16" spans="1:26" x14ac:dyDescent="0.25">
      <c r="B16" s="53"/>
      <c r="C16" s="54"/>
      <c r="D16" s="53"/>
      <c r="E16" s="54"/>
      <c r="F16" s="54"/>
      <c r="G16" s="219"/>
      <c r="H16" s="196"/>
      <c r="I16" s="220"/>
      <c r="J16" s="55"/>
      <c r="K16" s="55"/>
      <c r="L16" s="55"/>
      <c r="M16" s="207"/>
      <c r="N16" s="200">
        <f>ROUND(SUM(Site_Detail_12[[#This Row],[21st CCLC,  Title IV-B]:[(enter addt''l. fund source 5)]]),2)</f>
        <v>0</v>
      </c>
      <c r="O16" s="208"/>
      <c r="Q16" s="103" t="s">
        <v>162</v>
      </c>
      <c r="R16" s="230" cm="1">
        <f t="array" ref="R16">SUMIF(Site_Detail_12[[Category]:[Category]],Site_Category_Sum_12[[#This Row],[Column1]:[Column1]],Site_Detail_12[21st CCLC,  Title IV-B])</f>
        <v>0</v>
      </c>
      <c r="S16" s="124" cm="1">
        <f t="array" ref="S16">SUMIF(Site_Detail_12[[Category]:[Category]],Site_Category_Sum_12[[#This Row],[Column1]:[Column1]],Site_Detail_12[(enter addt''l. fund source 1)])</f>
        <v>0</v>
      </c>
      <c r="T16" s="102" cm="1">
        <f t="array" ref="T16">SUMIF(Site_Detail_12[[Category]:[Category]],Site_Category_Sum_12[[#This Row],[Column1]:[Column1]],Site_Detail_12[(enter addt''l. fund source 2)])</f>
        <v>0</v>
      </c>
      <c r="U16" s="102" cm="1">
        <f t="array" ref="U16">SUMIF(Site_Detail_12[[Category]:[Category]],Site_Category_Sum_12[[#This Row],[Column1]:[Column1]],Site_Detail_12[(enter addt''l. fund source 3)])</f>
        <v>0</v>
      </c>
      <c r="V16" s="102" cm="1">
        <f t="array" ref="V16">SUMIF(Site_Detail_12[[Category]:[Category]],Site_Category_Sum_12[[#This Row],[Column1]:[Column1]],Site_Detail_12[(enter addt''l. fund source 4)])</f>
        <v>0</v>
      </c>
      <c r="W16" s="102" cm="1">
        <f t="array" ref="W16">SUMIF(Site_Detail_12[[Category]:[Category]],Site_Category_Sum_12[[#This Row],[Column1]:[Column1]],Site_Detail_12[(enter addt''l. fund source 5)])</f>
        <v>0</v>
      </c>
      <c r="X16" s="233">
        <f>ROUND(SUM(Site_Category_Sum_12[[#This Row],[Column2]:[Column7]]),2)</f>
        <v>0</v>
      </c>
      <c r="Z16" s="178" t="s">
        <v>0</v>
      </c>
    </row>
    <row r="17" spans="2:26" x14ac:dyDescent="0.25">
      <c r="B17" s="53"/>
      <c r="C17" s="54"/>
      <c r="D17" s="53"/>
      <c r="E17" s="54"/>
      <c r="F17" s="54"/>
      <c r="G17" s="219"/>
      <c r="H17" s="196"/>
      <c r="I17" s="220"/>
      <c r="J17" s="55"/>
      <c r="K17" s="55"/>
      <c r="L17" s="55"/>
      <c r="M17" s="207"/>
      <c r="N17" s="200">
        <f>ROUND(SUM(Site_Detail_12[[#This Row],[21st CCLC,  Title IV-B]:[(enter addt''l. fund source 5)]]),2)</f>
        <v>0</v>
      </c>
      <c r="O17" s="208"/>
      <c r="Q17" s="103" t="s">
        <v>596</v>
      </c>
      <c r="R17" s="230" cm="1">
        <f t="array" ref="R17">SUMIF(Site_Detail_12[[Category]:[Category]],Site_Category_Sum_12[[#This Row],[Column1]:[Column1]],Site_Detail_12[21st CCLC,  Title IV-B])</f>
        <v>0</v>
      </c>
      <c r="S17" s="124" cm="1">
        <f t="array" ref="S17">SUMIF(Site_Detail_12[[Category]:[Category]],Site_Category_Sum_12[[#This Row],[Column1]:[Column1]],Site_Detail_12[(enter addt''l. fund source 1)])</f>
        <v>0</v>
      </c>
      <c r="T17" s="102" cm="1">
        <f t="array" ref="T17">SUMIF(Site_Detail_12[[Category]:[Category]],Site_Category_Sum_12[[#This Row],[Column1]:[Column1]],Site_Detail_12[(enter addt''l. fund source 2)])</f>
        <v>0</v>
      </c>
      <c r="U17" s="102" cm="1">
        <f t="array" ref="U17">SUMIF(Site_Detail_12[[Category]:[Category]],Site_Category_Sum_12[[#This Row],[Column1]:[Column1]],Site_Detail_12[(enter addt''l. fund source 3)])</f>
        <v>0</v>
      </c>
      <c r="V17" s="102" cm="1">
        <f t="array" ref="V17">SUMIF(Site_Detail_12[[Category]:[Category]],Site_Category_Sum_12[[#This Row],[Column1]:[Column1]],Site_Detail_12[(enter addt''l. fund source 4)])</f>
        <v>0</v>
      </c>
      <c r="W17" s="102" cm="1">
        <f t="array" ref="W17">SUMIF(Site_Detail_12[[Category]:[Category]],Site_Category_Sum_12[[#This Row],[Column1]:[Column1]],Site_Detail_12[(enter addt''l. fund source 5)])</f>
        <v>0</v>
      </c>
      <c r="X17" s="233">
        <f>ROUND(SUM(Site_Category_Sum_12[[#This Row],[Column2]:[Column7]]),2)</f>
        <v>0</v>
      </c>
      <c r="Z17" s="178" t="s">
        <v>0</v>
      </c>
    </row>
    <row r="18" spans="2:26" x14ac:dyDescent="0.25">
      <c r="B18" s="53"/>
      <c r="C18" s="54"/>
      <c r="D18" s="53"/>
      <c r="E18" s="54"/>
      <c r="F18" s="54"/>
      <c r="G18" s="219"/>
      <c r="H18" s="196"/>
      <c r="I18" s="220"/>
      <c r="J18" s="55"/>
      <c r="K18" s="55"/>
      <c r="L18" s="55"/>
      <c r="M18" s="207"/>
      <c r="N18" s="200">
        <f>ROUND(SUM(Site_Detail_12[[#This Row],[21st CCLC,  Title IV-B]:[(enter addt''l. fund source 5)]]),2)</f>
        <v>0</v>
      </c>
      <c r="O18" s="208"/>
      <c r="Q18" s="103" t="s">
        <v>160</v>
      </c>
      <c r="R18" s="230" cm="1">
        <f t="array" ref="R18">SUMIF(Site_Detail_12[[Category]:[Category]],Site_Category_Sum_12[[#This Row],[Column1]:[Column1]],Site_Detail_12[21st CCLC,  Title IV-B])</f>
        <v>0</v>
      </c>
      <c r="S18" s="124" cm="1">
        <f t="array" ref="S18">SUMIF(Site_Detail_12[[Category]:[Category]],Site_Category_Sum_12[[#This Row],[Column1]:[Column1]],Site_Detail_12[(enter addt''l. fund source 1)])</f>
        <v>0</v>
      </c>
      <c r="T18" s="102" cm="1">
        <f t="array" ref="T18">SUMIF(Site_Detail_12[[Category]:[Category]],Site_Category_Sum_12[[#This Row],[Column1]:[Column1]],Site_Detail_12[(enter addt''l. fund source 2)])</f>
        <v>0</v>
      </c>
      <c r="U18" s="102" cm="1">
        <f t="array" ref="U18">SUMIF(Site_Detail_12[[Category]:[Category]],Site_Category_Sum_12[[#This Row],[Column1]:[Column1]],Site_Detail_12[(enter addt''l. fund source 3)])</f>
        <v>0</v>
      </c>
      <c r="V18" s="102" cm="1">
        <f t="array" ref="V18">SUMIF(Site_Detail_12[[Category]:[Category]],Site_Category_Sum_12[[#This Row],[Column1]:[Column1]],Site_Detail_12[(enter addt''l. fund source 4)])</f>
        <v>0</v>
      </c>
      <c r="W18" s="102" cm="1">
        <f t="array" ref="W18">SUMIF(Site_Detail_12[[Category]:[Category]],Site_Category_Sum_12[[#This Row],[Column1]:[Column1]],Site_Detail_12[(enter addt''l. fund source 5)])</f>
        <v>0</v>
      </c>
      <c r="X18" s="233">
        <f>ROUND(SUM(Site_Category_Sum_12[[#This Row],[Column2]:[Column7]]),2)</f>
        <v>0</v>
      </c>
      <c r="Z18" s="178" t="s">
        <v>0</v>
      </c>
    </row>
    <row r="19" spans="2:26" x14ac:dyDescent="0.25">
      <c r="B19" s="53"/>
      <c r="C19" s="54"/>
      <c r="D19" s="53"/>
      <c r="E19" s="54"/>
      <c r="F19" s="54"/>
      <c r="G19" s="219"/>
      <c r="H19" s="196"/>
      <c r="I19" s="220"/>
      <c r="J19" s="55"/>
      <c r="K19" s="55"/>
      <c r="L19" s="55"/>
      <c r="M19" s="207"/>
      <c r="N19" s="200">
        <f>ROUND(SUM(Site_Detail_12[[#This Row],[21st CCLC,  Title IV-B]:[(enter addt''l. fund source 5)]]),2)</f>
        <v>0</v>
      </c>
      <c r="O19" s="208"/>
      <c r="Q19" s="103" t="s">
        <v>566</v>
      </c>
      <c r="R19" s="230" cm="1">
        <f t="array" ref="R19">SUMIF(Site_Detail_12[[Category]:[Category]],Site_Category_Sum_12[[#This Row],[Column1]:[Column1]],Site_Detail_12[21st CCLC,  Title IV-B])</f>
        <v>0</v>
      </c>
      <c r="S19" s="124" cm="1">
        <f t="array" ref="S19">SUMIF(Site_Detail_12[[Category]:[Category]],Site_Category_Sum_12[[#This Row],[Column1]:[Column1]],Site_Detail_12[(enter addt''l. fund source 1)])</f>
        <v>0</v>
      </c>
      <c r="T19" s="102" cm="1">
        <f t="array" ref="T19">SUMIF(Site_Detail_12[[Category]:[Category]],Site_Category_Sum_12[[#This Row],[Column1]:[Column1]],Site_Detail_12[(enter addt''l. fund source 2)])</f>
        <v>0</v>
      </c>
      <c r="U19" s="102" cm="1">
        <f t="array" ref="U19">SUMIF(Site_Detail_12[[Category]:[Category]],Site_Category_Sum_12[[#This Row],[Column1]:[Column1]],Site_Detail_12[(enter addt''l. fund source 3)])</f>
        <v>0</v>
      </c>
      <c r="V19" s="102" cm="1">
        <f t="array" ref="V19">SUMIF(Site_Detail_12[[Category]:[Category]],Site_Category_Sum_12[[#This Row],[Column1]:[Column1]],Site_Detail_12[(enter addt''l. fund source 4)])</f>
        <v>0</v>
      </c>
      <c r="W19" s="102" cm="1">
        <f t="array" ref="W19">SUMIF(Site_Detail_12[[Category]:[Category]],Site_Category_Sum_12[[#This Row],[Column1]:[Column1]],Site_Detail_12[(enter addt''l. fund source 5)])</f>
        <v>0</v>
      </c>
      <c r="X19" s="233">
        <f>ROUND(SUM(Site_Category_Sum_12[[#This Row],[Column2]:[Column7]]),2)</f>
        <v>0</v>
      </c>
      <c r="Z19" s="178" t="s">
        <v>0</v>
      </c>
    </row>
    <row r="20" spans="2:26" x14ac:dyDescent="0.25">
      <c r="B20" s="53"/>
      <c r="C20" s="54"/>
      <c r="D20" s="53"/>
      <c r="E20" s="54"/>
      <c r="F20" s="54"/>
      <c r="G20" s="219"/>
      <c r="H20" s="196"/>
      <c r="I20" s="220"/>
      <c r="J20" s="55"/>
      <c r="K20" s="55"/>
      <c r="L20" s="55"/>
      <c r="M20" s="207"/>
      <c r="N20" s="200">
        <f>ROUND(SUM(Site_Detail_12[[#This Row],[21st CCLC,  Title IV-B]:[(enter addt''l. fund source 5)]]),2)</f>
        <v>0</v>
      </c>
      <c r="O20" s="208"/>
      <c r="Q20" s="103" t="s">
        <v>75</v>
      </c>
      <c r="R20" s="230" cm="1">
        <f t="array" ref="R20">SUMIF(Site_Detail_12[[Category]:[Category]],Site_Category_Sum_12[[#This Row],[Column1]:[Column1]],Site_Detail_12[21st CCLC,  Title IV-B])</f>
        <v>0</v>
      </c>
      <c r="S20" s="124" cm="1">
        <f t="array" ref="S20">SUMIF(Site_Detail_12[[Category]:[Category]],Site_Category_Sum_12[[#This Row],[Column1]:[Column1]],Site_Detail_12[(enter addt''l. fund source 1)])</f>
        <v>0</v>
      </c>
      <c r="T20" s="102" cm="1">
        <f t="array" ref="T20">SUMIF(Site_Detail_12[[Category]:[Category]],Site_Category_Sum_12[[#This Row],[Column1]:[Column1]],Site_Detail_12[(enter addt''l. fund source 2)])</f>
        <v>0</v>
      </c>
      <c r="U20" s="102" cm="1">
        <f t="array" ref="U20">SUMIF(Site_Detail_12[[Category]:[Category]],Site_Category_Sum_12[[#This Row],[Column1]:[Column1]],Site_Detail_12[(enter addt''l. fund source 3)])</f>
        <v>0</v>
      </c>
      <c r="V20" s="102" cm="1">
        <f t="array" ref="V20">SUMIF(Site_Detail_12[[Category]:[Category]],Site_Category_Sum_12[[#This Row],[Column1]:[Column1]],Site_Detail_12[(enter addt''l. fund source 4)])</f>
        <v>0</v>
      </c>
      <c r="W20" s="102" cm="1">
        <f t="array" ref="W20">SUMIF(Site_Detail_12[[Category]:[Category]],Site_Category_Sum_12[[#This Row],[Column1]:[Column1]],Site_Detail_12[(enter addt''l. fund source 5)])</f>
        <v>0</v>
      </c>
      <c r="X20" s="233">
        <f>ROUND(SUM(Site_Category_Sum_12[[#This Row],[Column2]:[Column7]]),2)</f>
        <v>0</v>
      </c>
      <c r="Z20" s="178" t="s">
        <v>0</v>
      </c>
    </row>
    <row r="21" spans="2:26" x14ac:dyDescent="0.25">
      <c r="B21" s="53"/>
      <c r="C21" s="54"/>
      <c r="D21" s="53"/>
      <c r="E21" s="54"/>
      <c r="F21" s="54"/>
      <c r="G21" s="219"/>
      <c r="H21" s="196"/>
      <c r="I21" s="220"/>
      <c r="J21" s="55"/>
      <c r="K21" s="55"/>
      <c r="L21" s="55"/>
      <c r="M21" s="207"/>
      <c r="N21" s="200">
        <f>ROUND(SUM(Site_Detail_12[[#This Row],[21st CCLC,  Title IV-B]:[(enter addt''l. fund source 5)]]),2)</f>
        <v>0</v>
      </c>
      <c r="O21" s="208"/>
      <c r="Q21" s="103" t="s">
        <v>603</v>
      </c>
      <c r="R21" s="230" cm="1">
        <f t="array" ref="R21">SUMIF(Site_Detail_12[[Category]:[Category]],Site_Category_Sum_12[[#This Row],[Column1]:[Column1]],Site_Detail_12[21st CCLC,  Title IV-B])</f>
        <v>0</v>
      </c>
      <c r="S21" s="124" cm="1">
        <f t="array" ref="S21">SUMIF(Site_Detail_12[[Category]:[Category]],Site_Category_Sum_12[[#This Row],[Column1]:[Column1]],Site_Detail_12[(enter addt''l. fund source 1)])</f>
        <v>0</v>
      </c>
      <c r="T21" s="102" cm="1">
        <f t="array" ref="T21">SUMIF(Site_Detail_12[[Category]:[Category]],Site_Category_Sum_12[[#This Row],[Column1]:[Column1]],Site_Detail_12[(enter addt''l. fund source 2)])</f>
        <v>0</v>
      </c>
      <c r="U21" s="102" cm="1">
        <f t="array" ref="U21">SUMIF(Site_Detail_12[[Category]:[Category]],Site_Category_Sum_12[[#This Row],[Column1]:[Column1]],Site_Detail_12[(enter addt''l. fund source 3)])</f>
        <v>0</v>
      </c>
      <c r="V21" s="102" cm="1">
        <f t="array" ref="V21">SUMIF(Site_Detail_12[[Category]:[Category]],Site_Category_Sum_12[[#This Row],[Column1]:[Column1]],Site_Detail_12[(enter addt''l. fund source 4)])</f>
        <v>0</v>
      </c>
      <c r="W21" s="102" cm="1">
        <f t="array" ref="W21">SUMIF(Site_Detail_12[[Category]:[Category]],Site_Category_Sum_12[[#This Row],[Column1]:[Column1]],Site_Detail_12[(enter addt''l. fund source 5)])</f>
        <v>0</v>
      </c>
      <c r="X21" s="233">
        <f>ROUND(SUM(Site_Category_Sum_12[[#This Row],[Column2]:[Column7]]),2)</f>
        <v>0</v>
      </c>
      <c r="Z21" s="178" t="s">
        <v>0</v>
      </c>
    </row>
    <row r="22" spans="2:26" x14ac:dyDescent="0.25">
      <c r="B22" s="53"/>
      <c r="C22" s="54"/>
      <c r="D22" s="53"/>
      <c r="E22" s="54"/>
      <c r="F22" s="54"/>
      <c r="G22" s="219"/>
      <c r="H22" s="196"/>
      <c r="I22" s="220"/>
      <c r="J22" s="55"/>
      <c r="K22" s="55"/>
      <c r="L22" s="55"/>
      <c r="M22" s="207"/>
      <c r="N22" s="200">
        <f>ROUND(SUM(Site_Detail_12[[#This Row],[21st CCLC,  Title IV-B]:[(enter addt''l. fund source 5)]]),2)</f>
        <v>0</v>
      </c>
      <c r="O22" s="208"/>
      <c r="Q22" s="103" t="s">
        <v>604</v>
      </c>
      <c r="R22" s="230" cm="1">
        <f t="array" ref="R22">SUMIF(Site_Detail_12[[Category]:[Category]],Site_Category_Sum_12[[#This Row],[Column1]:[Column1]],Site_Detail_12[21st CCLC,  Title IV-B])</f>
        <v>0</v>
      </c>
      <c r="S22" s="124" cm="1">
        <f t="array" ref="S22">SUMIF(Site_Detail_12[[Category]:[Category]],Site_Category_Sum_12[[#This Row],[Column1]:[Column1]],Site_Detail_12[(enter addt''l. fund source 1)])</f>
        <v>0</v>
      </c>
      <c r="T22" s="102" cm="1">
        <f t="array" ref="T22">SUMIF(Site_Detail_12[[Category]:[Category]],Site_Category_Sum_12[[#This Row],[Column1]:[Column1]],Site_Detail_12[(enter addt''l. fund source 2)])</f>
        <v>0</v>
      </c>
      <c r="U22" s="102" cm="1">
        <f t="array" ref="U22">SUMIF(Site_Detail_12[[Category]:[Category]],Site_Category_Sum_12[[#This Row],[Column1]:[Column1]],Site_Detail_12[(enter addt''l. fund source 3)])</f>
        <v>0</v>
      </c>
      <c r="V22" s="102" cm="1">
        <f t="array" ref="V22">SUMIF(Site_Detail_12[[Category]:[Category]],Site_Category_Sum_12[[#This Row],[Column1]:[Column1]],Site_Detail_12[(enter addt''l. fund source 4)])</f>
        <v>0</v>
      </c>
      <c r="W22" s="102" cm="1">
        <f t="array" ref="W22">SUMIF(Site_Detail_12[[Category]:[Category]],Site_Category_Sum_12[[#This Row],[Column1]:[Column1]],Site_Detail_12[(enter addt''l. fund source 5)])</f>
        <v>0</v>
      </c>
      <c r="X22" s="233">
        <f>ROUND(SUM(Site_Category_Sum_12[[#This Row],[Column2]:[Column7]]),2)</f>
        <v>0</v>
      </c>
      <c r="Z22" s="178" t="s">
        <v>0</v>
      </c>
    </row>
    <row r="23" spans="2:26" x14ac:dyDescent="0.25">
      <c r="B23" s="53"/>
      <c r="C23" s="54"/>
      <c r="D23" s="53"/>
      <c r="E23" s="54"/>
      <c r="F23" s="54"/>
      <c r="G23" s="219"/>
      <c r="H23" s="196"/>
      <c r="I23" s="220"/>
      <c r="J23" s="55"/>
      <c r="K23" s="55"/>
      <c r="L23" s="55"/>
      <c r="M23" s="207"/>
      <c r="N23" s="200">
        <f>ROUND(SUM(Site_Detail_12[[#This Row],[21st CCLC,  Title IV-B]:[(enter addt''l. fund source 5)]]),2)</f>
        <v>0</v>
      </c>
      <c r="O23" s="208"/>
      <c r="Q23" s="103" t="s">
        <v>567</v>
      </c>
      <c r="R23" s="230" cm="1">
        <f t="array" ref="R23">SUMIF(Site_Detail_12[[Category]:[Category]],Site_Category_Sum_12[[#This Row],[Column1]:[Column1]],Site_Detail_12[21st CCLC,  Title IV-B])</f>
        <v>0</v>
      </c>
      <c r="S23" s="124" cm="1">
        <f t="array" ref="S23">SUMIF(Site_Detail_12[[Category]:[Category]],Site_Category_Sum_12[[#This Row],[Column1]:[Column1]],Site_Detail_12[(enter addt''l. fund source 1)])</f>
        <v>0</v>
      </c>
      <c r="T23" s="102" cm="1">
        <f t="array" ref="T23">SUMIF(Site_Detail_12[[Category]:[Category]],Site_Category_Sum_12[[#This Row],[Column1]:[Column1]],Site_Detail_12[(enter addt''l. fund source 2)])</f>
        <v>0</v>
      </c>
      <c r="U23" s="102" cm="1">
        <f t="array" ref="U23">SUMIF(Site_Detail_12[[Category]:[Category]],Site_Category_Sum_12[[#This Row],[Column1]:[Column1]],Site_Detail_12[(enter addt''l. fund source 3)])</f>
        <v>0</v>
      </c>
      <c r="V23" s="102" cm="1">
        <f t="array" ref="V23">SUMIF(Site_Detail_12[[Category]:[Category]],Site_Category_Sum_12[[#This Row],[Column1]:[Column1]],Site_Detail_12[(enter addt''l. fund source 4)])</f>
        <v>0</v>
      </c>
      <c r="W23" s="102" cm="1">
        <f t="array" ref="W23">SUMIF(Site_Detail_12[[Category]:[Category]],Site_Category_Sum_12[[#This Row],[Column1]:[Column1]],Site_Detail_12[(enter addt''l. fund source 5)])</f>
        <v>0</v>
      </c>
      <c r="X23" s="233">
        <f>ROUND(SUM(Site_Category_Sum_12[[#This Row],[Column2]:[Column7]]),2)</f>
        <v>0</v>
      </c>
      <c r="Z23" s="178" t="s">
        <v>0</v>
      </c>
    </row>
    <row r="24" spans="2:26" x14ac:dyDescent="0.25">
      <c r="B24" s="53"/>
      <c r="C24" s="54"/>
      <c r="D24" s="53"/>
      <c r="E24" s="54"/>
      <c r="F24" s="54"/>
      <c r="G24" s="219"/>
      <c r="H24" s="196"/>
      <c r="I24" s="220"/>
      <c r="J24" s="55"/>
      <c r="K24" s="55"/>
      <c r="L24" s="55"/>
      <c r="M24" s="207"/>
      <c r="N24" s="200">
        <f>ROUND(SUM(Site_Detail_12[[#This Row],[21st CCLC,  Title IV-B]:[(enter addt''l. fund source 5)]]),2)</f>
        <v>0</v>
      </c>
      <c r="O24" s="208"/>
      <c r="Q24" s="103" t="s">
        <v>192</v>
      </c>
      <c r="R24" s="230">
        <f>ROUND(SUMIFS(Site_Detail_12[21st CCLC,  Title IV-B],Site_Detail_12[[Category]:[Category]],"Indirect",Site_Detail_12[[Contracted Service?]:[Contracted Service?]],"&lt;&gt;Yes"),2)</f>
        <v>0</v>
      </c>
      <c r="S24" s="124">
        <f>ROUND(SUMIFS(Site_Detail_12[(enter addt''l. fund source 1)],Site_Detail_12[[Category]:[Category]],"Indirect",Site_Detail_12[[Contracted Service?]:[Contracted Service?]],"&lt;&gt;Yes"),2)</f>
        <v>0</v>
      </c>
      <c r="T24" s="102">
        <f>ROUND(SUMIFS(Site_Detail_12[(enter addt''l. fund source 2)],Site_Detail_12[[Category]:[Category]],"Indirect",Site_Detail_12[[Contracted Service?]:[Contracted Service?]],"&lt;&gt;Yes"),2)</f>
        <v>0</v>
      </c>
      <c r="U24" s="102">
        <f>ROUND(SUMIFS(Site_Detail_12[(enter addt''l. fund source 3)],Site_Detail_12[[Category]:[Category]],"Indirect",Site_Detail_12[[Contracted Service?]:[Contracted Service?]],"&lt;&gt;Yes"),2)</f>
        <v>0</v>
      </c>
      <c r="V24" s="102">
        <f>ROUND(SUMIFS(Site_Detail_12[(enter addt''l. fund source 4)],Site_Detail_12[[Category]:[Category]],"Indirect",Site_Detail_12[[Contracted Service?]:[Contracted Service?]],"&lt;&gt;Yes"),2)</f>
        <v>0</v>
      </c>
      <c r="W24" s="102">
        <f>ROUND(SUMIFS(Site_Detail_12[(enter addt''l. fund source 5)],Site_Detail_12[[Category]:[Category]],"Indirect",Site_Detail_12[[Contracted Service?]:[Contracted Service?]],"&lt;&gt;Yes"),2)</f>
        <v>0</v>
      </c>
      <c r="X24" s="233">
        <f>ROUND(SUM(Site_Category_Sum_12[[#This Row],[Column2]:[Column7]]),2)</f>
        <v>0</v>
      </c>
      <c r="Z24" s="178" t="s">
        <v>0</v>
      </c>
    </row>
    <row r="25" spans="2:26" x14ac:dyDescent="0.25">
      <c r="B25" s="53"/>
      <c r="C25" s="54"/>
      <c r="D25" s="53"/>
      <c r="E25" s="54"/>
      <c r="F25" s="54"/>
      <c r="G25" s="219"/>
      <c r="H25" s="196"/>
      <c r="I25" s="220"/>
      <c r="J25" s="55"/>
      <c r="K25" s="55"/>
      <c r="L25" s="55"/>
      <c r="M25" s="207"/>
      <c r="N25" s="200">
        <f>ROUND(SUM(Site_Detail_12[[#This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ROUND(SUM(Site_Category_Sum_12[[#This Row],[Column2]:[Column7]]),2)</f>
        <v>0</v>
      </c>
      <c r="Z25" s="178" t="s">
        <v>0</v>
      </c>
    </row>
    <row r="26" spans="2:26" x14ac:dyDescent="0.25">
      <c r="B26" s="53"/>
      <c r="C26" s="54"/>
      <c r="D26" s="53"/>
      <c r="E26" s="54"/>
      <c r="F26" s="54"/>
      <c r="G26" s="219"/>
      <c r="H26" s="196"/>
      <c r="I26" s="220"/>
      <c r="J26" s="55"/>
      <c r="K26" s="55"/>
      <c r="L26" s="55"/>
      <c r="M26" s="207"/>
      <c r="N26" s="200">
        <f>ROUND(SUM(Site_Detail_12[[#This Row],[21st CCLC,  Title IV-B]:[(enter addt''l. fund source 5)]]),2)</f>
        <v>0</v>
      </c>
      <c r="O26" s="208"/>
      <c r="Q26" s="103" t="s">
        <v>291</v>
      </c>
      <c r="R26" s="230" cm="1">
        <f t="array" ref="R26">SUMIF(Site_Detail_12[[Program Type]:[Program Type]],Site_Category_Sum_12[[#This Row],[Column1]:[Column1]],Site_Detail_12[21st CCLC,  Title IV-B])</f>
        <v>0</v>
      </c>
      <c r="S26" s="124" cm="1">
        <f t="array" ref="S26">SUMIF(Site_Detail_12[[Program Type]:[Program Type]],Site_Category_Sum_12[[#This Row],[Column1]:[Column1]],Site_Detail_12[(enter addt''l. fund source 1)])</f>
        <v>0</v>
      </c>
      <c r="T26" s="102" cm="1">
        <f t="array" ref="T26">SUMIF(Site_Detail_12[[Program Type]:[Program Type]],Site_Category_Sum_12[[#This Row],[Column1]:[Column1]],Site_Detail_12[(enter addt''l. fund source 2)])</f>
        <v>0</v>
      </c>
      <c r="U26" s="102" cm="1">
        <f t="array" ref="U26">SUMIF(Site_Detail_12[[Program Type]:[Program Type]],Site_Category_Sum_12[[#This Row],[Column1]:[Column1]],Site_Detail_12[(enter addt''l. fund source 3)])</f>
        <v>0</v>
      </c>
      <c r="V26" s="102" cm="1">
        <f t="array" ref="V26">SUMIF(Site_Detail_12[[Program Type]:[Program Type]],Site_Category_Sum_12[[#This Row],[Column1]:[Column1]],Site_Detail_12[(enter addt''l. fund source 4)])</f>
        <v>0</v>
      </c>
      <c r="W26" s="102" cm="1">
        <f t="array" ref="W26">SUMIF(Site_Detail_12[[Program Type]:[Program Type]],Site_Category_Sum_12[[#This Row],[Column1]:[Column1]],Site_Detail_12[(enter addt''l. fund source 5)])</f>
        <v>0</v>
      </c>
      <c r="X26" s="233">
        <f>ROUND(SUM(Site_Category_Sum_12[[#This Row],[Column2]:[Column7]]),2)</f>
        <v>0</v>
      </c>
      <c r="Z26" s="178" t="s">
        <v>0</v>
      </c>
    </row>
    <row r="27" spans="2:26" x14ac:dyDescent="0.25">
      <c r="B27" s="53"/>
      <c r="C27" s="54"/>
      <c r="D27" s="53"/>
      <c r="E27" s="54"/>
      <c r="F27" s="54"/>
      <c r="G27" s="219"/>
      <c r="H27" s="196"/>
      <c r="I27" s="220"/>
      <c r="J27" s="55"/>
      <c r="K27" s="55"/>
      <c r="L27" s="55"/>
      <c r="M27" s="207"/>
      <c r="N27" s="200">
        <f>ROUND(SUM(Site_Detail_12[[#This Row],[21st CCLC,  Title IV-B]:[(enter addt''l. fund source 5)]]),2)</f>
        <v>0</v>
      </c>
      <c r="O27" s="208"/>
      <c r="Q27" s="103" t="s">
        <v>292</v>
      </c>
      <c r="R27" s="230" cm="1">
        <f t="array" ref="R27">SUMIF(Site_Detail_12[[Program Type]:[Program Type]],Site_Category_Sum_12[[#This Row],[Column1]:[Column1]],Site_Detail_12[21st CCLC,  Title IV-B])</f>
        <v>0</v>
      </c>
      <c r="S27" s="124" cm="1">
        <f t="array" ref="S27">SUMIF(Site_Detail_12[[Program Type]:[Program Type]],Site_Category_Sum_12[[#This Row],[Column1]:[Column1]],Site_Detail_12[(enter addt''l. fund source 1)])</f>
        <v>0</v>
      </c>
      <c r="T27" s="102" cm="1">
        <f t="array" ref="T27">SUMIF(Site_Detail_12[[Program Type]:[Program Type]],Site_Category_Sum_12[[#This Row],[Column1]:[Column1]],Site_Detail_12[(enter addt''l. fund source 2)])</f>
        <v>0</v>
      </c>
      <c r="U27" s="102" cm="1">
        <f t="array" ref="U27">SUMIF(Site_Detail_12[[Program Type]:[Program Type]],Site_Category_Sum_12[[#This Row],[Column1]:[Column1]],Site_Detail_12[(enter addt''l. fund source 3)])</f>
        <v>0</v>
      </c>
      <c r="V27" s="102" cm="1">
        <f t="array" ref="V27">SUMIF(Site_Detail_12[[Program Type]:[Program Type]],Site_Category_Sum_12[[#This Row],[Column1]:[Column1]],Site_Detail_12[(enter addt''l. fund source 4)])</f>
        <v>0</v>
      </c>
      <c r="W27" s="102" cm="1">
        <f t="array" ref="W27">SUMIF(Site_Detail_12[[Program Type]:[Program Type]],Site_Category_Sum_12[[#This Row],[Column1]:[Column1]],Site_Detail_12[(enter addt''l. fund source 5)])</f>
        <v>0</v>
      </c>
      <c r="X27" s="233">
        <f>ROUND(SUM(Site_Category_Sum_12[[#This Row],[Column2]:[Column7]]),2)</f>
        <v>0</v>
      </c>
    </row>
    <row r="28" spans="2:26" x14ac:dyDescent="0.25">
      <c r="B28" s="53"/>
      <c r="C28" s="54"/>
      <c r="D28" s="53"/>
      <c r="E28" s="54"/>
      <c r="F28" s="54"/>
      <c r="G28" s="219"/>
      <c r="H28" s="196"/>
      <c r="I28" s="220"/>
      <c r="J28" s="55"/>
      <c r="K28" s="55"/>
      <c r="L28" s="55"/>
      <c r="M28" s="207"/>
      <c r="N28" s="200">
        <f>ROUND(SUM(Site_Detail_12[[#This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ROUND(SUM(Site_Category_Sum_12[[#This Row],[Column2]:[Column7]]),2)</f>
        <v>0</v>
      </c>
    </row>
    <row r="29" spans="2:26" x14ac:dyDescent="0.25">
      <c r="B29" s="53"/>
      <c r="C29" s="54"/>
      <c r="D29" s="53"/>
      <c r="E29" s="54"/>
      <c r="F29" s="54"/>
      <c r="G29" s="219"/>
      <c r="H29" s="196"/>
      <c r="I29" s="220"/>
      <c r="J29" s="55"/>
      <c r="K29" s="55"/>
      <c r="L29" s="55"/>
      <c r="M29" s="207"/>
      <c r="N29" s="200">
        <f>ROUND(SUM(Site_Detail_12[[#This Row],[21st CCLC,  Title IV-B]:[(enter addt''l. fund source 5)]]),2)</f>
        <v>0</v>
      </c>
      <c r="O29" s="208"/>
      <c r="Q29" s="103" t="s">
        <v>591</v>
      </c>
      <c r="R29" s="230">
        <f>ROUND(SUMIF(Site_Detail_12[[Contracted Service?]:[Contracted Service?]],"Yes",Site_Detail_12[21st CCLC,  Title IV-B]),2)</f>
        <v>0</v>
      </c>
      <c r="S29" s="124">
        <f>ROUND(SUMIF(Site_Detail_12[[Contracted Service?]:[Contracted Service?]],"Yes",Site_Detail_12[(enter addt''l. fund source 1)]),2)</f>
        <v>0</v>
      </c>
      <c r="T29" s="102">
        <f>ROUND(SUMIF(Site_Detail_12[[Contracted Service?]:[Contracted Service?]],"Yes",Site_Detail_12[(enter addt''l. fund source 2)]),2)</f>
        <v>0</v>
      </c>
      <c r="U29" s="102">
        <f>ROUND(SUMIF(Site_Detail_12[[Contracted Service?]:[Contracted Service?]],"Yes",Site_Detail_12[(enter addt''l. fund source 3)]),2)</f>
        <v>0</v>
      </c>
      <c r="V29" s="102">
        <f>ROUND(SUMIF(Site_Detail_12[[Contracted Service?]:[Contracted Service?]],"Yes",Site_Detail_12[(enter addt''l. fund source 4)]),2)</f>
        <v>0</v>
      </c>
      <c r="W29" s="102">
        <f>ROUND(SUMIF(Site_Detail_12[[Contracted Service?]:[Contracted Service?]],"Yes",Site_Detail_12[(enter addt''l. fund source 5)]),2)</f>
        <v>0</v>
      </c>
      <c r="X29" s="233">
        <f>ROUND(SUM(Site_Category_Sum_12[[#This Row],[Column2]:[Column7]]),2)</f>
        <v>0</v>
      </c>
    </row>
    <row r="30" spans="2:26" x14ac:dyDescent="0.25">
      <c r="B30" s="53"/>
      <c r="C30" s="54"/>
      <c r="D30" s="53"/>
      <c r="E30" s="54"/>
      <c r="F30" s="54"/>
      <c r="G30" s="219"/>
      <c r="H30" s="196"/>
      <c r="I30" s="220"/>
      <c r="J30" s="55"/>
      <c r="K30" s="55"/>
      <c r="L30" s="55"/>
      <c r="M30" s="207"/>
      <c r="N30" s="200">
        <f>ROUND(SUM(Site_Detail_12[[#This Row],[21st CCLC,  Title IV-B]:[(enter addt''l. fund source 5)]]),2)</f>
        <v>0</v>
      </c>
      <c r="O30" s="208"/>
      <c r="Q30" s="103" t="s">
        <v>597</v>
      </c>
      <c r="R30" s="230">
        <f>ROUND(SUMIF(Site_Detail_12[[Contracted Service?]:[Contracted Service?]],"&lt;&gt;Yes",Site_Detail_12[21st CCLC,  Title IV-B]),2)</f>
        <v>0</v>
      </c>
      <c r="S30" s="124">
        <f>ROUND(SUMIF(Site_Detail_12[[Contracted Service?]:[Contracted Service?]],"&lt;&gt;Yes",Site_Detail_12[(enter addt''l. fund source 1)]),2)</f>
        <v>0</v>
      </c>
      <c r="T30" s="102">
        <f>ROUND(SUMIF(Site_Detail_12[[Contracted Service?]:[Contracted Service?]],"&lt;&gt;Yes",Site_Detail_12[(enter addt''l. fund source 2)]),2)</f>
        <v>0</v>
      </c>
      <c r="U30" s="102">
        <f>ROUND(SUMIF(Site_Detail_12[[Contracted Service?]:[Contracted Service?]],"&lt;&gt;Yes",Site_Detail_12[(enter addt''l. fund source 3)]),2)</f>
        <v>0</v>
      </c>
      <c r="V30" s="102">
        <f>ROUND(SUMIF(Site_Detail_12[[Contracted Service?]:[Contracted Service?]],"&lt;&gt;Yes",Site_Detail_12[(enter addt''l. fund source 4)]),2)</f>
        <v>0</v>
      </c>
      <c r="W30" s="102">
        <f>ROUND(SUMIF(Site_Detail_12[[Contracted Service?]:[Contracted Service?]],"&lt;&gt;Yes",Site_Detail_12[(enter addt''l. fund source 5)]),2)</f>
        <v>0</v>
      </c>
      <c r="X30" s="233">
        <f>ROUND(SUM(Site_Category_Sum_12[[#This Row],[Column2]:[Column7]]),2)</f>
        <v>0</v>
      </c>
    </row>
    <row r="31" spans="2:26" x14ac:dyDescent="0.25">
      <c r="B31" s="53"/>
      <c r="C31" s="54"/>
      <c r="D31" s="53"/>
      <c r="E31" s="54"/>
      <c r="F31" s="54"/>
      <c r="G31" s="219"/>
      <c r="H31" s="196"/>
      <c r="I31" s="220"/>
      <c r="J31" s="55"/>
      <c r="K31" s="55"/>
      <c r="L31" s="55"/>
      <c r="M31" s="207"/>
      <c r="N31" s="200">
        <f>ROUND(SUM(Site_Detail_12[[#This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ROUND(SUM(Site_Category_Sum_12[[#This Row],[Column2]:[Column7]]),2)</f>
        <v>0</v>
      </c>
    </row>
    <row r="32" spans="2:26" x14ac:dyDescent="0.25">
      <c r="B32" s="53"/>
      <c r="C32" s="54"/>
      <c r="D32" s="53"/>
      <c r="E32" s="54"/>
      <c r="F32" s="54"/>
      <c r="G32" s="219"/>
      <c r="H32" s="196"/>
      <c r="I32" s="220"/>
      <c r="J32" s="55"/>
      <c r="K32" s="55"/>
      <c r="L32" s="55"/>
      <c r="M32" s="207"/>
      <c r="N32" s="200">
        <f>ROUND(SUM(Site_Detail_12[[#This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ROUND(SUM(Site_Detail_12[[#This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ROUND(SUM(Site_Detail_12[[#This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ROUND(SUM(Site_Detail_12[[#This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ROUND(SUM(Site_Detail_12[[#This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ROUND(SUM(Site_Detail_12[[#This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ROUND(SUM(Site_Detail_12[[#This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ROUND(SUM(Site_Detail_12[[#This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ROUND(SUM(Site_Detail_12[[#This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ROUND(SUM(Site_Detail_12[[#This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ROUND(SUM(Site_Detail_12[[#This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ROUND(SUM(Site_Detail_12[[#This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ROUND(SUM(Site_Detail_12[[#This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ROUND(SUM(Site_Detail_12[[#This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ROUND(SUM(Site_Detail_12[[#This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ROUND(SUM(Site_Detail_12[[#This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ROUND(SUM(Site_Detail_12[[#This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ROUND(SUM(Site_Detail_12[[#This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ROUND(SUM(Site_Detail_12[[#This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ROUND(SUM(Site_Detail_12[[#This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ROUND(SUM(Site_Detail_12[[#This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ROUND(SUM(Site_Detail_12[[#This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ROUND(SUM(Site_Detail_12[[#This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ROUND(SUM(Site_Detail_12[[#This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ROUND(SUM(Site_Detail_12[[#This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ROUND(SUM(Site_Detail_12[[#This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ROUND(SUM(Site_Detail_12[[#This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ROUND(SUM(Site_Detail_12[[#This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ROUND(SUM(Site_Detail_12[[#This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ROUND(SUM(Site_Detail_12[[#This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ROUND(SUM(Site_Detail_12[[#This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ROUND(SUM(Site_Detail_12[[#This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ROUND(SUM(Site_Detail_12[[#This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ROUND(SUM(Site_Detail_12[[#This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ROUND(SUM(Site_Detail_12[[#This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ROUND(SUM(Site_Detail_12[[#This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ROUND(SUM(Site_Detail_12[[#This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ROUND(SUM(Site_Detail_12[[#This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ROUND(SUM(Site_Detail_12[[#This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ROUND(SUM(Site_Detail_12[[#This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ROUND(SUM(Site_Detail_12[[#This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ROUND(SUM(Site_Detail_12[[#This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ROUND(SUM(Site_Detail_12[[#This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ROUND(SUM(Site_Detail_12[[#This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ROUND(SUM(Site_Detail_12[[#This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ROUND(SUM(Site_Detail_12[[#This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ROUND(SUM(Site_Detail_12[[#This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ROUND(SUM(Site_Detail_12[[#This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ROUND(SUM(Site_Detail_12[[#This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ROUND(SUM(Site_Detail_12[[#This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ROUND(SUM(Site_Detail_12[[#This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ROUND(SUM(Site_Detail_12[[#This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ROUND(SUM(Site_Detail_12[[#This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ROUND(SUM(Site_Detail_12[[#This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ROUND(SUM(Site_Detail_12[[#This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ROUND(SUM(Site_Detail_12[[#This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43" priority="6" operator="equal">
      <formula>"(select)"</formula>
    </cfRule>
  </conditionalFormatting>
  <conditionalFormatting sqref="B13:G87">
    <cfRule type="expression" dxfId="42" priority="7">
      <formula>AND(SUM($H13:$M13)&gt;0,B13="")</formula>
    </cfRule>
  </conditionalFormatting>
  <conditionalFormatting sqref="C4:C5 C7">
    <cfRule type="cellIs" dxfId="41" priority="1" operator="equal">
      <formula>"(autofill)"</formula>
    </cfRule>
    <cfRule type="expression" dxfId="40" priority="2">
      <formula>$C$5="Invalid Entity ID"</formula>
    </cfRule>
  </conditionalFormatting>
  <conditionalFormatting sqref="C6">
    <cfRule type="cellIs" dxfId="39" priority="3" operator="equal">
      <formula>"(enter center/site name)"</formula>
    </cfRule>
  </conditionalFormatting>
  <conditionalFormatting sqref="C8">
    <cfRule type="cellIs" dxfId="38" priority="4" operator="equal">
      <formula>"(enter #)"</formula>
    </cfRule>
  </conditionalFormatting>
  <conditionalFormatting sqref="C13:C87">
    <cfRule type="cellIs" dxfId="37" priority="8" operator="equal">
      <formula>"Yes"</formula>
    </cfRule>
  </conditionalFormatting>
  <conditionalFormatting sqref="E13">
    <cfRule type="cellIs" dxfId="36" priority="9" operator="equal">
      <formula>"(fx code)"</formula>
    </cfRule>
  </conditionalFormatting>
  <conditionalFormatting sqref="F13">
    <cfRule type="cellIs" dxfId="35" priority="10" operator="equal">
      <formula>"(obj)"</formula>
    </cfRule>
  </conditionalFormatting>
  <conditionalFormatting sqref="G13">
    <cfRule type="cellIs" dxfId="34" priority="11" operator="equal">
      <formula>"(enter description)"</formula>
    </cfRule>
  </conditionalFormatting>
  <conditionalFormatting sqref="H13:M13">
    <cfRule type="cellIs" dxfId="33" priority="12" operator="equal">
      <formula>"(enter $)"</formula>
    </cfRule>
  </conditionalFormatting>
  <conditionalFormatting sqref="I7:M7 I12:M12 S12:W12">
    <cfRule type="containsText" dxfId="32" priority="5" operator="containsText" text="(addt'l. fund source">
      <formula>NOT(ISERROR(SEARCH("(addt'l. fund source",I7)))</formula>
    </cfRule>
  </conditionalFormatting>
  <conditionalFormatting sqref="O13">
    <cfRule type="cellIs" dxfId="31" priority="13" operator="equal">
      <formula>"(enter note)"</formula>
    </cfRule>
  </conditionalFormatting>
  <dataValidations count="4">
    <dataValidation allowBlank="1" showInputMessage="1" showErrorMessage="1" prompt="Each line item for salaries MUST indicate: _x000a__x000a_1) Amount of FTE, and _x000a__x000a_2) Type of position (see Budget Guidance tab for examples)." sqref="G13:G15" xr:uid="{E19ADE5B-D8A2-4159-88F5-2CA591B18558}"/>
    <dataValidation type="list" allowBlank="1" showErrorMessage="1" sqref="B13:B87" xr:uid="{BC31D971-3FA7-42AC-B2FF-67A7D34C434C}">
      <formula1>Program_List</formula1>
    </dataValidation>
    <dataValidation type="list" allowBlank="1" showErrorMessage="1" sqref="D13:D87" xr:uid="{685B36E3-F8DF-4701-AF3C-C9FE481521CA}">
      <formula1>Categories_List</formula1>
    </dataValidation>
    <dataValidation type="list" allowBlank="1" showErrorMessage="1" sqref="C13:C87" xr:uid="{AE783FE2-F344-4A68-9F6C-034CC804D078}">
      <formula1>Contracted_List</formula1>
    </dataValidation>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A1D3A1"/>
    <pageSetUpPr autoPageBreaks="0" fitToPage="1"/>
  </sheetPr>
  <dimension ref="A1:N857"/>
  <sheetViews>
    <sheetView showGridLines="0" showRowColHeaders="0" zoomScaleNormal="100" workbookViewId="0">
      <selection activeCell="B2" sqref="B2:H2"/>
    </sheetView>
  </sheetViews>
  <sheetFormatPr defaultColWidth="9.140625" defaultRowHeight="15" customHeight="1" x14ac:dyDescent="0.25"/>
  <cols>
    <col min="1" max="1" width="2.7109375" style="13" customWidth="1"/>
    <col min="2" max="2" width="24.85546875" style="96" bestFit="1" customWidth="1"/>
    <col min="3" max="4" width="14.28515625" style="97" bestFit="1" customWidth="1"/>
    <col min="5" max="5" width="14.28515625" style="105" bestFit="1" customWidth="1"/>
    <col min="6" max="9" width="14.28515625" style="99" bestFit="1" customWidth="1"/>
    <col min="10" max="10" width="2.7109375" style="99" customWidth="1"/>
    <col min="11" max="11" width="23.140625" style="99" bestFit="1" customWidth="1"/>
    <col min="12" max="12" width="14.28515625" style="99" bestFit="1" customWidth="1"/>
    <col min="13" max="13" width="2.7109375" style="99" customWidth="1"/>
    <col min="14" max="14" width="14.28515625" style="99" bestFit="1" customWidth="1"/>
    <col min="15" max="16384" width="9.140625" style="99"/>
  </cols>
  <sheetData>
    <row r="1" spans="1:14" ht="15" customHeight="1" x14ac:dyDescent="0.25">
      <c r="A1" s="13" t="s">
        <v>0</v>
      </c>
      <c r="E1" s="98"/>
      <c r="F1" s="98"/>
      <c r="G1" s="98"/>
      <c r="H1" s="98"/>
    </row>
    <row r="2" spans="1:14" ht="24.75" x14ac:dyDescent="0.25">
      <c r="A2" s="13" t="s">
        <v>0</v>
      </c>
      <c r="B2" s="395" t="s">
        <v>579</v>
      </c>
      <c r="C2" s="396"/>
      <c r="D2" s="396"/>
      <c r="E2" s="396"/>
      <c r="F2" s="396"/>
      <c r="G2" s="396"/>
      <c r="H2" s="397"/>
    </row>
    <row r="3" spans="1:14" ht="12" customHeight="1" x14ac:dyDescent="0.25">
      <c r="A3" s="13" t="s">
        <v>0</v>
      </c>
      <c r="E3" s="98"/>
      <c r="F3" s="98"/>
      <c r="G3" s="98"/>
      <c r="H3" s="98"/>
    </row>
    <row r="4" spans="1:14" ht="17.25" x14ac:dyDescent="0.25">
      <c r="A4" s="13" t="s">
        <v>0</v>
      </c>
      <c r="B4" s="419" t="s">
        <v>575</v>
      </c>
      <c r="C4" s="420"/>
      <c r="D4" s="421"/>
      <c r="E4" s="100"/>
      <c r="F4" s="98"/>
      <c r="G4" s="98"/>
      <c r="H4" s="98"/>
    </row>
    <row r="5" spans="1:14" ht="30.75" thickBot="1" x14ac:dyDescent="0.3">
      <c r="A5" s="13" t="s">
        <v>0</v>
      </c>
      <c r="B5" s="131" t="s">
        <v>574</v>
      </c>
      <c r="C5" s="132" t="s">
        <v>573</v>
      </c>
      <c r="D5" s="133" t="s">
        <v>569</v>
      </c>
      <c r="E5" s="122" t="s">
        <v>568</v>
      </c>
      <c r="F5" s="98"/>
      <c r="G5" s="98"/>
      <c r="H5" s="98"/>
    </row>
    <row r="6" spans="1:14" ht="30" x14ac:dyDescent="0.25">
      <c r="A6" s="13" t="s">
        <v>0</v>
      </c>
      <c r="B6" s="125" t="s">
        <v>570</v>
      </c>
      <c r="C6" s="126" t="str">
        <f>IFERROR(ROUND('Program Budget'!$C$7*0.9,2),"(autofill)")</f>
        <v>(autofill)</v>
      </c>
      <c r="D6" s="127">
        <f>ROUND('Program Budget'!R32+'Site 1 Budget'!R29+'Site 2 Budget'!R29+'Site 3 Budget'!R29+'Site 4 Budget'!R29+'Site 5 Budget'!R29+'Site 6 Budget'!R29+'Site 7 Budget'!R29+'Site 8 Budget'!R29+'Site 9 Budget'!R29+'Site 10 Budget'!R29+'Site 11 Budget'!R29+'Site 12 Budget'!R29,2)</f>
        <v>0</v>
      </c>
      <c r="E6" s="123" t="str">
        <f>IF(Requirements_Verification[[#This Row],[Column2]]="(autofill)","-",IF(ROUND(Requirements_Verification[[#This Row],[Column3]],2)&lt;=ROUND(Requirements_Verification[[#This Row],[Column2]],2),"Yes","No"))</f>
        <v>-</v>
      </c>
      <c r="F6" s="249"/>
      <c r="G6" s="250"/>
      <c r="H6" s="98"/>
    </row>
    <row r="7" spans="1:14" ht="30" x14ac:dyDescent="0.25">
      <c r="A7" s="13" t="s">
        <v>0</v>
      </c>
      <c r="B7" s="120" t="s">
        <v>571</v>
      </c>
      <c r="C7" s="128" t="str">
        <f>IFERROR(ROUND('Program Budget'!$C$7*0.25,2),"(autofill)")</f>
        <v>(autofill)</v>
      </c>
      <c r="D7" s="127">
        <f>$C$14</f>
        <v>0</v>
      </c>
      <c r="E7" s="123" t="str">
        <f>IF(Requirements_Verification[[#This Row],[Column2]]="(autofill)","-",IF(ROUND(Requirements_Verification[[#This Row],[Column3]],2)&lt;=ROUND(Requirements_Verification[[#This Row],[Column2]],2),"Yes","No"))</f>
        <v>-</v>
      </c>
      <c r="F7" s="98"/>
    </row>
    <row r="8" spans="1:14" ht="30" customHeight="1" thickBot="1" x14ac:dyDescent="0.3">
      <c r="A8" s="13" t="s">
        <v>0</v>
      </c>
      <c r="B8" s="121" t="s">
        <v>572</v>
      </c>
      <c r="C8" s="129" t="str">
        <f>IFERROR(ROUND('Program Budget'!$C$7*0.05,2),"(autofill)")</f>
        <v>(autofill)</v>
      </c>
      <c r="D8" s="127">
        <f>$C$15</f>
        <v>0</v>
      </c>
      <c r="E8" s="123" t="str">
        <f>IF(Requirements_Verification[[#This Row],[Column2]]="(autofill)","-",IF(ROUND(Requirements_Verification[[#This Row],[Column3]],2)&gt;=ROUND(Requirements_Verification[[#This Row],[Column2]],2),"Yes","No"))</f>
        <v>-</v>
      </c>
      <c r="F8" s="98"/>
      <c r="H8" s="252" t="s">
        <v>592</v>
      </c>
      <c r="J8" s="249"/>
    </row>
    <row r="9" spans="1:14" ht="30" customHeight="1" x14ac:dyDescent="0.25">
      <c r="A9" s="13" t="s">
        <v>0</v>
      </c>
      <c r="B9" s="121" t="s">
        <v>580</v>
      </c>
      <c r="C9" s="129" t="str">
        <f>IF($C$8="(autofill)","(autofill)",IF(AND('Program Budget'!$H$11="(enter %)",Requirements_Verification[[#This Row],[Column3]]&lt;&gt;0),"ERROR",IFERROR(ROUND('Program Budget'!$C$7*'Program Budget'!$H$11,2),0)))</f>
        <v>(autofill)</v>
      </c>
      <c r="D9" s="130">
        <f>$C$24</f>
        <v>0</v>
      </c>
      <c r="E9" s="123" t="str">
        <f>IF(Requirements_Verification[[#This Row],[Column2]]="(autofill)","-",IFERROR(IF(ROUND(Requirements_Verification[[#This Row],[Column3]],2)&lt;=ROUND(Requirements_Verification[[#This Row],[Column2]],2),"Yes","No"),"No"))</f>
        <v>-</v>
      </c>
      <c r="F9" s="424" t="s">
        <v>655</v>
      </c>
      <c r="G9" s="425"/>
      <c r="H9" s="253" t="str">
        <f>IF(SUM('Site 1 Budget'!$C$8,'Site 2 Budget'!$C$8,'Site 3 Budget'!$C$8,'Site 4 Budget'!$C$8,'Site 5 Budget'!$C$8,'Site 6 Budget'!$C$8,'Site 7 Budget'!$C$8,'Site 8 Budget'!$C$8,'Site 9 Budget'!$C$8,'Site 10 Budget'!$C$8,'Site 11 Budget'!$C$8,'Site 12 Budget'!$C$8)=0,"-",SUM('Site 1 Budget'!$C$8,'Site 2 Budget'!$C$8,'Site 3 Budget'!$C$8,'Site 4 Budget'!$C$8,'Site 5 Budget'!$C$8,'Site 6 Budget'!$C$8,'Site 7 Budget'!$C$8,'Site 8 Budget'!$C$8,'Site 9 Budget'!$C$8,'Site 10 Budget'!$C$8,'Site 11 Budget'!$C$8,'Site 12 Budget'!$C$8))</f>
        <v>-</v>
      </c>
    </row>
    <row r="10" spans="1:14" ht="12" customHeight="1" thickBot="1" x14ac:dyDescent="0.3">
      <c r="A10" s="13" t="s">
        <v>0</v>
      </c>
      <c r="E10" s="98"/>
      <c r="F10" s="275"/>
      <c r="G10" s="275"/>
      <c r="H10"/>
      <c r="I10"/>
      <c r="J10"/>
      <c r="K10"/>
    </row>
    <row r="11" spans="1:14" s="100" customFormat="1" ht="18" customHeight="1" thickTop="1" x14ac:dyDescent="0.25">
      <c r="A11" s="13" t="s">
        <v>0</v>
      </c>
      <c r="B11" s="417" t="s">
        <v>606</v>
      </c>
      <c r="C11" s="418"/>
      <c r="D11"/>
      <c r="F11" s="276"/>
      <c r="G11" s="276"/>
    </row>
    <row r="12" spans="1:14" s="100" customFormat="1" ht="30.75" thickBot="1" x14ac:dyDescent="0.3">
      <c r="A12" s="13" t="s">
        <v>0</v>
      </c>
      <c r="B12" s="256" t="s">
        <v>544</v>
      </c>
      <c r="C12" s="257" t="s">
        <v>289</v>
      </c>
      <c r="D12" s="254" t="str">
        <f>IF(IFERROR(FIND("enter",Program_Detail[[#Headers],[(enter addt''l. fund source 1)]]),0)&gt;0,"(addt'l. fund source 1)",Program_Detail[[#Headers],[(enter addt''l. fund source 1)]])</f>
        <v>(addt'l. fund source 1)</v>
      </c>
      <c r="E12" s="106" t="str">
        <f>IF(IFERROR(FIND("enter",Program_Detail[[#Headers],[(enter addt''l. fund source 2)]]),0)&gt;0,"(addt'l. fund source 2)",Program_Detail[[#Headers],[(enter addt''l. fund source 2)]])</f>
        <v>(addt'l. fund source 2)</v>
      </c>
      <c r="F12" s="106" t="str">
        <f>IF(IFERROR(FIND("enter",Program_Detail[[#Headers],[(enter addt''l. fund source 3)]]),0)&gt;0,"(addt'l. fund source 3)",Program_Detail[[#Headers],[(enter addt''l. fund source 3)]])</f>
        <v>(addt'l. fund source 3)</v>
      </c>
      <c r="G12" s="106" t="str">
        <f>IF(IFERROR(FIND("enter",Program_Detail[[#Headers],[(enter addt''l. fund source 4)]]),0)&gt;0,"(addt'l. fund source 4)",Program_Detail[[#Headers],[(enter addt''l. fund source 4)]])</f>
        <v>(addt'l. fund source 4)</v>
      </c>
      <c r="H12" s="107" t="str">
        <f>IF(IFERROR(FIND("enter",Program_Detail[[#Headers],[(enter addt''l. fund source 5)]]),0)&gt;0,"(addt'l. fund source 5)",Program_Detail[[#Headers],[(enter addt''l. fund source 5)]])</f>
        <v>(addt'l. fund source 5)</v>
      </c>
      <c r="I12" s="108" t="s">
        <v>607</v>
      </c>
    </row>
    <row r="13" spans="1:14" s="100" customFormat="1" ht="15" customHeight="1" thickTop="1" x14ac:dyDescent="0.25">
      <c r="A13" s="13" t="s">
        <v>0</v>
      </c>
      <c r="B13" s="258" t="s">
        <v>545</v>
      </c>
      <c r="C13" s="259">
        <f>ROUND('Program Budget'!R16+'Site 1 Budget'!R13+'Site 2 Budget'!R13+'Site 3 Budget'!R13+'Site 4 Budget'!R13+'Site 5 Budget'!R13+'Site 6 Budget'!R13+'Site 7 Budget'!R13+'Site 8 Budget'!R13+'Site 9 Budget'!R13+'Site 10 Budget'!R13+'Site 11 Budget'!R13+'Site 12 Budget'!R13,2)</f>
        <v>0</v>
      </c>
      <c r="D13" s="102">
        <f>ROUND('Program Budget'!S16+'Site 1 Budget'!S13+'Site 2 Budget'!S13+'Site 3 Budget'!S13+'Site 4 Budget'!S13+'Site 5 Budget'!S13+'Site 6 Budget'!S13+'Site 7 Budget'!S13+'Site 8 Budget'!S13+'Site 9 Budget'!S13+'Site 10 Budget'!S13+'Site 11 Budget'!S13+'Site 12 Budget'!S13,2)</f>
        <v>0</v>
      </c>
      <c r="E13" s="102">
        <f>ROUND('Program Budget'!T16+'Site 1 Budget'!T13+'Site 2 Budget'!T13+'Site 3 Budget'!T13+'Site 4 Budget'!T13+'Site 5 Budget'!T13+'Site 6 Budget'!T13+'Site 7 Budget'!T13+'Site 8 Budget'!T13+'Site 9 Budget'!T13+'Site 10 Budget'!T13+'Site 11 Budget'!T13+'Site 12 Budget'!T13,2)</f>
        <v>0</v>
      </c>
      <c r="F13" s="102">
        <f>ROUND('Program Budget'!U16+'Site 1 Budget'!U13+'Site 2 Budget'!U13+'Site 3 Budget'!U13+'Site 4 Budget'!U13+'Site 5 Budget'!U13+'Site 6 Budget'!U13+'Site 7 Budget'!U13+'Site 8 Budget'!U13+'Site 9 Budget'!U13+'Site 10 Budget'!U13+'Site 11 Budget'!U13+'Site 12 Budget'!U13,2)</f>
        <v>0</v>
      </c>
      <c r="G13" s="102">
        <f>ROUND('Program Budget'!V16+'Site 1 Budget'!V13+'Site 2 Budget'!V13+'Site 3 Budget'!V13+'Site 4 Budget'!V13+'Site 5 Budget'!V13+'Site 6 Budget'!V13+'Site 7 Budget'!V13+'Site 8 Budget'!V13+'Site 9 Budget'!V13+'Site 10 Budget'!V13+'Site 11 Budget'!V13+'Site 12 Budget'!V13,2)</f>
        <v>0</v>
      </c>
      <c r="H13" s="102">
        <f>ROUND('Program Budget'!W16+'Site 1 Budget'!W13+'Site 2 Budget'!W13+'Site 3 Budget'!W13+'Site 4 Budget'!W13+'Site 5 Budget'!W13+'Site 6 Budget'!W13+'Site 7 Budget'!W13+'Site 8 Budget'!W13+'Site 9 Budget'!W13+'Site 10 Budget'!W13+'Site 11 Budget'!W13+'Site 12 Budget'!W13,2)</f>
        <v>0</v>
      </c>
      <c r="I13" s="242">
        <f>SUM(Summary_by_Category[[#This Row],[Column2]:[Column7]])</f>
        <v>0</v>
      </c>
      <c r="K13" s="264" t="s">
        <v>598</v>
      </c>
      <c r="L13" s="265" t="str">
        <f>'Program Budget'!$C$7</f>
        <v>(autofill)</v>
      </c>
      <c r="N13" s="251"/>
    </row>
    <row r="14" spans="1:14" s="100" customFormat="1" ht="15" customHeight="1" x14ac:dyDescent="0.25">
      <c r="A14" s="13" t="s">
        <v>0</v>
      </c>
      <c r="B14" s="260" t="s">
        <v>546</v>
      </c>
      <c r="C14" s="259">
        <f>ROUND('Program Budget'!R17+'Site 1 Budget'!R14+'Site 2 Budget'!R14+'Site 3 Budget'!R14+'Site 4 Budget'!R14+'Site 5 Budget'!R14+'Site 6 Budget'!R14+'Site 7 Budget'!R14+'Site 8 Budget'!R14+'Site 9 Budget'!R14+'Site 10 Budget'!R14+'Site 11 Budget'!R14+'Site 12 Budget'!R14,2)</f>
        <v>0</v>
      </c>
      <c r="D14" s="102">
        <f>ROUND('Program Budget'!S17+'Site 1 Budget'!S14+'Site 2 Budget'!S14+'Site 3 Budget'!S14+'Site 4 Budget'!S14+'Site 5 Budget'!S14+'Site 6 Budget'!S14+'Site 7 Budget'!S14+'Site 8 Budget'!S14+'Site 9 Budget'!S14+'Site 10 Budget'!S14+'Site 11 Budget'!S14+'Site 12 Budget'!S14,2)</f>
        <v>0</v>
      </c>
      <c r="E14" s="102">
        <f>ROUND('Program Budget'!T17+'Site 1 Budget'!T14+'Site 2 Budget'!T14+'Site 3 Budget'!T14+'Site 4 Budget'!T14+'Site 5 Budget'!T14+'Site 6 Budget'!T14+'Site 7 Budget'!T14+'Site 8 Budget'!T14+'Site 9 Budget'!T14+'Site 10 Budget'!T14+'Site 11 Budget'!T14+'Site 12 Budget'!T14,2)</f>
        <v>0</v>
      </c>
      <c r="F14" s="102">
        <f>ROUND('Program Budget'!U17+'Site 1 Budget'!U14+'Site 2 Budget'!U14+'Site 3 Budget'!U14+'Site 4 Budget'!U14+'Site 5 Budget'!U14+'Site 6 Budget'!U14+'Site 7 Budget'!U14+'Site 8 Budget'!U14+'Site 9 Budget'!U14+'Site 10 Budget'!U14+'Site 11 Budget'!U14+'Site 12 Budget'!U14,2)</f>
        <v>0</v>
      </c>
      <c r="G14" s="102">
        <f>ROUND('Program Budget'!V17+'Site 1 Budget'!V14+'Site 2 Budget'!V14+'Site 3 Budget'!V14+'Site 4 Budget'!V14+'Site 5 Budget'!V14+'Site 6 Budget'!V14+'Site 7 Budget'!V14+'Site 8 Budget'!V14+'Site 9 Budget'!V14+'Site 10 Budget'!V14+'Site 11 Budget'!V14+'Site 12 Budget'!V14,2)</f>
        <v>0</v>
      </c>
      <c r="H14" s="102">
        <f>ROUND('Program Budget'!W17+'Site 1 Budget'!W14+'Site 2 Budget'!W14+'Site 3 Budget'!W14+'Site 4 Budget'!W14+'Site 5 Budget'!W14+'Site 6 Budget'!W14+'Site 7 Budget'!W14+'Site 8 Budget'!W14+'Site 9 Budget'!W14+'Site 10 Budget'!W14+'Site 11 Budget'!W14+'Site 12 Budget'!W14,2)</f>
        <v>0</v>
      </c>
      <c r="I14" s="242">
        <f>SUM(Summary_by_Category[[#This Row],[Column2]:[Column7]])</f>
        <v>0</v>
      </c>
      <c r="K14" s="266" t="s">
        <v>611</v>
      </c>
      <c r="L14" s="267">
        <f>ROUND('Program Budget'!$H$10+'Site 1 Budget'!$H$10+'Site 2 Budget'!$H$10+'Site 3 Budget'!$H$10+'Site 4 Budget'!$H$10+'Site 5 Budget'!$H$10+'Site 6 Budget'!$H$10+'Site 7 Budget'!$H$10+'Site 8 Budget'!$H$10+'Site 9 Budget'!$H$10+'Site 10 Budget'!$H$10+'Site 11 Budget'!$H$10+'Site 12 Budget'!$H$10,2)</f>
        <v>0</v>
      </c>
      <c r="M14" s="99"/>
      <c r="N14" s="123"/>
    </row>
    <row r="15" spans="1:14" s="100" customFormat="1" ht="15" customHeight="1" thickBot="1" x14ac:dyDescent="0.3">
      <c r="A15" s="13" t="s">
        <v>0</v>
      </c>
      <c r="B15" s="260" t="s">
        <v>161</v>
      </c>
      <c r="C15" s="259">
        <f>ROUND('Program Budget'!R18+'Site 1 Budget'!R15+'Site 2 Budget'!R15+'Site 3 Budget'!R15+'Site 4 Budget'!R15+'Site 5 Budget'!R15+'Site 6 Budget'!R15+'Site 7 Budget'!R15+'Site 8 Budget'!R15+'Site 9 Budget'!R15+'Site 10 Budget'!R15+'Site 11 Budget'!R15+'Site 12 Budget'!R15,2)</f>
        <v>0</v>
      </c>
      <c r="D15" s="102">
        <f>ROUND('Program Budget'!S18+'Site 1 Budget'!S15+'Site 2 Budget'!S15+'Site 3 Budget'!S15+'Site 4 Budget'!S15+'Site 5 Budget'!S15+'Site 6 Budget'!S15+'Site 7 Budget'!S15+'Site 8 Budget'!S15+'Site 9 Budget'!S15+'Site 10 Budget'!S15+'Site 11 Budget'!S15+'Site 12 Budget'!S15,2)</f>
        <v>0</v>
      </c>
      <c r="E15" s="102">
        <f>ROUND('Program Budget'!T18+'Site 1 Budget'!T15+'Site 2 Budget'!T15+'Site 3 Budget'!T15+'Site 4 Budget'!T15+'Site 5 Budget'!T15+'Site 6 Budget'!T15+'Site 7 Budget'!T15+'Site 8 Budget'!T15+'Site 9 Budget'!T15+'Site 10 Budget'!T15+'Site 11 Budget'!T15+'Site 12 Budget'!T15,2)</f>
        <v>0</v>
      </c>
      <c r="F15" s="102">
        <f>ROUND('Program Budget'!U18+'Site 1 Budget'!U15+'Site 2 Budget'!U15+'Site 3 Budget'!U15+'Site 4 Budget'!U15+'Site 5 Budget'!U15+'Site 6 Budget'!U15+'Site 7 Budget'!U15+'Site 8 Budget'!U15+'Site 9 Budget'!U15+'Site 10 Budget'!U15+'Site 11 Budget'!U15+'Site 12 Budget'!U15,2)</f>
        <v>0</v>
      </c>
      <c r="G15" s="102">
        <f>ROUND('Program Budget'!V18+'Site 1 Budget'!V15+'Site 2 Budget'!V15+'Site 3 Budget'!V15+'Site 4 Budget'!V15+'Site 5 Budget'!V15+'Site 6 Budget'!V15+'Site 7 Budget'!V15+'Site 8 Budget'!V15+'Site 9 Budget'!V15+'Site 10 Budget'!V15+'Site 11 Budget'!V15+'Site 12 Budget'!V15,2)</f>
        <v>0</v>
      </c>
      <c r="H15" s="102">
        <f>ROUND('Program Budget'!W18+'Site 1 Budget'!W15+'Site 2 Budget'!W15+'Site 3 Budget'!W15+'Site 4 Budget'!W15+'Site 5 Budget'!W15+'Site 6 Budget'!W15+'Site 7 Budget'!W15+'Site 8 Budget'!W15+'Site 9 Budget'!W15+'Site 10 Budget'!W15+'Site 11 Budget'!W15+'Site 12 Budget'!W15,2)</f>
        <v>0</v>
      </c>
      <c r="I15" s="242">
        <f>SUM(Summary_by_Category[[#This Row],[Column2]:[Column7]])</f>
        <v>0</v>
      </c>
      <c r="K15" s="268" t="s">
        <v>599</v>
      </c>
      <c r="L15" s="269">
        <f>IFERROR(ROUND($L$13-$L$14,2),0)</f>
        <v>0</v>
      </c>
    </row>
    <row r="16" spans="1:14" s="100" customFormat="1" ht="15" customHeight="1" thickTop="1" thickBot="1" x14ac:dyDescent="0.3">
      <c r="A16" s="13" t="s">
        <v>0</v>
      </c>
      <c r="B16" s="260" t="s">
        <v>162</v>
      </c>
      <c r="C16" s="259">
        <f>ROUND('Program Budget'!R19+'Site 1 Budget'!R16+'Site 2 Budget'!R16+'Site 3 Budget'!R16+'Site 4 Budget'!R16+'Site 5 Budget'!R16+'Site 6 Budget'!R16+'Site 7 Budget'!R16+'Site 8 Budget'!R16+'Site 9 Budget'!R16+'Site 10 Budget'!R16+'Site 11 Budget'!R16+'Site 12 Budget'!R16,2)</f>
        <v>0</v>
      </c>
      <c r="D16" s="102">
        <f>ROUND('Program Budget'!S19+'Site 1 Budget'!S16+'Site 2 Budget'!S16+'Site 3 Budget'!S16+'Site 4 Budget'!S16+'Site 5 Budget'!S16+'Site 6 Budget'!S16+'Site 7 Budget'!S16+'Site 8 Budget'!S16+'Site 9 Budget'!S16+'Site 10 Budget'!S16+'Site 11 Budget'!S16+'Site 12 Budget'!S16,2)</f>
        <v>0</v>
      </c>
      <c r="E16" s="102">
        <f>ROUND('Program Budget'!T19+'Site 1 Budget'!T16+'Site 2 Budget'!T16+'Site 3 Budget'!T16+'Site 4 Budget'!T16+'Site 5 Budget'!T16+'Site 6 Budget'!T16+'Site 7 Budget'!T16+'Site 8 Budget'!T16+'Site 9 Budget'!T16+'Site 10 Budget'!T16+'Site 11 Budget'!T16+'Site 12 Budget'!T16,2)</f>
        <v>0</v>
      </c>
      <c r="F16" s="102">
        <f>ROUND('Program Budget'!U19+'Site 1 Budget'!U16+'Site 2 Budget'!U16+'Site 3 Budget'!U16+'Site 4 Budget'!U16+'Site 5 Budget'!U16+'Site 6 Budget'!U16+'Site 7 Budget'!U16+'Site 8 Budget'!U16+'Site 9 Budget'!U16+'Site 10 Budget'!U16+'Site 11 Budget'!U16+'Site 12 Budget'!U16,2)</f>
        <v>0</v>
      </c>
      <c r="G16" s="102">
        <f>ROUND('Program Budget'!V19+'Site 1 Budget'!V16+'Site 2 Budget'!V16+'Site 3 Budget'!V16+'Site 4 Budget'!V16+'Site 5 Budget'!V16+'Site 6 Budget'!V16+'Site 7 Budget'!V16+'Site 8 Budget'!V16+'Site 9 Budget'!V16+'Site 10 Budget'!V16+'Site 11 Budget'!V16+'Site 12 Budget'!V16,2)</f>
        <v>0</v>
      </c>
      <c r="H16" s="102">
        <f>ROUND('Program Budget'!W19+'Site 1 Budget'!W16+'Site 2 Budget'!W16+'Site 3 Budget'!W16+'Site 4 Budget'!W16+'Site 5 Budget'!W16+'Site 6 Budget'!W16+'Site 7 Budget'!W16+'Site 8 Budget'!W16+'Site 9 Budget'!W16+'Site 10 Budget'!W16+'Site 11 Budget'!W16+'Site 12 Budget'!W16,2)</f>
        <v>0</v>
      </c>
      <c r="I16" s="242">
        <f>SUM(Summary_by_Category[[#This Row],[Column2]:[Column7]])</f>
        <v>0</v>
      </c>
    </row>
    <row r="17" spans="1:12" s="100" customFormat="1" ht="15" customHeight="1" thickTop="1" x14ac:dyDescent="0.25">
      <c r="A17" s="13" t="s">
        <v>0</v>
      </c>
      <c r="B17" s="260" t="s">
        <v>596</v>
      </c>
      <c r="C17" s="259">
        <f>ROUND('Program Budget'!R20+'Site 1 Budget'!R17+'Site 2 Budget'!R17+'Site 3 Budget'!R17+'Site 4 Budget'!R17+'Site 5 Budget'!R17+'Site 6 Budget'!R17+'Site 7 Budget'!R17+'Site 8 Budget'!R17+'Site 9 Budget'!R17+'Site 10 Budget'!R17+'Site 11 Budget'!R17+'Site 12 Budget'!R17,2)</f>
        <v>0</v>
      </c>
      <c r="D17" s="102">
        <f>ROUND('Program Budget'!S20+'Site 1 Budget'!S17+'Site 2 Budget'!S17+'Site 3 Budget'!S17+'Site 4 Budget'!S17+'Site 5 Budget'!S17+'Site 6 Budget'!S17+'Site 7 Budget'!S17+'Site 8 Budget'!S17+'Site 9 Budget'!S17+'Site 10 Budget'!S17+'Site 11 Budget'!S17+'Site 12 Budget'!S17,2)</f>
        <v>0</v>
      </c>
      <c r="E17" s="102">
        <f>ROUND('Program Budget'!T20+'Site 1 Budget'!T17+'Site 2 Budget'!T17+'Site 3 Budget'!T17+'Site 4 Budget'!T17+'Site 5 Budget'!T17+'Site 6 Budget'!T17+'Site 7 Budget'!T17+'Site 8 Budget'!T17+'Site 9 Budget'!T17+'Site 10 Budget'!T17+'Site 11 Budget'!T17+'Site 12 Budget'!T17,2)</f>
        <v>0</v>
      </c>
      <c r="F17" s="102">
        <f>ROUND('Program Budget'!U20+'Site 1 Budget'!U17+'Site 2 Budget'!U17+'Site 3 Budget'!U17+'Site 4 Budget'!U17+'Site 5 Budget'!U17+'Site 6 Budget'!U17+'Site 7 Budget'!U17+'Site 8 Budget'!U17+'Site 9 Budget'!U17+'Site 10 Budget'!U17+'Site 11 Budget'!U17+'Site 12 Budget'!U17,2)</f>
        <v>0</v>
      </c>
      <c r="G17" s="102">
        <f>ROUND('Program Budget'!V20+'Site 1 Budget'!V17+'Site 2 Budget'!V17+'Site 3 Budget'!V17+'Site 4 Budget'!V17+'Site 5 Budget'!V17+'Site 6 Budget'!V17+'Site 7 Budget'!V17+'Site 8 Budget'!V17+'Site 9 Budget'!V17+'Site 10 Budget'!V17+'Site 11 Budget'!V17+'Site 12 Budget'!V17,2)</f>
        <v>0</v>
      </c>
      <c r="H17" s="102">
        <f>ROUND('Program Budget'!W20+'Site 1 Budget'!W17+'Site 2 Budget'!W17+'Site 3 Budget'!W17+'Site 4 Budget'!W17+'Site 5 Budget'!W17+'Site 6 Budget'!W17+'Site 7 Budget'!W17+'Site 8 Budget'!W17+'Site 9 Budget'!W17+'Site 10 Budget'!W17+'Site 11 Budget'!W17+'Site 12 Budget'!W17,2)</f>
        <v>0</v>
      </c>
      <c r="I17" s="242">
        <f>SUM(Summary_by_Category[[#This Row],[Column2]:[Column7]])</f>
        <v>0</v>
      </c>
      <c r="K17" s="422" t="s">
        <v>614</v>
      </c>
      <c r="L17" s="423"/>
    </row>
    <row r="18" spans="1:12" s="100" customFormat="1" ht="15" customHeight="1" x14ac:dyDescent="0.25">
      <c r="A18" s="13" t="s">
        <v>0</v>
      </c>
      <c r="B18" s="260" t="s">
        <v>160</v>
      </c>
      <c r="C18" s="259">
        <f>ROUND('Program Budget'!R21+'Site 1 Budget'!R18+'Site 2 Budget'!R18+'Site 3 Budget'!R18+'Site 4 Budget'!R18+'Site 5 Budget'!R18+'Site 6 Budget'!R18+'Site 7 Budget'!R18+'Site 8 Budget'!R18+'Site 9 Budget'!R18+'Site 10 Budget'!R18+'Site 11 Budget'!R18+'Site 12 Budget'!R18,2)</f>
        <v>0</v>
      </c>
      <c r="D18" s="102">
        <f>ROUND('Program Budget'!S21+'Site 1 Budget'!S18+'Site 2 Budget'!S18+'Site 3 Budget'!S18+'Site 4 Budget'!S18+'Site 5 Budget'!S18+'Site 6 Budget'!S18+'Site 7 Budget'!S18+'Site 8 Budget'!S18+'Site 9 Budget'!S18+'Site 10 Budget'!S18+'Site 11 Budget'!S18+'Site 12 Budget'!S18,2)</f>
        <v>0</v>
      </c>
      <c r="E18" s="102">
        <f>ROUND('Program Budget'!T21+'Site 1 Budget'!T18+'Site 2 Budget'!T18+'Site 3 Budget'!T18+'Site 4 Budget'!T18+'Site 5 Budget'!T18+'Site 6 Budget'!T18+'Site 7 Budget'!T18+'Site 8 Budget'!T18+'Site 9 Budget'!T18+'Site 10 Budget'!T18+'Site 11 Budget'!T18+'Site 12 Budget'!T18,2)</f>
        <v>0</v>
      </c>
      <c r="F18" s="102">
        <f>ROUND('Program Budget'!U21+'Site 1 Budget'!U18+'Site 2 Budget'!U18+'Site 3 Budget'!U18+'Site 4 Budget'!U18+'Site 5 Budget'!U18+'Site 6 Budget'!U18+'Site 7 Budget'!U18+'Site 8 Budget'!U18+'Site 9 Budget'!U18+'Site 10 Budget'!U18+'Site 11 Budget'!U18+'Site 12 Budget'!U18,2)</f>
        <v>0</v>
      </c>
      <c r="G18" s="102">
        <f>ROUND('Program Budget'!V21+'Site 1 Budget'!V18+'Site 2 Budget'!V18+'Site 3 Budget'!V18+'Site 4 Budget'!V18+'Site 5 Budget'!V18+'Site 6 Budget'!V18+'Site 7 Budget'!V18+'Site 8 Budget'!V18+'Site 9 Budget'!V18+'Site 10 Budget'!V18+'Site 11 Budget'!V18+'Site 12 Budget'!V18,2)</f>
        <v>0</v>
      </c>
      <c r="H18" s="102">
        <f>ROUND('Program Budget'!W21+'Site 1 Budget'!W18+'Site 2 Budget'!W18+'Site 3 Budget'!W18+'Site 4 Budget'!W18+'Site 5 Budget'!W18+'Site 6 Budget'!W18+'Site 7 Budget'!W18+'Site 8 Budget'!W18+'Site 9 Budget'!W18+'Site 10 Budget'!W18+'Site 11 Budget'!W18+'Site 12 Budget'!W18,2)</f>
        <v>0</v>
      </c>
      <c r="I18" s="242">
        <f>SUM(Summary_by_Category[[#This Row],[Column2]:[Column7]])</f>
        <v>0</v>
      </c>
      <c r="K18" s="411" t="s">
        <v>669</v>
      </c>
      <c r="L18" s="412"/>
    </row>
    <row r="19" spans="1:12" s="100" customFormat="1" ht="15" customHeight="1" x14ac:dyDescent="0.25">
      <c r="A19" s="13" t="s">
        <v>0</v>
      </c>
      <c r="B19" s="260" t="s">
        <v>566</v>
      </c>
      <c r="C19" s="259">
        <f>ROUND('Program Budget'!R22+'Site 1 Budget'!R19+'Site 2 Budget'!R19+'Site 3 Budget'!R19+'Site 4 Budget'!R19+'Site 5 Budget'!R19+'Site 6 Budget'!R19+'Site 7 Budget'!R19+'Site 8 Budget'!R19+'Site 9 Budget'!R19+'Site 10 Budget'!R19+'Site 11 Budget'!R19+'Site 12 Budget'!R19,2)</f>
        <v>0</v>
      </c>
      <c r="D19" s="102">
        <f>ROUND('Program Budget'!S22+'Site 1 Budget'!S19+'Site 2 Budget'!S19+'Site 3 Budget'!S19+'Site 4 Budget'!S19+'Site 5 Budget'!S19+'Site 6 Budget'!S19+'Site 7 Budget'!S19+'Site 8 Budget'!S19+'Site 9 Budget'!S19+'Site 10 Budget'!S19+'Site 11 Budget'!S19+'Site 12 Budget'!S19,2)</f>
        <v>0</v>
      </c>
      <c r="E19" s="102">
        <f>ROUND('Program Budget'!T22+'Site 1 Budget'!T19+'Site 2 Budget'!T19+'Site 3 Budget'!T19+'Site 4 Budget'!T19+'Site 5 Budget'!T19+'Site 6 Budget'!T19+'Site 7 Budget'!T19+'Site 8 Budget'!T19+'Site 9 Budget'!T19+'Site 10 Budget'!T19+'Site 11 Budget'!T19+'Site 12 Budget'!T19,2)</f>
        <v>0</v>
      </c>
      <c r="F19" s="102">
        <f>ROUND('Program Budget'!U22+'Site 1 Budget'!U19+'Site 2 Budget'!U19+'Site 3 Budget'!U19+'Site 4 Budget'!U19+'Site 5 Budget'!U19+'Site 6 Budget'!U19+'Site 7 Budget'!U19+'Site 8 Budget'!U19+'Site 9 Budget'!U19+'Site 10 Budget'!U19+'Site 11 Budget'!U19+'Site 12 Budget'!U19,2)</f>
        <v>0</v>
      </c>
      <c r="G19" s="102">
        <f>ROUND('Program Budget'!V22+'Site 1 Budget'!V19+'Site 2 Budget'!V19+'Site 3 Budget'!V19+'Site 4 Budget'!V19+'Site 5 Budget'!V19+'Site 6 Budget'!V19+'Site 7 Budget'!V19+'Site 8 Budget'!V19+'Site 9 Budget'!V19+'Site 10 Budget'!V19+'Site 11 Budget'!V19+'Site 12 Budget'!V19,2)</f>
        <v>0</v>
      </c>
      <c r="H19" s="102">
        <f>ROUND('Program Budget'!W22+'Site 1 Budget'!W19+'Site 2 Budget'!W19+'Site 3 Budget'!W19+'Site 4 Budget'!W19+'Site 5 Budget'!W19+'Site 6 Budget'!W19+'Site 7 Budget'!W19+'Site 8 Budget'!W19+'Site 9 Budget'!W19+'Site 10 Budget'!W19+'Site 11 Budget'!W19+'Site 12 Budget'!W19,2)</f>
        <v>0</v>
      </c>
      <c r="I19" s="242">
        <f>SUM(Summary_by_Category[[#This Row],[Column2]:[Column7]])</f>
        <v>0</v>
      </c>
      <c r="K19" s="413"/>
      <c r="L19" s="414"/>
    </row>
    <row r="20" spans="1:12" s="100" customFormat="1" ht="15" customHeight="1" x14ac:dyDescent="0.25">
      <c r="A20" s="13" t="s">
        <v>0</v>
      </c>
      <c r="B20" s="260" t="s">
        <v>75</v>
      </c>
      <c r="C20" s="259">
        <f>ROUND('Program Budget'!R23+'Site 1 Budget'!R20+'Site 2 Budget'!R20+'Site 3 Budget'!R20+'Site 4 Budget'!R20+'Site 5 Budget'!R20+'Site 6 Budget'!R20+'Site 7 Budget'!R20+'Site 8 Budget'!R20+'Site 9 Budget'!R20+'Site 10 Budget'!R20+'Site 11 Budget'!R20+'Site 12 Budget'!R20,2)</f>
        <v>0</v>
      </c>
      <c r="D20" s="102">
        <f>ROUND('Program Budget'!S23+'Site 1 Budget'!S20+'Site 2 Budget'!S20+'Site 3 Budget'!S20+'Site 4 Budget'!S20+'Site 5 Budget'!S20+'Site 6 Budget'!S20+'Site 7 Budget'!S20+'Site 8 Budget'!S20+'Site 9 Budget'!S20+'Site 10 Budget'!S20+'Site 11 Budget'!S20+'Site 12 Budget'!S20,2)</f>
        <v>0</v>
      </c>
      <c r="E20" s="102">
        <f>ROUND('Program Budget'!T23+'Site 1 Budget'!T20+'Site 2 Budget'!T20+'Site 3 Budget'!T20+'Site 4 Budget'!T20+'Site 5 Budget'!T20+'Site 6 Budget'!T20+'Site 7 Budget'!T20+'Site 8 Budget'!T20+'Site 9 Budget'!T20+'Site 10 Budget'!T20+'Site 11 Budget'!T20+'Site 12 Budget'!T20,2)</f>
        <v>0</v>
      </c>
      <c r="F20" s="102">
        <f>ROUND('Program Budget'!U23+'Site 1 Budget'!U20+'Site 2 Budget'!U20+'Site 3 Budget'!U20+'Site 4 Budget'!U20+'Site 5 Budget'!U20+'Site 6 Budget'!U20+'Site 7 Budget'!U20+'Site 8 Budget'!U20+'Site 9 Budget'!U20+'Site 10 Budget'!U20+'Site 11 Budget'!U20+'Site 12 Budget'!U20,2)</f>
        <v>0</v>
      </c>
      <c r="G20" s="102">
        <f>ROUND('Program Budget'!V23+'Site 1 Budget'!V20+'Site 2 Budget'!V20+'Site 3 Budget'!V20+'Site 4 Budget'!V20+'Site 5 Budget'!V20+'Site 6 Budget'!V20+'Site 7 Budget'!V20+'Site 8 Budget'!V20+'Site 9 Budget'!V20+'Site 10 Budget'!V20+'Site 11 Budget'!V20+'Site 12 Budget'!V20,2)</f>
        <v>0</v>
      </c>
      <c r="H20" s="102">
        <f>ROUND('Program Budget'!W23+'Site 1 Budget'!W20+'Site 2 Budget'!W20+'Site 3 Budget'!W20+'Site 4 Budget'!W20+'Site 5 Budget'!W20+'Site 6 Budget'!W20+'Site 7 Budget'!W20+'Site 8 Budget'!W20+'Site 9 Budget'!W20+'Site 10 Budget'!W20+'Site 11 Budget'!W20+'Site 12 Budget'!W20,2)</f>
        <v>0</v>
      </c>
      <c r="I20" s="242">
        <f>SUM(Summary_by_Category[[#This Row],[Column2]:[Column7]])</f>
        <v>0</v>
      </c>
      <c r="K20" s="413"/>
      <c r="L20" s="414"/>
    </row>
    <row r="21" spans="1:12" s="100" customFormat="1" ht="15" customHeight="1" x14ac:dyDescent="0.25">
      <c r="A21" s="13" t="s">
        <v>0</v>
      </c>
      <c r="B21" s="260" t="s">
        <v>603</v>
      </c>
      <c r="C21" s="259">
        <f>ROUND('Program Budget'!R24+'Site 1 Budget'!R21+'Site 2 Budget'!R21+'Site 3 Budget'!R21+'Site 4 Budget'!R21+'Site 5 Budget'!R21+'Site 6 Budget'!R21+'Site 7 Budget'!R21+'Site 8 Budget'!R21+'Site 9 Budget'!R21+'Site 10 Budget'!R21+'Site 11 Budget'!R21+'Site 12 Budget'!R21,2)</f>
        <v>0</v>
      </c>
      <c r="D21" s="102">
        <f>ROUND('Program Budget'!S24+'Site 1 Budget'!S21+'Site 2 Budget'!S21+'Site 3 Budget'!S21+'Site 4 Budget'!S21+'Site 5 Budget'!S21+'Site 6 Budget'!S21+'Site 7 Budget'!S21+'Site 8 Budget'!S21+'Site 9 Budget'!S21+'Site 10 Budget'!S21+'Site 11 Budget'!S21+'Site 12 Budget'!S21,2)</f>
        <v>0</v>
      </c>
      <c r="E21" s="102">
        <f>ROUND('Program Budget'!T24+'Site 1 Budget'!T21+'Site 2 Budget'!T21+'Site 3 Budget'!T21+'Site 4 Budget'!T21+'Site 5 Budget'!T21+'Site 6 Budget'!T21+'Site 7 Budget'!T21+'Site 8 Budget'!T21+'Site 9 Budget'!T21+'Site 10 Budget'!T21+'Site 11 Budget'!T21+'Site 12 Budget'!T21,2)</f>
        <v>0</v>
      </c>
      <c r="F21" s="102">
        <f>ROUND('Program Budget'!U24+'Site 1 Budget'!U21+'Site 2 Budget'!U21+'Site 3 Budget'!U21+'Site 4 Budget'!U21+'Site 5 Budget'!U21+'Site 6 Budget'!U21+'Site 7 Budget'!U21+'Site 8 Budget'!U21+'Site 9 Budget'!U21+'Site 10 Budget'!U21+'Site 11 Budget'!U21+'Site 12 Budget'!U21,2)</f>
        <v>0</v>
      </c>
      <c r="G21" s="102">
        <f>ROUND('Program Budget'!V24+'Site 1 Budget'!V21+'Site 2 Budget'!V21+'Site 3 Budget'!V21+'Site 4 Budget'!V21+'Site 5 Budget'!V21+'Site 6 Budget'!V21+'Site 7 Budget'!V21+'Site 8 Budget'!V21+'Site 9 Budget'!V21+'Site 10 Budget'!V21+'Site 11 Budget'!V21+'Site 12 Budget'!V21,2)</f>
        <v>0</v>
      </c>
      <c r="H21" s="102">
        <f>ROUND('Program Budget'!W24+'Site 1 Budget'!W21+'Site 2 Budget'!W21+'Site 3 Budget'!W21+'Site 4 Budget'!W21+'Site 5 Budget'!W21+'Site 6 Budget'!W21+'Site 7 Budget'!W21+'Site 8 Budget'!W21+'Site 9 Budget'!W21+'Site 10 Budget'!W21+'Site 11 Budget'!W21+'Site 12 Budget'!W21,2)</f>
        <v>0</v>
      </c>
      <c r="I21" s="242">
        <f>SUM(Summary_by_Category[[#This Row],[Column2]:[Column7]])</f>
        <v>0</v>
      </c>
      <c r="K21" s="413"/>
      <c r="L21" s="414"/>
    </row>
    <row r="22" spans="1:12" s="100" customFormat="1" ht="15" customHeight="1" x14ac:dyDescent="0.25">
      <c r="A22" s="13" t="s">
        <v>0</v>
      </c>
      <c r="B22" s="260" t="s">
        <v>604</v>
      </c>
      <c r="C22" s="259">
        <f>ROUND('Program Budget'!R25+'Site 1 Budget'!R22+'Site 2 Budget'!R22+'Site 3 Budget'!R22+'Site 4 Budget'!R22+'Site 5 Budget'!R22+'Site 6 Budget'!R22+'Site 7 Budget'!R22+'Site 8 Budget'!R22+'Site 9 Budget'!R22+'Site 10 Budget'!R22+'Site 11 Budget'!R22+'Site 12 Budget'!R22,2)</f>
        <v>0</v>
      </c>
      <c r="D22" s="102">
        <f>ROUND('Program Budget'!S25+'Site 1 Budget'!S22+'Site 2 Budget'!S22+'Site 3 Budget'!S22+'Site 4 Budget'!S22+'Site 5 Budget'!S22+'Site 6 Budget'!S22+'Site 7 Budget'!S22+'Site 8 Budget'!S22+'Site 9 Budget'!S22+'Site 10 Budget'!S22+'Site 11 Budget'!S22+'Site 12 Budget'!S22,2)</f>
        <v>0</v>
      </c>
      <c r="E22" s="102">
        <f>ROUND('Program Budget'!T25+'Site 1 Budget'!T22+'Site 2 Budget'!T22+'Site 3 Budget'!T22+'Site 4 Budget'!T22+'Site 5 Budget'!T22+'Site 6 Budget'!T22+'Site 7 Budget'!T22+'Site 8 Budget'!T22+'Site 9 Budget'!T22+'Site 10 Budget'!T22+'Site 11 Budget'!T22+'Site 12 Budget'!T22,2)</f>
        <v>0</v>
      </c>
      <c r="F22" s="102">
        <f>ROUND('Program Budget'!U25+'Site 1 Budget'!U22+'Site 2 Budget'!U22+'Site 3 Budget'!U22+'Site 4 Budget'!U22+'Site 5 Budget'!U22+'Site 6 Budget'!U22+'Site 7 Budget'!U22+'Site 8 Budget'!U22+'Site 9 Budget'!U22+'Site 10 Budget'!U22+'Site 11 Budget'!U22+'Site 12 Budget'!U22,2)</f>
        <v>0</v>
      </c>
      <c r="G22" s="102">
        <f>ROUND('Program Budget'!V25+'Site 1 Budget'!V22+'Site 2 Budget'!V22+'Site 3 Budget'!V22+'Site 4 Budget'!V22+'Site 5 Budget'!V22+'Site 6 Budget'!V22+'Site 7 Budget'!V22+'Site 8 Budget'!V22+'Site 9 Budget'!V22+'Site 10 Budget'!V22+'Site 11 Budget'!V22+'Site 12 Budget'!V22,2)</f>
        <v>0</v>
      </c>
      <c r="H22" s="102">
        <f>ROUND('Program Budget'!W25+'Site 1 Budget'!W22+'Site 2 Budget'!W22+'Site 3 Budget'!W22+'Site 4 Budget'!W22+'Site 5 Budget'!W22+'Site 6 Budget'!W22+'Site 7 Budget'!W22+'Site 8 Budget'!W22+'Site 9 Budget'!W22+'Site 10 Budget'!W22+'Site 11 Budget'!W22+'Site 12 Budget'!W22,2)</f>
        <v>0</v>
      </c>
      <c r="I22" s="242">
        <f>SUM(Summary_by_Category[[#This Row],[Column2]:[Column7]])</f>
        <v>0</v>
      </c>
      <c r="K22" s="413"/>
      <c r="L22" s="414"/>
    </row>
    <row r="23" spans="1:12" s="100" customFormat="1" ht="15" customHeight="1" x14ac:dyDescent="0.25">
      <c r="A23" s="14"/>
      <c r="B23" s="260" t="s">
        <v>567</v>
      </c>
      <c r="C23" s="259">
        <f>ROUND('Program Budget'!R26+'Site 1 Budget'!R23+'Site 2 Budget'!R23+'Site 3 Budget'!R23+'Site 4 Budget'!R23+'Site 5 Budget'!R23+'Site 6 Budget'!R23+'Site 7 Budget'!R23+'Site 8 Budget'!R23+'Site 9 Budget'!R23+'Site 10 Budget'!R23+'Site 11 Budget'!R23+'Site 12 Budget'!R23,2)</f>
        <v>0</v>
      </c>
      <c r="D23" s="102">
        <f>ROUND('Program Budget'!S26+'Site 1 Budget'!S23+'Site 2 Budget'!S23+'Site 3 Budget'!S23+'Site 4 Budget'!S23+'Site 5 Budget'!S23+'Site 6 Budget'!S23+'Site 7 Budget'!S23+'Site 8 Budget'!S23+'Site 9 Budget'!S23+'Site 10 Budget'!S23+'Site 11 Budget'!S23+'Site 12 Budget'!S23,2)</f>
        <v>0</v>
      </c>
      <c r="E23" s="102">
        <f>ROUND('Program Budget'!T26+'Site 1 Budget'!T23+'Site 2 Budget'!T23+'Site 3 Budget'!T23+'Site 4 Budget'!T23+'Site 5 Budget'!T23+'Site 6 Budget'!T23+'Site 7 Budget'!T23+'Site 8 Budget'!T23+'Site 9 Budget'!T23+'Site 10 Budget'!T23+'Site 11 Budget'!T23+'Site 12 Budget'!T23,2)</f>
        <v>0</v>
      </c>
      <c r="F23" s="102">
        <f>ROUND('Program Budget'!U26+'Site 1 Budget'!U23+'Site 2 Budget'!U23+'Site 3 Budget'!U23+'Site 4 Budget'!U23+'Site 5 Budget'!U23+'Site 6 Budget'!U23+'Site 7 Budget'!U23+'Site 8 Budget'!U23+'Site 9 Budget'!U23+'Site 10 Budget'!U23+'Site 11 Budget'!U23+'Site 12 Budget'!U23,2)</f>
        <v>0</v>
      </c>
      <c r="G23" s="102">
        <f>ROUND('Program Budget'!V26+'Site 1 Budget'!V23+'Site 2 Budget'!V23+'Site 3 Budget'!V23+'Site 4 Budget'!V23+'Site 5 Budget'!V23+'Site 6 Budget'!V23+'Site 7 Budget'!V23+'Site 8 Budget'!V23+'Site 9 Budget'!V23+'Site 10 Budget'!V23+'Site 11 Budget'!V23+'Site 12 Budget'!V23,2)</f>
        <v>0</v>
      </c>
      <c r="H23" s="102">
        <f>ROUND('Program Budget'!W26+'Site 1 Budget'!W23+'Site 2 Budget'!W23+'Site 3 Budget'!W23+'Site 4 Budget'!W23+'Site 5 Budget'!W23+'Site 6 Budget'!W23+'Site 7 Budget'!W23+'Site 8 Budget'!W23+'Site 9 Budget'!W23+'Site 10 Budget'!W23+'Site 11 Budget'!W23+'Site 12 Budget'!W23,2)</f>
        <v>0</v>
      </c>
      <c r="I23" s="242">
        <f>SUM(Summary_by_Category[[#This Row],[Column2]:[Column7]])</f>
        <v>0</v>
      </c>
      <c r="K23" s="413"/>
      <c r="L23" s="414"/>
    </row>
    <row r="24" spans="1:12" s="100" customFormat="1" ht="15" customHeight="1" x14ac:dyDescent="0.25">
      <c r="A24" s="14"/>
      <c r="B24" s="260" t="s">
        <v>192</v>
      </c>
      <c r="C24" s="261">
        <f>ROUND('Program Budget'!R27+'Site 1 Budget'!R24+'Site 2 Budget'!R24+'Site 3 Budget'!R24+'Site 4 Budget'!R24+'Site 5 Budget'!R24+'Site 6 Budget'!R24+'Site 7 Budget'!R24+'Site 8 Budget'!R24+'Site 9 Budget'!R24+'Site 10 Budget'!R24+'Site 11 Budget'!R24+'Site 12 Budget'!R24,2)</f>
        <v>0</v>
      </c>
      <c r="D24" s="102">
        <f>ROUND('Program Budget'!S27+'Site 1 Budget'!S24+'Site 2 Budget'!S24+'Site 3 Budget'!S24+'Site 4 Budget'!S24+'Site 5 Budget'!S24+'Site 6 Budget'!S24+'Site 7 Budget'!S24+'Site 8 Budget'!S24+'Site 9 Budget'!S24+'Site 10 Budget'!S24+'Site 11 Budget'!S24+'Site 12 Budget'!S24,2)</f>
        <v>0</v>
      </c>
      <c r="E24" s="102">
        <f>ROUND('Program Budget'!T27+'Site 1 Budget'!T24+'Site 2 Budget'!T24+'Site 3 Budget'!T24+'Site 4 Budget'!T24+'Site 5 Budget'!T24+'Site 6 Budget'!T24+'Site 7 Budget'!T24+'Site 8 Budget'!T24+'Site 9 Budget'!T24+'Site 10 Budget'!T24+'Site 11 Budget'!T24+'Site 12 Budget'!T24,2)</f>
        <v>0</v>
      </c>
      <c r="F24" s="102">
        <f>ROUND('Program Budget'!U27+'Site 1 Budget'!U24+'Site 2 Budget'!U24+'Site 3 Budget'!U24+'Site 4 Budget'!U24+'Site 5 Budget'!U24+'Site 6 Budget'!U24+'Site 7 Budget'!U24+'Site 8 Budget'!U24+'Site 9 Budget'!U24+'Site 10 Budget'!U24+'Site 11 Budget'!U24+'Site 12 Budget'!U24,2)</f>
        <v>0</v>
      </c>
      <c r="G24" s="102">
        <f>ROUND('Program Budget'!V27+'Site 1 Budget'!V24+'Site 2 Budget'!V24+'Site 3 Budget'!V24+'Site 4 Budget'!V24+'Site 5 Budget'!V24+'Site 6 Budget'!V24+'Site 7 Budget'!V24+'Site 8 Budget'!V24+'Site 9 Budget'!V24+'Site 10 Budget'!V24+'Site 11 Budget'!V24+'Site 12 Budget'!V24,2)</f>
        <v>0</v>
      </c>
      <c r="H24" s="102">
        <f>ROUND('Program Budget'!W27+'Site 1 Budget'!W24+'Site 2 Budget'!W24+'Site 3 Budget'!W24+'Site 4 Budget'!W24+'Site 5 Budget'!W24+'Site 6 Budget'!W24+'Site 7 Budget'!W24+'Site 8 Budget'!W24+'Site 9 Budget'!W24+'Site 10 Budget'!W24+'Site 11 Budget'!W24+'Site 12 Budget'!W24,2)</f>
        <v>0</v>
      </c>
      <c r="I24" s="243">
        <f>SUM(Summary_by_Category[[#This Row],[Column2]:[Column7]])</f>
        <v>0</v>
      </c>
      <c r="K24" s="413"/>
      <c r="L24" s="414"/>
    </row>
    <row r="25" spans="1:12" s="100" customFormat="1" ht="15.75" thickBot="1" x14ac:dyDescent="0.3">
      <c r="A25" s="14"/>
      <c r="B25" s="262" t="s">
        <v>29</v>
      </c>
      <c r="C25" s="263">
        <f>SUBTOTAL(109,Summary_by_Category[Column2])</f>
        <v>0</v>
      </c>
      <c r="D25" s="255">
        <f>SUBTOTAL(109,Summary_by_Category[Column3])</f>
        <v>0</v>
      </c>
      <c r="E25" s="244">
        <f>SUBTOTAL(109,Summary_by_Category[Column4])</f>
        <v>0</v>
      </c>
      <c r="F25" s="244">
        <f>SUBTOTAL(109,Summary_by_Category[Column5])</f>
        <v>0</v>
      </c>
      <c r="G25" s="244">
        <f>SUBTOTAL(109,Summary_by_Category[Column6])</f>
        <v>0</v>
      </c>
      <c r="H25" s="245">
        <f>SUBTOTAL(109,Summary_by_Category[Column7])</f>
        <v>0</v>
      </c>
      <c r="I25" s="246">
        <f>SUBTOTAL(109,Summary_by_Category[Column8])</f>
        <v>0</v>
      </c>
      <c r="K25" s="415"/>
      <c r="L25" s="416"/>
    </row>
    <row r="26" spans="1:12" s="100" customFormat="1" ht="12" customHeight="1" thickTop="1" x14ac:dyDescent="0.25">
      <c r="A26" s="14"/>
      <c r="B26" s="95"/>
      <c r="C26" s="103"/>
      <c r="D26" s="103"/>
    </row>
    <row r="27" spans="1:12" s="100" customFormat="1" ht="30" x14ac:dyDescent="0.25">
      <c r="A27" s="14"/>
      <c r="B27" s="226" t="s">
        <v>290</v>
      </c>
      <c r="C27" s="227" t="s">
        <v>289</v>
      </c>
      <c r="D27" s="228" t="str">
        <f>IF(IFERROR(FIND("enter",Program_Detail[[#Headers],[(enter addt''l. fund source 1)]]),0)&gt;0,"(addt'l. fund source 1)",Program_Detail[[#Headers],[(enter addt''l. fund source 1)]])</f>
        <v>(addt'l. fund source 1)</v>
      </c>
      <c r="E27" s="106" t="str">
        <f>IF(IFERROR(FIND("enter",Program_Detail[[#Headers],[(enter addt''l. fund source 2)]]),0)&gt;0,"(addt'l. fund source 2)",Program_Detail[[#Headers],[(enter addt''l. fund source 2)]])</f>
        <v>(addt'l. fund source 2)</v>
      </c>
      <c r="F27" s="106" t="str">
        <f>IF(IFERROR(FIND("enter",Program_Detail[[#Headers],[(enter addt''l. fund source 3)]]),0)&gt;0,"(addt'l. fund source 3)",Program_Detail[[#Headers],[(enter addt''l. fund source 3)]])</f>
        <v>(addt'l. fund source 3)</v>
      </c>
      <c r="G27" s="106" t="str">
        <f>IF(IFERROR(FIND("enter",Program_Detail[[#Headers],[(enter addt''l. fund source 4)]]),0)&gt;0,"(addt'l. fund source 4)",Program_Detail[[#Headers],[(enter addt''l. fund source 4)]])</f>
        <v>(addt'l. fund source 4)</v>
      </c>
      <c r="H27" s="107" t="str">
        <f>IF(IFERROR(FIND("enter",Program_Detail[[#Headers],[(enter addt''l. fund source 5)]]),0)&gt;0,"(addt'l. fund source 5)",Program_Detail[[#Headers],[(enter addt''l. fund source 5)]])</f>
        <v>(addt'l. fund source 5)</v>
      </c>
      <c r="I27" s="108" t="s">
        <v>607</v>
      </c>
    </row>
    <row r="28" spans="1:12" s="100" customFormat="1" ht="15" customHeight="1" x14ac:dyDescent="0.25">
      <c r="A28" s="14"/>
      <c r="B28" s="101" t="s">
        <v>291</v>
      </c>
      <c r="C28" s="235">
        <f>ROUND('Program Budget'!R29+'Site 1 Budget'!R26+'Site 2 Budget'!R26+'Site 3 Budget'!R26+'Site 4 Budget'!R26+'Site 5 Budget'!R26+'Site 6 Budget'!R26+'Site 7 Budget'!R26+'Site 8 Budget'!R26+'Site 9 Budget'!R26+'Site 10 Budget'!R26+'Site 11 Budget'!R26+'Site 12 Budget'!R26,2)</f>
        <v>0</v>
      </c>
      <c r="D28" s="102">
        <f>ROUND('Program Budget'!S29+'Site 1 Budget'!S26+'Site 2 Budget'!S26+'Site 3 Budget'!S26+'Site 4 Budget'!S26+'Site 5 Budget'!S26+'Site 6 Budget'!S26+'Site 7 Budget'!S26+'Site 8 Budget'!S26+'Site 9 Budget'!S26+'Site 10 Budget'!S26+'Site 11 Budget'!S26+'Site 12 Budget'!S26,2)</f>
        <v>0</v>
      </c>
      <c r="E28" s="102">
        <f>ROUND('Program Budget'!T29+'Site 1 Budget'!T26+'Site 2 Budget'!T26+'Site 3 Budget'!T26+'Site 4 Budget'!T26+'Site 5 Budget'!T26+'Site 6 Budget'!T26+'Site 7 Budget'!T26+'Site 8 Budget'!T26+'Site 9 Budget'!T26+'Site 10 Budget'!T26+'Site 11 Budget'!T26+'Site 12 Budget'!T26,2)</f>
        <v>0</v>
      </c>
      <c r="F28" s="102">
        <f>ROUND('Program Budget'!U29+'Site 1 Budget'!U26+'Site 2 Budget'!U26+'Site 3 Budget'!U26+'Site 4 Budget'!U26+'Site 5 Budget'!U26+'Site 6 Budget'!U26+'Site 7 Budget'!U26+'Site 8 Budget'!U26+'Site 9 Budget'!U26+'Site 10 Budget'!U26+'Site 11 Budget'!U26+'Site 12 Budget'!U26,2)</f>
        <v>0</v>
      </c>
      <c r="G28" s="102">
        <f>ROUND('Program Budget'!V29+'Site 1 Budget'!V26+'Site 2 Budget'!V26+'Site 3 Budget'!V26+'Site 4 Budget'!V26+'Site 5 Budget'!V26+'Site 6 Budget'!V26+'Site 7 Budget'!V26+'Site 8 Budget'!V26+'Site 9 Budget'!V26+'Site 10 Budget'!V26+'Site 11 Budget'!V26+'Site 12 Budget'!V26,2)</f>
        <v>0</v>
      </c>
      <c r="H28" s="102">
        <f>ROUND('Program Budget'!W29+'Site 1 Budget'!W26+'Site 2 Budget'!W26+'Site 3 Budget'!W26+'Site 4 Budget'!W26+'Site 5 Budget'!W26+'Site 6 Budget'!W26+'Site 7 Budget'!W26+'Site 8 Budget'!W26+'Site 9 Budget'!W26+'Site 10 Budget'!W26+'Site 11 Budget'!W26+'Site 12 Budget'!W26,2)</f>
        <v>0</v>
      </c>
      <c r="I28" s="233">
        <f>SUM(Summary_by_Prog_Type[[#This Row],[Column2]:[Column7]])</f>
        <v>0</v>
      </c>
    </row>
    <row r="29" spans="1:12" s="100" customFormat="1" ht="15" customHeight="1" x14ac:dyDescent="0.25">
      <c r="A29" s="14"/>
      <c r="B29" s="103" t="s">
        <v>292</v>
      </c>
      <c r="C29" s="236">
        <f>ROUND('Program Budget'!R30+'Site 1 Budget'!R27+'Site 2 Budget'!R27+'Site 3 Budget'!R27+'Site 4 Budget'!R27+'Site 5 Budget'!R27+'Site 6 Budget'!R27+'Site 7 Budget'!R27+'Site 8 Budget'!R27+'Site 9 Budget'!R27+'Site 10 Budget'!R27+'Site 11 Budget'!R27+'Site 12 Budget'!R27,2)</f>
        <v>0</v>
      </c>
      <c r="D29" s="102">
        <f>ROUND('Program Budget'!S30+'Site 1 Budget'!S27+'Site 2 Budget'!S27+'Site 3 Budget'!S27+'Site 4 Budget'!S27+'Site 5 Budget'!S27+'Site 6 Budget'!S27+'Site 7 Budget'!S27+'Site 8 Budget'!S27+'Site 9 Budget'!S27+'Site 10 Budget'!S27+'Site 11 Budget'!S27+'Site 12 Budget'!S27,2)</f>
        <v>0</v>
      </c>
      <c r="E29" s="102">
        <f>ROUND('Program Budget'!T30+'Site 1 Budget'!T27+'Site 2 Budget'!T27+'Site 3 Budget'!T27+'Site 4 Budget'!T27+'Site 5 Budget'!T27+'Site 6 Budget'!T27+'Site 7 Budget'!T27+'Site 8 Budget'!T27+'Site 9 Budget'!T27+'Site 10 Budget'!T27+'Site 11 Budget'!T27+'Site 12 Budget'!T27,2)</f>
        <v>0</v>
      </c>
      <c r="F29" s="102">
        <f>ROUND('Program Budget'!U30+'Site 1 Budget'!U27+'Site 2 Budget'!U27+'Site 3 Budget'!U27+'Site 4 Budget'!U27+'Site 5 Budget'!U27+'Site 6 Budget'!U27+'Site 7 Budget'!U27+'Site 8 Budget'!U27+'Site 9 Budget'!U27+'Site 10 Budget'!U27+'Site 11 Budget'!U27+'Site 12 Budget'!U27,2)</f>
        <v>0</v>
      </c>
      <c r="G29" s="102">
        <f>ROUND('Program Budget'!V30+'Site 1 Budget'!V27+'Site 2 Budget'!V27+'Site 3 Budget'!V27+'Site 4 Budget'!V27+'Site 5 Budget'!V27+'Site 6 Budget'!V27+'Site 7 Budget'!V27+'Site 8 Budget'!V27+'Site 9 Budget'!V27+'Site 10 Budget'!V27+'Site 11 Budget'!V27+'Site 12 Budget'!V27,2)</f>
        <v>0</v>
      </c>
      <c r="H29" s="102">
        <f>ROUND('Program Budget'!W30+'Site 1 Budget'!W27+'Site 2 Budget'!W27+'Site 3 Budget'!W27+'Site 4 Budget'!W27+'Site 5 Budget'!W27+'Site 6 Budget'!W27+'Site 7 Budget'!W27+'Site 8 Budget'!W27+'Site 9 Budget'!W27+'Site 10 Budget'!W27+'Site 11 Budget'!W27+'Site 12 Budget'!W27,2)</f>
        <v>0</v>
      </c>
      <c r="I29" s="237">
        <f>SUM(Summary_by_Prog_Type[[#This Row],[Column2]:[Column7]])</f>
        <v>0</v>
      </c>
    </row>
    <row r="30" spans="1:12" s="100" customFormat="1" ht="15" customHeight="1" x14ac:dyDescent="0.25">
      <c r="A30" s="14"/>
      <c r="B30" s="239" t="s">
        <v>29</v>
      </c>
      <c r="C30" s="240">
        <f>SUBTOTAL(109,Summary_by_Prog_Type[Column2])</f>
        <v>0</v>
      </c>
      <c r="D30" s="241">
        <f>SUBTOTAL(109,Summary_by_Prog_Type[Column3])</f>
        <v>0</v>
      </c>
      <c r="E30" s="109">
        <f>SUBTOTAL(109,Summary_by_Prog_Type[Column4])</f>
        <v>0</v>
      </c>
      <c r="F30" s="109">
        <f>SUBTOTAL(109,Summary_by_Prog_Type[Column5])</f>
        <v>0</v>
      </c>
      <c r="G30" s="109">
        <f>SUBTOTAL(109,Summary_by_Prog_Type[Column6])</f>
        <v>0</v>
      </c>
      <c r="H30" s="110">
        <f>SUBTOTAL(109,Summary_by_Prog_Type[Column7])</f>
        <v>0</v>
      </c>
      <c r="I30" s="238">
        <f>SUBTOTAL(109,Summary_by_Prog_Type[Column8])</f>
        <v>0</v>
      </c>
    </row>
    <row r="31" spans="1:12" s="100" customFormat="1" ht="15" customHeight="1" x14ac:dyDescent="0.25">
      <c r="A31" s="14"/>
    </row>
    <row r="32" spans="1:12" s="100" customFormat="1" ht="15" customHeight="1" x14ac:dyDescent="0.25">
      <c r="A32" s="14"/>
    </row>
    <row r="33" spans="1:4" s="100" customFormat="1" ht="15" customHeight="1" x14ac:dyDescent="0.25">
      <c r="A33" s="14"/>
    </row>
    <row r="34" spans="1:4" s="100" customFormat="1" ht="15" customHeight="1" x14ac:dyDescent="0.25">
      <c r="A34" s="14"/>
    </row>
    <row r="35" spans="1:4" s="100" customFormat="1" ht="15" customHeight="1" x14ac:dyDescent="0.25">
      <c r="A35" s="14"/>
      <c r="B35" s="95"/>
      <c r="C35" s="103"/>
      <c r="D35" s="103"/>
    </row>
    <row r="36" spans="1:4" s="100" customFormat="1" ht="15" customHeight="1" x14ac:dyDescent="0.25">
      <c r="A36" s="14"/>
      <c r="B36" s="95"/>
      <c r="C36" s="103"/>
      <c r="D36" s="103"/>
    </row>
    <row r="37" spans="1:4" s="100" customFormat="1" ht="15" customHeight="1" x14ac:dyDescent="0.25">
      <c r="A37" s="14"/>
      <c r="B37" s="95"/>
      <c r="C37" s="103"/>
      <c r="D37" s="103"/>
    </row>
    <row r="38" spans="1:4" s="100" customFormat="1" ht="15" customHeight="1" x14ac:dyDescent="0.25">
      <c r="A38" s="14"/>
      <c r="B38" s="95"/>
      <c r="C38" s="103"/>
      <c r="D38" s="103"/>
    </row>
    <row r="39" spans="1:4" s="100" customFormat="1" ht="15" customHeight="1" x14ac:dyDescent="0.25">
      <c r="A39" s="14"/>
      <c r="B39" s="95"/>
      <c r="C39" s="103"/>
      <c r="D39" s="103"/>
    </row>
    <row r="40" spans="1:4" s="100" customFormat="1" ht="15" customHeight="1" x14ac:dyDescent="0.25">
      <c r="A40" s="14"/>
      <c r="B40" s="95"/>
      <c r="C40" s="103"/>
      <c r="D40" s="103"/>
    </row>
    <row r="41" spans="1:4" s="100" customFormat="1" ht="15" customHeight="1" x14ac:dyDescent="0.25">
      <c r="A41" s="14"/>
      <c r="B41" s="95"/>
      <c r="C41" s="103"/>
      <c r="D41" s="103"/>
    </row>
    <row r="42" spans="1:4" s="100" customFormat="1" ht="15" customHeight="1" x14ac:dyDescent="0.25">
      <c r="A42" s="14"/>
      <c r="B42" s="95"/>
      <c r="C42" s="103"/>
      <c r="D42" s="103"/>
    </row>
    <row r="43" spans="1:4" s="100" customFormat="1" ht="15" customHeight="1" x14ac:dyDescent="0.25">
      <c r="A43" s="14"/>
      <c r="B43" s="95"/>
      <c r="C43" s="103"/>
      <c r="D43" s="103"/>
    </row>
    <row r="44" spans="1:4" s="100" customFormat="1" ht="15" customHeight="1" x14ac:dyDescent="0.25">
      <c r="A44" s="14"/>
      <c r="B44" s="95"/>
      <c r="C44" s="103"/>
      <c r="D44" s="103"/>
    </row>
    <row r="45" spans="1:4" s="100" customFormat="1" ht="15" customHeight="1" x14ac:dyDescent="0.25">
      <c r="A45" s="14"/>
      <c r="B45" s="95"/>
      <c r="C45" s="103"/>
      <c r="D45" s="103"/>
    </row>
    <row r="46" spans="1:4" s="100" customFormat="1" ht="15" customHeight="1" x14ac:dyDescent="0.25">
      <c r="A46" s="14"/>
      <c r="B46" s="95"/>
      <c r="C46" s="103"/>
      <c r="D46" s="103"/>
    </row>
    <row r="47" spans="1:4" s="100" customFormat="1" ht="15" customHeight="1" x14ac:dyDescent="0.25">
      <c r="A47" s="14"/>
      <c r="B47" s="95"/>
      <c r="C47" s="103"/>
      <c r="D47" s="103"/>
    </row>
    <row r="48" spans="1:4" s="100" customFormat="1" ht="15" customHeight="1" x14ac:dyDescent="0.25">
      <c r="A48" s="14"/>
      <c r="B48" s="95"/>
      <c r="C48" s="103"/>
      <c r="D48" s="103"/>
    </row>
    <row r="49" spans="1:4" s="100" customFormat="1" ht="15" customHeight="1" x14ac:dyDescent="0.25">
      <c r="A49" s="14"/>
      <c r="B49" s="95"/>
      <c r="C49" s="103"/>
      <c r="D49" s="103"/>
    </row>
    <row r="50" spans="1:4" s="100" customFormat="1" ht="15" customHeight="1" x14ac:dyDescent="0.25">
      <c r="A50" s="14"/>
      <c r="B50" s="95"/>
      <c r="C50" s="103"/>
      <c r="D50" s="103"/>
    </row>
    <row r="51" spans="1:4" s="100" customFormat="1" ht="15" customHeight="1" x14ac:dyDescent="0.25">
      <c r="A51" s="14"/>
      <c r="B51" s="95"/>
      <c r="C51" s="103"/>
      <c r="D51" s="103"/>
    </row>
    <row r="52" spans="1:4" s="100" customFormat="1" ht="15" customHeight="1" x14ac:dyDescent="0.25">
      <c r="A52" s="14"/>
      <c r="B52" s="95"/>
      <c r="C52" s="103"/>
      <c r="D52" s="103"/>
    </row>
    <row r="53" spans="1:4" s="100" customFormat="1" ht="15" customHeight="1" x14ac:dyDescent="0.25">
      <c r="A53" s="14"/>
      <c r="B53" s="95"/>
      <c r="C53" s="103"/>
      <c r="D53" s="103"/>
    </row>
    <row r="54" spans="1:4" s="100" customFormat="1" ht="15" customHeight="1" x14ac:dyDescent="0.25">
      <c r="A54" s="14"/>
      <c r="B54" s="95"/>
      <c r="C54" s="103"/>
      <c r="D54" s="103"/>
    </row>
    <row r="55" spans="1:4" s="100" customFormat="1" ht="15" customHeight="1" x14ac:dyDescent="0.25">
      <c r="A55" s="14"/>
      <c r="B55" s="95"/>
      <c r="C55" s="103"/>
      <c r="D55" s="103"/>
    </row>
    <row r="56" spans="1:4" s="100" customFormat="1" ht="15" customHeight="1" x14ac:dyDescent="0.25">
      <c r="A56" s="14"/>
      <c r="B56" s="95"/>
      <c r="C56" s="103"/>
      <c r="D56" s="103"/>
    </row>
    <row r="57" spans="1:4" s="100" customFormat="1" ht="15" customHeight="1" x14ac:dyDescent="0.25">
      <c r="A57" s="14"/>
      <c r="B57" s="95"/>
      <c r="C57" s="103"/>
      <c r="D57" s="103"/>
    </row>
    <row r="58" spans="1:4" s="100" customFormat="1" ht="15" customHeight="1" x14ac:dyDescent="0.25">
      <c r="A58" s="14"/>
      <c r="B58" s="95"/>
      <c r="C58" s="103"/>
      <c r="D58" s="103"/>
    </row>
    <row r="59" spans="1:4" s="100" customFormat="1" ht="15" customHeight="1" x14ac:dyDescent="0.25">
      <c r="A59" s="14"/>
      <c r="B59" s="95"/>
      <c r="C59" s="103"/>
      <c r="D59" s="103"/>
    </row>
    <row r="60" spans="1:4" s="100" customFormat="1" ht="15" customHeight="1" x14ac:dyDescent="0.25">
      <c r="A60" s="14"/>
      <c r="B60" s="95"/>
      <c r="C60" s="103"/>
      <c r="D60" s="103"/>
    </row>
    <row r="61" spans="1:4" s="100" customFormat="1" ht="15" customHeight="1" x14ac:dyDescent="0.25">
      <c r="A61" s="14"/>
      <c r="B61" s="95"/>
      <c r="C61" s="103"/>
      <c r="D61" s="103"/>
    </row>
    <row r="62" spans="1:4" s="100" customFormat="1" ht="15" customHeight="1" x14ac:dyDescent="0.25">
      <c r="A62" s="14"/>
      <c r="B62" s="95"/>
      <c r="C62" s="103"/>
      <c r="D62" s="103"/>
    </row>
    <row r="63" spans="1:4" s="100" customFormat="1" ht="15" customHeight="1" x14ac:dyDescent="0.25">
      <c r="A63" s="14"/>
      <c r="B63" s="95"/>
      <c r="C63" s="103"/>
      <c r="D63" s="103"/>
    </row>
    <row r="64" spans="1:4" s="100" customFormat="1" ht="15" customHeight="1" x14ac:dyDescent="0.25">
      <c r="A64" s="14"/>
      <c r="B64" s="95"/>
      <c r="C64" s="103"/>
      <c r="D64" s="103"/>
    </row>
    <row r="65" spans="1:4" s="100" customFormat="1" ht="15" customHeight="1" x14ac:dyDescent="0.25">
      <c r="A65" s="14"/>
      <c r="B65" s="95"/>
      <c r="C65" s="103"/>
      <c r="D65" s="103"/>
    </row>
    <row r="66" spans="1:4" s="100" customFormat="1" ht="15" customHeight="1" x14ac:dyDescent="0.25">
      <c r="A66" s="14"/>
      <c r="B66" s="95"/>
      <c r="C66" s="103"/>
      <c r="D66" s="103"/>
    </row>
    <row r="67" spans="1:4" s="100" customFormat="1" ht="15" customHeight="1" x14ac:dyDescent="0.25">
      <c r="A67" s="14"/>
      <c r="B67" s="95"/>
      <c r="C67" s="103"/>
      <c r="D67" s="103"/>
    </row>
    <row r="68" spans="1:4" s="100" customFormat="1" ht="15" customHeight="1" x14ac:dyDescent="0.25">
      <c r="A68" s="14"/>
      <c r="B68" s="95"/>
      <c r="C68" s="103"/>
      <c r="D68" s="103"/>
    </row>
    <row r="69" spans="1:4" s="100" customFormat="1" ht="15" customHeight="1" x14ac:dyDescent="0.25">
      <c r="A69" s="14"/>
      <c r="B69" s="95"/>
      <c r="C69" s="103"/>
      <c r="D69" s="103"/>
    </row>
    <row r="70" spans="1:4" s="100" customFormat="1" ht="15" customHeight="1" x14ac:dyDescent="0.25">
      <c r="A70" s="14"/>
      <c r="B70" s="95"/>
      <c r="C70" s="103"/>
      <c r="D70" s="103"/>
    </row>
    <row r="71" spans="1:4" s="100" customFormat="1" ht="15" customHeight="1" x14ac:dyDescent="0.25">
      <c r="A71" s="14"/>
      <c r="B71" s="95"/>
      <c r="C71" s="103"/>
      <c r="D71" s="103"/>
    </row>
    <row r="72" spans="1:4" s="100" customFormat="1" ht="15" customHeight="1" x14ac:dyDescent="0.25">
      <c r="A72" s="14"/>
      <c r="B72" s="95"/>
      <c r="C72" s="103"/>
      <c r="D72" s="103"/>
    </row>
    <row r="73" spans="1:4" s="100" customFormat="1" ht="15" customHeight="1" x14ac:dyDescent="0.25">
      <c r="A73" s="14"/>
      <c r="B73" s="95"/>
      <c r="C73" s="103"/>
      <c r="D73" s="103"/>
    </row>
    <row r="74" spans="1:4" s="100" customFormat="1" ht="15" customHeight="1" x14ac:dyDescent="0.25">
      <c r="A74" s="14"/>
      <c r="B74" s="95"/>
      <c r="C74" s="103"/>
      <c r="D74" s="103"/>
    </row>
    <row r="75" spans="1:4" s="100" customFormat="1" ht="15" customHeight="1" x14ac:dyDescent="0.25">
      <c r="A75" s="14"/>
      <c r="B75" s="95"/>
      <c r="C75" s="103"/>
      <c r="D75" s="103"/>
    </row>
    <row r="76" spans="1:4" s="100" customFormat="1" ht="15" customHeight="1" x14ac:dyDescent="0.25">
      <c r="A76" s="14"/>
      <c r="B76" s="95"/>
      <c r="C76" s="103"/>
      <c r="D76" s="103"/>
    </row>
    <row r="77" spans="1:4" s="100" customFormat="1" ht="15" customHeight="1" x14ac:dyDescent="0.25">
      <c r="A77" s="14"/>
      <c r="B77" s="95"/>
      <c r="C77" s="103"/>
      <c r="D77" s="103"/>
    </row>
    <row r="78" spans="1:4" s="100" customFormat="1" ht="15" customHeight="1" x14ac:dyDescent="0.25">
      <c r="A78" s="14"/>
      <c r="B78" s="95"/>
      <c r="C78" s="103"/>
      <c r="D78" s="103"/>
    </row>
    <row r="79" spans="1:4" s="100" customFormat="1" ht="15" customHeight="1" x14ac:dyDescent="0.25">
      <c r="A79" s="14"/>
      <c r="B79" s="95"/>
      <c r="C79" s="103"/>
      <c r="D79" s="103"/>
    </row>
    <row r="80" spans="1:4" s="100" customFormat="1" ht="15" customHeight="1" x14ac:dyDescent="0.25">
      <c r="A80" s="14"/>
      <c r="B80" s="95"/>
      <c r="C80" s="103"/>
      <c r="D80" s="103"/>
    </row>
    <row r="81" spans="1:4" s="100" customFormat="1" ht="15" customHeight="1" x14ac:dyDescent="0.25">
      <c r="A81" s="14"/>
      <c r="B81" s="95"/>
      <c r="C81" s="103"/>
      <c r="D81" s="103"/>
    </row>
    <row r="82" spans="1:4" s="100" customFormat="1" ht="15" customHeight="1" x14ac:dyDescent="0.25">
      <c r="A82" s="14"/>
      <c r="B82" s="95"/>
      <c r="C82" s="103"/>
      <c r="D82" s="103"/>
    </row>
    <row r="83" spans="1:4" s="100" customFormat="1" ht="15" customHeight="1" x14ac:dyDescent="0.25">
      <c r="A83" s="14"/>
      <c r="B83" s="95"/>
      <c r="C83" s="103"/>
      <c r="D83" s="103"/>
    </row>
    <row r="84" spans="1:4" s="100" customFormat="1" ht="15" customHeight="1" x14ac:dyDescent="0.25">
      <c r="A84" s="14"/>
      <c r="B84" s="95"/>
      <c r="C84" s="103"/>
      <c r="D84" s="103"/>
    </row>
    <row r="85" spans="1:4" s="100" customFormat="1" ht="15" customHeight="1" x14ac:dyDescent="0.25">
      <c r="A85" s="14"/>
      <c r="B85" s="95"/>
      <c r="C85" s="103"/>
      <c r="D85" s="103"/>
    </row>
    <row r="86" spans="1:4" s="100" customFormat="1" ht="15" customHeight="1" x14ac:dyDescent="0.25">
      <c r="A86" s="14"/>
      <c r="B86" s="95"/>
      <c r="C86" s="103"/>
      <c r="D86" s="103"/>
    </row>
    <row r="87" spans="1:4" s="100" customFormat="1" ht="15" customHeight="1" x14ac:dyDescent="0.25">
      <c r="A87" s="14"/>
      <c r="B87" s="95"/>
      <c r="C87" s="103"/>
      <c r="D87" s="103"/>
    </row>
    <row r="88" spans="1:4" s="100" customFormat="1" ht="15" customHeight="1" x14ac:dyDescent="0.25">
      <c r="A88" s="14"/>
      <c r="B88" s="95"/>
      <c r="C88" s="103"/>
      <c r="D88" s="103"/>
    </row>
    <row r="89" spans="1:4" s="100" customFormat="1" ht="15" customHeight="1" x14ac:dyDescent="0.25">
      <c r="A89" s="14"/>
      <c r="B89" s="95"/>
      <c r="C89" s="103"/>
      <c r="D89" s="103"/>
    </row>
    <row r="90" spans="1:4" s="100" customFormat="1" ht="15" customHeight="1" x14ac:dyDescent="0.25">
      <c r="A90" s="14"/>
      <c r="B90" s="95"/>
      <c r="C90" s="103"/>
      <c r="D90" s="103"/>
    </row>
    <row r="91" spans="1:4" s="100" customFormat="1" ht="15" customHeight="1" x14ac:dyDescent="0.25">
      <c r="A91" s="14"/>
      <c r="B91" s="95"/>
      <c r="C91" s="103"/>
      <c r="D91" s="103"/>
    </row>
    <row r="92" spans="1:4" s="100" customFormat="1" ht="15" customHeight="1" x14ac:dyDescent="0.25">
      <c r="A92" s="14"/>
      <c r="B92" s="95"/>
      <c r="C92" s="103"/>
      <c r="D92" s="103"/>
    </row>
    <row r="93" spans="1:4" s="100" customFormat="1" ht="15" customHeight="1" x14ac:dyDescent="0.25">
      <c r="A93" s="14"/>
      <c r="B93" s="95"/>
      <c r="C93" s="103"/>
      <c r="D93" s="103"/>
    </row>
    <row r="94" spans="1:4" s="100" customFormat="1" ht="15" customHeight="1" x14ac:dyDescent="0.25">
      <c r="A94" s="14"/>
      <c r="B94" s="95"/>
      <c r="C94" s="103"/>
      <c r="D94" s="103"/>
    </row>
    <row r="95" spans="1:4" s="100" customFormat="1" ht="15" customHeight="1" x14ac:dyDescent="0.25">
      <c r="A95" s="14"/>
      <c r="B95" s="95"/>
      <c r="C95" s="103"/>
      <c r="D95" s="103"/>
    </row>
    <row r="96" spans="1:4" s="100" customFormat="1" ht="15" customHeight="1" x14ac:dyDescent="0.25">
      <c r="A96" s="14"/>
      <c r="B96" s="95"/>
      <c r="C96" s="103"/>
      <c r="D96" s="103"/>
    </row>
    <row r="97" spans="1:4" s="100" customFormat="1" ht="15" customHeight="1" x14ac:dyDescent="0.25">
      <c r="A97" s="14"/>
      <c r="B97" s="95"/>
      <c r="C97" s="103"/>
      <c r="D97" s="103"/>
    </row>
    <row r="98" spans="1:4" s="100" customFormat="1" ht="15" customHeight="1" x14ac:dyDescent="0.25">
      <c r="A98" s="14"/>
      <c r="B98" s="95"/>
      <c r="C98" s="103"/>
      <c r="D98" s="103"/>
    </row>
    <row r="99" spans="1:4" s="100" customFormat="1" ht="15" customHeight="1" x14ac:dyDescent="0.25">
      <c r="A99" s="14"/>
      <c r="B99" s="95"/>
      <c r="C99" s="103"/>
      <c r="D99" s="103"/>
    </row>
    <row r="100" spans="1:4" s="100" customFormat="1" ht="15" customHeight="1" x14ac:dyDescent="0.25">
      <c r="A100" s="14"/>
      <c r="B100" s="95"/>
      <c r="C100" s="103"/>
      <c r="D100" s="103"/>
    </row>
    <row r="101" spans="1:4" s="100" customFormat="1" ht="15" customHeight="1" x14ac:dyDescent="0.25">
      <c r="A101" s="14"/>
      <c r="B101" s="95"/>
      <c r="C101" s="103"/>
      <c r="D101" s="103"/>
    </row>
    <row r="102" spans="1:4" s="100" customFormat="1" ht="15" customHeight="1" x14ac:dyDescent="0.25">
      <c r="A102" s="14"/>
      <c r="B102" s="95"/>
      <c r="C102" s="103"/>
      <c r="D102" s="103"/>
    </row>
    <row r="103" spans="1:4" s="100" customFormat="1" ht="15" customHeight="1" x14ac:dyDescent="0.25">
      <c r="A103" s="14"/>
      <c r="B103" s="95"/>
      <c r="C103" s="103"/>
      <c r="D103" s="103"/>
    </row>
    <row r="104" spans="1:4" s="100" customFormat="1" ht="15" customHeight="1" x14ac:dyDescent="0.25">
      <c r="A104" s="14"/>
      <c r="B104" s="95"/>
      <c r="C104" s="103"/>
      <c r="D104" s="103"/>
    </row>
    <row r="105" spans="1:4" s="100" customFormat="1" ht="15" customHeight="1" x14ac:dyDescent="0.25">
      <c r="A105" s="14"/>
      <c r="B105" s="95"/>
      <c r="C105" s="103"/>
      <c r="D105" s="103"/>
    </row>
    <row r="106" spans="1:4" s="100" customFormat="1" ht="15" customHeight="1" x14ac:dyDescent="0.25">
      <c r="A106" s="14"/>
      <c r="B106" s="95"/>
      <c r="C106" s="103"/>
      <c r="D106" s="103"/>
    </row>
    <row r="107" spans="1:4" s="100" customFormat="1" ht="15" customHeight="1" x14ac:dyDescent="0.25">
      <c r="A107" s="14"/>
      <c r="B107" s="95"/>
      <c r="C107" s="103"/>
      <c r="D107" s="103"/>
    </row>
    <row r="108" spans="1:4" s="100" customFormat="1" ht="15" customHeight="1" x14ac:dyDescent="0.25">
      <c r="A108" s="14"/>
      <c r="B108" s="95"/>
      <c r="C108" s="103"/>
      <c r="D108" s="103"/>
    </row>
    <row r="109" spans="1:4" s="100" customFormat="1" ht="15" customHeight="1" x14ac:dyDescent="0.25">
      <c r="A109" s="14"/>
      <c r="B109" s="95"/>
      <c r="C109" s="103"/>
      <c r="D109" s="103"/>
    </row>
    <row r="110" spans="1:4" s="100" customFormat="1" ht="15" customHeight="1" x14ac:dyDescent="0.25">
      <c r="A110" s="14"/>
      <c r="B110" s="95"/>
      <c r="C110" s="103"/>
      <c r="D110" s="103"/>
    </row>
    <row r="111" spans="1:4" s="100" customFormat="1" ht="15" customHeight="1" x14ac:dyDescent="0.25">
      <c r="A111" s="14"/>
      <c r="B111" s="95"/>
      <c r="C111" s="103"/>
      <c r="D111" s="103"/>
    </row>
    <row r="112" spans="1:4" s="100" customFormat="1" ht="15" customHeight="1" x14ac:dyDescent="0.25">
      <c r="A112" s="14"/>
      <c r="B112" s="95"/>
      <c r="C112" s="103"/>
      <c r="D112" s="103"/>
    </row>
    <row r="113" spans="1:4" s="100" customFormat="1" ht="15" customHeight="1" x14ac:dyDescent="0.25">
      <c r="A113" s="14"/>
      <c r="B113" s="95"/>
      <c r="C113" s="103"/>
      <c r="D113" s="103"/>
    </row>
    <row r="114" spans="1:4" s="100" customFormat="1" ht="15" customHeight="1" x14ac:dyDescent="0.25">
      <c r="A114" s="14"/>
      <c r="B114" s="95"/>
      <c r="C114" s="103"/>
      <c r="D114" s="103"/>
    </row>
    <row r="115" spans="1:4" s="100" customFormat="1" ht="15" customHeight="1" x14ac:dyDescent="0.25">
      <c r="A115" s="14"/>
      <c r="B115" s="95"/>
      <c r="C115" s="103"/>
      <c r="D115" s="103"/>
    </row>
    <row r="116" spans="1:4" s="100" customFormat="1" ht="15" customHeight="1" x14ac:dyDescent="0.25">
      <c r="A116" s="14"/>
      <c r="B116" s="95"/>
      <c r="C116" s="103"/>
      <c r="D116" s="103"/>
    </row>
    <row r="117" spans="1:4" s="100" customFormat="1" ht="15" customHeight="1" x14ac:dyDescent="0.25">
      <c r="A117" s="14"/>
      <c r="B117" s="95"/>
      <c r="C117" s="103"/>
      <c r="D117" s="103"/>
    </row>
    <row r="118" spans="1:4" s="100" customFormat="1" ht="15" customHeight="1" x14ac:dyDescent="0.25">
      <c r="A118" s="14"/>
      <c r="B118" s="95"/>
      <c r="C118" s="103"/>
      <c r="D118" s="103"/>
    </row>
    <row r="119" spans="1:4" s="100" customFormat="1" ht="15" customHeight="1" x14ac:dyDescent="0.25">
      <c r="A119" s="14"/>
      <c r="B119" s="95"/>
      <c r="C119" s="103"/>
      <c r="D119" s="103"/>
    </row>
    <row r="120" spans="1:4" s="100" customFormat="1" ht="15" customHeight="1" x14ac:dyDescent="0.25">
      <c r="A120" s="14"/>
      <c r="B120" s="95"/>
      <c r="C120" s="103"/>
      <c r="D120" s="103"/>
    </row>
    <row r="121" spans="1:4" s="100" customFormat="1" ht="15" customHeight="1" x14ac:dyDescent="0.25">
      <c r="A121" s="14"/>
      <c r="B121" s="95"/>
      <c r="C121" s="103"/>
      <c r="D121" s="103"/>
    </row>
    <row r="122" spans="1:4" s="100" customFormat="1" ht="15" customHeight="1" x14ac:dyDescent="0.25">
      <c r="A122" s="14"/>
      <c r="B122" s="95"/>
      <c r="C122" s="103"/>
      <c r="D122" s="103"/>
    </row>
    <row r="123" spans="1:4" s="100" customFormat="1" ht="15" customHeight="1" x14ac:dyDescent="0.25">
      <c r="A123" s="14"/>
      <c r="B123" s="95"/>
      <c r="C123" s="103"/>
      <c r="D123" s="103"/>
    </row>
    <row r="124" spans="1:4" s="100" customFormat="1" ht="15" customHeight="1" x14ac:dyDescent="0.25">
      <c r="A124" s="14"/>
      <c r="B124" s="95"/>
      <c r="C124" s="103"/>
      <c r="D124" s="103"/>
    </row>
    <row r="125" spans="1:4" s="100" customFormat="1" ht="15" customHeight="1" x14ac:dyDescent="0.25">
      <c r="A125" s="14"/>
      <c r="B125" s="95"/>
      <c r="C125" s="103"/>
      <c r="D125" s="103"/>
    </row>
    <row r="126" spans="1:4" s="100" customFormat="1" ht="15" customHeight="1" x14ac:dyDescent="0.25">
      <c r="A126" s="14"/>
      <c r="B126" s="95"/>
      <c r="C126" s="103"/>
      <c r="D126" s="103"/>
    </row>
    <row r="127" spans="1:4" s="100" customFormat="1" ht="15" customHeight="1" x14ac:dyDescent="0.25">
      <c r="A127" s="14"/>
      <c r="B127" s="95"/>
      <c r="C127" s="103"/>
      <c r="D127" s="103"/>
    </row>
    <row r="128" spans="1:4" s="100" customFormat="1" ht="15" customHeight="1" x14ac:dyDescent="0.25">
      <c r="A128" s="14"/>
      <c r="B128" s="95"/>
      <c r="C128" s="103"/>
      <c r="D128" s="103"/>
    </row>
    <row r="129" spans="1:4" s="100" customFormat="1" ht="15" customHeight="1" x14ac:dyDescent="0.25">
      <c r="A129" s="14"/>
      <c r="B129" s="95"/>
      <c r="C129" s="103"/>
      <c r="D129" s="103"/>
    </row>
    <row r="130" spans="1:4" s="100" customFormat="1" ht="15" customHeight="1" x14ac:dyDescent="0.25">
      <c r="A130" s="14"/>
      <c r="B130" s="95"/>
      <c r="C130" s="103"/>
      <c r="D130" s="103"/>
    </row>
    <row r="131" spans="1:4" s="100" customFormat="1" ht="15" customHeight="1" x14ac:dyDescent="0.25">
      <c r="A131" s="14"/>
      <c r="B131" s="95"/>
      <c r="C131" s="103"/>
      <c r="D131" s="103"/>
    </row>
    <row r="132" spans="1:4" s="100" customFormat="1" ht="15" customHeight="1" x14ac:dyDescent="0.25">
      <c r="A132" s="14"/>
      <c r="B132" s="95"/>
      <c r="C132" s="103"/>
      <c r="D132" s="103"/>
    </row>
    <row r="133" spans="1:4" s="100" customFormat="1" ht="15" customHeight="1" x14ac:dyDescent="0.25">
      <c r="A133" s="14"/>
      <c r="B133" s="95"/>
      <c r="C133" s="103"/>
      <c r="D133" s="103"/>
    </row>
    <row r="134" spans="1:4" s="100" customFormat="1" ht="15" customHeight="1" x14ac:dyDescent="0.25">
      <c r="A134" s="14"/>
      <c r="B134" s="95"/>
      <c r="C134" s="103"/>
      <c r="D134" s="103"/>
    </row>
    <row r="135" spans="1:4" s="100" customFormat="1" ht="15" customHeight="1" x14ac:dyDescent="0.25">
      <c r="A135" s="14"/>
      <c r="B135" s="95"/>
      <c r="C135" s="103"/>
      <c r="D135" s="103"/>
    </row>
    <row r="136" spans="1:4" s="100" customFormat="1" ht="15" customHeight="1" x14ac:dyDescent="0.25">
      <c r="A136" s="14"/>
      <c r="B136" s="95"/>
      <c r="C136" s="103"/>
      <c r="D136" s="103"/>
    </row>
    <row r="137" spans="1:4" s="100" customFormat="1" ht="15" customHeight="1" x14ac:dyDescent="0.25">
      <c r="A137" s="14"/>
      <c r="B137" s="95"/>
      <c r="C137" s="103"/>
      <c r="D137" s="103"/>
    </row>
    <row r="138" spans="1:4" s="100" customFormat="1" ht="15" customHeight="1" x14ac:dyDescent="0.25">
      <c r="A138" s="14"/>
      <c r="B138" s="95"/>
      <c r="C138" s="103"/>
      <c r="D138" s="103"/>
    </row>
    <row r="139" spans="1:4" s="100" customFormat="1" ht="15" customHeight="1" x14ac:dyDescent="0.25">
      <c r="A139" s="14"/>
      <c r="B139" s="95"/>
      <c r="C139" s="103"/>
      <c r="D139" s="103"/>
    </row>
    <row r="140" spans="1:4" s="100" customFormat="1" ht="15" customHeight="1" x14ac:dyDescent="0.25">
      <c r="A140" s="14"/>
      <c r="B140" s="95"/>
      <c r="C140" s="103"/>
      <c r="D140" s="103"/>
    </row>
    <row r="141" spans="1:4" s="100" customFormat="1" ht="15" customHeight="1" x14ac:dyDescent="0.25">
      <c r="A141" s="14"/>
      <c r="B141" s="95"/>
      <c r="C141" s="103"/>
      <c r="D141" s="103"/>
    </row>
    <row r="142" spans="1:4" s="100" customFormat="1" ht="15" customHeight="1" x14ac:dyDescent="0.25">
      <c r="A142" s="14"/>
      <c r="B142" s="95"/>
      <c r="C142" s="103"/>
      <c r="D142" s="103"/>
    </row>
    <row r="143" spans="1:4" s="100" customFormat="1" ht="15" customHeight="1" x14ac:dyDescent="0.25">
      <c r="A143" s="14"/>
      <c r="B143" s="95"/>
      <c r="C143" s="103"/>
      <c r="D143" s="103"/>
    </row>
    <row r="144" spans="1:4" s="100" customFormat="1" ht="15" customHeight="1" x14ac:dyDescent="0.25">
      <c r="A144" s="14"/>
      <c r="B144" s="95"/>
      <c r="C144" s="103"/>
      <c r="D144" s="103"/>
    </row>
    <row r="145" spans="1:4" s="100" customFormat="1" ht="15" customHeight="1" x14ac:dyDescent="0.25">
      <c r="A145" s="14"/>
      <c r="B145" s="95"/>
      <c r="C145" s="103"/>
      <c r="D145" s="103"/>
    </row>
    <row r="146" spans="1:4" s="100" customFormat="1" ht="15" customHeight="1" x14ac:dyDescent="0.25">
      <c r="A146" s="14"/>
      <c r="B146" s="95"/>
      <c r="C146" s="103"/>
      <c r="D146" s="103"/>
    </row>
    <row r="147" spans="1:4" s="100" customFormat="1" ht="15" customHeight="1" x14ac:dyDescent="0.25">
      <c r="A147" s="14"/>
      <c r="B147" s="95"/>
      <c r="C147" s="103"/>
      <c r="D147" s="103"/>
    </row>
    <row r="148" spans="1:4" s="100" customFormat="1" ht="15" customHeight="1" x14ac:dyDescent="0.25">
      <c r="A148" s="14"/>
      <c r="B148" s="95"/>
      <c r="C148" s="103"/>
      <c r="D148" s="103"/>
    </row>
    <row r="149" spans="1:4" s="100" customFormat="1" ht="15" customHeight="1" x14ac:dyDescent="0.25">
      <c r="A149" s="14"/>
      <c r="B149" s="95"/>
      <c r="C149" s="103"/>
      <c r="D149" s="103"/>
    </row>
    <row r="150" spans="1:4" s="100" customFormat="1" ht="15" customHeight="1" x14ac:dyDescent="0.25">
      <c r="A150" s="14"/>
      <c r="B150" s="95"/>
      <c r="C150" s="103"/>
      <c r="D150" s="103"/>
    </row>
    <row r="151" spans="1:4" s="100" customFormat="1" ht="15" customHeight="1" x14ac:dyDescent="0.25">
      <c r="A151" s="14"/>
      <c r="B151" s="95"/>
      <c r="C151" s="103"/>
      <c r="D151" s="103"/>
    </row>
    <row r="152" spans="1:4" s="100" customFormat="1" ht="15" customHeight="1" x14ac:dyDescent="0.25">
      <c r="A152" s="14"/>
      <c r="B152" s="95"/>
      <c r="C152" s="103"/>
      <c r="D152" s="103"/>
    </row>
    <row r="153" spans="1:4" s="100" customFormat="1" ht="15" customHeight="1" x14ac:dyDescent="0.25">
      <c r="A153" s="14"/>
      <c r="B153" s="95"/>
      <c r="C153" s="103"/>
      <c r="D153" s="103"/>
    </row>
    <row r="154" spans="1:4" s="100" customFormat="1" ht="15" customHeight="1" x14ac:dyDescent="0.25">
      <c r="A154" s="14"/>
      <c r="B154" s="95"/>
      <c r="C154" s="103"/>
      <c r="D154" s="103"/>
    </row>
    <row r="155" spans="1:4" s="100" customFormat="1" ht="15" customHeight="1" x14ac:dyDescent="0.25">
      <c r="A155" s="14"/>
      <c r="B155" s="95"/>
      <c r="C155" s="103"/>
      <c r="D155" s="103"/>
    </row>
    <row r="156" spans="1:4" s="100" customFormat="1" ht="15" customHeight="1" x14ac:dyDescent="0.25">
      <c r="A156" s="14"/>
      <c r="B156" s="95"/>
      <c r="C156" s="103"/>
      <c r="D156" s="103"/>
    </row>
    <row r="157" spans="1:4" s="100" customFormat="1" ht="15" customHeight="1" x14ac:dyDescent="0.25">
      <c r="A157" s="14"/>
      <c r="B157" s="95"/>
      <c r="C157" s="103"/>
      <c r="D157" s="103"/>
    </row>
    <row r="158" spans="1:4" s="100" customFormat="1" ht="15" customHeight="1" x14ac:dyDescent="0.25">
      <c r="A158" s="14"/>
      <c r="B158" s="95"/>
      <c r="C158" s="103"/>
      <c r="D158" s="103"/>
    </row>
    <row r="159" spans="1:4" s="100" customFormat="1" ht="15" customHeight="1" x14ac:dyDescent="0.25">
      <c r="A159" s="14"/>
      <c r="B159" s="95"/>
      <c r="C159" s="103"/>
      <c r="D159" s="103"/>
    </row>
    <row r="160" spans="1:4" s="100" customFormat="1" ht="15" customHeight="1" x14ac:dyDescent="0.25">
      <c r="A160" s="14"/>
      <c r="B160" s="95"/>
      <c r="C160" s="103"/>
      <c r="D160" s="103"/>
    </row>
    <row r="161" spans="1:4" s="100" customFormat="1" ht="15" customHeight="1" x14ac:dyDescent="0.25">
      <c r="A161" s="14"/>
      <c r="B161" s="95"/>
      <c r="C161" s="103"/>
      <c r="D161" s="103"/>
    </row>
    <row r="162" spans="1:4" s="100" customFormat="1" ht="15" customHeight="1" x14ac:dyDescent="0.25">
      <c r="A162" s="14"/>
      <c r="B162" s="95"/>
      <c r="C162" s="103"/>
      <c r="D162" s="103"/>
    </row>
    <row r="163" spans="1:4" s="100" customFormat="1" ht="15" customHeight="1" x14ac:dyDescent="0.25">
      <c r="A163" s="14"/>
      <c r="B163" s="95"/>
      <c r="C163" s="103"/>
      <c r="D163" s="103"/>
    </row>
    <row r="164" spans="1:4" s="100" customFormat="1" ht="15" customHeight="1" x14ac:dyDescent="0.25">
      <c r="A164" s="14"/>
      <c r="B164" s="95"/>
      <c r="C164" s="103"/>
      <c r="D164" s="103"/>
    </row>
    <row r="165" spans="1:4" s="100" customFormat="1" ht="15" customHeight="1" x14ac:dyDescent="0.25">
      <c r="A165" s="14"/>
      <c r="B165" s="95"/>
      <c r="C165" s="103"/>
      <c r="D165" s="103"/>
    </row>
    <row r="166" spans="1:4" s="100" customFormat="1" ht="15" customHeight="1" x14ac:dyDescent="0.25">
      <c r="A166" s="14"/>
      <c r="B166" s="95"/>
      <c r="C166" s="103"/>
      <c r="D166" s="103"/>
    </row>
    <row r="167" spans="1:4" s="100" customFormat="1" ht="15" customHeight="1" x14ac:dyDescent="0.25">
      <c r="A167" s="14"/>
      <c r="B167" s="95"/>
      <c r="C167" s="103"/>
      <c r="D167" s="103"/>
    </row>
    <row r="168" spans="1:4" s="100" customFormat="1" ht="15" customHeight="1" x14ac:dyDescent="0.25">
      <c r="A168" s="14"/>
      <c r="B168" s="95"/>
      <c r="C168" s="103"/>
      <c r="D168" s="103"/>
    </row>
    <row r="169" spans="1:4" s="100" customFormat="1" ht="15" customHeight="1" x14ac:dyDescent="0.25">
      <c r="A169" s="14"/>
      <c r="B169" s="95"/>
      <c r="C169" s="103"/>
      <c r="D169" s="103"/>
    </row>
    <row r="170" spans="1:4" s="100" customFormat="1" ht="15" customHeight="1" x14ac:dyDescent="0.25">
      <c r="A170" s="14"/>
      <c r="B170" s="95"/>
      <c r="C170" s="103"/>
      <c r="D170" s="103"/>
    </row>
    <row r="171" spans="1:4" s="100" customFormat="1" ht="15" customHeight="1" x14ac:dyDescent="0.25">
      <c r="A171" s="14"/>
      <c r="B171" s="95"/>
      <c r="C171" s="103"/>
      <c r="D171" s="103"/>
    </row>
    <row r="172" spans="1:4" s="100" customFormat="1" ht="15" customHeight="1" x14ac:dyDescent="0.25">
      <c r="A172" s="14"/>
      <c r="B172" s="95"/>
      <c r="C172" s="103"/>
      <c r="D172" s="103"/>
    </row>
    <row r="173" spans="1:4" s="100" customFormat="1" ht="15" customHeight="1" x14ac:dyDescent="0.25">
      <c r="A173" s="14"/>
      <c r="B173" s="95"/>
      <c r="C173" s="103"/>
      <c r="D173" s="103"/>
    </row>
    <row r="174" spans="1:4" s="100" customFormat="1" ht="15" customHeight="1" x14ac:dyDescent="0.25">
      <c r="A174" s="14"/>
      <c r="B174" s="95"/>
      <c r="C174" s="103"/>
      <c r="D174" s="103"/>
    </row>
    <row r="175" spans="1:4" s="100" customFormat="1" ht="15" customHeight="1" x14ac:dyDescent="0.25">
      <c r="A175" s="14"/>
      <c r="B175" s="95"/>
      <c r="C175" s="103"/>
      <c r="D175" s="103"/>
    </row>
    <row r="176" spans="1:4" s="100" customFormat="1" ht="15" customHeight="1" x14ac:dyDescent="0.25">
      <c r="A176" s="14"/>
      <c r="B176" s="95"/>
      <c r="C176" s="103"/>
      <c r="D176" s="103"/>
    </row>
    <row r="177" spans="1:5" s="100" customFormat="1" ht="15" customHeight="1" x14ac:dyDescent="0.25">
      <c r="A177" s="14"/>
      <c r="B177" s="95"/>
      <c r="C177" s="103"/>
      <c r="D177" s="103"/>
    </row>
    <row r="178" spans="1:5" s="100" customFormat="1" ht="15" customHeight="1" x14ac:dyDescent="0.25">
      <c r="A178" s="14"/>
      <c r="B178" s="95"/>
      <c r="C178" s="103"/>
      <c r="D178" s="103"/>
    </row>
    <row r="179" spans="1:5" s="100" customFormat="1" ht="15" customHeight="1" x14ac:dyDescent="0.25">
      <c r="A179" s="14"/>
      <c r="B179" s="95"/>
      <c r="C179" s="103"/>
      <c r="D179" s="103"/>
    </row>
    <row r="180" spans="1:5" s="100" customFormat="1" ht="15" customHeight="1" x14ac:dyDescent="0.25">
      <c r="A180" s="14"/>
      <c r="B180" s="95"/>
      <c r="C180" s="103"/>
      <c r="D180" s="103"/>
      <c r="E180" s="104"/>
    </row>
    <row r="181" spans="1:5" s="100" customFormat="1" ht="15" customHeight="1" x14ac:dyDescent="0.25">
      <c r="A181" s="14"/>
      <c r="B181" s="95"/>
      <c r="C181" s="103"/>
      <c r="D181" s="103"/>
      <c r="E181" s="99"/>
    </row>
    <row r="182" spans="1:5" s="100" customFormat="1" ht="15" customHeight="1" x14ac:dyDescent="0.25">
      <c r="A182" s="14"/>
      <c r="B182" s="95"/>
      <c r="C182" s="103"/>
      <c r="D182" s="103"/>
      <c r="E182" s="104"/>
    </row>
    <row r="183" spans="1:5" s="100" customFormat="1" ht="15" customHeight="1" x14ac:dyDescent="0.25">
      <c r="A183" s="14"/>
      <c r="B183" s="95"/>
      <c r="C183" s="103"/>
      <c r="D183" s="103"/>
      <c r="E183" s="104"/>
    </row>
    <row r="184" spans="1:5" s="100" customFormat="1" ht="15" customHeight="1" x14ac:dyDescent="0.25">
      <c r="A184" s="14"/>
      <c r="B184" s="95"/>
      <c r="C184" s="103"/>
      <c r="D184" s="103"/>
      <c r="E184" s="104"/>
    </row>
    <row r="185" spans="1:5" s="100" customFormat="1" ht="15" customHeight="1" x14ac:dyDescent="0.25">
      <c r="A185" s="14"/>
      <c r="B185" s="95"/>
      <c r="C185" s="103"/>
      <c r="D185" s="103"/>
      <c r="E185" s="104"/>
    </row>
    <row r="186" spans="1:5" s="100" customFormat="1" ht="15" customHeight="1" x14ac:dyDescent="0.25">
      <c r="A186" s="14"/>
      <c r="B186" s="95"/>
      <c r="C186" s="103"/>
      <c r="D186" s="103"/>
      <c r="E186" s="104"/>
    </row>
    <row r="187" spans="1:5" s="100" customFormat="1" ht="15" customHeight="1" x14ac:dyDescent="0.25">
      <c r="A187" s="14"/>
      <c r="B187" s="95"/>
      <c r="C187" s="103"/>
      <c r="D187" s="103"/>
      <c r="E187" s="104"/>
    </row>
    <row r="188" spans="1:5" s="100" customFormat="1" ht="15" customHeight="1" x14ac:dyDescent="0.25">
      <c r="A188" s="14"/>
      <c r="B188" s="95"/>
      <c r="C188" s="103"/>
      <c r="D188" s="103"/>
      <c r="E188" s="104"/>
    </row>
    <row r="189" spans="1:5" s="100" customFormat="1" ht="15" customHeight="1" x14ac:dyDescent="0.25">
      <c r="A189" s="14"/>
      <c r="B189" s="95"/>
      <c r="C189" s="103"/>
      <c r="D189" s="103"/>
      <c r="E189" s="104"/>
    </row>
    <row r="190" spans="1:5" s="100" customFormat="1" ht="15" customHeight="1" x14ac:dyDescent="0.25">
      <c r="A190" s="14"/>
      <c r="B190" s="95"/>
      <c r="C190" s="103"/>
      <c r="D190" s="103"/>
      <c r="E190" s="104"/>
    </row>
    <row r="191" spans="1:5" s="100" customFormat="1" ht="15" customHeight="1" x14ac:dyDescent="0.25">
      <c r="A191" s="14"/>
      <c r="B191" s="95"/>
      <c r="C191" s="103"/>
      <c r="D191" s="103"/>
      <c r="E191" s="104"/>
    </row>
    <row r="192" spans="1:5" s="100" customFormat="1" ht="15" customHeight="1" x14ac:dyDescent="0.25">
      <c r="A192" s="14"/>
      <c r="B192" s="95"/>
      <c r="C192" s="103"/>
      <c r="D192" s="103"/>
      <c r="E192" s="104"/>
    </row>
    <row r="193" spans="1:5" s="100" customFormat="1" ht="15" customHeight="1" x14ac:dyDescent="0.25">
      <c r="A193" s="14"/>
      <c r="B193" s="95"/>
      <c r="C193" s="103"/>
      <c r="D193" s="103"/>
      <c r="E193" s="104"/>
    </row>
    <row r="194" spans="1:5" s="100" customFormat="1" ht="15" customHeight="1" x14ac:dyDescent="0.25">
      <c r="A194" s="14"/>
      <c r="B194" s="95"/>
      <c r="C194" s="103"/>
      <c r="D194" s="103"/>
      <c r="E194" s="104"/>
    </row>
    <row r="195" spans="1:5" s="100" customFormat="1" ht="15" customHeight="1" x14ac:dyDescent="0.25">
      <c r="A195" s="14"/>
      <c r="B195" s="95"/>
      <c r="C195" s="103"/>
      <c r="D195" s="103"/>
      <c r="E195" s="104"/>
    </row>
    <row r="196" spans="1:5" s="100" customFormat="1" ht="15" customHeight="1" x14ac:dyDescent="0.25">
      <c r="A196" s="14"/>
      <c r="B196" s="95"/>
      <c r="C196" s="103"/>
      <c r="D196" s="103"/>
      <c r="E196" s="104"/>
    </row>
    <row r="197" spans="1:5" s="100" customFormat="1" ht="15" customHeight="1" x14ac:dyDescent="0.25">
      <c r="A197" s="14"/>
      <c r="B197" s="95"/>
      <c r="C197" s="103"/>
      <c r="D197" s="103"/>
      <c r="E197" s="104"/>
    </row>
    <row r="198" spans="1:5" s="100" customFormat="1" ht="15" customHeight="1" x14ac:dyDescent="0.25">
      <c r="A198" s="14"/>
      <c r="B198" s="95"/>
      <c r="C198" s="103"/>
      <c r="D198" s="103"/>
      <c r="E198" s="104"/>
    </row>
    <row r="199" spans="1:5" s="100" customFormat="1" ht="15" customHeight="1" x14ac:dyDescent="0.25">
      <c r="A199" s="14"/>
      <c r="B199" s="95"/>
      <c r="C199" s="103"/>
      <c r="D199" s="103"/>
      <c r="E199" s="104"/>
    </row>
    <row r="200" spans="1:5" s="100" customFormat="1" ht="15" customHeight="1" x14ac:dyDescent="0.25">
      <c r="A200" s="14"/>
      <c r="B200" s="95"/>
      <c r="C200" s="103"/>
      <c r="D200" s="103"/>
      <c r="E200" s="104"/>
    </row>
    <row r="201" spans="1:5" s="100" customFormat="1" ht="15" customHeight="1" x14ac:dyDescent="0.25">
      <c r="A201" s="14"/>
      <c r="B201" s="95"/>
      <c r="C201" s="103"/>
      <c r="D201" s="103"/>
      <c r="E201" s="104"/>
    </row>
    <row r="202" spans="1:5" s="100" customFormat="1" ht="15" customHeight="1" x14ac:dyDescent="0.25">
      <c r="A202" s="14"/>
      <c r="B202" s="95"/>
      <c r="C202" s="103"/>
      <c r="D202" s="103"/>
      <c r="E202" s="104"/>
    </row>
    <row r="203" spans="1:5" s="100" customFormat="1" ht="15" customHeight="1" x14ac:dyDescent="0.25">
      <c r="A203" s="14"/>
      <c r="B203" s="95"/>
      <c r="C203" s="103"/>
      <c r="D203" s="103"/>
      <c r="E203" s="104"/>
    </row>
    <row r="204" spans="1:5" s="100" customFormat="1" ht="15" customHeight="1" x14ac:dyDescent="0.25">
      <c r="A204" s="14"/>
      <c r="B204" s="95"/>
      <c r="C204" s="103"/>
      <c r="D204" s="103"/>
      <c r="E204" s="104"/>
    </row>
    <row r="205" spans="1:5" s="100" customFormat="1" ht="15" customHeight="1" x14ac:dyDescent="0.25">
      <c r="A205" s="14"/>
      <c r="B205" s="95"/>
      <c r="C205" s="103"/>
      <c r="D205" s="103"/>
      <c r="E205" s="104"/>
    </row>
    <row r="206" spans="1:5" s="100" customFormat="1" ht="15" customHeight="1" x14ac:dyDescent="0.25">
      <c r="A206" s="14"/>
      <c r="B206" s="95"/>
      <c r="C206" s="103"/>
      <c r="D206" s="103"/>
      <c r="E206" s="104"/>
    </row>
    <row r="207" spans="1:5" s="100" customFormat="1" ht="15" customHeight="1" x14ac:dyDescent="0.25">
      <c r="A207" s="14"/>
      <c r="B207" s="95"/>
      <c r="C207" s="103"/>
      <c r="D207" s="103"/>
      <c r="E207" s="104"/>
    </row>
    <row r="208" spans="1:5" s="100" customFormat="1" ht="15" customHeight="1" x14ac:dyDescent="0.25">
      <c r="A208" s="14"/>
      <c r="B208" s="95"/>
      <c r="C208" s="103"/>
      <c r="D208" s="103"/>
      <c r="E208" s="104"/>
    </row>
    <row r="209" spans="1:5" s="100" customFormat="1" ht="15" customHeight="1" x14ac:dyDescent="0.25">
      <c r="A209" s="14"/>
      <c r="B209" s="95"/>
      <c r="C209" s="103"/>
      <c r="D209" s="103"/>
      <c r="E209" s="104"/>
    </row>
    <row r="210" spans="1:5" s="100" customFormat="1" ht="15" customHeight="1" x14ac:dyDescent="0.25">
      <c r="A210" s="14"/>
      <c r="B210" s="95"/>
      <c r="C210" s="103"/>
      <c r="D210" s="103"/>
      <c r="E210" s="104"/>
    </row>
    <row r="211" spans="1:5" s="100" customFormat="1" ht="15" customHeight="1" x14ac:dyDescent="0.25">
      <c r="A211" s="14"/>
      <c r="B211" s="95"/>
      <c r="C211" s="103"/>
      <c r="D211" s="103"/>
      <c r="E211" s="104"/>
    </row>
    <row r="212" spans="1:5" s="100" customFormat="1" ht="15" customHeight="1" x14ac:dyDescent="0.25">
      <c r="A212" s="14"/>
      <c r="B212" s="95"/>
      <c r="C212" s="103"/>
      <c r="D212" s="103"/>
      <c r="E212" s="104"/>
    </row>
    <row r="213" spans="1:5" s="100" customFormat="1" ht="15" customHeight="1" x14ac:dyDescent="0.25">
      <c r="A213" s="14"/>
      <c r="B213" s="95"/>
      <c r="C213" s="103"/>
      <c r="D213" s="103"/>
      <c r="E213" s="104"/>
    </row>
    <row r="214" spans="1:5" s="100" customFormat="1" ht="15" customHeight="1" x14ac:dyDescent="0.25">
      <c r="A214" s="14"/>
      <c r="B214" s="95"/>
      <c r="C214" s="103"/>
      <c r="D214" s="103"/>
      <c r="E214" s="104"/>
    </row>
    <row r="215" spans="1:5" s="100" customFormat="1" ht="15" customHeight="1" x14ac:dyDescent="0.25">
      <c r="A215" s="14"/>
      <c r="B215" s="95"/>
      <c r="C215" s="103"/>
      <c r="D215" s="103"/>
      <c r="E215" s="104"/>
    </row>
    <row r="216" spans="1:5" s="100" customFormat="1" ht="15" customHeight="1" x14ac:dyDescent="0.25">
      <c r="A216" s="14"/>
      <c r="B216" s="95"/>
      <c r="C216" s="103"/>
      <c r="D216" s="103"/>
      <c r="E216" s="104"/>
    </row>
    <row r="217" spans="1:5" s="100" customFormat="1" ht="15" customHeight="1" x14ac:dyDescent="0.25">
      <c r="A217" s="14"/>
      <c r="B217" s="95"/>
      <c r="C217" s="103"/>
      <c r="D217" s="103"/>
      <c r="E217" s="104"/>
    </row>
    <row r="218" spans="1:5" s="100" customFormat="1" ht="15" customHeight="1" x14ac:dyDescent="0.25">
      <c r="A218" s="14"/>
      <c r="B218" s="95"/>
      <c r="C218" s="103"/>
      <c r="D218" s="103"/>
      <c r="E218" s="104"/>
    </row>
    <row r="219" spans="1:5" s="100" customFormat="1" ht="15" customHeight="1" x14ac:dyDescent="0.25">
      <c r="A219" s="14"/>
      <c r="B219" s="95"/>
      <c r="C219" s="103"/>
      <c r="D219" s="103"/>
      <c r="E219" s="104"/>
    </row>
    <row r="220" spans="1:5" s="100" customFormat="1" ht="15" customHeight="1" x14ac:dyDescent="0.25">
      <c r="A220" s="14"/>
      <c r="B220" s="95"/>
      <c r="C220" s="103"/>
      <c r="D220" s="103"/>
      <c r="E220" s="104"/>
    </row>
    <row r="221" spans="1:5" s="100" customFormat="1" ht="15" customHeight="1" x14ac:dyDescent="0.25">
      <c r="A221" s="14"/>
      <c r="B221" s="95"/>
      <c r="C221" s="103"/>
      <c r="D221" s="103"/>
      <c r="E221" s="104"/>
    </row>
    <row r="222" spans="1:5" s="100" customFormat="1" ht="15" customHeight="1" x14ac:dyDescent="0.25">
      <c r="A222" s="14"/>
      <c r="B222" s="95"/>
      <c r="C222" s="103"/>
      <c r="D222" s="103"/>
      <c r="E222" s="104"/>
    </row>
    <row r="223" spans="1:5" s="100" customFormat="1" ht="15" customHeight="1" x14ac:dyDescent="0.25">
      <c r="A223" s="14"/>
      <c r="B223" s="95"/>
      <c r="C223" s="103"/>
      <c r="D223" s="103"/>
      <c r="E223" s="104"/>
    </row>
    <row r="224" spans="1:5" s="100" customFormat="1" ht="15" customHeight="1" x14ac:dyDescent="0.25">
      <c r="A224" s="14"/>
      <c r="B224" s="95"/>
      <c r="C224" s="103"/>
      <c r="D224" s="103"/>
      <c r="E224" s="104"/>
    </row>
    <row r="225" spans="1:5" s="100" customFormat="1" ht="15" customHeight="1" x14ac:dyDescent="0.25">
      <c r="A225" s="14"/>
      <c r="B225" s="95"/>
      <c r="C225" s="103"/>
      <c r="D225" s="103"/>
      <c r="E225" s="104"/>
    </row>
    <row r="226" spans="1:5" s="100" customFormat="1" ht="15" customHeight="1" x14ac:dyDescent="0.25">
      <c r="A226" s="14"/>
      <c r="B226" s="95"/>
      <c r="C226" s="103"/>
      <c r="D226" s="103"/>
      <c r="E226" s="104"/>
    </row>
    <row r="227" spans="1:5" s="100" customFormat="1" ht="15" customHeight="1" x14ac:dyDescent="0.25">
      <c r="A227" s="14"/>
      <c r="B227" s="95"/>
      <c r="C227" s="103"/>
      <c r="D227" s="103"/>
      <c r="E227" s="104"/>
    </row>
    <row r="228" spans="1:5" s="100" customFormat="1" ht="15" customHeight="1" x14ac:dyDescent="0.25">
      <c r="A228" s="14"/>
      <c r="B228" s="95"/>
      <c r="C228" s="103"/>
      <c r="D228" s="103"/>
      <c r="E228" s="104"/>
    </row>
    <row r="229" spans="1:5" s="100" customFormat="1" ht="15" customHeight="1" x14ac:dyDescent="0.25">
      <c r="A229" s="14"/>
      <c r="B229" s="95"/>
      <c r="C229" s="103"/>
      <c r="D229" s="103"/>
      <c r="E229" s="104"/>
    </row>
    <row r="230" spans="1:5" s="100" customFormat="1" ht="15" customHeight="1" x14ac:dyDescent="0.25">
      <c r="A230" s="14"/>
      <c r="B230" s="95"/>
      <c r="C230" s="103"/>
      <c r="D230" s="103"/>
      <c r="E230" s="104"/>
    </row>
    <row r="231" spans="1:5" s="100" customFormat="1" ht="15" customHeight="1" x14ac:dyDescent="0.25">
      <c r="A231" s="14"/>
      <c r="B231" s="95"/>
      <c r="C231" s="103"/>
      <c r="D231" s="103"/>
      <c r="E231" s="104"/>
    </row>
    <row r="232" spans="1:5" s="100" customFormat="1" ht="15" customHeight="1" x14ac:dyDescent="0.25">
      <c r="A232" s="14"/>
      <c r="B232" s="95"/>
      <c r="C232" s="103"/>
      <c r="D232" s="103"/>
      <c r="E232" s="104"/>
    </row>
    <row r="233" spans="1:5" s="100" customFormat="1" ht="15" customHeight="1" x14ac:dyDescent="0.25">
      <c r="A233" s="14"/>
      <c r="B233" s="95"/>
      <c r="C233" s="103"/>
      <c r="D233" s="103"/>
      <c r="E233" s="104"/>
    </row>
    <row r="234" spans="1:5" s="100" customFormat="1" ht="15" customHeight="1" x14ac:dyDescent="0.25">
      <c r="A234" s="14"/>
      <c r="B234" s="95"/>
      <c r="C234" s="103"/>
      <c r="D234" s="103"/>
      <c r="E234" s="104"/>
    </row>
    <row r="235" spans="1:5" s="100" customFormat="1" ht="15" customHeight="1" x14ac:dyDescent="0.25">
      <c r="A235" s="14"/>
      <c r="B235" s="95"/>
      <c r="C235" s="103"/>
      <c r="D235" s="103"/>
      <c r="E235" s="104"/>
    </row>
    <row r="236" spans="1:5" s="100" customFormat="1" ht="15" customHeight="1" x14ac:dyDescent="0.25">
      <c r="A236" s="14"/>
      <c r="B236" s="95"/>
      <c r="C236" s="103"/>
      <c r="D236" s="103"/>
      <c r="E236" s="104"/>
    </row>
    <row r="237" spans="1:5" s="100" customFormat="1" ht="15" customHeight="1" x14ac:dyDescent="0.25">
      <c r="A237" s="14"/>
      <c r="B237" s="95"/>
      <c r="C237" s="103"/>
      <c r="D237" s="103"/>
      <c r="E237" s="104"/>
    </row>
    <row r="238" spans="1:5" s="100" customFormat="1" ht="15" customHeight="1" x14ac:dyDescent="0.25">
      <c r="A238" s="14"/>
      <c r="B238" s="95"/>
      <c r="C238" s="103"/>
      <c r="D238" s="103"/>
      <c r="E238" s="104"/>
    </row>
    <row r="239" spans="1:5" s="100" customFormat="1" ht="15" customHeight="1" x14ac:dyDescent="0.25">
      <c r="A239" s="14"/>
      <c r="B239" s="95"/>
      <c r="C239" s="103"/>
      <c r="D239" s="103"/>
      <c r="E239" s="104"/>
    </row>
    <row r="240" spans="1:5" s="100" customFormat="1" ht="15" customHeight="1" x14ac:dyDescent="0.25">
      <c r="A240" s="14"/>
      <c r="B240" s="95"/>
      <c r="C240" s="103"/>
      <c r="D240" s="103"/>
      <c r="E240" s="104"/>
    </row>
    <row r="241" spans="1:5" s="100" customFormat="1" ht="15" customHeight="1" x14ac:dyDescent="0.25">
      <c r="A241" s="14"/>
      <c r="B241" s="95"/>
      <c r="C241" s="103"/>
      <c r="D241" s="103"/>
      <c r="E241" s="104"/>
    </row>
    <row r="242" spans="1:5" s="100" customFormat="1" ht="15" customHeight="1" x14ac:dyDescent="0.25">
      <c r="A242" s="14"/>
      <c r="B242" s="95"/>
      <c r="C242" s="103"/>
      <c r="D242" s="103"/>
      <c r="E242" s="104"/>
    </row>
    <row r="243" spans="1:5" s="100" customFormat="1" ht="15" customHeight="1" x14ac:dyDescent="0.25">
      <c r="A243" s="14"/>
      <c r="B243" s="95"/>
      <c r="C243" s="103"/>
      <c r="D243" s="103"/>
      <c r="E243" s="104"/>
    </row>
    <row r="244" spans="1:5" s="100" customFormat="1" ht="15" customHeight="1" x14ac:dyDescent="0.25">
      <c r="A244" s="14"/>
      <c r="B244" s="95"/>
      <c r="C244" s="103"/>
      <c r="D244" s="103"/>
      <c r="E244" s="104"/>
    </row>
    <row r="245" spans="1:5" s="100" customFormat="1" ht="15" customHeight="1" x14ac:dyDescent="0.25">
      <c r="A245" s="14"/>
      <c r="B245" s="95"/>
      <c r="C245" s="103"/>
      <c r="D245" s="103"/>
      <c r="E245" s="104"/>
    </row>
    <row r="246" spans="1:5" s="100" customFormat="1" ht="15" customHeight="1" x14ac:dyDescent="0.25">
      <c r="A246" s="14"/>
      <c r="B246" s="95"/>
      <c r="C246" s="103"/>
      <c r="D246" s="103"/>
      <c r="E246" s="104"/>
    </row>
    <row r="247" spans="1:5" s="100" customFormat="1" ht="15" customHeight="1" x14ac:dyDescent="0.25">
      <c r="A247" s="14"/>
      <c r="B247" s="95"/>
      <c r="C247" s="103"/>
      <c r="D247" s="103"/>
      <c r="E247" s="104"/>
    </row>
    <row r="248" spans="1:5" s="100" customFormat="1" ht="15" customHeight="1" x14ac:dyDescent="0.25">
      <c r="A248" s="14"/>
      <c r="B248" s="95"/>
      <c r="C248" s="103"/>
      <c r="D248" s="103"/>
      <c r="E248" s="104"/>
    </row>
    <row r="249" spans="1:5" s="100" customFormat="1" ht="15" customHeight="1" x14ac:dyDescent="0.25">
      <c r="A249" s="14"/>
      <c r="B249" s="95"/>
      <c r="C249" s="103"/>
      <c r="D249" s="103"/>
      <c r="E249" s="104"/>
    </row>
    <row r="250" spans="1:5" s="100" customFormat="1" ht="15" customHeight="1" x14ac:dyDescent="0.25">
      <c r="A250" s="14"/>
      <c r="B250" s="95"/>
      <c r="C250" s="103"/>
      <c r="D250" s="103"/>
      <c r="E250" s="104"/>
    </row>
    <row r="251" spans="1:5" s="100" customFormat="1" ht="15" customHeight="1" x14ac:dyDescent="0.25">
      <c r="A251" s="14"/>
      <c r="B251" s="95"/>
      <c r="C251" s="103"/>
      <c r="D251" s="103"/>
      <c r="E251" s="104"/>
    </row>
    <row r="252" spans="1:5" s="100" customFormat="1" ht="15" customHeight="1" x14ac:dyDescent="0.25">
      <c r="A252" s="14"/>
      <c r="B252" s="95"/>
      <c r="C252" s="103"/>
      <c r="D252" s="103"/>
      <c r="E252" s="104"/>
    </row>
    <row r="253" spans="1:5" s="100" customFormat="1" ht="15" customHeight="1" x14ac:dyDescent="0.25">
      <c r="A253" s="14"/>
      <c r="B253" s="95"/>
      <c r="C253" s="103"/>
      <c r="D253" s="103"/>
      <c r="E253" s="104"/>
    </row>
    <row r="254" spans="1:5" s="100" customFormat="1" ht="15" customHeight="1" x14ac:dyDescent="0.25">
      <c r="A254" s="14"/>
      <c r="B254" s="95"/>
      <c r="C254" s="103"/>
      <c r="D254" s="103"/>
      <c r="E254" s="104"/>
    </row>
    <row r="255" spans="1:5" s="100" customFormat="1" ht="15" customHeight="1" x14ac:dyDescent="0.25">
      <c r="A255" s="14"/>
      <c r="B255" s="95"/>
      <c r="C255" s="103"/>
      <c r="D255" s="103"/>
      <c r="E255" s="104"/>
    </row>
    <row r="256" spans="1:5" s="100" customFormat="1" ht="15" customHeight="1" x14ac:dyDescent="0.25">
      <c r="A256" s="14"/>
      <c r="B256" s="95"/>
      <c r="C256" s="103"/>
      <c r="D256" s="103"/>
      <c r="E256" s="104"/>
    </row>
    <row r="257" spans="1:5" s="100" customFormat="1" ht="15" customHeight="1" x14ac:dyDescent="0.25">
      <c r="A257" s="14"/>
      <c r="B257" s="95"/>
      <c r="C257" s="103"/>
      <c r="D257" s="103"/>
      <c r="E257" s="104"/>
    </row>
    <row r="258" spans="1:5" s="100" customFormat="1" ht="15" customHeight="1" x14ac:dyDescent="0.25">
      <c r="A258" s="14"/>
      <c r="B258" s="95"/>
      <c r="C258" s="103"/>
      <c r="D258" s="103"/>
      <c r="E258" s="104"/>
    </row>
    <row r="259" spans="1:5" s="100" customFormat="1" ht="15" customHeight="1" x14ac:dyDescent="0.25">
      <c r="A259" s="14"/>
      <c r="B259" s="95"/>
      <c r="C259" s="103"/>
      <c r="D259" s="103"/>
      <c r="E259" s="104"/>
    </row>
    <row r="260" spans="1:5" s="100" customFormat="1" ht="15" customHeight="1" x14ac:dyDescent="0.25">
      <c r="A260" s="14"/>
      <c r="B260" s="95"/>
      <c r="C260" s="103"/>
      <c r="D260" s="103"/>
      <c r="E260" s="104"/>
    </row>
    <row r="261" spans="1:5" s="100" customFormat="1" ht="15" customHeight="1" x14ac:dyDescent="0.25">
      <c r="A261" s="14"/>
      <c r="B261" s="95"/>
      <c r="C261" s="103"/>
      <c r="D261" s="103"/>
      <c r="E261" s="104"/>
    </row>
    <row r="262" spans="1:5" s="100" customFormat="1" ht="15" customHeight="1" x14ac:dyDescent="0.25">
      <c r="A262" s="14"/>
      <c r="B262" s="95"/>
      <c r="C262" s="103"/>
      <c r="D262" s="103"/>
      <c r="E262" s="104"/>
    </row>
    <row r="263" spans="1:5" s="100" customFormat="1" ht="15" customHeight="1" x14ac:dyDescent="0.25">
      <c r="A263" s="14"/>
      <c r="B263" s="95"/>
      <c r="C263" s="103"/>
      <c r="D263" s="103"/>
      <c r="E263" s="104"/>
    </row>
    <row r="264" spans="1:5" s="100" customFormat="1" ht="15" customHeight="1" x14ac:dyDescent="0.25">
      <c r="A264" s="14"/>
      <c r="B264" s="95"/>
      <c r="C264" s="103"/>
      <c r="D264" s="103"/>
      <c r="E264" s="104"/>
    </row>
    <row r="265" spans="1:5" s="100" customFormat="1" ht="15" customHeight="1" x14ac:dyDescent="0.25">
      <c r="A265" s="14"/>
      <c r="B265" s="95"/>
      <c r="C265" s="103"/>
      <c r="D265" s="103"/>
      <c r="E265" s="104"/>
    </row>
    <row r="266" spans="1:5" s="100" customFormat="1" ht="15" customHeight="1" x14ac:dyDescent="0.25">
      <c r="A266" s="14"/>
      <c r="B266" s="95"/>
      <c r="C266" s="103"/>
      <c r="D266" s="103"/>
      <c r="E266" s="104"/>
    </row>
    <row r="267" spans="1:5" s="100" customFormat="1" ht="15" customHeight="1" x14ac:dyDescent="0.25">
      <c r="A267" s="14"/>
      <c r="B267" s="95"/>
      <c r="C267" s="103"/>
      <c r="D267" s="103"/>
      <c r="E267" s="104"/>
    </row>
    <row r="268" spans="1:5" s="100" customFormat="1" ht="15" customHeight="1" x14ac:dyDescent="0.25">
      <c r="A268" s="14"/>
      <c r="B268" s="95"/>
      <c r="C268" s="103"/>
      <c r="D268" s="103"/>
      <c r="E268" s="104"/>
    </row>
    <row r="269" spans="1:5" s="100" customFormat="1" ht="15" customHeight="1" x14ac:dyDescent="0.25">
      <c r="A269" s="14"/>
      <c r="B269" s="95"/>
      <c r="C269" s="103"/>
      <c r="D269" s="103"/>
      <c r="E269" s="104"/>
    </row>
    <row r="270" spans="1:5" s="100" customFormat="1" ht="15" customHeight="1" x14ac:dyDescent="0.25">
      <c r="A270" s="14"/>
      <c r="B270" s="95"/>
      <c r="C270" s="103"/>
      <c r="D270" s="103"/>
      <c r="E270" s="104"/>
    </row>
    <row r="271" spans="1:5" s="100" customFormat="1" ht="15" customHeight="1" x14ac:dyDescent="0.25">
      <c r="A271" s="14"/>
      <c r="B271" s="95"/>
      <c r="C271" s="103"/>
      <c r="D271" s="103"/>
      <c r="E271" s="104"/>
    </row>
    <row r="272" spans="1:5" s="100" customFormat="1" ht="15" customHeight="1" x14ac:dyDescent="0.25">
      <c r="A272" s="14"/>
      <c r="B272" s="95"/>
      <c r="C272" s="103"/>
      <c r="D272" s="103"/>
      <c r="E272" s="104"/>
    </row>
    <row r="273" spans="1:5" s="100" customFormat="1" ht="15" customHeight="1" x14ac:dyDescent="0.25">
      <c r="A273" s="14"/>
      <c r="B273" s="95"/>
      <c r="C273" s="103"/>
      <c r="D273" s="103"/>
      <c r="E273" s="104"/>
    </row>
    <row r="274" spans="1:5" s="100" customFormat="1" ht="15" customHeight="1" x14ac:dyDescent="0.25">
      <c r="A274" s="14"/>
      <c r="B274" s="95"/>
      <c r="C274" s="103"/>
      <c r="D274" s="103"/>
      <c r="E274" s="104"/>
    </row>
    <row r="275" spans="1:5" s="100" customFormat="1" ht="15" customHeight="1" x14ac:dyDescent="0.25">
      <c r="A275" s="14"/>
      <c r="B275" s="95"/>
      <c r="C275" s="103"/>
      <c r="D275" s="103"/>
      <c r="E275" s="104"/>
    </row>
    <row r="276" spans="1:5" s="100" customFormat="1" ht="15" customHeight="1" x14ac:dyDescent="0.25">
      <c r="A276" s="14"/>
      <c r="B276" s="95"/>
      <c r="C276" s="103"/>
      <c r="D276" s="103"/>
      <c r="E276" s="104"/>
    </row>
    <row r="277" spans="1:5" s="100" customFormat="1" ht="15" customHeight="1" x14ac:dyDescent="0.25">
      <c r="A277" s="14"/>
      <c r="B277" s="95"/>
      <c r="C277" s="103"/>
      <c r="D277" s="103"/>
      <c r="E277" s="104"/>
    </row>
    <row r="278" spans="1:5" s="100" customFormat="1" ht="15" customHeight="1" x14ac:dyDescent="0.25">
      <c r="A278" s="14"/>
      <c r="B278" s="95"/>
      <c r="C278" s="103"/>
      <c r="D278" s="103"/>
      <c r="E278" s="104"/>
    </row>
    <row r="279" spans="1:5" s="100" customFormat="1" ht="15" customHeight="1" x14ac:dyDescent="0.25">
      <c r="A279" s="14"/>
      <c r="B279" s="95"/>
      <c r="C279" s="103"/>
      <c r="D279" s="103"/>
      <c r="E279" s="104"/>
    </row>
    <row r="280" spans="1:5" s="100" customFormat="1" ht="15" customHeight="1" x14ac:dyDescent="0.25">
      <c r="A280" s="14"/>
      <c r="B280" s="95"/>
      <c r="C280" s="103"/>
      <c r="D280" s="103"/>
      <c r="E280" s="104"/>
    </row>
    <row r="281" spans="1:5" s="100" customFormat="1" ht="15" customHeight="1" x14ac:dyDescent="0.25">
      <c r="A281" s="14"/>
      <c r="B281" s="95"/>
      <c r="C281" s="103"/>
      <c r="D281" s="103"/>
      <c r="E281" s="104"/>
    </row>
    <row r="282" spans="1:5" s="100" customFormat="1" ht="15" customHeight="1" x14ac:dyDescent="0.25">
      <c r="A282" s="14"/>
      <c r="B282" s="95"/>
      <c r="C282" s="103"/>
      <c r="D282" s="103"/>
      <c r="E282" s="104"/>
    </row>
    <row r="283" spans="1:5" s="100" customFormat="1" ht="15" customHeight="1" x14ac:dyDescent="0.25">
      <c r="A283" s="14"/>
      <c r="B283" s="95"/>
      <c r="C283" s="103"/>
      <c r="D283" s="103"/>
      <c r="E283" s="104"/>
    </row>
    <row r="284" spans="1:5" s="100" customFormat="1" ht="15" customHeight="1" x14ac:dyDescent="0.25">
      <c r="A284" s="14"/>
      <c r="B284" s="95"/>
      <c r="C284" s="103"/>
      <c r="D284" s="103"/>
      <c r="E284" s="104"/>
    </row>
    <row r="285" spans="1:5" s="100" customFormat="1" ht="15" customHeight="1" x14ac:dyDescent="0.25">
      <c r="A285" s="14"/>
      <c r="B285" s="95"/>
      <c r="C285" s="103"/>
      <c r="D285" s="103"/>
      <c r="E285" s="104"/>
    </row>
    <row r="286" spans="1:5" s="100" customFormat="1" ht="15" customHeight="1" x14ac:dyDescent="0.25">
      <c r="A286" s="14"/>
      <c r="B286" s="95"/>
      <c r="C286" s="103"/>
      <c r="D286" s="103"/>
      <c r="E286" s="104"/>
    </row>
    <row r="287" spans="1:5" s="100" customFormat="1" ht="15" customHeight="1" x14ac:dyDescent="0.25">
      <c r="A287" s="14"/>
      <c r="B287" s="95"/>
      <c r="C287" s="103"/>
      <c r="D287" s="103"/>
      <c r="E287" s="104"/>
    </row>
    <row r="288" spans="1:5" s="100" customFormat="1" ht="15" customHeight="1" x14ac:dyDescent="0.25">
      <c r="A288" s="14"/>
      <c r="B288" s="95"/>
      <c r="C288" s="103"/>
      <c r="D288" s="103"/>
      <c r="E288" s="104"/>
    </row>
    <row r="289" spans="1:5" s="100" customFormat="1" ht="15" customHeight="1" x14ac:dyDescent="0.25">
      <c r="A289" s="14"/>
      <c r="B289" s="95"/>
      <c r="C289" s="103"/>
      <c r="D289" s="103"/>
      <c r="E289" s="104"/>
    </row>
    <row r="290" spans="1:5" s="100" customFormat="1" ht="15" customHeight="1" x14ac:dyDescent="0.25">
      <c r="A290" s="14"/>
      <c r="B290" s="95"/>
      <c r="C290" s="103"/>
      <c r="D290" s="103"/>
      <c r="E290" s="104"/>
    </row>
    <row r="291" spans="1:5" s="100" customFormat="1" ht="15" customHeight="1" x14ac:dyDescent="0.25">
      <c r="A291" s="14"/>
      <c r="B291" s="95"/>
      <c r="C291" s="103"/>
      <c r="D291" s="103"/>
      <c r="E291" s="104"/>
    </row>
    <row r="292" spans="1:5" s="100" customFormat="1" ht="15" customHeight="1" x14ac:dyDescent="0.25">
      <c r="A292" s="14"/>
      <c r="B292" s="95"/>
      <c r="C292" s="103"/>
      <c r="D292" s="103"/>
      <c r="E292" s="104"/>
    </row>
    <row r="293" spans="1:5" s="100" customFormat="1" ht="15" customHeight="1" x14ac:dyDescent="0.25">
      <c r="A293" s="14"/>
      <c r="B293" s="95"/>
      <c r="C293" s="103"/>
      <c r="D293" s="103"/>
      <c r="E293" s="104"/>
    </row>
    <row r="294" spans="1:5" s="100" customFormat="1" ht="15" customHeight="1" x14ac:dyDescent="0.25">
      <c r="A294" s="14"/>
      <c r="B294" s="95"/>
      <c r="C294" s="103"/>
      <c r="D294" s="103"/>
      <c r="E294" s="104"/>
    </row>
    <row r="295" spans="1:5" s="100" customFormat="1" ht="15" customHeight="1" x14ac:dyDescent="0.25">
      <c r="A295" s="14"/>
      <c r="B295" s="95"/>
      <c r="C295" s="103"/>
      <c r="D295" s="103"/>
      <c r="E295" s="104"/>
    </row>
    <row r="296" spans="1:5" s="100" customFormat="1" ht="15" customHeight="1" x14ac:dyDescent="0.25">
      <c r="A296" s="14"/>
      <c r="B296" s="95"/>
      <c r="C296" s="103"/>
      <c r="D296" s="103"/>
      <c r="E296" s="104"/>
    </row>
    <row r="297" spans="1:5" s="100" customFormat="1" ht="15" customHeight="1" x14ac:dyDescent="0.25">
      <c r="A297" s="14"/>
      <c r="B297" s="95"/>
      <c r="C297" s="103"/>
      <c r="D297" s="103"/>
      <c r="E297" s="104"/>
    </row>
    <row r="298" spans="1:5" s="100" customFormat="1" ht="15" customHeight="1" x14ac:dyDescent="0.25">
      <c r="A298" s="14"/>
      <c r="B298" s="95"/>
      <c r="C298" s="103"/>
      <c r="D298" s="103"/>
      <c r="E298" s="104"/>
    </row>
    <row r="299" spans="1:5" s="100" customFormat="1" ht="15" customHeight="1" x14ac:dyDescent="0.25">
      <c r="A299" s="14"/>
      <c r="B299" s="95"/>
      <c r="C299" s="103"/>
      <c r="D299" s="103"/>
      <c r="E299" s="104"/>
    </row>
    <row r="300" spans="1:5" s="100" customFormat="1" ht="15" customHeight="1" x14ac:dyDescent="0.25">
      <c r="A300" s="14"/>
      <c r="B300" s="95"/>
      <c r="C300" s="103"/>
      <c r="D300" s="103"/>
      <c r="E300" s="104"/>
    </row>
    <row r="301" spans="1:5" s="100" customFormat="1" ht="15" customHeight="1" x14ac:dyDescent="0.25">
      <c r="A301" s="14"/>
      <c r="B301" s="95"/>
      <c r="C301" s="103"/>
      <c r="D301" s="103"/>
      <c r="E301" s="104"/>
    </row>
    <row r="302" spans="1:5" s="100" customFormat="1" ht="15" customHeight="1" x14ac:dyDescent="0.25">
      <c r="A302" s="14"/>
      <c r="B302" s="95"/>
      <c r="C302" s="103"/>
      <c r="D302" s="103"/>
      <c r="E302" s="104"/>
    </row>
    <row r="303" spans="1:5" s="100" customFormat="1" ht="15" customHeight="1" x14ac:dyDescent="0.25">
      <c r="A303" s="14"/>
      <c r="B303" s="95"/>
      <c r="C303" s="103"/>
      <c r="D303" s="103"/>
      <c r="E303" s="104"/>
    </row>
    <row r="304" spans="1:5" s="100" customFormat="1" ht="15" customHeight="1" x14ac:dyDescent="0.25">
      <c r="A304" s="14"/>
      <c r="B304" s="95"/>
      <c r="C304" s="103"/>
      <c r="D304" s="103"/>
      <c r="E304" s="104"/>
    </row>
    <row r="305" spans="1:5" s="100" customFormat="1" ht="15" customHeight="1" x14ac:dyDescent="0.25">
      <c r="A305" s="14"/>
      <c r="B305" s="95"/>
      <c r="C305" s="103"/>
      <c r="D305" s="103"/>
      <c r="E305" s="104"/>
    </row>
    <row r="306" spans="1:5" s="100" customFormat="1" ht="15" customHeight="1" x14ac:dyDescent="0.25">
      <c r="A306" s="14"/>
      <c r="B306" s="95"/>
      <c r="C306" s="103"/>
      <c r="D306" s="103"/>
      <c r="E306" s="104"/>
    </row>
    <row r="307" spans="1:5" s="100" customFormat="1" ht="15" customHeight="1" x14ac:dyDescent="0.25">
      <c r="A307" s="14"/>
      <c r="B307" s="95"/>
      <c r="C307" s="103"/>
      <c r="D307" s="103"/>
      <c r="E307" s="104"/>
    </row>
    <row r="308" spans="1:5" s="100" customFormat="1" ht="15" customHeight="1" x14ac:dyDescent="0.25">
      <c r="A308" s="14"/>
      <c r="B308" s="95"/>
      <c r="C308" s="103"/>
      <c r="D308" s="103"/>
      <c r="E308" s="104"/>
    </row>
    <row r="309" spans="1:5" s="100" customFormat="1" ht="15" customHeight="1" x14ac:dyDescent="0.25">
      <c r="A309" s="14"/>
      <c r="B309" s="95"/>
      <c r="C309" s="103"/>
      <c r="D309" s="103"/>
      <c r="E309" s="104"/>
    </row>
    <row r="310" spans="1:5" s="100" customFormat="1" ht="15" customHeight="1" x14ac:dyDescent="0.25">
      <c r="A310" s="14"/>
      <c r="B310" s="95"/>
      <c r="C310" s="103"/>
      <c r="D310" s="103"/>
      <c r="E310" s="104"/>
    </row>
    <row r="311" spans="1:5" s="100" customFormat="1" ht="15" customHeight="1" x14ac:dyDescent="0.25">
      <c r="A311" s="14"/>
      <c r="B311" s="95"/>
      <c r="C311" s="103"/>
      <c r="D311" s="103"/>
      <c r="E311" s="104"/>
    </row>
    <row r="312" spans="1:5" s="100" customFormat="1" ht="15" customHeight="1" x14ac:dyDescent="0.25">
      <c r="A312" s="14"/>
      <c r="B312" s="95"/>
      <c r="C312" s="103"/>
      <c r="D312" s="103"/>
      <c r="E312" s="104"/>
    </row>
    <row r="313" spans="1:5" s="100" customFormat="1" ht="15" customHeight="1" x14ac:dyDescent="0.25">
      <c r="A313" s="14"/>
      <c r="B313" s="95"/>
      <c r="C313" s="103"/>
      <c r="D313" s="103"/>
      <c r="E313" s="104"/>
    </row>
    <row r="314" spans="1:5" s="100" customFormat="1" ht="15" customHeight="1" x14ac:dyDescent="0.25">
      <c r="A314" s="14"/>
      <c r="B314" s="95"/>
      <c r="C314" s="103"/>
      <c r="D314" s="103"/>
      <c r="E314" s="104"/>
    </row>
    <row r="315" spans="1:5" s="100" customFormat="1" ht="15" customHeight="1" x14ac:dyDescent="0.25">
      <c r="A315" s="14"/>
      <c r="B315" s="95"/>
      <c r="C315" s="103"/>
      <c r="D315" s="103"/>
      <c r="E315" s="104"/>
    </row>
    <row r="316" spans="1:5" s="100" customFormat="1" ht="15" customHeight="1" x14ac:dyDescent="0.25">
      <c r="A316" s="14"/>
      <c r="B316" s="95"/>
      <c r="C316" s="103"/>
      <c r="D316" s="103"/>
      <c r="E316" s="104"/>
    </row>
    <row r="317" spans="1:5" s="100" customFormat="1" ht="15" customHeight="1" x14ac:dyDescent="0.25">
      <c r="A317" s="14"/>
      <c r="B317" s="95"/>
      <c r="C317" s="103"/>
      <c r="D317" s="103"/>
      <c r="E317" s="104"/>
    </row>
    <row r="318" spans="1:5" s="100" customFormat="1" ht="15" customHeight="1" x14ac:dyDescent="0.25">
      <c r="A318" s="14"/>
      <c r="B318" s="95"/>
      <c r="C318" s="103"/>
      <c r="D318" s="103"/>
      <c r="E318" s="104"/>
    </row>
    <row r="319" spans="1:5" s="100" customFormat="1" ht="15" customHeight="1" x14ac:dyDescent="0.25">
      <c r="A319" s="14"/>
      <c r="B319" s="95"/>
      <c r="C319" s="103"/>
      <c r="D319" s="103"/>
      <c r="E319" s="104"/>
    </row>
    <row r="320" spans="1:5" s="100" customFormat="1" ht="15" customHeight="1" x14ac:dyDescent="0.25">
      <c r="A320" s="14"/>
      <c r="B320" s="95"/>
      <c r="C320" s="103"/>
      <c r="D320" s="103"/>
      <c r="E320" s="104"/>
    </row>
    <row r="321" spans="1:5" s="100" customFormat="1" ht="15" customHeight="1" x14ac:dyDescent="0.25">
      <c r="A321" s="14"/>
      <c r="B321" s="95"/>
      <c r="C321" s="103"/>
      <c r="D321" s="103"/>
      <c r="E321" s="104"/>
    </row>
    <row r="322" spans="1:5" s="100" customFormat="1" ht="15" customHeight="1" x14ac:dyDescent="0.25">
      <c r="A322" s="14"/>
      <c r="B322" s="95"/>
      <c r="C322" s="103"/>
      <c r="D322" s="103"/>
      <c r="E322" s="104"/>
    </row>
    <row r="323" spans="1:5" s="100" customFormat="1" ht="15" customHeight="1" x14ac:dyDescent="0.25">
      <c r="A323" s="14"/>
      <c r="B323" s="95"/>
      <c r="C323" s="103"/>
      <c r="D323" s="103"/>
      <c r="E323" s="104"/>
    </row>
    <row r="324" spans="1:5" s="100" customFormat="1" ht="15" customHeight="1" x14ac:dyDescent="0.25">
      <c r="A324" s="14"/>
      <c r="B324" s="95"/>
      <c r="C324" s="103"/>
      <c r="D324" s="103"/>
      <c r="E324" s="104"/>
    </row>
    <row r="325" spans="1:5" s="100" customFormat="1" ht="15" customHeight="1" x14ac:dyDescent="0.25">
      <c r="A325" s="14"/>
      <c r="B325" s="95"/>
      <c r="C325" s="103"/>
      <c r="D325" s="103"/>
      <c r="E325" s="104"/>
    </row>
    <row r="326" spans="1:5" s="100" customFormat="1" ht="15" customHeight="1" x14ac:dyDescent="0.25">
      <c r="A326" s="14"/>
      <c r="B326" s="95"/>
      <c r="C326" s="103"/>
      <c r="D326" s="103"/>
      <c r="E326" s="104"/>
    </row>
    <row r="327" spans="1:5" s="100" customFormat="1" ht="15" customHeight="1" x14ac:dyDescent="0.25">
      <c r="A327" s="14"/>
      <c r="B327" s="95"/>
      <c r="C327" s="103"/>
      <c r="D327" s="103"/>
      <c r="E327" s="104"/>
    </row>
    <row r="328" spans="1:5" s="100" customFormat="1" ht="15" customHeight="1" x14ac:dyDescent="0.25">
      <c r="A328" s="14"/>
      <c r="B328" s="95"/>
      <c r="C328" s="103"/>
      <c r="D328" s="103"/>
      <c r="E328" s="104"/>
    </row>
    <row r="329" spans="1:5" s="100" customFormat="1" ht="15" customHeight="1" x14ac:dyDescent="0.25">
      <c r="A329" s="14"/>
      <c r="B329" s="95"/>
      <c r="C329" s="103"/>
      <c r="D329" s="103"/>
      <c r="E329" s="104"/>
    </row>
    <row r="330" spans="1:5" s="100" customFormat="1" ht="15" customHeight="1" x14ac:dyDescent="0.25">
      <c r="A330" s="14"/>
      <c r="B330" s="95"/>
      <c r="C330" s="103"/>
      <c r="D330" s="103"/>
      <c r="E330" s="104"/>
    </row>
    <row r="331" spans="1:5" s="100" customFormat="1" ht="15" customHeight="1" x14ac:dyDescent="0.25">
      <c r="A331" s="14"/>
      <c r="B331" s="95"/>
      <c r="C331" s="103"/>
      <c r="D331" s="103"/>
      <c r="E331" s="104"/>
    </row>
    <row r="332" spans="1:5" s="100" customFormat="1" ht="15" customHeight="1" x14ac:dyDescent="0.25">
      <c r="A332" s="14"/>
      <c r="B332" s="95"/>
      <c r="C332" s="103"/>
      <c r="D332" s="103"/>
      <c r="E332" s="104"/>
    </row>
    <row r="333" spans="1:5" s="100" customFormat="1" ht="15" customHeight="1" x14ac:dyDescent="0.25">
      <c r="A333" s="14"/>
      <c r="B333" s="95"/>
      <c r="C333" s="103"/>
      <c r="D333" s="103"/>
      <c r="E333" s="104"/>
    </row>
    <row r="334" spans="1:5" s="100" customFormat="1" ht="15" customHeight="1" x14ac:dyDescent="0.25">
      <c r="A334" s="14"/>
      <c r="B334" s="95"/>
      <c r="C334" s="103"/>
      <c r="D334" s="103"/>
      <c r="E334" s="104"/>
    </row>
    <row r="335" spans="1:5" s="100" customFormat="1" ht="15" customHeight="1" x14ac:dyDescent="0.25">
      <c r="A335" s="14"/>
      <c r="B335" s="95"/>
      <c r="C335" s="103"/>
      <c r="D335" s="103"/>
      <c r="E335" s="104"/>
    </row>
    <row r="336" spans="1:5" s="100" customFormat="1" ht="15" customHeight="1" x14ac:dyDescent="0.25">
      <c r="A336" s="14"/>
      <c r="B336" s="95"/>
      <c r="C336" s="103"/>
      <c r="D336" s="103"/>
      <c r="E336" s="104"/>
    </row>
    <row r="337" spans="1:5" s="100" customFormat="1" ht="15" customHeight="1" x14ac:dyDescent="0.25">
      <c r="A337" s="14"/>
      <c r="B337" s="95"/>
      <c r="C337" s="103"/>
      <c r="D337" s="103"/>
      <c r="E337" s="104"/>
    </row>
    <row r="338" spans="1:5" s="100" customFormat="1" ht="15" customHeight="1" x14ac:dyDescent="0.25">
      <c r="A338" s="14"/>
      <c r="B338" s="95"/>
      <c r="C338" s="103"/>
      <c r="D338" s="103"/>
      <c r="E338" s="104"/>
    </row>
    <row r="339" spans="1:5" s="100" customFormat="1" ht="15" customHeight="1" x14ac:dyDescent="0.25">
      <c r="A339" s="14"/>
      <c r="B339" s="95"/>
      <c r="C339" s="103"/>
      <c r="D339" s="103"/>
      <c r="E339" s="104"/>
    </row>
    <row r="340" spans="1:5" s="100" customFormat="1" ht="15" customHeight="1" x14ac:dyDescent="0.25">
      <c r="A340" s="14"/>
      <c r="B340" s="95"/>
      <c r="C340" s="103"/>
      <c r="D340" s="103"/>
      <c r="E340" s="104"/>
    </row>
    <row r="341" spans="1:5" s="100" customFormat="1" ht="15" customHeight="1" x14ac:dyDescent="0.25">
      <c r="A341" s="14"/>
      <c r="B341" s="95"/>
      <c r="C341" s="103"/>
      <c r="D341" s="103"/>
      <c r="E341" s="104"/>
    </row>
    <row r="342" spans="1:5" s="100" customFormat="1" ht="15" customHeight="1" x14ac:dyDescent="0.25">
      <c r="A342" s="14"/>
      <c r="B342" s="95"/>
      <c r="C342" s="103"/>
      <c r="D342" s="103"/>
      <c r="E342" s="104"/>
    </row>
    <row r="343" spans="1:5" s="100" customFormat="1" ht="15" customHeight="1" x14ac:dyDescent="0.25">
      <c r="A343" s="14"/>
      <c r="B343" s="95"/>
      <c r="C343" s="103"/>
      <c r="D343" s="103"/>
      <c r="E343" s="104"/>
    </row>
    <row r="344" spans="1:5" s="100" customFormat="1" ht="15" customHeight="1" x14ac:dyDescent="0.25">
      <c r="A344" s="14"/>
      <c r="B344" s="95"/>
      <c r="C344" s="103"/>
      <c r="D344" s="103"/>
      <c r="E344" s="104"/>
    </row>
    <row r="345" spans="1:5" s="100" customFormat="1" ht="15" customHeight="1" x14ac:dyDescent="0.25">
      <c r="A345" s="14"/>
      <c r="B345" s="95"/>
      <c r="C345" s="103"/>
      <c r="D345" s="103"/>
      <c r="E345" s="104"/>
    </row>
    <row r="346" spans="1:5" s="100" customFormat="1" ht="15" customHeight="1" x14ac:dyDescent="0.25">
      <c r="A346" s="14"/>
      <c r="B346" s="95"/>
      <c r="C346" s="103"/>
      <c r="D346" s="103"/>
      <c r="E346" s="104"/>
    </row>
    <row r="347" spans="1:5" s="100" customFormat="1" ht="15" customHeight="1" x14ac:dyDescent="0.25">
      <c r="A347" s="14"/>
      <c r="B347" s="95"/>
      <c r="C347" s="103"/>
      <c r="D347" s="103"/>
      <c r="E347" s="104"/>
    </row>
    <row r="348" spans="1:5" s="100" customFormat="1" ht="15" customHeight="1" x14ac:dyDescent="0.25">
      <c r="A348" s="14"/>
      <c r="B348" s="95"/>
      <c r="C348" s="103"/>
      <c r="D348" s="103"/>
      <c r="E348" s="104"/>
    </row>
    <row r="349" spans="1:5" s="100" customFormat="1" ht="15" customHeight="1" x14ac:dyDescent="0.25">
      <c r="A349" s="14"/>
      <c r="B349" s="95"/>
      <c r="C349" s="103"/>
      <c r="D349" s="103"/>
      <c r="E349" s="104"/>
    </row>
    <row r="350" spans="1:5" s="100" customFormat="1" ht="15" customHeight="1" x14ac:dyDescent="0.25">
      <c r="A350" s="14"/>
      <c r="B350" s="95"/>
      <c r="C350" s="103"/>
      <c r="D350" s="103"/>
      <c r="E350" s="104"/>
    </row>
    <row r="351" spans="1:5" s="100" customFormat="1" ht="15" customHeight="1" x14ac:dyDescent="0.25">
      <c r="A351" s="14"/>
      <c r="B351" s="95"/>
      <c r="C351" s="103"/>
      <c r="D351" s="103"/>
      <c r="E351" s="104"/>
    </row>
    <row r="352" spans="1:5" s="100" customFormat="1" ht="15" customHeight="1" x14ac:dyDescent="0.25">
      <c r="A352" s="14"/>
      <c r="B352" s="95"/>
      <c r="C352" s="103"/>
      <c r="D352" s="103"/>
      <c r="E352" s="104"/>
    </row>
    <row r="353" spans="1:5" s="100" customFormat="1" ht="15" customHeight="1" x14ac:dyDescent="0.25">
      <c r="A353" s="14"/>
      <c r="B353" s="95"/>
      <c r="C353" s="103"/>
      <c r="D353" s="103"/>
      <c r="E353" s="104"/>
    </row>
    <row r="354" spans="1:5" s="100" customFormat="1" ht="15" customHeight="1" x14ac:dyDescent="0.25">
      <c r="A354" s="14"/>
      <c r="B354" s="95"/>
      <c r="C354" s="103"/>
      <c r="D354" s="103"/>
      <c r="E354" s="104"/>
    </row>
    <row r="355" spans="1:5" s="100" customFormat="1" ht="15" customHeight="1" x14ac:dyDescent="0.25">
      <c r="A355" s="14"/>
      <c r="B355" s="95"/>
      <c r="C355" s="103"/>
      <c r="D355" s="103"/>
      <c r="E355" s="104"/>
    </row>
    <row r="356" spans="1:5" s="100" customFormat="1" ht="15" customHeight="1" x14ac:dyDescent="0.25">
      <c r="A356" s="14"/>
      <c r="B356" s="95"/>
      <c r="C356" s="103"/>
      <c r="D356" s="103"/>
      <c r="E356" s="104"/>
    </row>
    <row r="357" spans="1:5" s="100" customFormat="1" ht="15" customHeight="1" x14ac:dyDescent="0.25">
      <c r="A357" s="14"/>
      <c r="B357" s="95"/>
      <c r="C357" s="103"/>
      <c r="D357" s="103"/>
      <c r="E357" s="104"/>
    </row>
    <row r="358" spans="1:5" s="100" customFormat="1" ht="15" customHeight="1" x14ac:dyDescent="0.25">
      <c r="A358" s="14"/>
      <c r="B358" s="95"/>
      <c r="C358" s="103"/>
      <c r="D358" s="103"/>
      <c r="E358" s="104"/>
    </row>
    <row r="359" spans="1:5" s="100" customFormat="1" ht="15" customHeight="1" x14ac:dyDescent="0.25">
      <c r="A359" s="14"/>
      <c r="B359" s="95"/>
      <c r="C359" s="103"/>
      <c r="D359" s="103"/>
      <c r="E359" s="104"/>
    </row>
    <row r="360" spans="1:5" s="100" customFormat="1" ht="15" customHeight="1" x14ac:dyDescent="0.25">
      <c r="A360" s="14"/>
      <c r="B360" s="95"/>
      <c r="C360" s="103"/>
      <c r="D360" s="103"/>
      <c r="E360" s="104"/>
    </row>
    <row r="361" spans="1:5" s="100" customFormat="1" ht="15" customHeight="1" x14ac:dyDescent="0.25">
      <c r="A361" s="14"/>
      <c r="B361" s="95"/>
      <c r="C361" s="103"/>
      <c r="D361" s="103"/>
      <c r="E361" s="104"/>
    </row>
    <row r="362" spans="1:5" s="100" customFormat="1" ht="15" customHeight="1" x14ac:dyDescent="0.25">
      <c r="A362" s="14"/>
      <c r="B362" s="95"/>
      <c r="C362" s="103"/>
      <c r="D362" s="103"/>
      <c r="E362" s="104"/>
    </row>
    <row r="363" spans="1:5" s="100" customFormat="1" ht="15" customHeight="1" x14ac:dyDescent="0.25">
      <c r="A363" s="14"/>
      <c r="B363" s="95"/>
      <c r="C363" s="103"/>
      <c r="D363" s="103"/>
      <c r="E363" s="104"/>
    </row>
    <row r="364" spans="1:5" s="100" customFormat="1" ht="15" customHeight="1" x14ac:dyDescent="0.25">
      <c r="A364" s="14"/>
      <c r="B364" s="95"/>
      <c r="C364" s="103"/>
      <c r="D364" s="103"/>
      <c r="E364" s="104"/>
    </row>
    <row r="365" spans="1:5" s="100" customFormat="1" ht="15" customHeight="1" x14ac:dyDescent="0.25">
      <c r="A365" s="14"/>
      <c r="B365" s="95"/>
      <c r="C365" s="103"/>
      <c r="D365" s="103"/>
      <c r="E365" s="104"/>
    </row>
    <row r="366" spans="1:5" s="100" customFormat="1" ht="15" customHeight="1" x14ac:dyDescent="0.25">
      <c r="A366" s="14"/>
      <c r="B366" s="95"/>
      <c r="C366" s="103"/>
      <c r="D366" s="103"/>
      <c r="E366" s="104"/>
    </row>
    <row r="367" spans="1:5" s="100" customFormat="1" ht="15" customHeight="1" x14ac:dyDescent="0.25">
      <c r="A367" s="14"/>
      <c r="B367" s="95"/>
      <c r="C367" s="103"/>
      <c r="D367" s="103"/>
      <c r="E367" s="104"/>
    </row>
    <row r="368" spans="1:5" s="100" customFormat="1" ht="15" customHeight="1" x14ac:dyDescent="0.25">
      <c r="A368" s="14"/>
      <c r="B368" s="95"/>
      <c r="C368" s="103"/>
      <c r="D368" s="103"/>
      <c r="E368" s="104"/>
    </row>
    <row r="369" spans="1:5" s="100" customFormat="1" ht="15" customHeight="1" x14ac:dyDescent="0.25">
      <c r="A369" s="14"/>
      <c r="B369" s="95"/>
      <c r="C369" s="103"/>
      <c r="D369" s="103"/>
      <c r="E369" s="104"/>
    </row>
    <row r="370" spans="1:5" s="100" customFormat="1" ht="15" customHeight="1" x14ac:dyDescent="0.25">
      <c r="A370" s="14"/>
      <c r="B370" s="95"/>
      <c r="C370" s="103"/>
      <c r="D370" s="103"/>
      <c r="E370" s="104"/>
    </row>
    <row r="371" spans="1:5" s="100" customFormat="1" ht="15" customHeight="1" x14ac:dyDescent="0.25">
      <c r="A371" s="14"/>
      <c r="B371" s="95"/>
      <c r="C371" s="103"/>
      <c r="D371" s="103"/>
      <c r="E371" s="104"/>
    </row>
    <row r="372" spans="1:5" s="100" customFormat="1" ht="15" customHeight="1" x14ac:dyDescent="0.25">
      <c r="A372" s="14"/>
      <c r="B372" s="95"/>
      <c r="C372" s="103"/>
      <c r="D372" s="103"/>
      <c r="E372" s="104"/>
    </row>
    <row r="373" spans="1:5" s="100" customFormat="1" ht="15" customHeight="1" x14ac:dyDescent="0.25">
      <c r="A373" s="14"/>
      <c r="B373" s="95"/>
      <c r="C373" s="103"/>
      <c r="D373" s="103"/>
      <c r="E373" s="104"/>
    </row>
    <row r="374" spans="1:5" s="100" customFormat="1" ht="15" customHeight="1" x14ac:dyDescent="0.25">
      <c r="A374" s="14"/>
      <c r="B374" s="95"/>
      <c r="C374" s="103"/>
      <c r="D374" s="103"/>
      <c r="E374" s="104"/>
    </row>
    <row r="375" spans="1:5" s="100" customFormat="1" ht="15" customHeight="1" x14ac:dyDescent="0.25">
      <c r="A375" s="14"/>
      <c r="B375" s="95"/>
      <c r="C375" s="103"/>
      <c r="D375" s="103"/>
      <c r="E375" s="104"/>
    </row>
    <row r="376" spans="1:5" s="100" customFormat="1" ht="15" customHeight="1" x14ac:dyDescent="0.25">
      <c r="A376" s="14"/>
      <c r="B376" s="95"/>
      <c r="C376" s="103"/>
      <c r="D376" s="103"/>
      <c r="E376" s="104"/>
    </row>
    <row r="377" spans="1:5" s="100" customFormat="1" ht="15" customHeight="1" x14ac:dyDescent="0.25">
      <c r="A377" s="14"/>
      <c r="B377" s="95"/>
      <c r="C377" s="103"/>
      <c r="D377" s="103"/>
      <c r="E377" s="104"/>
    </row>
    <row r="378" spans="1:5" s="100" customFormat="1" ht="15" customHeight="1" x14ac:dyDescent="0.25">
      <c r="A378" s="14"/>
      <c r="B378" s="95"/>
      <c r="C378" s="103"/>
      <c r="D378" s="103"/>
      <c r="E378" s="104"/>
    </row>
    <row r="379" spans="1:5" s="100" customFormat="1" ht="15" customHeight="1" x14ac:dyDescent="0.25">
      <c r="A379" s="14"/>
      <c r="B379" s="95"/>
      <c r="C379" s="103"/>
      <c r="D379" s="103"/>
      <c r="E379" s="104"/>
    </row>
    <row r="380" spans="1:5" s="100" customFormat="1" ht="15" customHeight="1" x14ac:dyDescent="0.25">
      <c r="A380" s="14"/>
      <c r="B380" s="95"/>
      <c r="C380" s="103"/>
      <c r="D380" s="103"/>
      <c r="E380" s="104"/>
    </row>
    <row r="381" spans="1:5" s="100" customFormat="1" ht="15" customHeight="1" x14ac:dyDescent="0.25">
      <c r="A381" s="14"/>
      <c r="B381" s="95"/>
      <c r="C381" s="103"/>
      <c r="D381" s="103"/>
      <c r="E381" s="104"/>
    </row>
    <row r="382" spans="1:5" s="100" customFormat="1" ht="15" customHeight="1" x14ac:dyDescent="0.25">
      <c r="A382" s="14"/>
      <c r="B382" s="95"/>
      <c r="C382" s="103"/>
      <c r="D382" s="103"/>
      <c r="E382" s="104"/>
    </row>
    <row r="383" spans="1:5" s="100" customFormat="1" ht="15" customHeight="1" x14ac:dyDescent="0.25">
      <c r="A383" s="14"/>
      <c r="B383" s="95"/>
      <c r="C383" s="103"/>
      <c r="D383" s="103"/>
      <c r="E383" s="104"/>
    </row>
    <row r="384" spans="1:5" s="100" customFormat="1" ht="15" customHeight="1" x14ac:dyDescent="0.25">
      <c r="A384" s="14"/>
      <c r="B384" s="95"/>
      <c r="C384" s="103"/>
      <c r="D384" s="103"/>
      <c r="E384" s="104"/>
    </row>
    <row r="385" spans="1:5" s="100" customFormat="1" ht="15" customHeight="1" x14ac:dyDescent="0.25">
      <c r="A385" s="14"/>
      <c r="B385" s="95"/>
      <c r="C385" s="103"/>
      <c r="D385" s="103"/>
      <c r="E385" s="104"/>
    </row>
    <row r="386" spans="1:5" s="100" customFormat="1" ht="15" customHeight="1" x14ac:dyDescent="0.25">
      <c r="A386" s="14"/>
      <c r="B386" s="95"/>
      <c r="C386" s="103"/>
      <c r="D386" s="103"/>
      <c r="E386" s="104"/>
    </row>
    <row r="387" spans="1:5" s="100" customFormat="1" ht="15" customHeight="1" x14ac:dyDescent="0.25">
      <c r="A387" s="14"/>
      <c r="B387" s="95"/>
      <c r="C387" s="103"/>
      <c r="D387" s="103"/>
      <c r="E387" s="104"/>
    </row>
    <row r="388" spans="1:5" s="100" customFormat="1" ht="15" customHeight="1" x14ac:dyDescent="0.25">
      <c r="A388" s="14"/>
      <c r="B388" s="95"/>
      <c r="C388" s="103"/>
      <c r="D388" s="103"/>
      <c r="E388" s="104"/>
    </row>
    <row r="389" spans="1:5" s="100" customFormat="1" ht="15" customHeight="1" x14ac:dyDescent="0.25">
      <c r="A389" s="14"/>
      <c r="B389" s="95"/>
      <c r="C389" s="103"/>
      <c r="D389" s="103"/>
      <c r="E389" s="104"/>
    </row>
    <row r="390" spans="1:5" s="100" customFormat="1" ht="15" customHeight="1" x14ac:dyDescent="0.25">
      <c r="A390" s="14"/>
      <c r="B390" s="95"/>
      <c r="C390" s="103"/>
      <c r="D390" s="103"/>
      <c r="E390" s="104"/>
    </row>
    <row r="391" spans="1:5" s="100" customFormat="1" ht="15" customHeight="1" x14ac:dyDescent="0.25">
      <c r="A391" s="14"/>
      <c r="B391" s="95"/>
      <c r="C391" s="103"/>
      <c r="D391" s="103"/>
      <c r="E391" s="104"/>
    </row>
    <row r="392" spans="1:5" s="100" customFormat="1" ht="15" customHeight="1" x14ac:dyDescent="0.25">
      <c r="A392" s="14"/>
      <c r="B392" s="95"/>
      <c r="C392" s="103"/>
      <c r="D392" s="103"/>
      <c r="E392" s="104"/>
    </row>
    <row r="393" spans="1:5" s="100" customFormat="1" ht="15" customHeight="1" x14ac:dyDescent="0.25">
      <c r="A393" s="14"/>
      <c r="B393" s="95"/>
      <c r="C393" s="103"/>
      <c r="D393" s="103"/>
      <c r="E393" s="104"/>
    </row>
    <row r="394" spans="1:5" s="100" customFormat="1" ht="15" customHeight="1" x14ac:dyDescent="0.25">
      <c r="A394" s="14"/>
      <c r="B394" s="95"/>
      <c r="C394" s="103"/>
      <c r="D394" s="103"/>
      <c r="E394" s="104"/>
    </row>
    <row r="395" spans="1:5" s="100" customFormat="1" ht="15" customHeight="1" x14ac:dyDescent="0.25">
      <c r="A395" s="14"/>
      <c r="B395" s="95"/>
      <c r="C395" s="103"/>
      <c r="D395" s="103"/>
      <c r="E395" s="104"/>
    </row>
    <row r="396" spans="1:5" s="100" customFormat="1" ht="15" customHeight="1" x14ac:dyDescent="0.25">
      <c r="A396" s="14"/>
      <c r="B396" s="95"/>
      <c r="C396" s="103"/>
      <c r="D396" s="103"/>
      <c r="E396" s="104"/>
    </row>
    <row r="397" spans="1:5" s="100" customFormat="1" ht="15" customHeight="1" x14ac:dyDescent="0.25">
      <c r="A397" s="14"/>
      <c r="B397" s="95"/>
      <c r="C397" s="103"/>
      <c r="D397" s="103"/>
      <c r="E397" s="104"/>
    </row>
    <row r="398" spans="1:5" s="100" customFormat="1" ht="15" customHeight="1" x14ac:dyDescent="0.25">
      <c r="A398" s="14"/>
      <c r="B398" s="95"/>
      <c r="C398" s="103"/>
      <c r="D398" s="103"/>
      <c r="E398" s="104"/>
    </row>
    <row r="399" spans="1:5" s="100" customFormat="1" ht="15" customHeight="1" x14ac:dyDescent="0.25">
      <c r="A399" s="14"/>
      <c r="B399" s="95"/>
      <c r="C399" s="103"/>
      <c r="D399" s="103"/>
      <c r="E399" s="104"/>
    </row>
    <row r="400" spans="1:5" s="100" customFormat="1" ht="15" customHeight="1" x14ac:dyDescent="0.25">
      <c r="A400" s="14"/>
      <c r="B400" s="95"/>
      <c r="C400" s="103"/>
      <c r="D400" s="103"/>
      <c r="E400" s="104"/>
    </row>
    <row r="401" spans="1:5" s="100" customFormat="1" ht="15" customHeight="1" x14ac:dyDescent="0.25">
      <c r="A401" s="14"/>
      <c r="B401" s="95"/>
      <c r="C401" s="103"/>
      <c r="D401" s="103"/>
      <c r="E401" s="104"/>
    </row>
    <row r="402" spans="1:5" s="100" customFormat="1" ht="15" customHeight="1" x14ac:dyDescent="0.25">
      <c r="A402" s="14"/>
      <c r="B402" s="95"/>
      <c r="C402" s="103"/>
      <c r="D402" s="103"/>
      <c r="E402" s="104"/>
    </row>
    <row r="403" spans="1:5" s="100" customFormat="1" ht="15" customHeight="1" x14ac:dyDescent="0.25">
      <c r="A403" s="14"/>
      <c r="B403" s="95"/>
      <c r="C403" s="103"/>
      <c r="D403" s="103"/>
      <c r="E403" s="104"/>
    </row>
    <row r="404" spans="1:5" s="100" customFormat="1" ht="15" customHeight="1" x14ac:dyDescent="0.25">
      <c r="A404" s="14"/>
      <c r="B404" s="95"/>
      <c r="C404" s="103"/>
      <c r="D404" s="103"/>
      <c r="E404" s="104"/>
    </row>
    <row r="405" spans="1:5" s="100" customFormat="1" ht="15" customHeight="1" x14ac:dyDescent="0.25">
      <c r="A405" s="14"/>
      <c r="B405" s="95"/>
      <c r="C405" s="103"/>
      <c r="D405" s="103"/>
      <c r="E405" s="104"/>
    </row>
    <row r="406" spans="1:5" s="100" customFormat="1" ht="15" customHeight="1" x14ac:dyDescent="0.25">
      <c r="A406" s="14"/>
      <c r="B406" s="95"/>
      <c r="C406" s="103"/>
      <c r="D406" s="103"/>
      <c r="E406" s="104"/>
    </row>
    <row r="407" spans="1:5" s="100" customFormat="1" ht="15" customHeight="1" x14ac:dyDescent="0.25">
      <c r="A407" s="14"/>
      <c r="B407" s="95"/>
      <c r="C407" s="103"/>
      <c r="D407" s="103"/>
      <c r="E407" s="104"/>
    </row>
    <row r="408" spans="1:5" s="100" customFormat="1" ht="15" customHeight="1" x14ac:dyDescent="0.25">
      <c r="A408" s="14"/>
      <c r="B408" s="95"/>
      <c r="C408" s="103"/>
      <c r="D408" s="103"/>
      <c r="E408" s="104"/>
    </row>
    <row r="409" spans="1:5" s="100" customFormat="1" ht="15" customHeight="1" x14ac:dyDescent="0.25">
      <c r="A409" s="14"/>
      <c r="B409" s="95"/>
      <c r="C409" s="103"/>
      <c r="D409" s="103"/>
      <c r="E409" s="104"/>
    </row>
    <row r="410" spans="1:5" s="100" customFormat="1" ht="15" customHeight="1" x14ac:dyDescent="0.25">
      <c r="A410" s="14"/>
      <c r="B410" s="95"/>
      <c r="C410" s="103"/>
      <c r="D410" s="103"/>
      <c r="E410" s="104"/>
    </row>
    <row r="411" spans="1:5" s="100" customFormat="1" ht="15" customHeight="1" x14ac:dyDescent="0.25">
      <c r="A411" s="14"/>
      <c r="B411" s="95"/>
      <c r="C411" s="103"/>
      <c r="D411" s="103"/>
      <c r="E411" s="104"/>
    </row>
    <row r="412" spans="1:5" s="100" customFormat="1" ht="15" customHeight="1" x14ac:dyDescent="0.25">
      <c r="A412" s="14"/>
      <c r="B412" s="95"/>
      <c r="C412" s="103"/>
      <c r="D412" s="103"/>
      <c r="E412" s="104"/>
    </row>
    <row r="413" spans="1:5" s="100" customFormat="1" ht="15" customHeight="1" x14ac:dyDescent="0.25">
      <c r="A413" s="14"/>
      <c r="B413" s="95"/>
      <c r="C413" s="103"/>
      <c r="D413" s="103"/>
      <c r="E413" s="104"/>
    </row>
    <row r="414" spans="1:5" s="100" customFormat="1" ht="15" customHeight="1" x14ac:dyDescent="0.25">
      <c r="A414" s="14"/>
      <c r="B414" s="95"/>
      <c r="C414" s="103"/>
      <c r="D414" s="103"/>
      <c r="E414" s="104"/>
    </row>
    <row r="415" spans="1:5" s="100" customFormat="1" ht="15" customHeight="1" x14ac:dyDescent="0.25">
      <c r="A415" s="14"/>
      <c r="B415" s="95"/>
      <c r="C415" s="103"/>
      <c r="D415" s="103"/>
      <c r="E415" s="104"/>
    </row>
    <row r="416" spans="1:5" s="100" customFormat="1" ht="15" customHeight="1" x14ac:dyDescent="0.25">
      <c r="A416" s="14"/>
      <c r="B416" s="95"/>
      <c r="C416" s="103"/>
      <c r="D416" s="103"/>
      <c r="E416" s="104"/>
    </row>
    <row r="417" spans="1:5" s="100" customFormat="1" ht="15" customHeight="1" x14ac:dyDescent="0.25">
      <c r="A417" s="14"/>
      <c r="B417" s="95"/>
      <c r="C417" s="103"/>
      <c r="D417" s="103"/>
      <c r="E417" s="104"/>
    </row>
    <row r="418" spans="1:5" s="100" customFormat="1" ht="15" customHeight="1" x14ac:dyDescent="0.25">
      <c r="A418" s="14"/>
      <c r="B418" s="95"/>
      <c r="C418" s="103"/>
      <c r="D418" s="103"/>
      <c r="E418" s="104"/>
    </row>
    <row r="419" spans="1:5" s="100" customFormat="1" ht="15" customHeight="1" x14ac:dyDescent="0.25">
      <c r="A419" s="14"/>
      <c r="B419" s="95"/>
      <c r="C419" s="103"/>
      <c r="D419" s="103"/>
      <c r="E419" s="104"/>
    </row>
    <row r="420" spans="1:5" s="100" customFormat="1" ht="15" customHeight="1" x14ac:dyDescent="0.25">
      <c r="A420" s="14"/>
      <c r="B420" s="95"/>
      <c r="C420" s="103"/>
      <c r="D420" s="103"/>
      <c r="E420" s="104"/>
    </row>
    <row r="421" spans="1:5" s="100" customFormat="1" ht="15" customHeight="1" x14ac:dyDescent="0.25">
      <c r="A421" s="14"/>
      <c r="B421" s="95"/>
      <c r="C421" s="103"/>
      <c r="D421" s="103"/>
      <c r="E421" s="104"/>
    </row>
    <row r="422" spans="1:5" s="100" customFormat="1" ht="15" customHeight="1" x14ac:dyDescent="0.25">
      <c r="A422" s="14"/>
      <c r="B422" s="95"/>
      <c r="C422" s="103"/>
      <c r="D422" s="103"/>
      <c r="E422" s="104"/>
    </row>
    <row r="423" spans="1:5" s="100" customFormat="1" ht="15" customHeight="1" x14ac:dyDescent="0.25">
      <c r="A423" s="14"/>
      <c r="B423" s="95"/>
      <c r="C423" s="103"/>
      <c r="D423" s="103"/>
      <c r="E423" s="104"/>
    </row>
    <row r="424" spans="1:5" s="100" customFormat="1" ht="15" customHeight="1" x14ac:dyDescent="0.25">
      <c r="A424" s="14"/>
      <c r="B424" s="95"/>
      <c r="C424" s="103"/>
      <c r="D424" s="103"/>
      <c r="E424" s="104"/>
    </row>
    <row r="425" spans="1:5" s="100" customFormat="1" ht="15" customHeight="1" x14ac:dyDescent="0.25">
      <c r="A425" s="14"/>
      <c r="B425" s="95"/>
      <c r="C425" s="103"/>
      <c r="D425" s="103"/>
      <c r="E425" s="104"/>
    </row>
    <row r="426" spans="1:5" s="100" customFormat="1" ht="15" customHeight="1" x14ac:dyDescent="0.25">
      <c r="A426" s="14"/>
      <c r="B426" s="95"/>
      <c r="C426" s="103"/>
      <c r="D426" s="103"/>
      <c r="E426" s="104"/>
    </row>
    <row r="427" spans="1:5" s="100" customFormat="1" ht="15" customHeight="1" x14ac:dyDescent="0.25">
      <c r="A427" s="14"/>
      <c r="B427" s="95"/>
      <c r="C427" s="103"/>
      <c r="D427" s="103"/>
      <c r="E427" s="104"/>
    </row>
    <row r="428" spans="1:5" s="100" customFormat="1" ht="15" customHeight="1" x14ac:dyDescent="0.25">
      <c r="A428" s="14"/>
      <c r="B428" s="95"/>
      <c r="C428" s="103"/>
      <c r="D428" s="103"/>
      <c r="E428" s="104"/>
    </row>
    <row r="429" spans="1:5" s="100" customFormat="1" ht="15" customHeight="1" x14ac:dyDescent="0.25">
      <c r="A429" s="14"/>
      <c r="B429" s="95"/>
      <c r="C429" s="103"/>
      <c r="D429" s="103"/>
      <c r="E429" s="104"/>
    </row>
    <row r="430" spans="1:5" s="100" customFormat="1" ht="15" customHeight="1" x14ac:dyDescent="0.25">
      <c r="A430" s="14"/>
      <c r="B430" s="95"/>
      <c r="C430" s="103"/>
      <c r="D430" s="103"/>
      <c r="E430" s="104"/>
    </row>
    <row r="431" spans="1:5" s="100" customFormat="1" ht="15" customHeight="1" x14ac:dyDescent="0.25">
      <c r="A431" s="14"/>
      <c r="B431" s="95"/>
      <c r="C431" s="103"/>
      <c r="D431" s="103"/>
      <c r="E431" s="104"/>
    </row>
    <row r="432" spans="1:5" s="100" customFormat="1" ht="15" customHeight="1" x14ac:dyDescent="0.25">
      <c r="A432" s="14"/>
      <c r="B432" s="95"/>
      <c r="C432" s="103"/>
      <c r="D432" s="103"/>
      <c r="E432" s="104"/>
    </row>
    <row r="433" spans="1:5" s="100" customFormat="1" ht="15" customHeight="1" x14ac:dyDescent="0.25">
      <c r="A433" s="14"/>
      <c r="B433" s="95"/>
      <c r="C433" s="103"/>
      <c r="D433" s="103"/>
      <c r="E433" s="104"/>
    </row>
    <row r="434" spans="1:5" s="100" customFormat="1" ht="15" customHeight="1" x14ac:dyDescent="0.25">
      <c r="A434" s="14"/>
      <c r="B434" s="95"/>
      <c r="C434" s="103"/>
      <c r="D434" s="103"/>
      <c r="E434" s="104"/>
    </row>
    <row r="435" spans="1:5" s="100" customFormat="1" ht="15" customHeight="1" x14ac:dyDescent="0.25">
      <c r="A435" s="14"/>
      <c r="B435" s="95"/>
      <c r="C435" s="103"/>
      <c r="D435" s="103"/>
      <c r="E435" s="104"/>
    </row>
    <row r="436" spans="1:5" s="100" customFormat="1" ht="15" customHeight="1" x14ac:dyDescent="0.25">
      <c r="A436" s="14"/>
      <c r="B436" s="95"/>
      <c r="C436" s="103"/>
      <c r="D436" s="103"/>
      <c r="E436" s="104"/>
    </row>
    <row r="437" spans="1:5" s="100" customFormat="1" ht="15" customHeight="1" x14ac:dyDescent="0.25">
      <c r="A437" s="14"/>
      <c r="B437" s="95"/>
      <c r="C437" s="103"/>
      <c r="D437" s="103"/>
      <c r="E437" s="104"/>
    </row>
    <row r="438" spans="1:5" s="100" customFormat="1" ht="15" customHeight="1" x14ac:dyDescent="0.25">
      <c r="A438" s="14"/>
      <c r="B438" s="95"/>
      <c r="C438" s="103"/>
      <c r="D438" s="103"/>
      <c r="E438" s="104"/>
    </row>
    <row r="439" spans="1:5" s="100" customFormat="1" ht="15" customHeight="1" x14ac:dyDescent="0.25">
      <c r="A439" s="14"/>
      <c r="B439" s="95"/>
      <c r="C439" s="103"/>
      <c r="D439" s="103"/>
      <c r="E439" s="104"/>
    </row>
    <row r="440" spans="1:5" s="100" customFormat="1" ht="15" customHeight="1" x14ac:dyDescent="0.25">
      <c r="A440" s="14"/>
      <c r="B440" s="95"/>
      <c r="C440" s="103"/>
      <c r="D440" s="103"/>
      <c r="E440" s="104"/>
    </row>
    <row r="441" spans="1:5" s="100" customFormat="1" ht="15" customHeight="1" x14ac:dyDescent="0.25">
      <c r="A441" s="14"/>
      <c r="B441" s="95"/>
      <c r="C441" s="103"/>
      <c r="D441" s="103"/>
      <c r="E441" s="104"/>
    </row>
    <row r="442" spans="1:5" s="100" customFormat="1" ht="15" customHeight="1" x14ac:dyDescent="0.25">
      <c r="A442" s="14"/>
      <c r="B442" s="95"/>
      <c r="C442" s="103"/>
      <c r="D442" s="103"/>
      <c r="E442" s="104"/>
    </row>
    <row r="443" spans="1:5" s="100" customFormat="1" ht="15" customHeight="1" x14ac:dyDescent="0.25">
      <c r="A443" s="14"/>
      <c r="B443" s="95"/>
      <c r="C443" s="103"/>
      <c r="D443" s="103"/>
      <c r="E443" s="104"/>
    </row>
    <row r="444" spans="1:5" s="100" customFormat="1" ht="15" customHeight="1" x14ac:dyDescent="0.25">
      <c r="A444" s="14"/>
      <c r="B444" s="95"/>
      <c r="C444" s="103"/>
      <c r="D444" s="103"/>
      <c r="E444" s="104"/>
    </row>
    <row r="445" spans="1:5" s="100" customFormat="1" ht="15" customHeight="1" x14ac:dyDescent="0.25">
      <c r="A445" s="14"/>
      <c r="B445" s="95"/>
      <c r="C445" s="103"/>
      <c r="D445" s="103"/>
      <c r="E445" s="104"/>
    </row>
    <row r="446" spans="1:5" s="100" customFormat="1" ht="15" customHeight="1" x14ac:dyDescent="0.25">
      <c r="A446" s="14"/>
      <c r="B446" s="95"/>
      <c r="C446" s="103"/>
      <c r="D446" s="103"/>
      <c r="E446" s="104"/>
    </row>
    <row r="447" spans="1:5" s="100" customFormat="1" ht="15" customHeight="1" x14ac:dyDescent="0.25">
      <c r="A447" s="14"/>
      <c r="B447" s="95"/>
      <c r="C447" s="103"/>
      <c r="D447" s="103"/>
      <c r="E447" s="104"/>
    </row>
    <row r="448" spans="1:5" s="100" customFormat="1" ht="15" customHeight="1" x14ac:dyDescent="0.25">
      <c r="A448" s="14"/>
      <c r="B448" s="95"/>
      <c r="C448" s="103"/>
      <c r="D448" s="103"/>
      <c r="E448" s="104"/>
    </row>
    <row r="449" spans="1:5" s="100" customFormat="1" ht="15" customHeight="1" x14ac:dyDescent="0.25">
      <c r="A449" s="14"/>
      <c r="B449" s="95"/>
      <c r="C449" s="103"/>
      <c r="D449" s="103"/>
      <c r="E449" s="104"/>
    </row>
    <row r="450" spans="1:5" s="100" customFormat="1" ht="15" customHeight="1" x14ac:dyDescent="0.25">
      <c r="A450" s="14"/>
      <c r="B450" s="95"/>
      <c r="C450" s="103"/>
      <c r="D450" s="103"/>
      <c r="E450" s="104"/>
    </row>
    <row r="451" spans="1:5" s="100" customFormat="1" ht="15" customHeight="1" x14ac:dyDescent="0.25">
      <c r="A451" s="14"/>
      <c r="B451" s="95"/>
      <c r="C451" s="103"/>
      <c r="D451" s="103"/>
      <c r="E451" s="104"/>
    </row>
    <row r="452" spans="1:5" s="100" customFormat="1" ht="15" customHeight="1" x14ac:dyDescent="0.25">
      <c r="A452" s="14"/>
      <c r="B452" s="95"/>
      <c r="C452" s="103"/>
      <c r="D452" s="103"/>
      <c r="E452" s="104"/>
    </row>
    <row r="453" spans="1:5" s="100" customFormat="1" ht="15" customHeight="1" x14ac:dyDescent="0.25">
      <c r="A453" s="14"/>
      <c r="B453" s="95"/>
      <c r="C453" s="103"/>
      <c r="D453" s="103"/>
      <c r="E453" s="104"/>
    </row>
    <row r="454" spans="1:5" s="100" customFormat="1" ht="15" customHeight="1" x14ac:dyDescent="0.25">
      <c r="A454" s="14"/>
      <c r="B454" s="95"/>
      <c r="C454" s="103"/>
      <c r="D454" s="103"/>
      <c r="E454" s="104"/>
    </row>
    <row r="455" spans="1:5" s="100" customFormat="1" ht="15" customHeight="1" x14ac:dyDescent="0.25">
      <c r="A455" s="14"/>
      <c r="B455" s="95"/>
      <c r="C455" s="103"/>
      <c r="D455" s="103"/>
      <c r="E455" s="104"/>
    </row>
    <row r="456" spans="1:5" s="100" customFormat="1" ht="15" customHeight="1" x14ac:dyDescent="0.25">
      <c r="A456" s="14"/>
      <c r="B456" s="95"/>
      <c r="C456" s="103"/>
      <c r="D456" s="103"/>
      <c r="E456" s="104"/>
    </row>
    <row r="457" spans="1:5" s="100" customFormat="1" ht="15" customHeight="1" x14ac:dyDescent="0.25">
      <c r="A457" s="14"/>
      <c r="B457" s="95"/>
      <c r="C457" s="103"/>
      <c r="D457" s="103"/>
      <c r="E457" s="104"/>
    </row>
    <row r="458" spans="1:5" s="100" customFormat="1" ht="15" customHeight="1" x14ac:dyDescent="0.25">
      <c r="A458" s="14"/>
      <c r="B458" s="95"/>
      <c r="C458" s="103"/>
      <c r="D458" s="103"/>
      <c r="E458" s="104"/>
    </row>
    <row r="459" spans="1:5" s="100" customFormat="1" ht="15" customHeight="1" x14ac:dyDescent="0.25">
      <c r="A459" s="14"/>
      <c r="B459" s="95"/>
      <c r="C459" s="103"/>
      <c r="D459" s="103"/>
      <c r="E459" s="104"/>
    </row>
    <row r="460" spans="1:5" s="100" customFormat="1" ht="15" customHeight="1" x14ac:dyDescent="0.25">
      <c r="A460" s="14"/>
      <c r="B460" s="95"/>
      <c r="C460" s="103"/>
      <c r="D460" s="103"/>
      <c r="E460" s="104"/>
    </row>
    <row r="461" spans="1:5" s="100" customFormat="1" ht="15" customHeight="1" x14ac:dyDescent="0.25">
      <c r="A461" s="14"/>
      <c r="B461" s="95"/>
      <c r="C461" s="103"/>
      <c r="D461" s="103"/>
      <c r="E461" s="104"/>
    </row>
    <row r="462" spans="1:5" s="100" customFormat="1" ht="15" customHeight="1" x14ac:dyDescent="0.25">
      <c r="A462" s="14"/>
      <c r="B462" s="95"/>
      <c r="C462" s="103"/>
      <c r="D462" s="103"/>
      <c r="E462" s="104"/>
    </row>
    <row r="463" spans="1:5" s="100" customFormat="1" ht="15" customHeight="1" x14ac:dyDescent="0.25">
      <c r="A463" s="14"/>
      <c r="B463" s="95"/>
      <c r="C463" s="103"/>
      <c r="D463" s="103"/>
      <c r="E463" s="104"/>
    </row>
    <row r="464" spans="1:5" s="100" customFormat="1" ht="15" customHeight="1" x14ac:dyDescent="0.25">
      <c r="A464" s="14"/>
      <c r="B464" s="95"/>
      <c r="C464" s="103"/>
      <c r="D464" s="103"/>
      <c r="E464" s="104"/>
    </row>
    <row r="465" spans="1:5" s="100" customFormat="1" ht="15" customHeight="1" x14ac:dyDescent="0.25">
      <c r="A465" s="14"/>
      <c r="B465" s="95"/>
      <c r="C465" s="103"/>
      <c r="D465" s="103"/>
      <c r="E465" s="104"/>
    </row>
    <row r="466" spans="1:5" s="100" customFormat="1" ht="15" customHeight="1" x14ac:dyDescent="0.25">
      <c r="A466" s="14"/>
      <c r="B466" s="95"/>
      <c r="C466" s="103"/>
      <c r="D466" s="103"/>
      <c r="E466" s="104"/>
    </row>
    <row r="467" spans="1:5" s="100" customFormat="1" ht="15" customHeight="1" x14ac:dyDescent="0.25">
      <c r="A467" s="14"/>
      <c r="B467" s="95"/>
      <c r="C467" s="103"/>
      <c r="D467" s="103"/>
      <c r="E467" s="104"/>
    </row>
    <row r="468" spans="1:5" s="100" customFormat="1" ht="15" customHeight="1" x14ac:dyDescent="0.25">
      <c r="A468" s="14"/>
      <c r="B468" s="95"/>
      <c r="C468" s="103"/>
      <c r="D468" s="103"/>
      <c r="E468" s="104"/>
    </row>
    <row r="469" spans="1:5" s="100" customFormat="1" ht="15" customHeight="1" x14ac:dyDescent="0.25">
      <c r="A469" s="14"/>
      <c r="B469" s="95"/>
      <c r="C469" s="103"/>
      <c r="D469" s="103"/>
      <c r="E469" s="104"/>
    </row>
    <row r="470" spans="1:5" s="100" customFormat="1" ht="15" customHeight="1" x14ac:dyDescent="0.25">
      <c r="A470" s="14"/>
      <c r="B470" s="95"/>
      <c r="C470" s="103"/>
      <c r="D470" s="103"/>
      <c r="E470" s="104"/>
    </row>
    <row r="471" spans="1:5" s="100" customFormat="1" ht="15" customHeight="1" x14ac:dyDescent="0.25">
      <c r="A471" s="14"/>
      <c r="B471" s="95"/>
      <c r="C471" s="103"/>
      <c r="D471" s="103"/>
      <c r="E471" s="104"/>
    </row>
    <row r="472" spans="1:5" s="100" customFormat="1" ht="15" customHeight="1" x14ac:dyDescent="0.25">
      <c r="A472" s="14"/>
      <c r="B472" s="95"/>
      <c r="C472" s="103"/>
      <c r="D472" s="103"/>
      <c r="E472" s="104"/>
    </row>
    <row r="473" spans="1:5" s="100" customFormat="1" ht="15" customHeight="1" x14ac:dyDescent="0.25">
      <c r="A473" s="14"/>
      <c r="B473" s="95"/>
      <c r="C473" s="103"/>
      <c r="D473" s="103"/>
      <c r="E473" s="104"/>
    </row>
    <row r="474" spans="1:5" s="100" customFormat="1" ht="15" customHeight="1" x14ac:dyDescent="0.25">
      <c r="A474" s="14"/>
      <c r="B474" s="95"/>
      <c r="C474" s="103"/>
      <c r="D474" s="103"/>
      <c r="E474" s="104"/>
    </row>
    <row r="475" spans="1:5" s="100" customFormat="1" ht="15" customHeight="1" x14ac:dyDescent="0.25">
      <c r="A475" s="14"/>
      <c r="B475" s="95"/>
      <c r="C475" s="103"/>
      <c r="D475" s="103"/>
      <c r="E475" s="104"/>
    </row>
    <row r="476" spans="1:5" s="100" customFormat="1" ht="15" customHeight="1" x14ac:dyDescent="0.25">
      <c r="A476" s="14"/>
      <c r="B476" s="95"/>
      <c r="C476" s="103"/>
      <c r="D476" s="103"/>
      <c r="E476" s="104"/>
    </row>
    <row r="477" spans="1:5" s="100" customFormat="1" ht="15" customHeight="1" x14ac:dyDescent="0.25">
      <c r="A477" s="14"/>
      <c r="B477" s="95"/>
      <c r="C477" s="103"/>
      <c r="D477" s="103"/>
      <c r="E477" s="104"/>
    </row>
    <row r="478" spans="1:5" s="100" customFormat="1" ht="15" customHeight="1" x14ac:dyDescent="0.25">
      <c r="A478" s="14"/>
      <c r="B478" s="95"/>
      <c r="C478" s="103"/>
      <c r="D478" s="103"/>
      <c r="E478" s="104"/>
    </row>
    <row r="479" spans="1:5" s="100" customFormat="1" ht="15" customHeight="1" x14ac:dyDescent="0.25">
      <c r="A479" s="14"/>
      <c r="B479" s="95"/>
      <c r="C479" s="103"/>
      <c r="D479" s="103"/>
      <c r="E479" s="104"/>
    </row>
    <row r="480" spans="1:5" s="100" customFormat="1" ht="15" customHeight="1" x14ac:dyDescent="0.25">
      <c r="A480" s="14"/>
      <c r="B480" s="95"/>
      <c r="C480" s="103"/>
      <c r="D480" s="103"/>
      <c r="E480" s="104"/>
    </row>
    <row r="481" spans="1:5" s="100" customFormat="1" ht="15" customHeight="1" x14ac:dyDescent="0.25">
      <c r="A481" s="14"/>
      <c r="B481" s="95"/>
      <c r="C481" s="103"/>
      <c r="D481" s="103"/>
      <c r="E481" s="104"/>
    </row>
    <row r="482" spans="1:5" s="100" customFormat="1" ht="15" customHeight="1" x14ac:dyDescent="0.25">
      <c r="A482" s="14"/>
      <c r="B482" s="95"/>
      <c r="C482" s="103"/>
      <c r="D482" s="103"/>
      <c r="E482" s="104"/>
    </row>
    <row r="483" spans="1:5" s="100" customFormat="1" ht="15" customHeight="1" x14ac:dyDescent="0.25">
      <c r="A483" s="14"/>
      <c r="B483" s="95"/>
      <c r="C483" s="103"/>
      <c r="D483" s="103"/>
      <c r="E483" s="104"/>
    </row>
    <row r="484" spans="1:5" s="100" customFormat="1" ht="15" customHeight="1" x14ac:dyDescent="0.25">
      <c r="A484" s="14"/>
      <c r="B484" s="95"/>
      <c r="C484" s="103"/>
      <c r="D484" s="103"/>
      <c r="E484" s="104"/>
    </row>
    <row r="485" spans="1:5" s="100" customFormat="1" ht="15" customHeight="1" x14ac:dyDescent="0.25">
      <c r="A485" s="14"/>
      <c r="B485" s="95"/>
      <c r="C485" s="103"/>
      <c r="D485" s="103"/>
      <c r="E485" s="104"/>
    </row>
    <row r="486" spans="1:5" s="100" customFormat="1" ht="15" customHeight="1" x14ac:dyDescent="0.25">
      <c r="A486" s="14"/>
      <c r="B486" s="95"/>
      <c r="C486" s="103"/>
      <c r="D486" s="103"/>
      <c r="E486" s="104"/>
    </row>
    <row r="487" spans="1:5" s="100" customFormat="1" ht="15" customHeight="1" x14ac:dyDescent="0.25">
      <c r="A487" s="14"/>
      <c r="B487" s="95"/>
      <c r="C487" s="103"/>
      <c r="D487" s="103"/>
      <c r="E487" s="104"/>
    </row>
    <row r="488" spans="1:5" s="100" customFormat="1" ht="15" customHeight="1" x14ac:dyDescent="0.25">
      <c r="A488" s="14"/>
      <c r="B488" s="95"/>
      <c r="C488" s="103"/>
      <c r="D488" s="103"/>
      <c r="E488" s="104"/>
    </row>
    <row r="489" spans="1:5" s="100" customFormat="1" ht="15" customHeight="1" x14ac:dyDescent="0.25">
      <c r="A489" s="14"/>
      <c r="B489" s="95"/>
      <c r="C489" s="103"/>
      <c r="D489" s="103"/>
      <c r="E489" s="104"/>
    </row>
    <row r="490" spans="1:5" s="100" customFormat="1" ht="15" customHeight="1" x14ac:dyDescent="0.25">
      <c r="A490" s="14"/>
      <c r="B490" s="95"/>
      <c r="C490" s="103"/>
      <c r="D490" s="103"/>
      <c r="E490" s="104"/>
    </row>
    <row r="491" spans="1:5" s="100" customFormat="1" ht="15" customHeight="1" x14ac:dyDescent="0.25">
      <c r="A491" s="14"/>
      <c r="B491" s="95"/>
      <c r="C491" s="103"/>
      <c r="D491" s="103"/>
      <c r="E491" s="104"/>
    </row>
    <row r="492" spans="1:5" s="100" customFormat="1" ht="15" customHeight="1" x14ac:dyDescent="0.25">
      <c r="A492" s="14"/>
      <c r="B492" s="95"/>
      <c r="C492" s="103"/>
      <c r="D492" s="103"/>
      <c r="E492" s="104"/>
    </row>
    <row r="493" spans="1:5" s="100" customFormat="1" ht="15" customHeight="1" x14ac:dyDescent="0.25">
      <c r="A493" s="14"/>
      <c r="B493" s="95"/>
      <c r="C493" s="103"/>
      <c r="D493" s="103"/>
      <c r="E493" s="104"/>
    </row>
    <row r="494" spans="1:5" s="100" customFormat="1" ht="15" customHeight="1" x14ac:dyDescent="0.25">
      <c r="A494" s="14"/>
      <c r="B494" s="95"/>
      <c r="C494" s="103"/>
      <c r="D494" s="103"/>
      <c r="E494" s="104"/>
    </row>
    <row r="495" spans="1:5" s="100" customFormat="1" ht="15" customHeight="1" x14ac:dyDescent="0.25">
      <c r="A495" s="14"/>
      <c r="B495" s="95"/>
      <c r="C495" s="103"/>
      <c r="D495" s="103"/>
      <c r="E495" s="104"/>
    </row>
    <row r="496" spans="1:5" s="100" customFormat="1" ht="15" customHeight="1" x14ac:dyDescent="0.25">
      <c r="A496" s="14"/>
      <c r="B496" s="95"/>
      <c r="C496" s="103"/>
      <c r="D496" s="103"/>
      <c r="E496" s="104"/>
    </row>
    <row r="497" spans="1:5" s="100" customFormat="1" ht="15" customHeight="1" x14ac:dyDescent="0.25">
      <c r="A497" s="14"/>
      <c r="B497" s="95"/>
      <c r="C497" s="103"/>
      <c r="D497" s="103"/>
      <c r="E497" s="104"/>
    </row>
    <row r="498" spans="1:5" s="100" customFormat="1" ht="15" customHeight="1" x14ac:dyDescent="0.25">
      <c r="A498" s="14"/>
      <c r="B498" s="95"/>
      <c r="C498" s="103"/>
      <c r="D498" s="103"/>
      <c r="E498" s="104"/>
    </row>
    <row r="499" spans="1:5" s="100" customFormat="1" ht="15" customHeight="1" x14ac:dyDescent="0.25">
      <c r="A499" s="14"/>
      <c r="B499" s="95"/>
      <c r="C499" s="103"/>
      <c r="D499" s="103"/>
      <c r="E499" s="104"/>
    </row>
    <row r="500" spans="1:5" s="100" customFormat="1" ht="15" customHeight="1" x14ac:dyDescent="0.25">
      <c r="A500" s="14"/>
      <c r="B500" s="95"/>
      <c r="C500" s="103"/>
      <c r="D500" s="103"/>
      <c r="E500" s="104"/>
    </row>
    <row r="501" spans="1:5" s="100" customFormat="1" ht="15" customHeight="1" x14ac:dyDescent="0.25">
      <c r="A501" s="14"/>
      <c r="B501" s="95"/>
      <c r="C501" s="103"/>
      <c r="D501" s="103"/>
      <c r="E501" s="104"/>
    </row>
    <row r="502" spans="1:5" s="100" customFormat="1" ht="15" customHeight="1" x14ac:dyDescent="0.25">
      <c r="A502" s="14"/>
      <c r="B502" s="95"/>
      <c r="C502" s="103"/>
      <c r="D502" s="103"/>
      <c r="E502" s="104"/>
    </row>
    <row r="503" spans="1:5" s="100" customFormat="1" ht="15" customHeight="1" x14ac:dyDescent="0.25">
      <c r="A503" s="14"/>
      <c r="B503" s="95"/>
      <c r="C503" s="103"/>
      <c r="D503" s="103"/>
      <c r="E503" s="104"/>
    </row>
    <row r="504" spans="1:5" s="100" customFormat="1" ht="15" customHeight="1" x14ac:dyDescent="0.25">
      <c r="A504" s="14"/>
      <c r="B504" s="95"/>
      <c r="C504" s="103"/>
      <c r="D504" s="103"/>
      <c r="E504" s="104"/>
    </row>
    <row r="505" spans="1:5" s="100" customFormat="1" ht="15" customHeight="1" x14ac:dyDescent="0.25">
      <c r="A505" s="14"/>
      <c r="B505" s="95"/>
      <c r="C505" s="103"/>
      <c r="D505" s="103"/>
      <c r="E505" s="104"/>
    </row>
    <row r="506" spans="1:5" s="100" customFormat="1" ht="15" customHeight="1" x14ac:dyDescent="0.25">
      <c r="A506" s="14"/>
      <c r="B506" s="95"/>
      <c r="C506" s="103"/>
      <c r="D506" s="103"/>
      <c r="E506" s="104"/>
    </row>
    <row r="507" spans="1:5" s="100" customFormat="1" ht="15" customHeight="1" x14ac:dyDescent="0.25">
      <c r="A507" s="14"/>
      <c r="B507" s="95"/>
      <c r="C507" s="103"/>
      <c r="D507" s="103"/>
      <c r="E507" s="104"/>
    </row>
    <row r="508" spans="1:5" s="100" customFormat="1" ht="15" customHeight="1" x14ac:dyDescent="0.25">
      <c r="A508" s="14"/>
      <c r="B508" s="95"/>
      <c r="C508" s="103"/>
      <c r="D508" s="103"/>
      <c r="E508" s="104"/>
    </row>
    <row r="509" spans="1:5" s="100" customFormat="1" ht="15" customHeight="1" x14ac:dyDescent="0.25">
      <c r="A509" s="14"/>
      <c r="B509" s="95"/>
      <c r="C509" s="103"/>
      <c r="D509" s="103"/>
      <c r="E509" s="104"/>
    </row>
    <row r="510" spans="1:5" s="100" customFormat="1" ht="15" customHeight="1" x14ac:dyDescent="0.25">
      <c r="A510" s="14"/>
      <c r="B510" s="95"/>
      <c r="C510" s="103"/>
      <c r="D510" s="103"/>
      <c r="E510" s="104"/>
    </row>
    <row r="511" spans="1:5" s="100" customFormat="1" ht="15" customHeight="1" x14ac:dyDescent="0.25">
      <c r="A511" s="14"/>
      <c r="B511" s="95"/>
      <c r="C511" s="103"/>
      <c r="D511" s="103"/>
      <c r="E511" s="104"/>
    </row>
    <row r="512" spans="1:5" s="100" customFormat="1" ht="15" customHeight="1" x14ac:dyDescent="0.25">
      <c r="A512" s="14"/>
      <c r="B512" s="95"/>
      <c r="C512" s="103"/>
      <c r="D512" s="103"/>
      <c r="E512" s="104"/>
    </row>
    <row r="513" spans="1:5" s="100" customFormat="1" ht="15" customHeight="1" x14ac:dyDescent="0.25">
      <c r="A513" s="14"/>
      <c r="B513" s="95"/>
      <c r="C513" s="103"/>
      <c r="D513" s="103"/>
      <c r="E513" s="104"/>
    </row>
    <row r="514" spans="1:5" s="100" customFormat="1" ht="15" customHeight="1" x14ac:dyDescent="0.25">
      <c r="A514" s="14"/>
      <c r="B514" s="95"/>
      <c r="C514" s="103"/>
      <c r="D514" s="103"/>
      <c r="E514" s="104"/>
    </row>
    <row r="515" spans="1:5" s="100" customFormat="1" ht="15" customHeight="1" x14ac:dyDescent="0.25">
      <c r="A515" s="14"/>
      <c r="B515" s="95"/>
      <c r="C515" s="103"/>
      <c r="D515" s="103"/>
      <c r="E515" s="104"/>
    </row>
    <row r="516" spans="1:5" s="100" customFormat="1" ht="15" customHeight="1" x14ac:dyDescent="0.25">
      <c r="A516" s="14"/>
      <c r="B516" s="95"/>
      <c r="C516" s="103"/>
      <c r="D516" s="103"/>
      <c r="E516" s="104"/>
    </row>
    <row r="517" spans="1:5" s="100" customFormat="1" ht="15" customHeight="1" x14ac:dyDescent="0.25">
      <c r="A517" s="14"/>
      <c r="B517" s="95"/>
      <c r="C517" s="103"/>
      <c r="D517" s="103"/>
      <c r="E517" s="104"/>
    </row>
    <row r="518" spans="1:5" s="100" customFormat="1" ht="15" customHeight="1" x14ac:dyDescent="0.25">
      <c r="A518" s="14"/>
      <c r="B518" s="95"/>
      <c r="C518" s="103"/>
      <c r="D518" s="103"/>
      <c r="E518" s="104"/>
    </row>
    <row r="519" spans="1:5" s="100" customFormat="1" ht="15" customHeight="1" x14ac:dyDescent="0.25">
      <c r="A519" s="14"/>
      <c r="B519" s="95"/>
      <c r="C519" s="103"/>
      <c r="D519" s="103"/>
      <c r="E519" s="104"/>
    </row>
    <row r="520" spans="1:5" s="100" customFormat="1" ht="15" customHeight="1" x14ac:dyDescent="0.25">
      <c r="A520" s="14"/>
      <c r="B520" s="95"/>
      <c r="C520" s="103"/>
      <c r="D520" s="103"/>
      <c r="E520" s="104"/>
    </row>
    <row r="521" spans="1:5" s="100" customFormat="1" ht="15" customHeight="1" x14ac:dyDescent="0.25">
      <c r="A521" s="14"/>
      <c r="B521" s="95"/>
      <c r="C521" s="103"/>
      <c r="D521" s="103"/>
      <c r="E521" s="104"/>
    </row>
    <row r="522" spans="1:5" s="100" customFormat="1" ht="15" customHeight="1" x14ac:dyDescent="0.25">
      <c r="A522" s="14"/>
      <c r="B522" s="95"/>
      <c r="C522" s="103"/>
      <c r="D522" s="103"/>
      <c r="E522" s="104"/>
    </row>
    <row r="523" spans="1:5" s="100" customFormat="1" ht="15" customHeight="1" x14ac:dyDescent="0.25">
      <c r="A523" s="14"/>
      <c r="B523" s="95"/>
      <c r="C523" s="103"/>
      <c r="D523" s="103"/>
      <c r="E523" s="104"/>
    </row>
    <row r="524" spans="1:5" s="100" customFormat="1" ht="15" customHeight="1" x14ac:dyDescent="0.25">
      <c r="A524" s="14"/>
      <c r="B524" s="95"/>
      <c r="C524" s="103"/>
      <c r="D524" s="103"/>
      <c r="E524" s="104"/>
    </row>
    <row r="525" spans="1:5" s="100" customFormat="1" ht="15" customHeight="1" x14ac:dyDescent="0.25">
      <c r="A525" s="14"/>
      <c r="B525" s="95"/>
      <c r="C525" s="103"/>
      <c r="D525" s="103"/>
      <c r="E525" s="104"/>
    </row>
    <row r="526" spans="1:5" s="100" customFormat="1" ht="15" customHeight="1" x14ac:dyDescent="0.25">
      <c r="A526" s="14"/>
      <c r="B526" s="95"/>
      <c r="C526" s="103"/>
      <c r="D526" s="103"/>
      <c r="E526" s="104"/>
    </row>
    <row r="527" spans="1:5" s="100" customFormat="1" ht="15" customHeight="1" x14ac:dyDescent="0.25">
      <c r="A527" s="14"/>
      <c r="B527" s="95"/>
      <c r="C527" s="103"/>
      <c r="D527" s="103"/>
      <c r="E527" s="104"/>
    </row>
    <row r="528" spans="1:5" s="100" customFormat="1" ht="15" customHeight="1" x14ac:dyDescent="0.25">
      <c r="A528" s="14"/>
      <c r="B528" s="95"/>
      <c r="C528" s="103"/>
      <c r="D528" s="103"/>
      <c r="E528" s="104"/>
    </row>
    <row r="529" spans="1:5" s="100" customFormat="1" ht="15" customHeight="1" x14ac:dyDescent="0.25">
      <c r="A529" s="14"/>
      <c r="B529" s="95"/>
      <c r="C529" s="103"/>
      <c r="D529" s="103"/>
      <c r="E529" s="104"/>
    </row>
    <row r="530" spans="1:5" s="100" customFormat="1" ht="15" customHeight="1" x14ac:dyDescent="0.25">
      <c r="A530" s="14"/>
      <c r="B530" s="95"/>
      <c r="C530" s="103"/>
      <c r="D530" s="103"/>
      <c r="E530" s="104"/>
    </row>
    <row r="531" spans="1:5" s="100" customFormat="1" ht="15" customHeight="1" x14ac:dyDescent="0.25">
      <c r="A531" s="14"/>
      <c r="B531" s="95"/>
      <c r="C531" s="103"/>
      <c r="D531" s="103"/>
      <c r="E531" s="104"/>
    </row>
    <row r="532" spans="1:5" s="100" customFormat="1" ht="15" customHeight="1" x14ac:dyDescent="0.25">
      <c r="A532" s="14"/>
      <c r="B532" s="95"/>
      <c r="C532" s="103"/>
      <c r="D532" s="103"/>
      <c r="E532" s="104"/>
    </row>
    <row r="533" spans="1:5" s="100" customFormat="1" ht="15" customHeight="1" x14ac:dyDescent="0.25">
      <c r="A533" s="14"/>
      <c r="B533" s="95"/>
      <c r="C533" s="103"/>
      <c r="D533" s="103"/>
      <c r="E533" s="104"/>
    </row>
    <row r="534" spans="1:5" s="100" customFormat="1" ht="15" customHeight="1" x14ac:dyDescent="0.25">
      <c r="A534" s="14"/>
      <c r="B534" s="95"/>
      <c r="C534" s="103"/>
      <c r="D534" s="103"/>
      <c r="E534" s="104"/>
    </row>
    <row r="535" spans="1:5" s="100" customFormat="1" ht="15" customHeight="1" x14ac:dyDescent="0.25">
      <c r="A535" s="14"/>
      <c r="B535" s="95"/>
      <c r="C535" s="103"/>
      <c r="D535" s="103"/>
      <c r="E535" s="104"/>
    </row>
    <row r="536" spans="1:5" s="100" customFormat="1" ht="15" customHeight="1" x14ac:dyDescent="0.25">
      <c r="A536" s="14"/>
      <c r="B536" s="95"/>
      <c r="C536" s="103"/>
      <c r="D536" s="103"/>
      <c r="E536" s="104"/>
    </row>
    <row r="537" spans="1:5" s="100" customFormat="1" ht="15" customHeight="1" x14ac:dyDescent="0.25">
      <c r="A537" s="14"/>
      <c r="B537" s="95"/>
      <c r="C537" s="103"/>
      <c r="D537" s="103"/>
      <c r="E537" s="104"/>
    </row>
    <row r="538" spans="1:5" s="100" customFormat="1" ht="15" customHeight="1" x14ac:dyDescent="0.25">
      <c r="A538" s="14"/>
      <c r="B538" s="95"/>
      <c r="C538" s="103"/>
      <c r="D538" s="103"/>
      <c r="E538" s="104"/>
    </row>
    <row r="539" spans="1:5" s="100" customFormat="1" ht="15" customHeight="1" x14ac:dyDescent="0.25">
      <c r="A539" s="14"/>
      <c r="B539" s="95"/>
      <c r="C539" s="103"/>
      <c r="D539" s="103"/>
      <c r="E539" s="104"/>
    </row>
    <row r="540" spans="1:5" s="100" customFormat="1" ht="15" customHeight="1" x14ac:dyDescent="0.25">
      <c r="A540" s="14"/>
      <c r="B540" s="95"/>
      <c r="C540" s="103"/>
      <c r="D540" s="103"/>
      <c r="E540" s="104"/>
    </row>
    <row r="541" spans="1:5" s="100" customFormat="1" ht="15" customHeight="1" x14ac:dyDescent="0.25">
      <c r="A541" s="14"/>
      <c r="B541" s="95"/>
      <c r="C541" s="103"/>
      <c r="D541" s="103"/>
      <c r="E541" s="104"/>
    </row>
    <row r="542" spans="1:5" s="100" customFormat="1" ht="15" customHeight="1" x14ac:dyDescent="0.25">
      <c r="A542" s="14"/>
      <c r="B542" s="95"/>
      <c r="C542" s="103"/>
      <c r="D542" s="103"/>
      <c r="E542" s="104"/>
    </row>
    <row r="543" spans="1:5" s="100" customFormat="1" ht="15" customHeight="1" x14ac:dyDescent="0.25">
      <c r="A543" s="14"/>
      <c r="B543" s="95"/>
      <c r="C543" s="103"/>
      <c r="D543" s="103"/>
      <c r="E543" s="104"/>
    </row>
    <row r="544" spans="1:5" s="100" customFormat="1" ht="15" customHeight="1" x14ac:dyDescent="0.25">
      <c r="A544" s="14"/>
      <c r="B544" s="95"/>
      <c r="C544" s="103"/>
      <c r="D544" s="103"/>
      <c r="E544" s="104"/>
    </row>
    <row r="545" spans="1:5" s="100" customFormat="1" ht="15" customHeight="1" x14ac:dyDescent="0.25">
      <c r="A545" s="14"/>
      <c r="B545" s="95"/>
      <c r="C545" s="103"/>
      <c r="D545" s="103"/>
      <c r="E545" s="104"/>
    </row>
    <row r="546" spans="1:5" s="100" customFormat="1" ht="15" customHeight="1" x14ac:dyDescent="0.25">
      <c r="A546" s="14"/>
      <c r="B546" s="95"/>
      <c r="C546" s="103"/>
      <c r="D546" s="103"/>
      <c r="E546" s="104"/>
    </row>
    <row r="547" spans="1:5" s="100" customFormat="1" ht="15" customHeight="1" x14ac:dyDescent="0.25">
      <c r="A547" s="14"/>
      <c r="B547" s="95"/>
      <c r="C547" s="103"/>
      <c r="D547" s="103"/>
      <c r="E547" s="104"/>
    </row>
    <row r="548" spans="1:5" s="100" customFormat="1" ht="15" customHeight="1" x14ac:dyDescent="0.25">
      <c r="A548" s="14"/>
      <c r="B548" s="95"/>
      <c r="C548" s="103"/>
      <c r="D548" s="103"/>
      <c r="E548" s="104"/>
    </row>
    <row r="549" spans="1:5" s="100" customFormat="1" ht="15" customHeight="1" x14ac:dyDescent="0.25">
      <c r="A549" s="14"/>
      <c r="B549" s="95"/>
      <c r="C549" s="103"/>
      <c r="D549" s="103"/>
      <c r="E549" s="104"/>
    </row>
    <row r="550" spans="1:5" s="100" customFormat="1" ht="15" customHeight="1" x14ac:dyDescent="0.25">
      <c r="A550" s="14"/>
      <c r="B550" s="95"/>
      <c r="C550" s="103"/>
      <c r="D550" s="103"/>
      <c r="E550" s="104"/>
    </row>
    <row r="551" spans="1:5" s="100" customFormat="1" ht="15" customHeight="1" x14ac:dyDescent="0.25">
      <c r="A551" s="14"/>
      <c r="B551" s="95"/>
      <c r="C551" s="103"/>
      <c r="D551" s="103"/>
      <c r="E551" s="104"/>
    </row>
    <row r="552" spans="1:5" s="100" customFormat="1" ht="15" customHeight="1" x14ac:dyDescent="0.25">
      <c r="A552" s="14"/>
      <c r="B552" s="95"/>
      <c r="C552" s="103"/>
      <c r="D552" s="103"/>
      <c r="E552" s="104"/>
    </row>
    <row r="553" spans="1:5" s="100" customFormat="1" ht="15" customHeight="1" x14ac:dyDescent="0.25">
      <c r="A553" s="14"/>
      <c r="B553" s="95"/>
      <c r="C553" s="103"/>
      <c r="D553" s="103"/>
      <c r="E553" s="104"/>
    </row>
    <row r="554" spans="1:5" s="100" customFormat="1" ht="15" customHeight="1" x14ac:dyDescent="0.25">
      <c r="A554" s="14"/>
      <c r="B554" s="95"/>
      <c r="C554" s="103"/>
      <c r="D554" s="103"/>
      <c r="E554" s="104"/>
    </row>
    <row r="555" spans="1:5" s="100" customFormat="1" ht="15" customHeight="1" x14ac:dyDescent="0.25">
      <c r="A555" s="14"/>
      <c r="B555" s="95"/>
      <c r="C555" s="103"/>
      <c r="D555" s="103"/>
      <c r="E555" s="104"/>
    </row>
    <row r="556" spans="1:5" s="100" customFormat="1" ht="15" customHeight="1" x14ac:dyDescent="0.25">
      <c r="A556" s="14"/>
      <c r="B556" s="95"/>
      <c r="C556" s="103"/>
      <c r="D556" s="103"/>
      <c r="E556" s="104"/>
    </row>
    <row r="557" spans="1:5" s="100" customFormat="1" ht="15" customHeight="1" x14ac:dyDescent="0.25">
      <c r="A557" s="14"/>
      <c r="B557" s="95"/>
      <c r="C557" s="103"/>
      <c r="D557" s="103"/>
      <c r="E557" s="104"/>
    </row>
    <row r="558" spans="1:5" s="100" customFormat="1" ht="15" customHeight="1" x14ac:dyDescent="0.25">
      <c r="A558" s="14"/>
      <c r="B558" s="95"/>
      <c r="C558" s="103"/>
      <c r="D558" s="103"/>
      <c r="E558" s="104"/>
    </row>
    <row r="559" spans="1:5" s="100" customFormat="1" ht="15" customHeight="1" x14ac:dyDescent="0.25">
      <c r="A559" s="14"/>
      <c r="B559" s="95"/>
      <c r="C559" s="103"/>
      <c r="D559" s="103"/>
      <c r="E559" s="104"/>
    </row>
    <row r="560" spans="1:5" s="100" customFormat="1" ht="15" customHeight="1" x14ac:dyDescent="0.25">
      <c r="A560" s="14"/>
      <c r="B560" s="95"/>
      <c r="C560" s="103"/>
      <c r="D560" s="103"/>
      <c r="E560" s="104"/>
    </row>
    <row r="561" spans="1:5" s="100" customFormat="1" ht="15" customHeight="1" x14ac:dyDescent="0.25">
      <c r="A561" s="14"/>
      <c r="B561" s="95"/>
      <c r="C561" s="103"/>
      <c r="D561" s="103"/>
      <c r="E561" s="104"/>
    </row>
    <row r="562" spans="1:5" s="100" customFormat="1" ht="15" customHeight="1" x14ac:dyDescent="0.25">
      <c r="A562" s="14"/>
      <c r="B562" s="95"/>
      <c r="C562" s="103"/>
      <c r="D562" s="103"/>
      <c r="E562" s="104"/>
    </row>
    <row r="563" spans="1:5" s="100" customFormat="1" ht="15" customHeight="1" x14ac:dyDescent="0.25">
      <c r="A563" s="14"/>
      <c r="B563" s="95"/>
      <c r="C563" s="103"/>
      <c r="D563" s="103"/>
      <c r="E563" s="104"/>
    </row>
    <row r="564" spans="1:5" s="100" customFormat="1" ht="15" customHeight="1" x14ac:dyDescent="0.25">
      <c r="A564" s="14"/>
      <c r="B564" s="95"/>
      <c r="C564" s="103"/>
      <c r="D564" s="103"/>
      <c r="E564" s="104"/>
    </row>
    <row r="565" spans="1:5" s="100" customFormat="1" ht="15" customHeight="1" x14ac:dyDescent="0.25">
      <c r="A565" s="14"/>
      <c r="B565" s="95"/>
      <c r="C565" s="103"/>
      <c r="D565" s="103"/>
      <c r="E565" s="104"/>
    </row>
    <row r="566" spans="1:5" s="100" customFormat="1" ht="15" customHeight="1" x14ac:dyDescent="0.25">
      <c r="A566" s="14"/>
      <c r="B566" s="95"/>
      <c r="C566" s="103"/>
      <c r="D566" s="103"/>
      <c r="E566" s="104"/>
    </row>
    <row r="567" spans="1:5" s="100" customFormat="1" ht="15" customHeight="1" x14ac:dyDescent="0.25">
      <c r="A567" s="14"/>
      <c r="B567" s="95"/>
      <c r="C567" s="103"/>
      <c r="D567" s="103"/>
      <c r="E567" s="104"/>
    </row>
    <row r="568" spans="1:5" s="100" customFormat="1" ht="15" customHeight="1" x14ac:dyDescent="0.25">
      <c r="A568" s="14"/>
      <c r="B568" s="95"/>
      <c r="C568" s="103"/>
      <c r="D568" s="103"/>
      <c r="E568" s="104"/>
    </row>
    <row r="569" spans="1:5" s="100" customFormat="1" ht="15" customHeight="1" x14ac:dyDescent="0.25">
      <c r="A569" s="14"/>
      <c r="B569" s="95"/>
      <c r="C569" s="103"/>
      <c r="D569" s="103"/>
      <c r="E569" s="104"/>
    </row>
    <row r="570" spans="1:5" s="100" customFormat="1" ht="15" customHeight="1" x14ac:dyDescent="0.25">
      <c r="A570" s="14"/>
      <c r="B570" s="95"/>
      <c r="C570" s="103"/>
      <c r="D570" s="103"/>
      <c r="E570" s="104"/>
    </row>
    <row r="571" spans="1:5" s="100" customFormat="1" ht="15" customHeight="1" x14ac:dyDescent="0.25">
      <c r="A571" s="14"/>
      <c r="B571" s="95"/>
      <c r="C571" s="103"/>
      <c r="D571" s="103"/>
      <c r="E571" s="104"/>
    </row>
    <row r="572" spans="1:5" s="100" customFormat="1" ht="15" customHeight="1" x14ac:dyDescent="0.25">
      <c r="A572" s="14"/>
      <c r="B572" s="95"/>
      <c r="C572" s="103"/>
      <c r="D572" s="103"/>
      <c r="E572" s="104"/>
    </row>
    <row r="573" spans="1:5" s="100" customFormat="1" ht="15" customHeight="1" x14ac:dyDescent="0.25">
      <c r="A573" s="14"/>
      <c r="B573" s="95"/>
      <c r="C573" s="103"/>
      <c r="D573" s="103"/>
      <c r="E573" s="104"/>
    </row>
    <row r="574" spans="1:5" s="100" customFormat="1" ht="15" customHeight="1" x14ac:dyDescent="0.25">
      <c r="A574" s="14"/>
      <c r="B574" s="95"/>
      <c r="C574" s="103"/>
      <c r="D574" s="103"/>
      <c r="E574" s="104"/>
    </row>
    <row r="575" spans="1:5" s="100" customFormat="1" ht="15" customHeight="1" x14ac:dyDescent="0.25">
      <c r="A575" s="14"/>
      <c r="B575" s="95"/>
      <c r="C575" s="103"/>
      <c r="D575" s="103"/>
      <c r="E575" s="104"/>
    </row>
    <row r="576" spans="1:5" s="100" customFormat="1" ht="15" customHeight="1" x14ac:dyDescent="0.25">
      <c r="A576" s="14"/>
      <c r="B576" s="95"/>
      <c r="C576" s="103"/>
      <c r="D576" s="103"/>
      <c r="E576" s="104"/>
    </row>
    <row r="577" spans="1:5" s="100" customFormat="1" ht="15" customHeight="1" x14ac:dyDescent="0.25">
      <c r="A577" s="14"/>
      <c r="B577" s="95"/>
      <c r="C577" s="103"/>
      <c r="D577" s="103"/>
      <c r="E577" s="104"/>
    </row>
    <row r="578" spans="1:5" s="100" customFormat="1" ht="15" customHeight="1" x14ac:dyDescent="0.25">
      <c r="A578" s="14"/>
      <c r="B578" s="95"/>
      <c r="C578" s="103"/>
      <c r="D578" s="103"/>
      <c r="E578" s="104"/>
    </row>
    <row r="579" spans="1:5" s="100" customFormat="1" ht="15" customHeight="1" x14ac:dyDescent="0.25">
      <c r="A579" s="14"/>
      <c r="B579" s="95"/>
      <c r="C579" s="103"/>
      <c r="D579" s="103"/>
      <c r="E579" s="104"/>
    </row>
    <row r="580" spans="1:5" s="100" customFormat="1" ht="15" customHeight="1" x14ac:dyDescent="0.25">
      <c r="A580" s="14"/>
      <c r="B580" s="95"/>
      <c r="C580" s="103"/>
      <c r="D580" s="103"/>
      <c r="E580" s="104"/>
    </row>
    <row r="581" spans="1:5" s="100" customFormat="1" ht="15" customHeight="1" x14ac:dyDescent="0.25">
      <c r="A581" s="14"/>
      <c r="B581" s="95"/>
      <c r="C581" s="103"/>
      <c r="D581" s="103"/>
      <c r="E581" s="104"/>
    </row>
    <row r="582" spans="1:5" s="100" customFormat="1" ht="15" customHeight="1" x14ac:dyDescent="0.25">
      <c r="A582" s="14"/>
      <c r="B582" s="95"/>
      <c r="C582" s="103"/>
      <c r="D582" s="103"/>
      <c r="E582" s="104"/>
    </row>
    <row r="583" spans="1:5" s="100" customFormat="1" ht="15" customHeight="1" x14ac:dyDescent="0.25">
      <c r="A583" s="14"/>
      <c r="B583" s="95"/>
      <c r="C583" s="103"/>
      <c r="D583" s="103"/>
      <c r="E583" s="104"/>
    </row>
    <row r="584" spans="1:5" s="100" customFormat="1" ht="15" customHeight="1" x14ac:dyDescent="0.25">
      <c r="A584" s="14"/>
      <c r="B584" s="95"/>
      <c r="C584" s="103"/>
      <c r="D584" s="103"/>
      <c r="E584" s="104"/>
    </row>
    <row r="585" spans="1:5" s="100" customFormat="1" ht="15" customHeight="1" x14ac:dyDescent="0.25">
      <c r="A585" s="14"/>
      <c r="B585" s="95"/>
      <c r="C585" s="103"/>
      <c r="D585" s="103"/>
      <c r="E585" s="104"/>
    </row>
    <row r="586" spans="1:5" s="100" customFormat="1" ht="15" customHeight="1" x14ac:dyDescent="0.25">
      <c r="A586" s="14"/>
      <c r="B586" s="95"/>
      <c r="C586" s="103"/>
      <c r="D586" s="103"/>
      <c r="E586" s="104"/>
    </row>
    <row r="587" spans="1:5" s="100" customFormat="1" ht="15" customHeight="1" x14ac:dyDescent="0.25">
      <c r="A587" s="14"/>
      <c r="B587" s="95"/>
      <c r="C587" s="103"/>
      <c r="D587" s="103"/>
      <c r="E587" s="104"/>
    </row>
    <row r="588" spans="1:5" s="100" customFormat="1" ht="15" customHeight="1" x14ac:dyDescent="0.25">
      <c r="A588" s="14"/>
      <c r="B588" s="95"/>
      <c r="C588" s="103"/>
      <c r="D588" s="103"/>
      <c r="E588" s="104"/>
    </row>
    <row r="589" spans="1:5" s="100" customFormat="1" ht="15" customHeight="1" x14ac:dyDescent="0.25">
      <c r="A589" s="14"/>
      <c r="B589" s="95"/>
      <c r="C589" s="103"/>
      <c r="D589" s="103"/>
      <c r="E589" s="104"/>
    </row>
    <row r="590" spans="1:5" s="100" customFormat="1" ht="15" customHeight="1" x14ac:dyDescent="0.25">
      <c r="A590" s="14"/>
      <c r="B590" s="95"/>
      <c r="C590" s="103"/>
      <c r="D590" s="103"/>
      <c r="E590" s="104"/>
    </row>
    <row r="591" spans="1:5" s="100" customFormat="1" ht="15" customHeight="1" x14ac:dyDescent="0.25">
      <c r="A591" s="14"/>
      <c r="B591" s="95"/>
      <c r="C591" s="103"/>
      <c r="D591" s="103"/>
      <c r="E591" s="104"/>
    </row>
    <row r="592" spans="1:5" s="100" customFormat="1" ht="15" customHeight="1" x14ac:dyDescent="0.25">
      <c r="A592" s="14"/>
      <c r="B592" s="95"/>
      <c r="C592" s="103"/>
      <c r="D592" s="103"/>
      <c r="E592" s="104"/>
    </row>
    <row r="593" spans="1:5" s="100" customFormat="1" ht="15" customHeight="1" x14ac:dyDescent="0.25">
      <c r="A593" s="14"/>
      <c r="B593" s="95"/>
      <c r="C593" s="103"/>
      <c r="D593" s="103"/>
      <c r="E593" s="104"/>
    </row>
    <row r="594" spans="1:5" s="100" customFormat="1" ht="15" customHeight="1" x14ac:dyDescent="0.25">
      <c r="A594" s="14"/>
      <c r="B594" s="95"/>
      <c r="C594" s="103"/>
      <c r="D594" s="103"/>
      <c r="E594" s="104"/>
    </row>
    <row r="595" spans="1:5" s="100" customFormat="1" ht="15" customHeight="1" x14ac:dyDescent="0.25">
      <c r="A595" s="14"/>
      <c r="B595" s="95"/>
      <c r="C595" s="103"/>
      <c r="D595" s="103"/>
      <c r="E595" s="104"/>
    </row>
    <row r="596" spans="1:5" s="100" customFormat="1" ht="15" customHeight="1" x14ac:dyDescent="0.25">
      <c r="A596" s="14"/>
      <c r="B596" s="95"/>
      <c r="C596" s="103"/>
      <c r="D596" s="103"/>
      <c r="E596" s="104"/>
    </row>
    <row r="597" spans="1:5" s="100" customFormat="1" ht="15" customHeight="1" x14ac:dyDescent="0.25">
      <c r="A597" s="14"/>
      <c r="B597" s="95"/>
      <c r="C597" s="103"/>
      <c r="D597" s="103"/>
      <c r="E597" s="104"/>
    </row>
    <row r="598" spans="1:5" s="100" customFormat="1" ht="15" customHeight="1" x14ac:dyDescent="0.25">
      <c r="A598" s="14"/>
      <c r="B598" s="95"/>
      <c r="C598" s="103"/>
      <c r="D598" s="103"/>
      <c r="E598" s="104"/>
    </row>
    <row r="599" spans="1:5" s="100" customFormat="1" ht="15" customHeight="1" x14ac:dyDescent="0.25">
      <c r="A599" s="14"/>
      <c r="B599" s="95"/>
      <c r="C599" s="103"/>
      <c r="D599" s="103"/>
      <c r="E599" s="104"/>
    </row>
    <row r="600" spans="1:5" s="100" customFormat="1" ht="15" customHeight="1" x14ac:dyDescent="0.25">
      <c r="A600" s="14"/>
      <c r="B600" s="95"/>
      <c r="C600" s="103"/>
      <c r="D600" s="103"/>
      <c r="E600" s="104"/>
    </row>
    <row r="601" spans="1:5" s="100" customFormat="1" ht="15" customHeight="1" x14ac:dyDescent="0.25">
      <c r="A601" s="14"/>
      <c r="B601" s="95"/>
      <c r="C601" s="103"/>
      <c r="D601" s="103"/>
      <c r="E601" s="104"/>
    </row>
    <row r="602" spans="1:5" s="100" customFormat="1" ht="15" customHeight="1" x14ac:dyDescent="0.25">
      <c r="A602" s="14"/>
      <c r="B602" s="95"/>
      <c r="C602" s="103"/>
      <c r="D602" s="103"/>
      <c r="E602" s="104"/>
    </row>
    <row r="603" spans="1:5" s="100" customFormat="1" ht="15" customHeight="1" x14ac:dyDescent="0.25">
      <c r="A603" s="14"/>
      <c r="B603" s="95"/>
      <c r="C603" s="103"/>
      <c r="D603" s="103"/>
      <c r="E603" s="104"/>
    </row>
    <row r="604" spans="1:5" s="100" customFormat="1" ht="15" customHeight="1" x14ac:dyDescent="0.25">
      <c r="A604" s="14"/>
      <c r="B604" s="95"/>
      <c r="C604" s="103"/>
      <c r="D604" s="103"/>
      <c r="E604" s="104"/>
    </row>
    <row r="605" spans="1:5" s="100" customFormat="1" ht="15" customHeight="1" x14ac:dyDescent="0.25">
      <c r="A605" s="14"/>
      <c r="B605" s="95"/>
      <c r="C605" s="103"/>
      <c r="D605" s="103"/>
      <c r="E605" s="104"/>
    </row>
    <row r="606" spans="1:5" s="100" customFormat="1" ht="15" customHeight="1" x14ac:dyDescent="0.25">
      <c r="A606" s="14"/>
      <c r="B606" s="95"/>
      <c r="C606" s="103"/>
      <c r="D606" s="103"/>
      <c r="E606" s="104"/>
    </row>
    <row r="607" spans="1:5" s="100" customFormat="1" ht="15" customHeight="1" x14ac:dyDescent="0.25">
      <c r="A607" s="14"/>
      <c r="B607" s="95"/>
      <c r="C607" s="103"/>
      <c r="D607" s="103"/>
      <c r="E607" s="104"/>
    </row>
    <row r="608" spans="1:5" s="100" customFormat="1" ht="15" customHeight="1" x14ac:dyDescent="0.25">
      <c r="A608" s="14"/>
      <c r="B608" s="95"/>
      <c r="C608" s="103"/>
      <c r="D608" s="103"/>
      <c r="E608" s="104"/>
    </row>
    <row r="609" spans="1:5" s="100" customFormat="1" ht="15" customHeight="1" x14ac:dyDescent="0.25">
      <c r="A609" s="14"/>
      <c r="B609" s="95"/>
      <c r="C609" s="103"/>
      <c r="D609" s="103"/>
      <c r="E609" s="104"/>
    </row>
    <row r="610" spans="1:5" s="100" customFormat="1" ht="15" customHeight="1" x14ac:dyDescent="0.25">
      <c r="A610" s="14"/>
      <c r="B610" s="95"/>
      <c r="C610" s="103"/>
      <c r="D610" s="103"/>
      <c r="E610" s="104"/>
    </row>
    <row r="611" spans="1:5" s="100" customFormat="1" ht="15" customHeight="1" x14ac:dyDescent="0.25">
      <c r="A611" s="14"/>
      <c r="B611" s="95"/>
      <c r="C611" s="103"/>
      <c r="D611" s="103"/>
      <c r="E611" s="104"/>
    </row>
    <row r="612" spans="1:5" s="100" customFormat="1" ht="15" customHeight="1" x14ac:dyDescent="0.25">
      <c r="A612" s="14"/>
      <c r="B612" s="95"/>
      <c r="C612" s="103"/>
      <c r="D612" s="103"/>
      <c r="E612" s="104"/>
    </row>
    <row r="613" spans="1:5" s="100" customFormat="1" ht="15" customHeight="1" x14ac:dyDescent="0.25">
      <c r="A613" s="14"/>
      <c r="B613" s="95"/>
      <c r="C613" s="103"/>
      <c r="D613" s="103"/>
      <c r="E613" s="104"/>
    </row>
    <row r="614" spans="1:5" s="100" customFormat="1" ht="15" customHeight="1" x14ac:dyDescent="0.25">
      <c r="A614" s="14"/>
      <c r="B614" s="95"/>
      <c r="C614" s="103"/>
      <c r="D614" s="103"/>
      <c r="E614" s="104"/>
    </row>
    <row r="615" spans="1:5" s="100" customFormat="1" ht="15" customHeight="1" x14ac:dyDescent="0.25">
      <c r="A615" s="14"/>
      <c r="B615" s="95"/>
      <c r="C615" s="103"/>
      <c r="D615" s="103"/>
      <c r="E615" s="104"/>
    </row>
    <row r="616" spans="1:5" s="100" customFormat="1" ht="15" customHeight="1" x14ac:dyDescent="0.25">
      <c r="A616" s="14"/>
      <c r="B616" s="95"/>
      <c r="C616" s="103"/>
      <c r="D616" s="103"/>
      <c r="E616" s="104"/>
    </row>
    <row r="617" spans="1:5" s="100" customFormat="1" ht="15" customHeight="1" x14ac:dyDescent="0.25">
      <c r="A617" s="14"/>
      <c r="B617" s="95"/>
      <c r="C617" s="103"/>
      <c r="D617" s="103"/>
      <c r="E617" s="104"/>
    </row>
    <row r="618" spans="1:5" s="100" customFormat="1" ht="15" customHeight="1" x14ac:dyDescent="0.25">
      <c r="A618" s="14"/>
      <c r="B618" s="95"/>
      <c r="C618" s="103"/>
      <c r="D618" s="103"/>
      <c r="E618" s="104"/>
    </row>
    <row r="619" spans="1:5" s="100" customFormat="1" ht="15" customHeight="1" x14ac:dyDescent="0.25">
      <c r="A619" s="14"/>
      <c r="B619" s="95"/>
      <c r="C619" s="103"/>
      <c r="D619" s="103"/>
      <c r="E619" s="104"/>
    </row>
    <row r="620" spans="1:5" s="100" customFormat="1" ht="15" customHeight="1" x14ac:dyDescent="0.25">
      <c r="A620" s="14"/>
      <c r="B620" s="95"/>
      <c r="C620" s="103"/>
      <c r="D620" s="103"/>
      <c r="E620" s="104"/>
    </row>
    <row r="621" spans="1:5" s="100" customFormat="1" ht="15" customHeight="1" x14ac:dyDescent="0.25">
      <c r="A621" s="14"/>
      <c r="B621" s="95"/>
      <c r="C621" s="103"/>
      <c r="D621" s="103"/>
      <c r="E621" s="104"/>
    </row>
    <row r="622" spans="1:5" s="100" customFormat="1" ht="15" customHeight="1" x14ac:dyDescent="0.25">
      <c r="A622" s="14"/>
      <c r="B622" s="95"/>
      <c r="C622" s="103"/>
      <c r="D622" s="103"/>
      <c r="E622" s="104"/>
    </row>
    <row r="623" spans="1:5" s="100" customFormat="1" ht="15" customHeight="1" x14ac:dyDescent="0.25">
      <c r="A623" s="14"/>
      <c r="B623" s="95"/>
      <c r="C623" s="103"/>
      <c r="D623" s="103"/>
      <c r="E623" s="104"/>
    </row>
    <row r="624" spans="1:5" s="100" customFormat="1" ht="15" customHeight="1" x14ac:dyDescent="0.25">
      <c r="A624" s="14"/>
      <c r="B624" s="95"/>
      <c r="C624" s="103"/>
      <c r="D624" s="103"/>
      <c r="E624" s="104"/>
    </row>
    <row r="625" spans="1:5" s="100" customFormat="1" ht="15" customHeight="1" x14ac:dyDescent="0.25">
      <c r="A625" s="14"/>
      <c r="B625" s="95"/>
      <c r="C625" s="103"/>
      <c r="D625" s="103"/>
      <c r="E625" s="104"/>
    </row>
    <row r="626" spans="1:5" s="100" customFormat="1" ht="15" customHeight="1" x14ac:dyDescent="0.25">
      <c r="A626" s="14"/>
      <c r="B626" s="95"/>
      <c r="C626" s="103"/>
      <c r="D626" s="103"/>
      <c r="E626" s="104"/>
    </row>
    <row r="627" spans="1:5" s="100" customFormat="1" ht="15" customHeight="1" x14ac:dyDescent="0.25">
      <c r="A627" s="14"/>
      <c r="B627" s="95"/>
      <c r="C627" s="103"/>
      <c r="D627" s="103"/>
      <c r="E627" s="104"/>
    </row>
    <row r="628" spans="1:5" s="100" customFormat="1" ht="15" customHeight="1" x14ac:dyDescent="0.25">
      <c r="A628" s="14"/>
      <c r="B628" s="95"/>
      <c r="C628" s="103"/>
      <c r="D628" s="103"/>
      <c r="E628" s="104"/>
    </row>
    <row r="629" spans="1:5" s="100" customFormat="1" ht="15" customHeight="1" x14ac:dyDescent="0.25">
      <c r="A629" s="14"/>
      <c r="B629" s="95"/>
      <c r="C629" s="103"/>
      <c r="D629" s="103"/>
      <c r="E629" s="104"/>
    </row>
    <row r="630" spans="1:5" s="100" customFormat="1" ht="15" customHeight="1" x14ac:dyDescent="0.25">
      <c r="A630" s="14"/>
      <c r="B630" s="95"/>
      <c r="C630" s="103"/>
      <c r="D630" s="103"/>
      <c r="E630" s="104"/>
    </row>
    <row r="631" spans="1:5" s="100" customFormat="1" ht="15" customHeight="1" x14ac:dyDescent="0.25">
      <c r="A631" s="14"/>
      <c r="B631" s="95"/>
      <c r="C631" s="103"/>
      <c r="D631" s="103"/>
      <c r="E631" s="104"/>
    </row>
    <row r="632" spans="1:5" s="100" customFormat="1" ht="15" customHeight="1" x14ac:dyDescent="0.25">
      <c r="A632" s="14"/>
      <c r="B632" s="95"/>
      <c r="C632" s="103"/>
      <c r="D632" s="103"/>
      <c r="E632" s="104"/>
    </row>
    <row r="633" spans="1:5" s="100" customFormat="1" ht="15" customHeight="1" x14ac:dyDescent="0.25">
      <c r="A633" s="14"/>
      <c r="B633" s="95"/>
      <c r="C633" s="103"/>
      <c r="D633" s="103"/>
      <c r="E633" s="104"/>
    </row>
    <row r="634" spans="1:5" s="100" customFormat="1" ht="15" customHeight="1" x14ac:dyDescent="0.25">
      <c r="A634" s="14"/>
      <c r="B634" s="95"/>
      <c r="C634" s="103"/>
      <c r="D634" s="103"/>
      <c r="E634" s="104"/>
    </row>
    <row r="635" spans="1:5" s="100" customFormat="1" ht="15" customHeight="1" x14ac:dyDescent="0.25">
      <c r="A635" s="14"/>
      <c r="B635" s="95"/>
      <c r="C635" s="103"/>
      <c r="D635" s="103"/>
      <c r="E635" s="104"/>
    </row>
    <row r="636" spans="1:5" s="100" customFormat="1" ht="15" customHeight="1" x14ac:dyDescent="0.25">
      <c r="A636" s="14"/>
      <c r="B636" s="95"/>
      <c r="C636" s="103"/>
      <c r="D636" s="103"/>
      <c r="E636" s="104"/>
    </row>
    <row r="637" spans="1:5" s="100" customFormat="1" ht="15" customHeight="1" x14ac:dyDescent="0.25">
      <c r="A637" s="14"/>
      <c r="B637" s="95"/>
      <c r="C637" s="103"/>
      <c r="D637" s="103"/>
      <c r="E637" s="104"/>
    </row>
    <row r="638" spans="1:5" s="100" customFormat="1" ht="15" customHeight="1" x14ac:dyDescent="0.25">
      <c r="A638" s="14"/>
      <c r="B638" s="95"/>
      <c r="C638" s="103"/>
      <c r="D638" s="103"/>
      <c r="E638" s="104"/>
    </row>
    <row r="639" spans="1:5" s="100" customFormat="1" ht="15" customHeight="1" x14ac:dyDescent="0.25">
      <c r="A639" s="14"/>
      <c r="B639" s="95"/>
      <c r="C639" s="103"/>
      <c r="D639" s="103"/>
      <c r="E639" s="104"/>
    </row>
    <row r="640" spans="1:5" s="100" customFormat="1" ht="15" customHeight="1" x14ac:dyDescent="0.25">
      <c r="A640" s="14"/>
      <c r="B640" s="95"/>
      <c r="C640" s="103"/>
      <c r="D640" s="103"/>
      <c r="E640" s="104"/>
    </row>
    <row r="641" spans="1:5" s="100" customFormat="1" ht="15" customHeight="1" x14ac:dyDescent="0.25">
      <c r="A641" s="14"/>
      <c r="B641" s="95"/>
      <c r="C641" s="103"/>
      <c r="D641" s="103"/>
      <c r="E641" s="104"/>
    </row>
    <row r="642" spans="1:5" s="100" customFormat="1" ht="15" customHeight="1" x14ac:dyDescent="0.25">
      <c r="A642" s="14"/>
      <c r="B642" s="95"/>
      <c r="C642" s="103"/>
      <c r="D642" s="103"/>
      <c r="E642" s="104"/>
    </row>
    <row r="643" spans="1:5" s="100" customFormat="1" ht="15" customHeight="1" x14ac:dyDescent="0.25">
      <c r="A643" s="14"/>
      <c r="B643" s="95"/>
      <c r="C643" s="103"/>
      <c r="D643" s="103"/>
      <c r="E643" s="104"/>
    </row>
    <row r="644" spans="1:5" s="100" customFormat="1" ht="15" customHeight="1" x14ac:dyDescent="0.25">
      <c r="A644" s="14"/>
      <c r="B644" s="95"/>
      <c r="C644" s="103"/>
      <c r="D644" s="103"/>
      <c r="E644" s="104"/>
    </row>
    <row r="645" spans="1:5" s="100" customFormat="1" ht="15" customHeight="1" x14ac:dyDescent="0.25">
      <c r="A645" s="14"/>
      <c r="B645" s="95"/>
      <c r="C645" s="103"/>
      <c r="D645" s="103"/>
      <c r="E645" s="104"/>
    </row>
    <row r="646" spans="1:5" s="100" customFormat="1" ht="15" customHeight="1" x14ac:dyDescent="0.25">
      <c r="A646" s="14"/>
      <c r="B646" s="95"/>
      <c r="C646" s="103"/>
      <c r="D646" s="103"/>
      <c r="E646" s="104"/>
    </row>
    <row r="647" spans="1:5" s="100" customFormat="1" ht="15" customHeight="1" x14ac:dyDescent="0.25">
      <c r="A647" s="14"/>
      <c r="B647" s="95"/>
      <c r="C647" s="103"/>
      <c r="D647" s="103"/>
      <c r="E647" s="104"/>
    </row>
    <row r="648" spans="1:5" s="100" customFormat="1" ht="15" customHeight="1" x14ac:dyDescent="0.25">
      <c r="A648" s="14"/>
      <c r="B648" s="95"/>
      <c r="C648" s="103"/>
      <c r="D648" s="103"/>
      <c r="E648" s="104"/>
    </row>
    <row r="649" spans="1:5" s="100" customFormat="1" ht="15" customHeight="1" x14ac:dyDescent="0.25">
      <c r="A649" s="14"/>
      <c r="B649" s="95"/>
      <c r="C649" s="103"/>
      <c r="D649" s="103"/>
      <c r="E649" s="104"/>
    </row>
    <row r="650" spans="1:5" s="100" customFormat="1" ht="15" customHeight="1" x14ac:dyDescent="0.25">
      <c r="A650" s="14"/>
      <c r="B650" s="95"/>
      <c r="C650" s="103"/>
      <c r="D650" s="103"/>
      <c r="E650" s="104"/>
    </row>
    <row r="651" spans="1:5" s="100" customFormat="1" ht="15" customHeight="1" x14ac:dyDescent="0.25">
      <c r="A651" s="14"/>
      <c r="B651" s="95"/>
      <c r="C651" s="103"/>
      <c r="D651" s="103"/>
      <c r="E651" s="104"/>
    </row>
    <row r="652" spans="1:5" s="100" customFormat="1" ht="15" customHeight="1" x14ac:dyDescent="0.25">
      <c r="A652" s="14"/>
      <c r="B652" s="95"/>
      <c r="C652" s="103"/>
      <c r="D652" s="103"/>
      <c r="E652" s="104"/>
    </row>
    <row r="653" spans="1:5" s="100" customFormat="1" ht="15" customHeight="1" x14ac:dyDescent="0.25">
      <c r="A653" s="14"/>
      <c r="B653" s="95"/>
      <c r="C653" s="103"/>
      <c r="D653" s="103"/>
      <c r="E653" s="104"/>
    </row>
    <row r="654" spans="1:5" s="100" customFormat="1" ht="15" customHeight="1" x14ac:dyDescent="0.25">
      <c r="A654" s="14"/>
      <c r="B654" s="95"/>
      <c r="C654" s="103"/>
      <c r="D654" s="103"/>
      <c r="E654" s="104"/>
    </row>
    <row r="655" spans="1:5" s="100" customFormat="1" ht="15" customHeight="1" x14ac:dyDescent="0.25">
      <c r="A655" s="14"/>
      <c r="B655" s="95"/>
      <c r="C655" s="103"/>
      <c r="D655" s="103"/>
      <c r="E655" s="104"/>
    </row>
    <row r="656" spans="1:5" s="100" customFormat="1" ht="15" customHeight="1" x14ac:dyDescent="0.25">
      <c r="A656" s="14"/>
      <c r="B656" s="95"/>
      <c r="C656" s="103"/>
      <c r="D656" s="103"/>
      <c r="E656" s="104"/>
    </row>
    <row r="657" spans="1:5" s="100" customFormat="1" ht="15" customHeight="1" x14ac:dyDescent="0.25">
      <c r="A657" s="14"/>
      <c r="B657" s="95"/>
      <c r="C657" s="103"/>
      <c r="D657" s="103"/>
      <c r="E657" s="104"/>
    </row>
    <row r="658" spans="1:5" s="100" customFormat="1" ht="15" customHeight="1" x14ac:dyDescent="0.25">
      <c r="A658" s="14"/>
      <c r="B658" s="95"/>
      <c r="C658" s="103"/>
      <c r="D658" s="103"/>
      <c r="E658" s="104"/>
    </row>
    <row r="659" spans="1:5" s="100" customFormat="1" ht="15" customHeight="1" x14ac:dyDescent="0.25">
      <c r="A659" s="14"/>
      <c r="B659" s="96"/>
      <c r="C659" s="97"/>
      <c r="D659" s="97"/>
      <c r="E659" s="104"/>
    </row>
    <row r="660" spans="1:5" s="100" customFormat="1" ht="15" customHeight="1" x14ac:dyDescent="0.25">
      <c r="A660" s="14"/>
      <c r="B660" s="96"/>
      <c r="C660" s="97"/>
      <c r="D660" s="97"/>
      <c r="E660" s="104"/>
    </row>
    <row r="661" spans="1:5" s="100" customFormat="1" ht="15" customHeight="1" x14ac:dyDescent="0.25">
      <c r="A661" s="14"/>
      <c r="B661" s="96"/>
      <c r="C661" s="97"/>
      <c r="D661" s="97"/>
      <c r="E661" s="104"/>
    </row>
    <row r="662" spans="1:5" s="100" customFormat="1" ht="15" customHeight="1" x14ac:dyDescent="0.25">
      <c r="A662" s="14"/>
      <c r="B662" s="96"/>
      <c r="C662" s="97"/>
      <c r="D662" s="97"/>
      <c r="E662" s="104"/>
    </row>
    <row r="663" spans="1:5" s="100" customFormat="1" ht="15" customHeight="1" x14ac:dyDescent="0.25">
      <c r="A663" s="14"/>
      <c r="B663" s="96"/>
      <c r="C663" s="97"/>
      <c r="D663" s="97"/>
      <c r="E663" s="104"/>
    </row>
    <row r="664" spans="1:5" s="100" customFormat="1" ht="15" customHeight="1" x14ac:dyDescent="0.25">
      <c r="A664" s="14"/>
      <c r="B664" s="96"/>
      <c r="C664" s="97"/>
      <c r="D664" s="97"/>
      <c r="E664" s="104"/>
    </row>
    <row r="665" spans="1:5" s="100" customFormat="1" ht="15" customHeight="1" x14ac:dyDescent="0.25">
      <c r="A665" s="14"/>
      <c r="B665" s="96"/>
      <c r="C665" s="97"/>
      <c r="D665" s="97"/>
      <c r="E665" s="104"/>
    </row>
    <row r="666" spans="1:5" s="100" customFormat="1" ht="15" customHeight="1" x14ac:dyDescent="0.25">
      <c r="A666" s="14"/>
      <c r="B666" s="96"/>
      <c r="C666" s="97"/>
      <c r="D666" s="97"/>
      <c r="E666" s="104"/>
    </row>
    <row r="667" spans="1:5" s="100" customFormat="1" ht="15" customHeight="1" x14ac:dyDescent="0.25">
      <c r="A667" s="14"/>
      <c r="B667" s="96"/>
      <c r="C667" s="97"/>
      <c r="D667" s="97"/>
      <c r="E667" s="104"/>
    </row>
    <row r="668" spans="1:5" s="100" customFormat="1" ht="15" customHeight="1" x14ac:dyDescent="0.25">
      <c r="A668" s="14"/>
      <c r="B668" s="96"/>
      <c r="C668" s="97"/>
      <c r="D668" s="97"/>
      <c r="E668" s="104"/>
    </row>
    <row r="669" spans="1:5" s="100" customFormat="1" ht="15" customHeight="1" x14ac:dyDescent="0.25">
      <c r="A669" s="14"/>
      <c r="B669" s="96"/>
      <c r="C669" s="97"/>
      <c r="D669" s="97"/>
      <c r="E669" s="104"/>
    </row>
    <row r="670" spans="1:5" s="100" customFormat="1" ht="15" customHeight="1" x14ac:dyDescent="0.25">
      <c r="A670" s="14"/>
      <c r="B670" s="96"/>
      <c r="C670" s="97"/>
      <c r="D670" s="97"/>
      <c r="E670" s="104"/>
    </row>
    <row r="671" spans="1:5" s="100" customFormat="1" ht="15" customHeight="1" x14ac:dyDescent="0.25">
      <c r="A671" s="14"/>
      <c r="B671" s="96"/>
      <c r="C671" s="97"/>
      <c r="D671" s="97"/>
      <c r="E671" s="104"/>
    </row>
    <row r="672" spans="1:5" s="100" customFormat="1" ht="15" customHeight="1" x14ac:dyDescent="0.25">
      <c r="A672" s="14"/>
      <c r="B672" s="96"/>
      <c r="C672" s="97"/>
      <c r="D672" s="97"/>
      <c r="E672" s="104"/>
    </row>
    <row r="673" spans="1:5" s="100" customFormat="1" ht="15" customHeight="1" x14ac:dyDescent="0.25">
      <c r="A673" s="14"/>
      <c r="B673" s="96"/>
      <c r="C673" s="97"/>
      <c r="D673" s="97"/>
      <c r="E673" s="104"/>
    </row>
    <row r="674" spans="1:5" s="100" customFormat="1" ht="15" customHeight="1" x14ac:dyDescent="0.25">
      <c r="A674" s="14"/>
      <c r="B674" s="96"/>
      <c r="C674" s="97"/>
      <c r="D674" s="97"/>
      <c r="E674" s="104"/>
    </row>
    <row r="675" spans="1:5" s="100" customFormat="1" ht="15" customHeight="1" x14ac:dyDescent="0.25">
      <c r="A675" s="14"/>
      <c r="B675" s="96"/>
      <c r="C675" s="97"/>
      <c r="D675" s="97"/>
      <c r="E675" s="104"/>
    </row>
    <row r="676" spans="1:5" s="100" customFormat="1" ht="15" customHeight="1" x14ac:dyDescent="0.25">
      <c r="A676" s="14"/>
      <c r="B676" s="96"/>
      <c r="C676" s="97"/>
      <c r="D676" s="97"/>
      <c r="E676" s="104"/>
    </row>
    <row r="677" spans="1:5" s="100" customFormat="1" ht="15" customHeight="1" x14ac:dyDescent="0.25">
      <c r="A677" s="14"/>
      <c r="B677" s="96"/>
      <c r="C677" s="97"/>
      <c r="D677" s="97"/>
      <c r="E677" s="104"/>
    </row>
    <row r="678" spans="1:5" s="100" customFormat="1" ht="15" customHeight="1" x14ac:dyDescent="0.25">
      <c r="A678" s="14"/>
      <c r="B678" s="96"/>
      <c r="C678" s="97"/>
      <c r="D678" s="97"/>
      <c r="E678" s="104"/>
    </row>
    <row r="679" spans="1:5" s="100" customFormat="1" ht="15" customHeight="1" x14ac:dyDescent="0.25">
      <c r="A679" s="14"/>
      <c r="B679" s="96"/>
      <c r="C679" s="97"/>
      <c r="D679" s="97"/>
      <c r="E679" s="104"/>
    </row>
    <row r="680" spans="1:5" s="100" customFormat="1" ht="15" customHeight="1" x14ac:dyDescent="0.25">
      <c r="A680" s="14"/>
      <c r="B680" s="96"/>
      <c r="C680" s="97"/>
      <c r="D680" s="97"/>
      <c r="E680" s="104"/>
    </row>
    <row r="681" spans="1:5" s="100" customFormat="1" ht="15" customHeight="1" x14ac:dyDescent="0.25">
      <c r="A681" s="14"/>
      <c r="B681" s="96"/>
      <c r="C681" s="97"/>
      <c r="D681" s="97"/>
      <c r="E681" s="104"/>
    </row>
    <row r="682" spans="1:5" s="100" customFormat="1" ht="15" customHeight="1" x14ac:dyDescent="0.25">
      <c r="A682" s="14"/>
      <c r="B682" s="96"/>
      <c r="C682" s="97"/>
      <c r="D682" s="97"/>
      <c r="E682" s="104"/>
    </row>
    <row r="683" spans="1:5" s="100" customFormat="1" ht="15" customHeight="1" x14ac:dyDescent="0.25">
      <c r="A683" s="14"/>
      <c r="B683" s="96"/>
      <c r="C683" s="97"/>
      <c r="D683" s="97"/>
      <c r="E683" s="104"/>
    </row>
    <row r="684" spans="1:5" s="100" customFormat="1" ht="15" customHeight="1" x14ac:dyDescent="0.25">
      <c r="A684" s="14"/>
      <c r="B684" s="96"/>
      <c r="C684" s="97"/>
      <c r="D684" s="97"/>
      <c r="E684" s="104"/>
    </row>
    <row r="685" spans="1:5" s="100" customFormat="1" ht="15" customHeight="1" x14ac:dyDescent="0.25">
      <c r="A685" s="14"/>
      <c r="B685" s="96"/>
      <c r="C685" s="97"/>
      <c r="D685" s="97"/>
      <c r="E685" s="104"/>
    </row>
    <row r="686" spans="1:5" s="100" customFormat="1" ht="15" customHeight="1" x14ac:dyDescent="0.25">
      <c r="A686" s="14"/>
      <c r="B686" s="96"/>
      <c r="C686" s="97"/>
      <c r="D686" s="97"/>
      <c r="E686" s="104"/>
    </row>
    <row r="687" spans="1:5" s="100" customFormat="1" ht="15" customHeight="1" x14ac:dyDescent="0.25">
      <c r="A687" s="14"/>
      <c r="B687" s="96"/>
      <c r="C687" s="97"/>
      <c r="D687" s="97"/>
      <c r="E687" s="104"/>
    </row>
    <row r="688" spans="1:5" s="100" customFormat="1" ht="15" customHeight="1" x14ac:dyDescent="0.25">
      <c r="A688" s="14"/>
      <c r="B688" s="96"/>
      <c r="C688" s="97"/>
      <c r="D688" s="97"/>
      <c r="E688" s="104"/>
    </row>
    <row r="689" spans="1:5" s="100" customFormat="1" ht="15" customHeight="1" x14ac:dyDescent="0.25">
      <c r="A689" s="14"/>
      <c r="B689" s="96"/>
      <c r="C689" s="97"/>
      <c r="D689" s="97"/>
      <c r="E689" s="104"/>
    </row>
    <row r="690" spans="1:5" s="100" customFormat="1" ht="15" customHeight="1" x14ac:dyDescent="0.25">
      <c r="A690" s="14"/>
      <c r="B690" s="96"/>
      <c r="C690" s="97"/>
      <c r="D690" s="97"/>
      <c r="E690" s="104"/>
    </row>
    <row r="691" spans="1:5" s="100" customFormat="1" ht="15" customHeight="1" x14ac:dyDescent="0.25">
      <c r="A691" s="14"/>
      <c r="B691" s="96"/>
      <c r="C691" s="97"/>
      <c r="D691" s="97"/>
      <c r="E691" s="104"/>
    </row>
    <row r="692" spans="1:5" s="100" customFormat="1" ht="15" customHeight="1" x14ac:dyDescent="0.25">
      <c r="A692" s="14"/>
      <c r="B692" s="96"/>
      <c r="C692" s="97"/>
      <c r="D692" s="97"/>
      <c r="E692" s="104"/>
    </row>
    <row r="693" spans="1:5" s="100" customFormat="1" ht="15" customHeight="1" x14ac:dyDescent="0.25">
      <c r="A693" s="14"/>
      <c r="B693" s="96"/>
      <c r="C693" s="97"/>
      <c r="D693" s="97"/>
      <c r="E693" s="104"/>
    </row>
    <row r="694" spans="1:5" s="100" customFormat="1" ht="15" customHeight="1" x14ac:dyDescent="0.25">
      <c r="A694" s="14"/>
      <c r="B694" s="96"/>
      <c r="C694" s="97"/>
      <c r="D694" s="97"/>
      <c r="E694" s="104"/>
    </row>
    <row r="695" spans="1:5" s="100" customFormat="1" ht="15" customHeight="1" x14ac:dyDescent="0.25">
      <c r="A695" s="14"/>
      <c r="B695" s="96"/>
      <c r="C695" s="97"/>
      <c r="D695" s="97"/>
      <c r="E695" s="104"/>
    </row>
    <row r="696" spans="1:5" s="100" customFormat="1" ht="15" customHeight="1" x14ac:dyDescent="0.25">
      <c r="A696" s="14"/>
      <c r="B696" s="96"/>
      <c r="C696" s="97"/>
      <c r="D696" s="97"/>
      <c r="E696" s="104"/>
    </row>
    <row r="697" spans="1:5" s="100" customFormat="1" ht="15" customHeight="1" x14ac:dyDescent="0.25">
      <c r="A697" s="14"/>
      <c r="B697" s="96"/>
      <c r="C697" s="97"/>
      <c r="D697" s="97"/>
      <c r="E697" s="104"/>
    </row>
    <row r="698" spans="1:5" s="100" customFormat="1" ht="15" customHeight="1" x14ac:dyDescent="0.25">
      <c r="A698" s="14"/>
      <c r="B698" s="96"/>
      <c r="C698" s="97"/>
      <c r="D698" s="97"/>
      <c r="E698" s="104"/>
    </row>
    <row r="699" spans="1:5" s="100" customFormat="1" ht="15" customHeight="1" x14ac:dyDescent="0.25">
      <c r="A699" s="14"/>
      <c r="B699" s="96"/>
      <c r="C699" s="97"/>
      <c r="D699" s="97"/>
      <c r="E699" s="104"/>
    </row>
    <row r="700" spans="1:5" s="100" customFormat="1" ht="15" customHeight="1" x14ac:dyDescent="0.25">
      <c r="A700" s="14"/>
      <c r="B700" s="96"/>
      <c r="C700" s="97"/>
      <c r="D700" s="97"/>
      <c r="E700" s="104"/>
    </row>
    <row r="701" spans="1:5" s="100" customFormat="1" ht="15" customHeight="1" x14ac:dyDescent="0.25">
      <c r="A701" s="14"/>
      <c r="B701" s="96"/>
      <c r="C701" s="97"/>
      <c r="D701" s="97"/>
      <c r="E701" s="104"/>
    </row>
    <row r="702" spans="1:5" s="100" customFormat="1" ht="15" customHeight="1" x14ac:dyDescent="0.25">
      <c r="A702" s="14"/>
      <c r="B702" s="96"/>
      <c r="C702" s="97"/>
      <c r="D702" s="97"/>
      <c r="E702" s="104"/>
    </row>
    <row r="703" spans="1:5" s="100" customFormat="1" ht="15" customHeight="1" x14ac:dyDescent="0.25">
      <c r="A703" s="14"/>
      <c r="B703" s="96"/>
      <c r="C703" s="97"/>
      <c r="D703" s="97"/>
      <c r="E703" s="104"/>
    </row>
    <row r="704" spans="1:5" s="100" customFormat="1" ht="15" customHeight="1" x14ac:dyDescent="0.25">
      <c r="A704" s="14"/>
      <c r="B704" s="96"/>
      <c r="C704" s="97"/>
      <c r="D704" s="97"/>
      <c r="E704" s="104"/>
    </row>
    <row r="705" spans="1:5" s="100" customFormat="1" ht="15" customHeight="1" x14ac:dyDescent="0.25">
      <c r="A705" s="14"/>
      <c r="B705" s="96"/>
      <c r="C705" s="97"/>
      <c r="D705" s="97"/>
      <c r="E705" s="104"/>
    </row>
    <row r="706" spans="1:5" s="100" customFormat="1" ht="15" customHeight="1" x14ac:dyDescent="0.25">
      <c r="A706" s="14"/>
      <c r="B706" s="96"/>
      <c r="C706" s="97"/>
      <c r="D706" s="97"/>
      <c r="E706" s="104"/>
    </row>
    <row r="707" spans="1:5" s="100" customFormat="1" ht="15" customHeight="1" x14ac:dyDescent="0.25">
      <c r="A707" s="14"/>
      <c r="B707" s="96"/>
      <c r="C707" s="97"/>
      <c r="D707" s="97"/>
      <c r="E707" s="104"/>
    </row>
    <row r="708" spans="1:5" s="100" customFormat="1" ht="15" customHeight="1" x14ac:dyDescent="0.25">
      <c r="A708" s="14"/>
      <c r="B708" s="96"/>
      <c r="C708" s="97"/>
      <c r="D708" s="97"/>
      <c r="E708" s="104"/>
    </row>
    <row r="709" spans="1:5" s="100" customFormat="1" ht="15" customHeight="1" x14ac:dyDescent="0.25">
      <c r="A709" s="14"/>
      <c r="B709" s="96"/>
      <c r="C709" s="97"/>
      <c r="D709" s="97"/>
      <c r="E709" s="104"/>
    </row>
    <row r="710" spans="1:5" s="100" customFormat="1" ht="15" customHeight="1" x14ac:dyDescent="0.25">
      <c r="A710" s="14"/>
      <c r="B710" s="96"/>
      <c r="C710" s="97"/>
      <c r="D710" s="97"/>
      <c r="E710" s="104"/>
    </row>
    <row r="711" spans="1:5" s="100" customFormat="1" ht="15" customHeight="1" x14ac:dyDescent="0.25">
      <c r="A711" s="14"/>
      <c r="B711" s="96"/>
      <c r="C711" s="97"/>
      <c r="D711" s="97"/>
      <c r="E711" s="104"/>
    </row>
    <row r="712" spans="1:5" s="100" customFormat="1" ht="15" customHeight="1" x14ac:dyDescent="0.25">
      <c r="A712" s="14"/>
      <c r="B712" s="96"/>
      <c r="C712" s="97"/>
      <c r="D712" s="97"/>
      <c r="E712" s="104"/>
    </row>
    <row r="713" spans="1:5" s="100" customFormat="1" ht="15" customHeight="1" x14ac:dyDescent="0.25">
      <c r="A713" s="14"/>
      <c r="B713" s="96"/>
      <c r="C713" s="97"/>
      <c r="D713" s="97"/>
      <c r="E713" s="104"/>
    </row>
    <row r="714" spans="1:5" s="100" customFormat="1" ht="15" customHeight="1" x14ac:dyDescent="0.25">
      <c r="A714" s="14"/>
      <c r="B714" s="96"/>
      <c r="C714" s="97"/>
      <c r="D714" s="97"/>
      <c r="E714" s="104"/>
    </row>
    <row r="715" spans="1:5" s="100" customFormat="1" ht="15" customHeight="1" x14ac:dyDescent="0.25">
      <c r="A715" s="14"/>
      <c r="B715" s="96"/>
      <c r="C715" s="97"/>
      <c r="D715" s="97"/>
      <c r="E715" s="104"/>
    </row>
    <row r="716" spans="1:5" s="100" customFormat="1" ht="15" customHeight="1" x14ac:dyDescent="0.25">
      <c r="A716" s="14"/>
      <c r="B716" s="96"/>
      <c r="C716" s="97"/>
      <c r="D716" s="97"/>
      <c r="E716" s="104"/>
    </row>
    <row r="717" spans="1:5" s="100" customFormat="1" ht="15" customHeight="1" x14ac:dyDescent="0.25">
      <c r="A717" s="14"/>
      <c r="B717" s="96"/>
      <c r="C717" s="97"/>
      <c r="D717" s="97"/>
      <c r="E717" s="104"/>
    </row>
    <row r="718" spans="1:5" s="100" customFormat="1" ht="15" customHeight="1" x14ac:dyDescent="0.25">
      <c r="A718" s="14"/>
      <c r="B718" s="96"/>
      <c r="C718" s="97"/>
      <c r="D718" s="97"/>
      <c r="E718" s="104"/>
    </row>
    <row r="719" spans="1:5" s="100" customFormat="1" ht="15" customHeight="1" x14ac:dyDescent="0.25">
      <c r="A719" s="14"/>
      <c r="B719" s="96"/>
      <c r="C719" s="97"/>
      <c r="D719" s="97"/>
      <c r="E719" s="104"/>
    </row>
    <row r="720" spans="1:5" s="100" customFormat="1" ht="15" customHeight="1" x14ac:dyDescent="0.25">
      <c r="A720" s="14"/>
      <c r="B720" s="96"/>
      <c r="C720" s="97"/>
      <c r="D720" s="97"/>
      <c r="E720" s="104"/>
    </row>
    <row r="721" spans="1:5" s="100" customFormat="1" ht="15" customHeight="1" x14ac:dyDescent="0.25">
      <c r="A721" s="14"/>
      <c r="B721" s="96"/>
      <c r="C721" s="97"/>
      <c r="D721" s="97"/>
      <c r="E721" s="104"/>
    </row>
    <row r="722" spans="1:5" s="100" customFormat="1" ht="15" customHeight="1" x14ac:dyDescent="0.25">
      <c r="A722" s="14"/>
      <c r="B722" s="96"/>
      <c r="C722" s="97"/>
      <c r="D722" s="97"/>
      <c r="E722" s="104"/>
    </row>
    <row r="723" spans="1:5" s="100" customFormat="1" ht="15" customHeight="1" x14ac:dyDescent="0.25">
      <c r="A723" s="14"/>
      <c r="B723" s="96"/>
      <c r="C723" s="97"/>
      <c r="D723" s="97"/>
      <c r="E723" s="104"/>
    </row>
    <row r="724" spans="1:5" s="100" customFormat="1" ht="15" customHeight="1" x14ac:dyDescent="0.25">
      <c r="A724" s="14"/>
      <c r="B724" s="96"/>
      <c r="C724" s="97"/>
      <c r="D724" s="97"/>
      <c r="E724" s="104"/>
    </row>
    <row r="725" spans="1:5" s="100" customFormat="1" ht="15" customHeight="1" x14ac:dyDescent="0.25">
      <c r="A725" s="14"/>
      <c r="B725" s="96"/>
      <c r="C725" s="97"/>
      <c r="D725" s="97"/>
      <c r="E725" s="104"/>
    </row>
    <row r="726" spans="1:5" s="100" customFormat="1" ht="15" customHeight="1" x14ac:dyDescent="0.25">
      <c r="A726" s="14"/>
      <c r="B726" s="96"/>
      <c r="C726" s="97"/>
      <c r="D726" s="97"/>
      <c r="E726" s="104"/>
    </row>
    <row r="727" spans="1:5" s="100" customFormat="1" ht="15" customHeight="1" x14ac:dyDescent="0.25">
      <c r="A727" s="14"/>
      <c r="B727" s="96"/>
      <c r="C727" s="97"/>
      <c r="D727" s="97"/>
      <c r="E727" s="104"/>
    </row>
    <row r="728" spans="1:5" s="100" customFormat="1" ht="15" customHeight="1" x14ac:dyDescent="0.25">
      <c r="A728" s="14"/>
      <c r="B728" s="96"/>
      <c r="C728" s="97"/>
      <c r="D728" s="97"/>
      <c r="E728" s="104"/>
    </row>
    <row r="729" spans="1:5" s="100" customFormat="1" ht="15" customHeight="1" x14ac:dyDescent="0.25">
      <c r="A729" s="14"/>
      <c r="B729" s="96"/>
      <c r="C729" s="97"/>
      <c r="D729" s="97"/>
      <c r="E729" s="104"/>
    </row>
    <row r="730" spans="1:5" s="100" customFormat="1" ht="15" customHeight="1" x14ac:dyDescent="0.25">
      <c r="A730" s="14"/>
      <c r="B730" s="96"/>
      <c r="C730" s="97"/>
      <c r="D730" s="97"/>
      <c r="E730" s="104"/>
    </row>
    <row r="731" spans="1:5" s="100" customFormat="1" ht="15" customHeight="1" x14ac:dyDescent="0.25">
      <c r="A731" s="14"/>
      <c r="B731" s="96"/>
      <c r="C731" s="97"/>
      <c r="D731" s="97"/>
      <c r="E731" s="104"/>
    </row>
    <row r="732" spans="1:5" s="100" customFormat="1" ht="15" customHeight="1" x14ac:dyDescent="0.25">
      <c r="A732" s="14"/>
      <c r="B732" s="96"/>
      <c r="C732" s="97"/>
      <c r="D732" s="97"/>
      <c r="E732" s="104"/>
    </row>
    <row r="733" spans="1:5" s="100" customFormat="1" ht="15" customHeight="1" x14ac:dyDescent="0.25">
      <c r="A733" s="14"/>
      <c r="B733" s="96"/>
      <c r="C733" s="97"/>
      <c r="D733" s="97"/>
      <c r="E733" s="104"/>
    </row>
    <row r="734" spans="1:5" s="100" customFormat="1" ht="15" customHeight="1" x14ac:dyDescent="0.25">
      <c r="A734" s="14"/>
      <c r="B734" s="96"/>
      <c r="C734" s="97"/>
      <c r="D734" s="97"/>
      <c r="E734" s="104"/>
    </row>
    <row r="735" spans="1:5" s="100" customFormat="1" ht="15" customHeight="1" x14ac:dyDescent="0.25">
      <c r="A735" s="14"/>
      <c r="B735" s="96"/>
      <c r="C735" s="97"/>
      <c r="D735" s="97"/>
      <c r="E735" s="104"/>
    </row>
    <row r="736" spans="1:5" s="100" customFormat="1" ht="15" customHeight="1" x14ac:dyDescent="0.25">
      <c r="A736" s="14"/>
      <c r="B736" s="96"/>
      <c r="C736" s="97"/>
      <c r="D736" s="97"/>
      <c r="E736" s="104"/>
    </row>
    <row r="737" spans="1:5" s="100" customFormat="1" ht="15" customHeight="1" x14ac:dyDescent="0.25">
      <c r="A737" s="14"/>
      <c r="B737" s="96"/>
      <c r="C737" s="97"/>
      <c r="D737" s="97"/>
      <c r="E737" s="104"/>
    </row>
    <row r="738" spans="1:5" s="100" customFormat="1" ht="15" customHeight="1" x14ac:dyDescent="0.25">
      <c r="A738" s="14"/>
      <c r="B738" s="96"/>
      <c r="C738" s="97"/>
      <c r="D738" s="97"/>
      <c r="E738" s="104"/>
    </row>
    <row r="739" spans="1:5" s="100" customFormat="1" ht="15" customHeight="1" x14ac:dyDescent="0.25">
      <c r="A739" s="14"/>
      <c r="B739" s="96"/>
      <c r="C739" s="97"/>
      <c r="D739" s="97"/>
      <c r="E739" s="104"/>
    </row>
    <row r="740" spans="1:5" s="100" customFormat="1" ht="15" customHeight="1" x14ac:dyDescent="0.25">
      <c r="A740" s="14"/>
      <c r="B740" s="96"/>
      <c r="C740" s="97"/>
      <c r="D740" s="97"/>
      <c r="E740" s="104"/>
    </row>
    <row r="741" spans="1:5" s="100" customFormat="1" ht="15" customHeight="1" x14ac:dyDescent="0.25">
      <c r="A741" s="14"/>
      <c r="B741" s="96"/>
      <c r="C741" s="97"/>
      <c r="D741" s="97"/>
      <c r="E741" s="104"/>
    </row>
    <row r="742" spans="1:5" s="100" customFormat="1" ht="15" customHeight="1" x14ac:dyDescent="0.25">
      <c r="A742" s="14"/>
      <c r="B742" s="96"/>
      <c r="C742" s="97"/>
      <c r="D742" s="97"/>
      <c r="E742" s="104"/>
    </row>
    <row r="743" spans="1:5" s="100" customFormat="1" ht="15" customHeight="1" x14ac:dyDescent="0.25">
      <c r="A743" s="14"/>
      <c r="B743" s="96"/>
      <c r="C743" s="97"/>
      <c r="D743" s="97"/>
      <c r="E743" s="104"/>
    </row>
    <row r="744" spans="1:5" s="100" customFormat="1" ht="15" customHeight="1" x14ac:dyDescent="0.25">
      <c r="A744" s="14"/>
      <c r="B744" s="96"/>
      <c r="C744" s="97"/>
      <c r="D744" s="97"/>
      <c r="E744" s="104"/>
    </row>
    <row r="745" spans="1:5" s="100" customFormat="1" ht="15" customHeight="1" x14ac:dyDescent="0.25">
      <c r="A745" s="14"/>
      <c r="B745" s="96"/>
      <c r="C745" s="97"/>
      <c r="D745" s="97"/>
      <c r="E745" s="104"/>
    </row>
    <row r="746" spans="1:5" s="100" customFormat="1" ht="15" customHeight="1" x14ac:dyDescent="0.25">
      <c r="A746" s="14"/>
      <c r="B746" s="96"/>
      <c r="C746" s="97"/>
      <c r="D746" s="97"/>
      <c r="E746" s="104"/>
    </row>
    <row r="747" spans="1:5" s="100" customFormat="1" ht="15" customHeight="1" x14ac:dyDescent="0.25">
      <c r="A747" s="14"/>
      <c r="B747" s="96"/>
      <c r="C747" s="97"/>
      <c r="D747" s="97"/>
      <c r="E747" s="104"/>
    </row>
    <row r="748" spans="1:5" s="100" customFormat="1" ht="15" customHeight="1" x14ac:dyDescent="0.25">
      <c r="A748" s="14"/>
      <c r="B748" s="96"/>
      <c r="C748" s="97"/>
      <c r="D748" s="97"/>
      <c r="E748" s="104"/>
    </row>
    <row r="749" spans="1:5" s="100" customFormat="1" ht="15" customHeight="1" x14ac:dyDescent="0.25">
      <c r="A749" s="14"/>
      <c r="B749" s="96"/>
      <c r="C749" s="97"/>
      <c r="D749" s="97"/>
      <c r="E749" s="104"/>
    </row>
    <row r="750" spans="1:5" s="100" customFormat="1" ht="15" customHeight="1" x14ac:dyDescent="0.25">
      <c r="A750" s="14"/>
      <c r="B750" s="96"/>
      <c r="C750" s="97"/>
      <c r="D750" s="97"/>
      <c r="E750" s="104"/>
    </row>
    <row r="751" spans="1:5" s="100" customFormat="1" ht="15" customHeight="1" x14ac:dyDescent="0.25">
      <c r="A751" s="14"/>
      <c r="B751" s="96"/>
      <c r="C751" s="97"/>
      <c r="D751" s="97"/>
      <c r="E751" s="104"/>
    </row>
    <row r="752" spans="1:5" s="100" customFormat="1" ht="15" customHeight="1" x14ac:dyDescent="0.25">
      <c r="A752" s="14"/>
      <c r="B752" s="96"/>
      <c r="C752" s="97"/>
      <c r="D752" s="97"/>
      <c r="E752" s="104"/>
    </row>
    <row r="753" spans="1:5" s="100" customFormat="1" ht="15" customHeight="1" x14ac:dyDescent="0.25">
      <c r="A753" s="14"/>
      <c r="B753" s="96"/>
      <c r="C753" s="97"/>
      <c r="D753" s="97"/>
      <c r="E753" s="104"/>
    </row>
    <row r="754" spans="1:5" s="100" customFormat="1" ht="15" customHeight="1" x14ac:dyDescent="0.25">
      <c r="A754" s="14"/>
      <c r="B754" s="96"/>
      <c r="C754" s="97"/>
      <c r="D754" s="97"/>
      <c r="E754" s="104"/>
    </row>
    <row r="755" spans="1:5" s="100" customFormat="1" ht="15" customHeight="1" x14ac:dyDescent="0.25">
      <c r="A755" s="14"/>
      <c r="B755" s="96"/>
      <c r="C755" s="97"/>
      <c r="D755" s="97"/>
      <c r="E755" s="104"/>
    </row>
    <row r="756" spans="1:5" s="100" customFormat="1" ht="15" customHeight="1" x14ac:dyDescent="0.25">
      <c r="A756" s="14"/>
      <c r="B756" s="96"/>
      <c r="C756" s="97"/>
      <c r="D756" s="97"/>
      <c r="E756" s="104"/>
    </row>
    <row r="757" spans="1:5" s="100" customFormat="1" ht="15" customHeight="1" x14ac:dyDescent="0.25">
      <c r="A757" s="14"/>
      <c r="B757" s="96"/>
      <c r="C757" s="97"/>
      <c r="D757" s="97"/>
      <c r="E757" s="104"/>
    </row>
    <row r="758" spans="1:5" s="100" customFormat="1" ht="15" customHeight="1" x14ac:dyDescent="0.25">
      <c r="A758" s="14"/>
      <c r="B758" s="96"/>
      <c r="C758" s="97"/>
      <c r="D758" s="97"/>
      <c r="E758" s="104"/>
    </row>
    <row r="759" spans="1:5" s="100" customFormat="1" ht="15" customHeight="1" x14ac:dyDescent="0.25">
      <c r="A759" s="14"/>
      <c r="B759" s="96"/>
      <c r="C759" s="97"/>
      <c r="D759" s="97"/>
      <c r="E759" s="104"/>
    </row>
    <row r="760" spans="1:5" s="100" customFormat="1" ht="15" customHeight="1" x14ac:dyDescent="0.25">
      <c r="A760" s="14"/>
      <c r="B760" s="96"/>
      <c r="C760" s="97"/>
      <c r="D760" s="97"/>
      <c r="E760" s="104"/>
    </row>
    <row r="761" spans="1:5" s="100" customFormat="1" ht="15" customHeight="1" x14ac:dyDescent="0.25">
      <c r="A761" s="14"/>
      <c r="B761" s="96"/>
      <c r="C761" s="97"/>
      <c r="D761" s="97"/>
      <c r="E761" s="104"/>
    </row>
    <row r="762" spans="1:5" s="100" customFormat="1" ht="15" customHeight="1" x14ac:dyDescent="0.25">
      <c r="A762" s="14"/>
      <c r="B762" s="96"/>
      <c r="C762" s="97"/>
      <c r="D762" s="97"/>
      <c r="E762" s="104"/>
    </row>
    <row r="763" spans="1:5" s="100" customFormat="1" ht="15" customHeight="1" x14ac:dyDescent="0.25">
      <c r="A763" s="14"/>
      <c r="B763" s="96"/>
      <c r="C763" s="97"/>
      <c r="D763" s="97"/>
      <c r="E763" s="104"/>
    </row>
    <row r="764" spans="1:5" s="100" customFormat="1" ht="15" customHeight="1" x14ac:dyDescent="0.25">
      <c r="A764" s="14"/>
      <c r="B764" s="96"/>
      <c r="C764" s="97"/>
      <c r="D764" s="97"/>
      <c r="E764" s="104"/>
    </row>
    <row r="765" spans="1:5" s="100" customFormat="1" ht="15" customHeight="1" x14ac:dyDescent="0.25">
      <c r="A765" s="14"/>
      <c r="B765" s="96"/>
      <c r="C765" s="97"/>
      <c r="D765" s="97"/>
      <c r="E765" s="104"/>
    </row>
    <row r="766" spans="1:5" s="100" customFormat="1" ht="15" customHeight="1" x14ac:dyDescent="0.25">
      <c r="A766" s="14"/>
      <c r="B766" s="96"/>
      <c r="C766" s="97"/>
      <c r="D766" s="97"/>
      <c r="E766" s="104"/>
    </row>
    <row r="767" spans="1:5" s="100" customFormat="1" ht="15" customHeight="1" x14ac:dyDescent="0.25">
      <c r="A767" s="14"/>
      <c r="B767" s="96"/>
      <c r="C767" s="97"/>
      <c r="D767" s="97"/>
      <c r="E767" s="104"/>
    </row>
    <row r="768" spans="1:5" s="100" customFormat="1" ht="15" customHeight="1" x14ac:dyDescent="0.25">
      <c r="A768" s="14"/>
      <c r="B768" s="96"/>
      <c r="C768" s="97"/>
      <c r="D768" s="97"/>
      <c r="E768" s="104"/>
    </row>
    <row r="769" spans="1:5" s="100" customFormat="1" ht="15" customHeight="1" x14ac:dyDescent="0.25">
      <c r="A769" s="14"/>
      <c r="B769" s="96"/>
      <c r="C769" s="97"/>
      <c r="D769" s="97"/>
      <c r="E769" s="104"/>
    </row>
    <row r="770" spans="1:5" s="100" customFormat="1" ht="15" customHeight="1" x14ac:dyDescent="0.25">
      <c r="A770" s="14"/>
      <c r="B770" s="96"/>
      <c r="C770" s="97"/>
      <c r="D770" s="97"/>
      <c r="E770" s="104"/>
    </row>
    <row r="771" spans="1:5" s="100" customFormat="1" ht="15" customHeight="1" x14ac:dyDescent="0.25">
      <c r="A771" s="14"/>
      <c r="B771" s="96"/>
      <c r="C771" s="97"/>
      <c r="D771" s="97"/>
      <c r="E771" s="104"/>
    </row>
    <row r="772" spans="1:5" s="100" customFormat="1" ht="15" customHeight="1" x14ac:dyDescent="0.25">
      <c r="A772" s="14"/>
      <c r="B772" s="96"/>
      <c r="C772" s="97"/>
      <c r="D772" s="97"/>
      <c r="E772" s="104"/>
    </row>
    <row r="773" spans="1:5" s="100" customFormat="1" ht="15" customHeight="1" x14ac:dyDescent="0.25">
      <c r="A773" s="14"/>
      <c r="B773" s="96"/>
      <c r="C773" s="97"/>
      <c r="D773" s="97"/>
      <c r="E773" s="104"/>
    </row>
    <row r="774" spans="1:5" s="100" customFormat="1" ht="15" customHeight="1" x14ac:dyDescent="0.25">
      <c r="A774" s="14"/>
      <c r="B774" s="96"/>
      <c r="C774" s="97"/>
      <c r="D774" s="97"/>
      <c r="E774" s="104"/>
    </row>
    <row r="775" spans="1:5" s="100" customFormat="1" ht="15" customHeight="1" x14ac:dyDescent="0.25">
      <c r="A775" s="14"/>
      <c r="B775" s="96"/>
      <c r="C775" s="97"/>
      <c r="D775" s="97"/>
      <c r="E775" s="104"/>
    </row>
    <row r="776" spans="1:5" s="100" customFormat="1" ht="15" customHeight="1" x14ac:dyDescent="0.25">
      <c r="A776" s="14"/>
      <c r="B776" s="96"/>
      <c r="C776" s="97"/>
      <c r="D776" s="97"/>
      <c r="E776" s="104"/>
    </row>
    <row r="777" spans="1:5" s="100" customFormat="1" ht="15" customHeight="1" x14ac:dyDescent="0.25">
      <c r="A777" s="14"/>
      <c r="B777" s="96"/>
      <c r="C777" s="97"/>
      <c r="D777" s="97"/>
      <c r="E777" s="104"/>
    </row>
    <row r="778" spans="1:5" s="100" customFormat="1" ht="15" customHeight="1" x14ac:dyDescent="0.25">
      <c r="A778" s="14"/>
      <c r="B778" s="96"/>
      <c r="C778" s="97"/>
      <c r="D778" s="97"/>
      <c r="E778" s="104"/>
    </row>
    <row r="779" spans="1:5" s="100" customFormat="1" ht="15" customHeight="1" x14ac:dyDescent="0.25">
      <c r="A779" s="14"/>
      <c r="B779" s="96"/>
      <c r="C779" s="97"/>
      <c r="D779" s="97"/>
      <c r="E779" s="104"/>
    </row>
    <row r="780" spans="1:5" s="100" customFormat="1" ht="15" customHeight="1" x14ac:dyDescent="0.25">
      <c r="A780" s="14"/>
      <c r="B780" s="96"/>
      <c r="C780" s="97"/>
      <c r="D780" s="97"/>
      <c r="E780" s="104"/>
    </row>
    <row r="781" spans="1:5" s="100" customFormat="1" ht="15" customHeight="1" x14ac:dyDescent="0.25">
      <c r="A781" s="14"/>
      <c r="B781" s="96"/>
      <c r="C781" s="97"/>
      <c r="D781" s="97"/>
      <c r="E781" s="104"/>
    </row>
    <row r="782" spans="1:5" s="100" customFormat="1" ht="15" customHeight="1" x14ac:dyDescent="0.25">
      <c r="A782" s="14"/>
      <c r="B782" s="96"/>
      <c r="C782" s="97"/>
      <c r="D782" s="97"/>
      <c r="E782" s="104"/>
    </row>
    <row r="783" spans="1:5" s="100" customFormat="1" ht="15" customHeight="1" x14ac:dyDescent="0.25">
      <c r="A783" s="14"/>
      <c r="B783" s="96"/>
      <c r="C783" s="97"/>
      <c r="D783" s="97"/>
      <c r="E783" s="104"/>
    </row>
    <row r="784" spans="1:5" s="100" customFormat="1" ht="15" customHeight="1" x14ac:dyDescent="0.25">
      <c r="A784" s="14"/>
      <c r="B784" s="96"/>
      <c r="C784" s="97"/>
      <c r="D784" s="97"/>
      <c r="E784" s="104"/>
    </row>
    <row r="785" spans="1:5" s="100" customFormat="1" ht="15" customHeight="1" x14ac:dyDescent="0.25">
      <c r="A785" s="14"/>
      <c r="B785" s="96"/>
      <c r="C785" s="97"/>
      <c r="D785" s="97"/>
      <c r="E785" s="104"/>
    </row>
    <row r="786" spans="1:5" s="100" customFormat="1" ht="15" customHeight="1" x14ac:dyDescent="0.25">
      <c r="A786" s="14"/>
      <c r="B786" s="96"/>
      <c r="C786" s="97"/>
      <c r="D786" s="97"/>
      <c r="E786" s="104"/>
    </row>
    <row r="787" spans="1:5" s="100" customFormat="1" ht="15" customHeight="1" x14ac:dyDescent="0.25">
      <c r="A787" s="14"/>
      <c r="B787" s="96"/>
      <c r="C787" s="97"/>
      <c r="D787" s="97"/>
      <c r="E787" s="104"/>
    </row>
    <row r="788" spans="1:5" s="100" customFormat="1" ht="15" customHeight="1" x14ac:dyDescent="0.25">
      <c r="A788" s="14"/>
      <c r="B788" s="96"/>
      <c r="C788" s="97"/>
      <c r="D788" s="97"/>
      <c r="E788" s="104"/>
    </row>
    <row r="789" spans="1:5" s="100" customFormat="1" ht="15" customHeight="1" x14ac:dyDescent="0.25">
      <c r="A789" s="14"/>
      <c r="B789" s="96"/>
      <c r="C789" s="97"/>
      <c r="D789" s="97"/>
      <c r="E789" s="104"/>
    </row>
    <row r="790" spans="1:5" s="100" customFormat="1" ht="15" customHeight="1" x14ac:dyDescent="0.25">
      <c r="A790" s="14"/>
      <c r="B790" s="96"/>
      <c r="C790" s="97"/>
      <c r="D790" s="97"/>
      <c r="E790" s="104"/>
    </row>
    <row r="791" spans="1:5" s="100" customFormat="1" ht="15" customHeight="1" x14ac:dyDescent="0.25">
      <c r="A791" s="14"/>
      <c r="B791" s="96"/>
      <c r="C791" s="97"/>
      <c r="D791" s="97"/>
      <c r="E791" s="104"/>
    </row>
    <row r="792" spans="1:5" s="100" customFormat="1" ht="15" customHeight="1" x14ac:dyDescent="0.25">
      <c r="A792" s="14"/>
      <c r="B792" s="96"/>
      <c r="C792" s="97"/>
      <c r="D792" s="97"/>
      <c r="E792" s="104"/>
    </row>
    <row r="793" spans="1:5" s="100" customFormat="1" ht="15" customHeight="1" x14ac:dyDescent="0.25">
      <c r="A793" s="14"/>
      <c r="B793" s="96"/>
      <c r="C793" s="97"/>
      <c r="D793" s="97"/>
      <c r="E793" s="104"/>
    </row>
    <row r="794" spans="1:5" s="100" customFormat="1" ht="15" customHeight="1" x14ac:dyDescent="0.25">
      <c r="A794" s="14"/>
      <c r="B794" s="96"/>
      <c r="C794" s="97"/>
      <c r="D794" s="97"/>
      <c r="E794" s="104"/>
    </row>
    <row r="795" spans="1:5" s="100" customFormat="1" ht="15" customHeight="1" x14ac:dyDescent="0.25">
      <c r="A795" s="14"/>
      <c r="B795" s="96"/>
      <c r="C795" s="97"/>
      <c r="D795" s="97"/>
      <c r="E795" s="104"/>
    </row>
    <row r="796" spans="1:5" s="100" customFormat="1" ht="15" customHeight="1" x14ac:dyDescent="0.25">
      <c r="A796" s="14"/>
      <c r="B796" s="96"/>
      <c r="C796" s="97"/>
      <c r="D796" s="97"/>
      <c r="E796" s="104"/>
    </row>
    <row r="797" spans="1:5" s="100" customFormat="1" ht="15" customHeight="1" x14ac:dyDescent="0.25">
      <c r="A797" s="14"/>
      <c r="B797" s="96"/>
      <c r="C797" s="97"/>
      <c r="D797" s="97"/>
      <c r="E797" s="104"/>
    </row>
    <row r="798" spans="1:5" s="100" customFormat="1" ht="15" customHeight="1" x14ac:dyDescent="0.25">
      <c r="A798" s="14"/>
      <c r="B798" s="96"/>
      <c r="C798" s="97"/>
      <c r="D798" s="97"/>
      <c r="E798" s="104"/>
    </row>
    <row r="799" spans="1:5" s="100" customFormat="1" ht="15" customHeight="1" x14ac:dyDescent="0.25">
      <c r="A799" s="14"/>
      <c r="B799" s="96"/>
      <c r="C799" s="97"/>
      <c r="D799" s="97"/>
      <c r="E799" s="104"/>
    </row>
    <row r="800" spans="1:5" s="100" customFormat="1" ht="15" customHeight="1" x14ac:dyDescent="0.25">
      <c r="A800" s="14"/>
      <c r="B800" s="96"/>
      <c r="C800" s="97"/>
      <c r="D800" s="97"/>
      <c r="E800" s="104"/>
    </row>
    <row r="801" spans="1:5" s="100" customFormat="1" ht="15" customHeight="1" x14ac:dyDescent="0.25">
      <c r="A801" s="14"/>
      <c r="B801" s="96"/>
      <c r="C801" s="97"/>
      <c r="D801" s="97"/>
      <c r="E801" s="104"/>
    </row>
    <row r="802" spans="1:5" s="100" customFormat="1" ht="15" customHeight="1" x14ac:dyDescent="0.25">
      <c r="A802" s="14"/>
      <c r="B802" s="96"/>
      <c r="C802" s="97"/>
      <c r="D802" s="97"/>
      <c r="E802" s="104"/>
    </row>
    <row r="803" spans="1:5" s="100" customFormat="1" ht="15" customHeight="1" x14ac:dyDescent="0.25">
      <c r="A803" s="14"/>
      <c r="B803" s="96"/>
      <c r="C803" s="97"/>
      <c r="D803" s="97"/>
      <c r="E803" s="104"/>
    </row>
    <row r="804" spans="1:5" s="100" customFormat="1" ht="15" customHeight="1" x14ac:dyDescent="0.25">
      <c r="A804" s="14"/>
      <c r="B804" s="96"/>
      <c r="C804" s="97"/>
      <c r="D804" s="97"/>
      <c r="E804" s="104"/>
    </row>
    <row r="805" spans="1:5" s="100" customFormat="1" ht="15" customHeight="1" x14ac:dyDescent="0.25">
      <c r="A805" s="14"/>
      <c r="B805" s="96"/>
      <c r="C805" s="97"/>
      <c r="D805" s="97"/>
      <c r="E805" s="104"/>
    </row>
    <row r="806" spans="1:5" s="100" customFormat="1" ht="15" customHeight="1" x14ac:dyDescent="0.25">
      <c r="A806" s="14"/>
      <c r="B806" s="96"/>
      <c r="C806" s="97"/>
      <c r="D806" s="97"/>
      <c r="E806" s="104"/>
    </row>
    <row r="807" spans="1:5" s="100" customFormat="1" ht="15" customHeight="1" x14ac:dyDescent="0.25">
      <c r="A807" s="14"/>
      <c r="B807" s="96"/>
      <c r="C807" s="97"/>
      <c r="D807" s="97"/>
      <c r="E807" s="104"/>
    </row>
    <row r="808" spans="1:5" s="100" customFormat="1" ht="15" customHeight="1" x14ac:dyDescent="0.25">
      <c r="A808" s="14"/>
      <c r="B808" s="96"/>
      <c r="C808" s="97"/>
      <c r="D808" s="97"/>
      <c r="E808" s="104"/>
    </row>
    <row r="809" spans="1:5" s="100" customFormat="1" ht="15" customHeight="1" x14ac:dyDescent="0.25">
      <c r="A809" s="14"/>
      <c r="B809" s="96"/>
      <c r="C809" s="97"/>
      <c r="D809" s="97"/>
      <c r="E809" s="104"/>
    </row>
    <row r="810" spans="1:5" s="100" customFormat="1" ht="15" customHeight="1" x14ac:dyDescent="0.25">
      <c r="A810" s="14"/>
      <c r="B810" s="96"/>
      <c r="C810" s="97"/>
      <c r="D810" s="97"/>
      <c r="E810" s="104"/>
    </row>
    <row r="811" spans="1:5" s="100" customFormat="1" ht="15" customHeight="1" x14ac:dyDescent="0.25">
      <c r="A811" s="14"/>
      <c r="B811" s="96"/>
      <c r="C811" s="97"/>
      <c r="D811" s="97"/>
      <c r="E811" s="104"/>
    </row>
    <row r="812" spans="1:5" s="100" customFormat="1" ht="15" customHeight="1" x14ac:dyDescent="0.25">
      <c r="A812" s="14"/>
      <c r="B812" s="96"/>
      <c r="C812" s="97"/>
      <c r="D812" s="97"/>
      <c r="E812" s="104"/>
    </row>
    <row r="813" spans="1:5" s="100" customFormat="1" ht="15" customHeight="1" x14ac:dyDescent="0.25">
      <c r="A813" s="14"/>
      <c r="B813" s="96"/>
      <c r="C813" s="97"/>
      <c r="D813" s="97"/>
      <c r="E813" s="104"/>
    </row>
    <row r="814" spans="1:5" s="100" customFormat="1" ht="15" customHeight="1" x14ac:dyDescent="0.25">
      <c r="A814" s="14"/>
      <c r="B814" s="96"/>
      <c r="C814" s="97"/>
      <c r="D814" s="97"/>
      <c r="E814" s="104"/>
    </row>
    <row r="815" spans="1:5" s="100" customFormat="1" ht="15" customHeight="1" x14ac:dyDescent="0.25">
      <c r="A815" s="14"/>
      <c r="B815" s="96"/>
      <c r="C815" s="97"/>
      <c r="D815" s="97"/>
      <c r="E815" s="104"/>
    </row>
    <row r="816" spans="1:5" s="100" customFormat="1" ht="15" customHeight="1" x14ac:dyDescent="0.25">
      <c r="A816" s="14"/>
      <c r="B816" s="96"/>
      <c r="C816" s="97"/>
      <c r="D816" s="97"/>
      <c r="E816" s="104"/>
    </row>
    <row r="817" spans="1:5" s="100" customFormat="1" ht="15" customHeight="1" x14ac:dyDescent="0.25">
      <c r="A817" s="14"/>
      <c r="B817" s="96"/>
      <c r="C817" s="97"/>
      <c r="D817" s="97"/>
      <c r="E817" s="104"/>
    </row>
    <row r="818" spans="1:5" s="100" customFormat="1" ht="15" customHeight="1" x14ac:dyDescent="0.25">
      <c r="A818" s="14"/>
      <c r="B818" s="96"/>
      <c r="C818" s="97"/>
      <c r="D818" s="97"/>
      <c r="E818" s="104"/>
    </row>
    <row r="819" spans="1:5" s="100" customFormat="1" ht="15" customHeight="1" x14ac:dyDescent="0.25">
      <c r="A819" s="14"/>
      <c r="B819" s="96"/>
      <c r="C819" s="97"/>
      <c r="D819" s="97"/>
      <c r="E819" s="104"/>
    </row>
    <row r="820" spans="1:5" s="100" customFormat="1" ht="15" customHeight="1" x14ac:dyDescent="0.25">
      <c r="A820" s="14"/>
      <c r="B820" s="96"/>
      <c r="C820" s="97"/>
      <c r="D820" s="97"/>
      <c r="E820" s="104"/>
    </row>
    <row r="821" spans="1:5" s="100" customFormat="1" ht="15" customHeight="1" x14ac:dyDescent="0.25">
      <c r="A821" s="14"/>
      <c r="B821" s="96"/>
      <c r="C821" s="97"/>
      <c r="D821" s="97"/>
      <c r="E821" s="104"/>
    </row>
    <row r="822" spans="1:5" s="100" customFormat="1" ht="15" customHeight="1" x14ac:dyDescent="0.25">
      <c r="A822" s="14"/>
      <c r="B822" s="96"/>
      <c r="C822" s="97"/>
      <c r="D822" s="97"/>
      <c r="E822" s="104"/>
    </row>
    <row r="823" spans="1:5" s="100" customFormat="1" ht="15" customHeight="1" x14ac:dyDescent="0.25">
      <c r="A823" s="14"/>
      <c r="B823" s="96"/>
      <c r="C823" s="97"/>
      <c r="D823" s="97"/>
      <c r="E823" s="104"/>
    </row>
    <row r="824" spans="1:5" s="100" customFormat="1" ht="15" customHeight="1" x14ac:dyDescent="0.25">
      <c r="A824" s="14"/>
      <c r="B824" s="96"/>
      <c r="C824" s="97"/>
      <c r="D824" s="97"/>
      <c r="E824" s="104"/>
    </row>
    <row r="825" spans="1:5" s="100" customFormat="1" ht="15" customHeight="1" x14ac:dyDescent="0.25">
      <c r="A825" s="14"/>
      <c r="B825" s="96"/>
      <c r="C825" s="97"/>
      <c r="D825" s="97"/>
      <c r="E825" s="104"/>
    </row>
    <row r="826" spans="1:5" s="100" customFormat="1" ht="15" customHeight="1" x14ac:dyDescent="0.25">
      <c r="A826" s="14"/>
      <c r="B826" s="96"/>
      <c r="C826" s="97"/>
      <c r="D826" s="97"/>
      <c r="E826" s="104"/>
    </row>
    <row r="827" spans="1:5" s="100" customFormat="1" ht="15" customHeight="1" x14ac:dyDescent="0.25">
      <c r="A827" s="14"/>
      <c r="B827" s="96"/>
      <c r="C827" s="97"/>
      <c r="D827" s="97"/>
      <c r="E827" s="104"/>
    </row>
    <row r="828" spans="1:5" s="100" customFormat="1" ht="15" customHeight="1" x14ac:dyDescent="0.25">
      <c r="A828" s="14"/>
      <c r="B828" s="96"/>
      <c r="C828" s="97"/>
      <c r="D828" s="97"/>
      <c r="E828" s="104"/>
    </row>
    <row r="829" spans="1:5" s="100" customFormat="1" ht="15" customHeight="1" x14ac:dyDescent="0.25">
      <c r="A829" s="14"/>
      <c r="B829" s="96"/>
      <c r="C829" s="97"/>
      <c r="D829" s="97"/>
      <c r="E829" s="104"/>
    </row>
    <row r="830" spans="1:5" s="100" customFormat="1" ht="15" customHeight="1" x14ac:dyDescent="0.25">
      <c r="A830" s="14"/>
      <c r="B830" s="96"/>
      <c r="C830" s="97"/>
      <c r="D830" s="97"/>
      <c r="E830" s="104"/>
    </row>
    <row r="831" spans="1:5" s="100" customFormat="1" ht="15" customHeight="1" x14ac:dyDescent="0.25">
      <c r="A831" s="14"/>
      <c r="B831" s="96"/>
      <c r="C831" s="97"/>
      <c r="D831" s="97"/>
      <c r="E831" s="104"/>
    </row>
    <row r="832" spans="1:5" s="100" customFormat="1" ht="15" customHeight="1" x14ac:dyDescent="0.25">
      <c r="A832" s="14"/>
      <c r="B832" s="96"/>
      <c r="C832" s="97"/>
      <c r="D832" s="97"/>
      <c r="E832" s="104"/>
    </row>
    <row r="833" spans="1:5" s="100" customFormat="1" ht="15" customHeight="1" x14ac:dyDescent="0.25">
      <c r="A833" s="14"/>
      <c r="B833" s="96"/>
      <c r="C833" s="97"/>
      <c r="D833" s="97"/>
      <c r="E833" s="104"/>
    </row>
    <row r="834" spans="1:5" s="100" customFormat="1" ht="15" customHeight="1" x14ac:dyDescent="0.25">
      <c r="A834" s="14"/>
      <c r="B834" s="96"/>
      <c r="C834" s="97"/>
      <c r="D834" s="97"/>
      <c r="E834" s="104"/>
    </row>
    <row r="835" spans="1:5" s="100" customFormat="1" ht="15" customHeight="1" x14ac:dyDescent="0.25">
      <c r="A835" s="14"/>
      <c r="B835" s="96"/>
      <c r="C835" s="97"/>
      <c r="D835" s="97"/>
      <c r="E835" s="104"/>
    </row>
    <row r="836" spans="1:5" s="100" customFormat="1" ht="15" customHeight="1" x14ac:dyDescent="0.25">
      <c r="A836" s="14"/>
      <c r="B836" s="96"/>
      <c r="C836" s="97"/>
      <c r="D836" s="97"/>
      <c r="E836" s="104"/>
    </row>
    <row r="837" spans="1:5" s="100" customFormat="1" ht="15" customHeight="1" x14ac:dyDescent="0.25">
      <c r="A837" s="14"/>
      <c r="B837" s="96"/>
      <c r="C837" s="97"/>
      <c r="D837" s="97"/>
      <c r="E837" s="104"/>
    </row>
    <row r="838" spans="1:5" s="100" customFormat="1" ht="15" customHeight="1" x14ac:dyDescent="0.25">
      <c r="A838" s="14"/>
      <c r="B838" s="96"/>
      <c r="C838" s="97"/>
      <c r="D838" s="97"/>
      <c r="E838" s="104"/>
    </row>
    <row r="839" spans="1:5" s="100" customFormat="1" ht="15" customHeight="1" x14ac:dyDescent="0.25">
      <c r="A839" s="14"/>
      <c r="B839" s="96"/>
      <c r="C839" s="97"/>
      <c r="D839" s="97"/>
      <c r="E839" s="104"/>
    </row>
    <row r="840" spans="1:5" s="100" customFormat="1" ht="15" customHeight="1" x14ac:dyDescent="0.25">
      <c r="A840" s="14"/>
      <c r="B840" s="96"/>
      <c r="C840" s="97"/>
      <c r="D840" s="97"/>
      <c r="E840" s="104"/>
    </row>
    <row r="841" spans="1:5" s="100" customFormat="1" ht="15" customHeight="1" x14ac:dyDescent="0.25">
      <c r="A841" s="14"/>
      <c r="B841" s="96"/>
      <c r="C841" s="97"/>
      <c r="D841" s="97"/>
      <c r="E841" s="104"/>
    </row>
    <row r="842" spans="1:5" s="100" customFormat="1" ht="15" customHeight="1" x14ac:dyDescent="0.25">
      <c r="A842" s="14"/>
      <c r="B842" s="96"/>
      <c r="C842" s="97"/>
      <c r="D842" s="97"/>
      <c r="E842" s="104"/>
    </row>
    <row r="843" spans="1:5" s="100" customFormat="1" ht="15" customHeight="1" x14ac:dyDescent="0.25">
      <c r="A843" s="14"/>
      <c r="B843" s="96"/>
      <c r="C843" s="97"/>
      <c r="D843" s="97"/>
      <c r="E843" s="104"/>
    </row>
    <row r="844" spans="1:5" s="100" customFormat="1" ht="15" customHeight="1" x14ac:dyDescent="0.25">
      <c r="A844" s="14"/>
      <c r="B844" s="96"/>
      <c r="C844" s="97"/>
      <c r="D844" s="97"/>
      <c r="E844" s="104"/>
    </row>
    <row r="845" spans="1:5" s="100" customFormat="1" ht="15" customHeight="1" x14ac:dyDescent="0.25">
      <c r="A845" s="14"/>
      <c r="B845" s="96"/>
      <c r="C845" s="97"/>
      <c r="D845" s="97"/>
      <c r="E845" s="104"/>
    </row>
    <row r="846" spans="1:5" s="100" customFormat="1" ht="15" customHeight="1" x14ac:dyDescent="0.25">
      <c r="A846" s="14"/>
      <c r="B846" s="96"/>
      <c r="C846" s="97"/>
      <c r="D846" s="97"/>
      <c r="E846" s="104"/>
    </row>
    <row r="847" spans="1:5" s="100" customFormat="1" ht="15" customHeight="1" x14ac:dyDescent="0.25">
      <c r="A847" s="14"/>
      <c r="B847" s="96"/>
      <c r="C847" s="97"/>
      <c r="D847" s="97"/>
      <c r="E847" s="104"/>
    </row>
    <row r="848" spans="1:5" s="100" customFormat="1" ht="15" customHeight="1" x14ac:dyDescent="0.25">
      <c r="A848" s="14"/>
      <c r="B848" s="96"/>
      <c r="C848" s="97"/>
      <c r="D848" s="97"/>
      <c r="E848" s="104"/>
    </row>
    <row r="849" spans="1:9" s="100" customFormat="1" ht="15" customHeight="1" x14ac:dyDescent="0.25">
      <c r="A849" s="14"/>
      <c r="B849" s="96"/>
      <c r="C849" s="97"/>
      <c r="D849" s="97"/>
      <c r="E849" s="104"/>
    </row>
    <row r="850" spans="1:9" s="100" customFormat="1" ht="15" customHeight="1" x14ac:dyDescent="0.25">
      <c r="A850" s="14"/>
      <c r="B850" s="96"/>
      <c r="C850" s="97"/>
      <c r="D850" s="97"/>
      <c r="E850" s="104"/>
    </row>
    <row r="851" spans="1:9" s="100" customFormat="1" ht="15" customHeight="1" x14ac:dyDescent="0.25">
      <c r="A851" s="14"/>
      <c r="B851" s="96"/>
      <c r="C851" s="97"/>
      <c r="D851" s="97"/>
      <c r="E851" s="104"/>
    </row>
    <row r="852" spans="1:9" s="100" customFormat="1" ht="15" customHeight="1" x14ac:dyDescent="0.25">
      <c r="A852" s="14"/>
      <c r="B852" s="96"/>
      <c r="C852" s="97"/>
      <c r="D852" s="97"/>
      <c r="E852" s="104"/>
    </row>
    <row r="853" spans="1:9" s="100" customFormat="1" ht="15" customHeight="1" x14ac:dyDescent="0.25">
      <c r="A853" s="14"/>
      <c r="B853" s="96"/>
      <c r="C853" s="97"/>
      <c r="D853" s="97"/>
      <c r="E853" s="104"/>
    </row>
    <row r="854" spans="1:9" s="100" customFormat="1" ht="15" customHeight="1" x14ac:dyDescent="0.25">
      <c r="A854" s="14"/>
      <c r="B854" s="96"/>
      <c r="C854" s="97"/>
      <c r="D854" s="97"/>
      <c r="E854" s="105"/>
      <c r="F854" s="99"/>
      <c r="G854" s="99"/>
      <c r="H854" s="99"/>
    </row>
    <row r="855" spans="1:9" ht="15" customHeight="1" x14ac:dyDescent="0.25">
      <c r="I855" s="100"/>
    </row>
    <row r="856" spans="1:9" ht="15" customHeight="1" x14ac:dyDescent="0.25">
      <c r="I856" s="100"/>
    </row>
    <row r="857" spans="1:9" ht="15" customHeight="1" x14ac:dyDescent="0.25">
      <c r="I857" s="100"/>
    </row>
  </sheetData>
  <sheetProtection sheet="1" objects="1" scenarios="1"/>
  <mergeCells count="6">
    <mergeCell ref="K18:L25"/>
    <mergeCell ref="B11:C11"/>
    <mergeCell ref="B2:H2"/>
    <mergeCell ref="B4:D4"/>
    <mergeCell ref="K17:L17"/>
    <mergeCell ref="F9:G9"/>
  </mergeCells>
  <conditionalFormatting sqref="C6:C9">
    <cfRule type="cellIs" dxfId="30" priority="2" operator="equal">
      <formula>"(autofill)"</formula>
    </cfRule>
  </conditionalFormatting>
  <conditionalFormatting sqref="C9 F9:G9">
    <cfRule type="expression" dxfId="29" priority="1">
      <formula>$C$9="ERROR"</formula>
    </cfRule>
  </conditionalFormatting>
  <conditionalFormatting sqref="D12:H12 D27:H27">
    <cfRule type="containsText" dxfId="28" priority="9" operator="containsText" text="(addt'l. fund source">
      <formula>NOT(ISERROR(SEARCH("(addt'l. fund source",D12)))</formula>
    </cfRule>
  </conditionalFormatting>
  <conditionalFormatting sqref="E6 E9">
    <cfRule type="cellIs" dxfId="27" priority="3" operator="equal">
      <formula>"Yes"</formula>
    </cfRule>
    <cfRule type="cellIs" dxfId="26" priority="4" operator="equal">
      <formula>"No"</formula>
    </cfRule>
  </conditionalFormatting>
  <conditionalFormatting sqref="E7:E8">
    <cfRule type="cellIs" dxfId="25" priority="5" operator="equal">
      <formula>"Yes"</formula>
    </cfRule>
    <cfRule type="cellIs" dxfId="24" priority="6" operator="equal">
      <formula>"No"</formula>
    </cfRule>
  </conditionalFormatting>
  <conditionalFormatting sqref="L13">
    <cfRule type="cellIs" dxfId="23" priority="10" operator="equal">
      <formula>"(autofill)"</formula>
    </cfRule>
  </conditionalFormatting>
  <conditionalFormatting sqref="L14 C25">
    <cfRule type="expression" dxfId="22" priority="18">
      <formula>ROUND($C$25,2)&lt;&gt;ROUND($L$14,2)</formula>
    </cfRule>
  </conditionalFormatting>
  <printOptions horizontalCentered="1"/>
  <pageMargins left="0.25" right="0.25" top="0.5" bottom="0.5" header="0.3" footer="0.3"/>
  <pageSetup scale="77" fitToHeight="0" orientation="landscape" r:id="rId1"/>
  <headerFooter scaleWithDoc="0"/>
  <tableParts count="3">
    <tablePart r:id="rId2"/>
    <tablePart r:id="rId3"/>
    <tablePart r:id="rId4"/>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723CA-9E87-482E-9219-CDB6B2098CDB}">
  <sheetPr codeName="Sheet6">
    <tabColor rgb="FFD4D4D4"/>
    <pageSetUpPr autoPageBreaks="0"/>
  </sheetPr>
  <dimension ref="A1:D30"/>
  <sheetViews>
    <sheetView showGridLines="0" showRowColHeaders="0" workbookViewId="0">
      <selection activeCell="B2" sqref="B2:D2"/>
    </sheetView>
  </sheetViews>
  <sheetFormatPr defaultRowHeight="15" x14ac:dyDescent="0.25"/>
  <cols>
    <col min="1" max="1" width="2.7109375" style="46" customWidth="1"/>
    <col min="2" max="2" width="6.7109375" style="46" customWidth="1"/>
    <col min="3" max="3" width="39.85546875" style="46" bestFit="1" customWidth="1"/>
    <col min="4" max="4" width="14.28515625" style="46" customWidth="1"/>
    <col min="5" max="16384" width="9.140625" style="46"/>
  </cols>
  <sheetData>
    <row r="1" spans="1:4" x14ac:dyDescent="0.25">
      <c r="A1" s="1" t="s">
        <v>0</v>
      </c>
      <c r="C1" s="1" t="s">
        <v>0</v>
      </c>
    </row>
    <row r="2" spans="1:4" ht="18.75" x14ac:dyDescent="0.25">
      <c r="A2" s="1" t="s">
        <v>0</v>
      </c>
      <c r="B2" s="426" t="s">
        <v>280</v>
      </c>
      <c r="C2" s="427"/>
      <c r="D2" s="428"/>
    </row>
    <row r="3" spans="1:4" ht="30" x14ac:dyDescent="0.25">
      <c r="A3" s="1" t="s">
        <v>0</v>
      </c>
      <c r="B3" s="69" t="s">
        <v>281</v>
      </c>
      <c r="C3" s="70" t="s">
        <v>278</v>
      </c>
      <c r="D3" s="68" t="s">
        <v>293</v>
      </c>
    </row>
    <row r="4" spans="1:4" x14ac:dyDescent="0.25">
      <c r="B4" s="63">
        <v>2243</v>
      </c>
      <c r="C4" s="65" t="s">
        <v>253</v>
      </c>
      <c r="D4" s="67">
        <v>425000</v>
      </c>
    </row>
    <row r="5" spans="1:4" x14ac:dyDescent="0.25">
      <c r="B5" s="62">
        <v>5148</v>
      </c>
      <c r="C5" s="64" t="s">
        <v>548</v>
      </c>
      <c r="D5" s="66">
        <v>324446</v>
      </c>
    </row>
    <row r="6" spans="1:4" x14ac:dyDescent="0.25">
      <c r="B6" s="63">
        <v>2185</v>
      </c>
      <c r="C6" s="65" t="s">
        <v>254</v>
      </c>
      <c r="D6" s="67">
        <v>425000</v>
      </c>
    </row>
    <row r="7" spans="1:4" x14ac:dyDescent="0.25">
      <c r="B7" s="63">
        <v>2191</v>
      </c>
      <c r="C7" s="65" t="s">
        <v>255</v>
      </c>
      <c r="D7" s="67">
        <v>401739</v>
      </c>
    </row>
    <row r="8" spans="1:4" x14ac:dyDescent="0.25">
      <c r="B8" s="63">
        <v>2223</v>
      </c>
      <c r="C8" s="65" t="s">
        <v>275</v>
      </c>
      <c r="D8" s="67">
        <v>425000</v>
      </c>
    </row>
    <row r="9" spans="1:4" x14ac:dyDescent="0.25">
      <c r="B9" s="63">
        <v>1901</v>
      </c>
      <c r="C9" s="65" t="s">
        <v>256</v>
      </c>
      <c r="D9" s="67">
        <v>500000</v>
      </c>
    </row>
    <row r="10" spans="1:4" x14ac:dyDescent="0.25">
      <c r="B10" s="63">
        <v>2187</v>
      </c>
      <c r="C10" s="65" t="s">
        <v>257</v>
      </c>
      <c r="D10" s="67">
        <v>500000</v>
      </c>
    </row>
    <row r="11" spans="1:4" x14ac:dyDescent="0.25">
      <c r="B11" s="63">
        <v>2082</v>
      </c>
      <c r="C11" s="65" t="s">
        <v>258</v>
      </c>
      <c r="D11" s="67">
        <v>499810</v>
      </c>
    </row>
    <row r="12" spans="1:4" x14ac:dyDescent="0.25">
      <c r="B12" s="63">
        <v>2193</v>
      </c>
      <c r="C12" s="65" t="s">
        <v>259</v>
      </c>
      <c r="D12" s="67">
        <v>211250</v>
      </c>
    </row>
    <row r="13" spans="1:4" x14ac:dyDescent="0.25">
      <c r="B13" s="63">
        <v>2241</v>
      </c>
      <c r="C13" s="65" t="s">
        <v>260</v>
      </c>
      <c r="D13" s="67">
        <v>500000</v>
      </c>
    </row>
    <row r="14" spans="1:4" x14ac:dyDescent="0.25">
      <c r="B14" s="63">
        <v>2183</v>
      </c>
      <c r="C14" s="65" t="s">
        <v>261</v>
      </c>
      <c r="D14" s="67">
        <v>500000</v>
      </c>
    </row>
    <row r="15" spans="1:4" x14ac:dyDescent="0.25">
      <c r="B15" s="63">
        <v>2024</v>
      </c>
      <c r="C15" s="65" t="s">
        <v>262</v>
      </c>
      <c r="D15" s="67">
        <v>425000</v>
      </c>
    </row>
    <row r="16" spans="1:4" x14ac:dyDescent="0.25">
      <c r="B16" s="63">
        <v>2053</v>
      </c>
      <c r="C16" s="65" t="s">
        <v>263</v>
      </c>
      <c r="D16" s="67">
        <v>500000</v>
      </c>
    </row>
    <row r="17" spans="2:4" x14ac:dyDescent="0.25">
      <c r="B17" s="63">
        <v>2056</v>
      </c>
      <c r="C17" s="65" t="s">
        <v>264</v>
      </c>
      <c r="D17" s="67">
        <v>500000</v>
      </c>
    </row>
    <row r="18" spans="2:4" x14ac:dyDescent="0.25">
      <c r="B18" s="63">
        <v>2064</v>
      </c>
      <c r="C18" s="65" t="s">
        <v>276</v>
      </c>
      <c r="D18" s="67">
        <v>424600</v>
      </c>
    </row>
    <row r="19" spans="2:4" x14ac:dyDescent="0.25">
      <c r="B19" s="63">
        <v>2097</v>
      </c>
      <c r="C19" s="65" t="s">
        <v>265</v>
      </c>
      <c r="D19" s="67">
        <v>425000</v>
      </c>
    </row>
    <row r="20" spans="2:4" x14ac:dyDescent="0.25">
      <c r="B20" s="63">
        <v>2199</v>
      </c>
      <c r="C20" s="65" t="s">
        <v>266</v>
      </c>
      <c r="D20" s="67">
        <v>325000</v>
      </c>
    </row>
    <row r="21" spans="2:4" x14ac:dyDescent="0.25">
      <c r="B21" s="63">
        <v>2004</v>
      </c>
      <c r="C21" s="65" t="s">
        <v>277</v>
      </c>
      <c r="D21" s="67">
        <v>246199</v>
      </c>
    </row>
    <row r="22" spans="2:4" x14ac:dyDescent="0.25">
      <c r="B22" s="63">
        <v>1924</v>
      </c>
      <c r="C22" s="65" t="s">
        <v>267</v>
      </c>
      <c r="D22" s="67">
        <v>500000</v>
      </c>
    </row>
    <row r="23" spans="2:4" x14ac:dyDescent="0.25">
      <c r="B23" s="63">
        <v>2182</v>
      </c>
      <c r="C23" s="65" t="s">
        <v>268</v>
      </c>
      <c r="D23" s="67">
        <v>425000</v>
      </c>
    </row>
    <row r="24" spans="2:4" x14ac:dyDescent="0.25">
      <c r="B24" s="63">
        <v>2083</v>
      </c>
      <c r="C24" s="65" t="s">
        <v>269</v>
      </c>
      <c r="D24" s="67">
        <v>500000</v>
      </c>
    </row>
    <row r="25" spans="2:4" x14ac:dyDescent="0.25">
      <c r="B25" s="63">
        <v>1948</v>
      </c>
      <c r="C25" s="65" t="s">
        <v>270</v>
      </c>
      <c r="D25" s="67">
        <v>235718</v>
      </c>
    </row>
    <row r="26" spans="2:4" x14ac:dyDescent="0.25">
      <c r="B26" s="63">
        <v>2242</v>
      </c>
      <c r="C26" s="65" t="s">
        <v>271</v>
      </c>
      <c r="D26" s="67">
        <v>323747</v>
      </c>
    </row>
    <row r="27" spans="2:4" x14ac:dyDescent="0.25">
      <c r="B27" s="63">
        <v>2204</v>
      </c>
      <c r="C27" s="65" t="s">
        <v>272</v>
      </c>
      <c r="D27" s="67">
        <v>500000</v>
      </c>
    </row>
    <row r="28" spans="2:4" x14ac:dyDescent="0.25">
      <c r="B28" s="62">
        <v>5640</v>
      </c>
      <c r="C28" s="64" t="s">
        <v>279</v>
      </c>
      <c r="D28" s="66">
        <v>498648</v>
      </c>
    </row>
    <row r="29" spans="2:4" x14ac:dyDescent="0.25">
      <c r="B29" s="63">
        <v>1947</v>
      </c>
      <c r="C29" s="65" t="s">
        <v>273</v>
      </c>
      <c r="D29" s="67">
        <v>424879</v>
      </c>
    </row>
    <row r="30" spans="2:4" x14ac:dyDescent="0.25">
      <c r="B30" s="63">
        <v>2146</v>
      </c>
      <c r="C30" s="65" t="s">
        <v>274</v>
      </c>
      <c r="D30" s="67">
        <v>500000</v>
      </c>
    </row>
  </sheetData>
  <sheetProtection sheet="1" objects="1" scenarios="1"/>
  <mergeCells count="1">
    <mergeCell ref="B2:D2"/>
  </mergeCells>
  <conditionalFormatting sqref="K4:L221">
    <cfRule type="duplicateValues" dxfId="21" priority="1"/>
  </conditionalFormatting>
  <pageMargins left="0.7" right="0.7" top="0.75" bottom="0.75" header="0.3" footer="0.3"/>
  <pageSetup orientation="portrait" horizontalDpi="300" verticalDpi="300"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4D4D4"/>
  </sheetPr>
  <dimension ref="A1:L178"/>
  <sheetViews>
    <sheetView showGridLines="0" showRowColHeaders="0" workbookViewId="0">
      <pane ySplit="5" topLeftCell="A6" activePane="bottomLeft" state="frozen"/>
      <selection pane="bottomLeft" activeCell="B4" sqref="B4:C4"/>
    </sheetView>
  </sheetViews>
  <sheetFormatPr defaultRowHeight="15" x14ac:dyDescent="0.25"/>
  <cols>
    <col min="1" max="1" width="2.7109375" customWidth="1"/>
    <col min="2" max="2" width="8.140625" customWidth="1"/>
    <col min="3" max="3" width="59.42578125" bestFit="1" customWidth="1"/>
    <col min="4" max="4" width="3.7109375" customWidth="1"/>
    <col min="5" max="5" width="8.140625" customWidth="1"/>
    <col min="6" max="6" width="61.7109375" bestFit="1" customWidth="1"/>
    <col min="7" max="7" width="3.7109375" customWidth="1"/>
    <col min="8" max="8" width="8.140625" hidden="1" customWidth="1"/>
    <col min="9" max="9" width="58.42578125" hidden="1" customWidth="1"/>
    <col min="10" max="10" width="3.7109375" hidden="1" customWidth="1"/>
    <col min="11" max="11" width="8.140625" hidden="1" customWidth="1"/>
    <col min="12" max="12" width="51.7109375" hidden="1" customWidth="1"/>
    <col min="13" max="13" width="0" hidden="1" customWidth="1"/>
  </cols>
  <sheetData>
    <row r="1" spans="1:12" x14ac:dyDescent="0.25">
      <c r="A1" s="1" t="s">
        <v>0</v>
      </c>
      <c r="D1" s="1" t="s">
        <v>0</v>
      </c>
    </row>
    <row r="2" spans="1:12" ht="33" customHeight="1" x14ac:dyDescent="0.25">
      <c r="A2" s="1" t="s">
        <v>0</v>
      </c>
      <c r="B2" s="429" t="s">
        <v>531</v>
      </c>
      <c r="C2" s="430"/>
      <c r="D2" s="430"/>
      <c r="E2" s="430"/>
      <c r="F2" s="431"/>
    </row>
    <row r="3" spans="1:12" x14ac:dyDescent="0.25">
      <c r="A3" s="1" t="s">
        <v>0</v>
      </c>
    </row>
    <row r="4" spans="1:12" ht="18.75" x14ac:dyDescent="0.25">
      <c r="A4" s="1" t="s">
        <v>0</v>
      </c>
      <c r="B4" s="432" t="s">
        <v>532</v>
      </c>
      <c r="C4" s="433"/>
      <c r="E4" s="432" t="s">
        <v>533</v>
      </c>
      <c r="F4" s="433"/>
      <c r="H4" s="432" t="s">
        <v>30</v>
      </c>
      <c r="I4" s="433"/>
      <c r="K4" s="432" t="s">
        <v>31</v>
      </c>
      <c r="L4" s="433"/>
    </row>
    <row r="5" spans="1:12" ht="15.75" thickBot="1" x14ac:dyDescent="0.3">
      <c r="A5" s="1" t="s">
        <v>0</v>
      </c>
      <c r="B5" s="71" t="s">
        <v>32</v>
      </c>
      <c r="C5" s="72" t="s">
        <v>294</v>
      </c>
      <c r="E5" s="71" t="s">
        <v>32</v>
      </c>
      <c r="F5" s="72" t="s">
        <v>294</v>
      </c>
      <c r="H5" s="5" t="s">
        <v>32</v>
      </c>
      <c r="I5" s="6" t="s">
        <v>33</v>
      </c>
      <c r="K5" s="5" t="s">
        <v>32</v>
      </c>
      <c r="L5" s="6" t="s">
        <v>33</v>
      </c>
    </row>
    <row r="6" spans="1:12" x14ac:dyDescent="0.25">
      <c r="B6" s="73">
        <v>1100</v>
      </c>
      <c r="C6" s="74" t="s">
        <v>295</v>
      </c>
      <c r="E6" s="85">
        <v>110</v>
      </c>
      <c r="F6" s="86" t="s">
        <v>418</v>
      </c>
      <c r="H6" s="7">
        <v>1111</v>
      </c>
      <c r="I6" s="8" t="s">
        <v>34</v>
      </c>
      <c r="K6" s="7">
        <v>111</v>
      </c>
      <c r="L6" s="8" t="s">
        <v>35</v>
      </c>
    </row>
    <row r="7" spans="1:12" x14ac:dyDescent="0.25">
      <c r="B7" s="75">
        <v>1111</v>
      </c>
      <c r="C7" s="76" t="s">
        <v>34</v>
      </c>
      <c r="E7" s="87">
        <v>111</v>
      </c>
      <c r="F7" s="88" t="s">
        <v>419</v>
      </c>
      <c r="H7" s="9">
        <v>1113</v>
      </c>
      <c r="I7" s="10" t="s">
        <v>36</v>
      </c>
      <c r="K7" s="9">
        <v>112</v>
      </c>
      <c r="L7" s="10" t="s">
        <v>37</v>
      </c>
    </row>
    <row r="8" spans="1:12" x14ac:dyDescent="0.25">
      <c r="B8" s="75">
        <v>1113</v>
      </c>
      <c r="C8" s="76" t="s">
        <v>36</v>
      </c>
      <c r="E8" s="87">
        <v>112</v>
      </c>
      <c r="F8" s="88" t="s">
        <v>420</v>
      </c>
      <c r="H8" s="9">
        <v>1121</v>
      </c>
      <c r="I8" s="10" t="s">
        <v>38</v>
      </c>
      <c r="K8" s="9">
        <v>113</v>
      </c>
      <c r="L8" s="10" t="s">
        <v>39</v>
      </c>
    </row>
    <row r="9" spans="1:12" x14ac:dyDescent="0.25">
      <c r="B9" s="75">
        <v>1121</v>
      </c>
      <c r="C9" s="76" t="s">
        <v>296</v>
      </c>
      <c r="E9" s="87">
        <v>113</v>
      </c>
      <c r="F9" s="88" t="s">
        <v>421</v>
      </c>
      <c r="H9" s="9">
        <v>1122</v>
      </c>
      <c r="I9" s="10" t="s">
        <v>40</v>
      </c>
      <c r="K9" s="9">
        <v>114</v>
      </c>
      <c r="L9" s="10" t="s">
        <v>41</v>
      </c>
    </row>
    <row r="10" spans="1:12" x14ac:dyDescent="0.25">
      <c r="B10" s="75">
        <v>1122</v>
      </c>
      <c r="C10" s="76" t="s">
        <v>40</v>
      </c>
      <c r="E10" s="87">
        <v>114</v>
      </c>
      <c r="F10" s="88" t="s">
        <v>422</v>
      </c>
      <c r="H10" s="9">
        <v>1131</v>
      </c>
      <c r="I10" s="10" t="s">
        <v>42</v>
      </c>
      <c r="K10" s="9">
        <v>115</v>
      </c>
      <c r="L10" s="10" t="s">
        <v>43</v>
      </c>
    </row>
    <row r="11" spans="1:12" x14ac:dyDescent="0.25">
      <c r="B11" s="75">
        <v>1131</v>
      </c>
      <c r="C11" s="76" t="s">
        <v>42</v>
      </c>
      <c r="E11" s="87">
        <v>115</v>
      </c>
      <c r="F11" s="88" t="s">
        <v>423</v>
      </c>
      <c r="H11" s="9">
        <v>1132</v>
      </c>
      <c r="I11" s="10" t="s">
        <v>44</v>
      </c>
      <c r="K11" s="9">
        <v>116</v>
      </c>
      <c r="L11" s="10" t="s">
        <v>45</v>
      </c>
    </row>
    <row r="12" spans="1:12" x14ac:dyDescent="0.25">
      <c r="B12" s="75">
        <v>1132</v>
      </c>
      <c r="C12" s="76" t="s">
        <v>44</v>
      </c>
      <c r="E12" s="87">
        <v>116</v>
      </c>
      <c r="F12" s="88" t="s">
        <v>424</v>
      </c>
      <c r="H12" s="9">
        <v>1140</v>
      </c>
      <c r="I12" s="10" t="s">
        <v>46</v>
      </c>
      <c r="K12" s="9">
        <v>117</v>
      </c>
      <c r="L12" s="10" t="s">
        <v>47</v>
      </c>
    </row>
    <row r="13" spans="1:12" x14ac:dyDescent="0.25">
      <c r="B13" s="75">
        <v>1140</v>
      </c>
      <c r="C13" s="76" t="s">
        <v>46</v>
      </c>
      <c r="E13" s="87">
        <v>117</v>
      </c>
      <c r="F13" s="88" t="s">
        <v>425</v>
      </c>
      <c r="H13" s="9">
        <v>1210</v>
      </c>
      <c r="I13" s="10" t="s">
        <v>48</v>
      </c>
      <c r="K13" s="9">
        <v>121</v>
      </c>
      <c r="L13" s="10" t="s">
        <v>49</v>
      </c>
    </row>
    <row r="14" spans="1:12" x14ac:dyDescent="0.25">
      <c r="B14" s="77">
        <v>1200</v>
      </c>
      <c r="C14" s="78" t="s">
        <v>297</v>
      </c>
      <c r="E14" s="89">
        <v>120</v>
      </c>
      <c r="F14" s="90" t="s">
        <v>426</v>
      </c>
      <c r="H14" s="9">
        <v>1220</v>
      </c>
      <c r="I14" s="10" t="s">
        <v>50</v>
      </c>
      <c r="K14" s="9">
        <v>122</v>
      </c>
      <c r="L14" s="10" t="s">
        <v>51</v>
      </c>
    </row>
    <row r="15" spans="1:12" x14ac:dyDescent="0.25">
      <c r="B15" s="75">
        <v>1210</v>
      </c>
      <c r="C15" s="76" t="s">
        <v>48</v>
      </c>
      <c r="E15" s="87">
        <v>121</v>
      </c>
      <c r="F15" s="88" t="s">
        <v>427</v>
      </c>
      <c r="H15" s="9">
        <v>1250</v>
      </c>
      <c r="I15" s="10" t="s">
        <v>52</v>
      </c>
      <c r="K15" s="9">
        <v>123</v>
      </c>
      <c r="L15" s="10" t="s">
        <v>53</v>
      </c>
    </row>
    <row r="16" spans="1:12" x14ac:dyDescent="0.25">
      <c r="B16" s="75">
        <v>1220</v>
      </c>
      <c r="C16" s="76" t="s">
        <v>50</v>
      </c>
      <c r="E16" s="87">
        <v>122</v>
      </c>
      <c r="F16" s="88" t="s">
        <v>428</v>
      </c>
      <c r="H16" s="9">
        <v>1260</v>
      </c>
      <c r="I16" s="10" t="s">
        <v>54</v>
      </c>
      <c r="K16" s="9">
        <v>124</v>
      </c>
      <c r="L16" s="10" t="s">
        <v>55</v>
      </c>
    </row>
    <row r="17" spans="2:12" x14ac:dyDescent="0.25">
      <c r="B17" s="77">
        <v>1221</v>
      </c>
      <c r="C17" s="79" t="s">
        <v>298</v>
      </c>
      <c r="E17" s="87">
        <v>123</v>
      </c>
      <c r="F17" s="88" t="s">
        <v>429</v>
      </c>
      <c r="H17" s="9">
        <v>1271</v>
      </c>
      <c r="I17" s="10" t="s">
        <v>56</v>
      </c>
      <c r="K17" s="9">
        <v>130</v>
      </c>
      <c r="L17" s="10" t="s">
        <v>57</v>
      </c>
    </row>
    <row r="18" spans="2:12" x14ac:dyDescent="0.25">
      <c r="B18" s="77">
        <v>1222</v>
      </c>
      <c r="C18" s="79" t="s">
        <v>299</v>
      </c>
      <c r="E18" s="87">
        <v>124</v>
      </c>
      <c r="F18" s="88" t="s">
        <v>430</v>
      </c>
      <c r="H18" s="9">
        <v>1272</v>
      </c>
      <c r="I18" s="10" t="s">
        <v>58</v>
      </c>
      <c r="K18" s="9">
        <v>210</v>
      </c>
      <c r="L18" s="10" t="s">
        <v>59</v>
      </c>
    </row>
    <row r="19" spans="2:12" x14ac:dyDescent="0.25">
      <c r="B19" s="77">
        <v>1223</v>
      </c>
      <c r="C19" s="79" t="s">
        <v>300</v>
      </c>
      <c r="E19" s="87">
        <v>130</v>
      </c>
      <c r="F19" s="91" t="s">
        <v>431</v>
      </c>
      <c r="H19" s="9">
        <v>1280</v>
      </c>
      <c r="I19" s="10" t="s">
        <v>60</v>
      </c>
      <c r="K19" s="9">
        <v>220</v>
      </c>
      <c r="L19" s="10" t="s">
        <v>61</v>
      </c>
    </row>
    <row r="20" spans="2:12" x14ac:dyDescent="0.25">
      <c r="B20" s="77">
        <v>1224</v>
      </c>
      <c r="C20" s="79" t="s">
        <v>301</v>
      </c>
      <c r="E20" s="87">
        <v>210</v>
      </c>
      <c r="F20" s="91" t="s">
        <v>432</v>
      </c>
      <c r="H20" s="9">
        <v>1291</v>
      </c>
      <c r="I20" s="10" t="s">
        <v>62</v>
      </c>
      <c r="K20" s="9">
        <v>230</v>
      </c>
      <c r="L20" s="10" t="s">
        <v>63</v>
      </c>
    </row>
    <row r="21" spans="2:12" x14ac:dyDescent="0.25">
      <c r="B21" s="77">
        <v>1225</v>
      </c>
      <c r="C21" s="79" t="s">
        <v>302</v>
      </c>
      <c r="E21" s="89">
        <v>211</v>
      </c>
      <c r="F21" s="92" t="s">
        <v>433</v>
      </c>
      <c r="H21" s="9">
        <v>1292</v>
      </c>
      <c r="I21" s="10" t="s">
        <v>64</v>
      </c>
      <c r="K21" s="9">
        <v>240</v>
      </c>
      <c r="L21" s="10" t="s">
        <v>65</v>
      </c>
    </row>
    <row r="22" spans="2:12" x14ac:dyDescent="0.25">
      <c r="B22" s="77">
        <v>1226</v>
      </c>
      <c r="C22" s="79" t="s">
        <v>303</v>
      </c>
      <c r="E22" s="89">
        <v>212</v>
      </c>
      <c r="F22" s="92" t="s">
        <v>434</v>
      </c>
      <c r="H22" s="9">
        <v>1293</v>
      </c>
      <c r="I22" s="10" t="s">
        <v>66</v>
      </c>
      <c r="K22" s="9">
        <v>270</v>
      </c>
      <c r="L22" s="10" t="s">
        <v>67</v>
      </c>
    </row>
    <row r="23" spans="2:12" x14ac:dyDescent="0.25">
      <c r="B23" s="77">
        <v>1227</v>
      </c>
      <c r="C23" s="79" t="s">
        <v>304</v>
      </c>
      <c r="E23" s="89">
        <v>213</v>
      </c>
      <c r="F23" s="92" t="s">
        <v>435</v>
      </c>
      <c r="H23" s="9">
        <v>1294</v>
      </c>
      <c r="I23" s="10" t="s">
        <v>68</v>
      </c>
      <c r="K23" s="9">
        <v>310</v>
      </c>
      <c r="L23" s="10" t="s">
        <v>69</v>
      </c>
    </row>
    <row r="24" spans="2:12" x14ac:dyDescent="0.25">
      <c r="B24" s="77">
        <v>1228</v>
      </c>
      <c r="C24" s="79" t="s">
        <v>305</v>
      </c>
      <c r="E24" s="89">
        <v>214</v>
      </c>
      <c r="F24" s="92" t="s">
        <v>435</v>
      </c>
      <c r="H24" s="9">
        <v>1295</v>
      </c>
      <c r="I24" s="10" t="s">
        <v>70</v>
      </c>
      <c r="K24" s="9">
        <v>320</v>
      </c>
      <c r="L24" s="10" t="s">
        <v>71</v>
      </c>
    </row>
    <row r="25" spans="2:12" x14ac:dyDescent="0.25">
      <c r="B25" s="77">
        <v>1229</v>
      </c>
      <c r="C25" s="79" t="s">
        <v>306</v>
      </c>
      <c r="E25" s="89">
        <v>215</v>
      </c>
      <c r="F25" s="92" t="s">
        <v>435</v>
      </c>
      <c r="H25" s="9">
        <v>1299</v>
      </c>
      <c r="I25" s="10" t="s">
        <v>72</v>
      </c>
      <c r="K25" s="9">
        <v>330</v>
      </c>
      <c r="L25" s="10" t="s">
        <v>73</v>
      </c>
    </row>
    <row r="26" spans="2:12" x14ac:dyDescent="0.25">
      <c r="B26" s="75">
        <v>1250</v>
      </c>
      <c r="C26" s="76" t="s">
        <v>307</v>
      </c>
      <c r="E26" s="89">
        <v>216</v>
      </c>
      <c r="F26" s="92" t="s">
        <v>433</v>
      </c>
      <c r="H26" s="9">
        <v>1300</v>
      </c>
      <c r="I26" s="10" t="s">
        <v>74</v>
      </c>
      <c r="K26" s="9">
        <v>340</v>
      </c>
      <c r="L26" s="10" t="s">
        <v>75</v>
      </c>
    </row>
    <row r="27" spans="2:12" x14ac:dyDescent="0.25">
      <c r="B27" s="75">
        <v>1260</v>
      </c>
      <c r="C27" s="76" t="s">
        <v>308</v>
      </c>
      <c r="E27" s="87">
        <v>220</v>
      </c>
      <c r="F27" s="91" t="s">
        <v>436</v>
      </c>
      <c r="H27" s="9">
        <v>1400</v>
      </c>
      <c r="I27" s="10" t="s">
        <v>76</v>
      </c>
      <c r="K27" s="9">
        <v>350</v>
      </c>
      <c r="L27" s="10" t="s">
        <v>77</v>
      </c>
    </row>
    <row r="28" spans="2:12" x14ac:dyDescent="0.25">
      <c r="B28" s="77">
        <v>1270</v>
      </c>
      <c r="C28" s="80" t="s">
        <v>309</v>
      </c>
      <c r="E28" s="87">
        <v>230</v>
      </c>
      <c r="F28" s="91" t="s">
        <v>63</v>
      </c>
      <c r="H28" s="9">
        <v>2110</v>
      </c>
      <c r="I28" s="10" t="s">
        <v>78</v>
      </c>
      <c r="K28" s="9">
        <v>360</v>
      </c>
      <c r="L28" s="10" t="s">
        <v>79</v>
      </c>
    </row>
    <row r="29" spans="2:12" x14ac:dyDescent="0.25">
      <c r="B29" s="75">
        <v>1271</v>
      </c>
      <c r="C29" s="81" t="s">
        <v>310</v>
      </c>
      <c r="E29" s="89">
        <v>231</v>
      </c>
      <c r="F29" s="92" t="s">
        <v>437</v>
      </c>
      <c r="H29" s="9">
        <v>2120</v>
      </c>
      <c r="I29" s="10" t="s">
        <v>80</v>
      </c>
      <c r="K29" s="9">
        <v>371</v>
      </c>
      <c r="L29" s="10" t="s">
        <v>81</v>
      </c>
    </row>
    <row r="30" spans="2:12" x14ac:dyDescent="0.25">
      <c r="B30" s="75">
        <v>1272</v>
      </c>
      <c r="C30" s="81" t="s">
        <v>58</v>
      </c>
      <c r="E30" s="89">
        <v>232</v>
      </c>
      <c r="F30" s="92" t="s">
        <v>438</v>
      </c>
      <c r="H30" s="9">
        <v>2130</v>
      </c>
      <c r="I30" s="10" t="s">
        <v>82</v>
      </c>
      <c r="K30" s="9">
        <v>372</v>
      </c>
      <c r="L30" s="10" t="s">
        <v>83</v>
      </c>
    </row>
    <row r="31" spans="2:12" x14ac:dyDescent="0.25">
      <c r="B31" s="75">
        <v>1280</v>
      </c>
      <c r="C31" s="76" t="s">
        <v>311</v>
      </c>
      <c r="E31" s="87">
        <v>240</v>
      </c>
      <c r="F31" s="91" t="s">
        <v>439</v>
      </c>
      <c r="H31" s="9">
        <v>2140</v>
      </c>
      <c r="I31" s="10" t="s">
        <v>84</v>
      </c>
      <c r="K31" s="9">
        <v>373</v>
      </c>
      <c r="L31" s="10" t="s">
        <v>85</v>
      </c>
    </row>
    <row r="32" spans="2:12" x14ac:dyDescent="0.25">
      <c r="B32" s="77">
        <v>1281</v>
      </c>
      <c r="C32" s="79" t="s">
        <v>312</v>
      </c>
      <c r="E32" s="87">
        <v>270</v>
      </c>
      <c r="F32" s="91" t="s">
        <v>440</v>
      </c>
      <c r="H32" s="9">
        <v>2150</v>
      </c>
      <c r="I32" s="10" t="s">
        <v>86</v>
      </c>
      <c r="K32" s="9">
        <v>374</v>
      </c>
      <c r="L32" s="10" t="s">
        <v>87</v>
      </c>
    </row>
    <row r="33" spans="2:12" x14ac:dyDescent="0.25">
      <c r="B33" s="77">
        <v>1282</v>
      </c>
      <c r="C33" s="79" t="s">
        <v>313</v>
      </c>
      <c r="E33" s="87">
        <v>310</v>
      </c>
      <c r="F33" s="91" t="s">
        <v>441</v>
      </c>
      <c r="H33" s="9">
        <v>2160</v>
      </c>
      <c r="I33" s="10" t="s">
        <v>88</v>
      </c>
      <c r="K33" s="9">
        <v>380</v>
      </c>
      <c r="L33" s="10" t="s">
        <v>89</v>
      </c>
    </row>
    <row r="34" spans="2:12" x14ac:dyDescent="0.25">
      <c r="B34" s="77">
        <v>1288</v>
      </c>
      <c r="C34" s="79" t="s">
        <v>314</v>
      </c>
      <c r="E34" s="89">
        <v>311</v>
      </c>
      <c r="F34" s="92" t="s">
        <v>442</v>
      </c>
      <c r="H34" s="9">
        <v>2190</v>
      </c>
      <c r="I34" s="10" t="s">
        <v>90</v>
      </c>
      <c r="K34" s="9">
        <v>390</v>
      </c>
      <c r="L34" s="10" t="s">
        <v>91</v>
      </c>
    </row>
    <row r="35" spans="2:12" x14ac:dyDescent="0.25">
      <c r="B35" s="77">
        <v>1289</v>
      </c>
      <c r="C35" s="79" t="s">
        <v>315</v>
      </c>
      <c r="E35" s="89">
        <v>312</v>
      </c>
      <c r="F35" s="92" t="s">
        <v>443</v>
      </c>
      <c r="H35" s="9">
        <v>2210</v>
      </c>
      <c r="I35" s="10" t="s">
        <v>92</v>
      </c>
      <c r="K35" s="9">
        <v>410</v>
      </c>
      <c r="L35" s="10" t="s">
        <v>93</v>
      </c>
    </row>
    <row r="36" spans="2:12" x14ac:dyDescent="0.25">
      <c r="B36" s="77">
        <v>1290</v>
      </c>
      <c r="C36" s="80" t="s">
        <v>316</v>
      </c>
      <c r="E36" s="89">
        <v>313</v>
      </c>
      <c r="F36" s="92" t="s">
        <v>444</v>
      </c>
      <c r="H36" s="9">
        <v>2220</v>
      </c>
      <c r="I36" s="10" t="s">
        <v>94</v>
      </c>
      <c r="K36" s="9">
        <v>420</v>
      </c>
      <c r="L36" s="10" t="s">
        <v>95</v>
      </c>
    </row>
    <row r="37" spans="2:12" x14ac:dyDescent="0.25">
      <c r="B37" s="75">
        <v>1291</v>
      </c>
      <c r="C37" s="81" t="s">
        <v>317</v>
      </c>
      <c r="E37" s="89">
        <v>316</v>
      </c>
      <c r="F37" s="92" t="s">
        <v>445</v>
      </c>
      <c r="H37" s="9">
        <v>2230</v>
      </c>
      <c r="I37" s="10" t="s">
        <v>96</v>
      </c>
      <c r="K37" s="9">
        <v>430</v>
      </c>
      <c r="L37" s="10" t="s">
        <v>97</v>
      </c>
    </row>
    <row r="38" spans="2:12" x14ac:dyDescent="0.25">
      <c r="B38" s="75">
        <v>1292</v>
      </c>
      <c r="C38" s="81" t="s">
        <v>64</v>
      </c>
      <c r="E38" s="89">
        <v>317</v>
      </c>
      <c r="F38" s="92" t="s">
        <v>446</v>
      </c>
      <c r="H38" s="9">
        <v>2240</v>
      </c>
      <c r="I38" s="10" t="s">
        <v>98</v>
      </c>
      <c r="K38" s="9">
        <v>440</v>
      </c>
      <c r="L38" s="10" t="s">
        <v>99</v>
      </c>
    </row>
    <row r="39" spans="2:12" x14ac:dyDescent="0.25">
      <c r="B39" s="75">
        <v>1293</v>
      </c>
      <c r="C39" s="81" t="s">
        <v>66</v>
      </c>
      <c r="E39" s="89">
        <v>318</v>
      </c>
      <c r="F39" s="92" t="s">
        <v>447</v>
      </c>
      <c r="H39" s="9">
        <v>2310</v>
      </c>
      <c r="I39" s="10" t="s">
        <v>100</v>
      </c>
      <c r="K39" s="9">
        <v>450</v>
      </c>
      <c r="L39" s="10" t="s">
        <v>101</v>
      </c>
    </row>
    <row r="40" spans="2:12" x14ac:dyDescent="0.25">
      <c r="B40" s="75">
        <v>1294</v>
      </c>
      <c r="C40" s="81" t="s">
        <v>68</v>
      </c>
      <c r="E40" s="89">
        <v>319</v>
      </c>
      <c r="F40" s="92" t="s">
        <v>448</v>
      </c>
      <c r="H40" s="9">
        <v>2320</v>
      </c>
      <c r="I40" s="10" t="s">
        <v>102</v>
      </c>
      <c r="K40" s="9">
        <v>460</v>
      </c>
      <c r="L40" s="10" t="s">
        <v>103</v>
      </c>
    </row>
    <row r="41" spans="2:12" x14ac:dyDescent="0.25">
      <c r="B41" s="75">
        <v>1295</v>
      </c>
      <c r="C41" s="81" t="s">
        <v>318</v>
      </c>
      <c r="E41" s="87">
        <v>320</v>
      </c>
      <c r="F41" s="91" t="s">
        <v>449</v>
      </c>
      <c r="H41" s="9">
        <v>2410</v>
      </c>
      <c r="I41" s="10" t="s">
        <v>104</v>
      </c>
      <c r="K41" s="9">
        <v>470</v>
      </c>
      <c r="L41" s="10" t="s">
        <v>105</v>
      </c>
    </row>
    <row r="42" spans="2:12" x14ac:dyDescent="0.25">
      <c r="B42" s="75">
        <v>1299</v>
      </c>
      <c r="C42" s="81" t="s">
        <v>72</v>
      </c>
      <c r="E42" s="89">
        <v>321</v>
      </c>
      <c r="F42" s="92" t="s">
        <v>450</v>
      </c>
      <c r="H42" s="9">
        <v>2490</v>
      </c>
      <c r="I42" s="10" t="s">
        <v>106</v>
      </c>
      <c r="K42" s="9">
        <v>480</v>
      </c>
      <c r="L42" s="10" t="s">
        <v>107</v>
      </c>
    </row>
    <row r="43" spans="2:12" x14ac:dyDescent="0.25">
      <c r="B43" s="75">
        <v>1300</v>
      </c>
      <c r="C43" s="82" t="s">
        <v>74</v>
      </c>
      <c r="E43" s="89">
        <v>322</v>
      </c>
      <c r="F43" s="92" t="s">
        <v>451</v>
      </c>
      <c r="H43" s="9">
        <v>2510</v>
      </c>
      <c r="I43" s="10" t="s">
        <v>108</v>
      </c>
      <c r="K43" s="9">
        <v>510</v>
      </c>
      <c r="L43" s="10" t="s">
        <v>109</v>
      </c>
    </row>
    <row r="44" spans="2:12" x14ac:dyDescent="0.25">
      <c r="B44" s="75">
        <v>1400</v>
      </c>
      <c r="C44" s="82" t="s">
        <v>76</v>
      </c>
      <c r="E44" s="89">
        <v>324</v>
      </c>
      <c r="F44" s="92" t="s">
        <v>452</v>
      </c>
      <c r="H44" s="9">
        <v>2520</v>
      </c>
      <c r="I44" s="10" t="s">
        <v>110</v>
      </c>
      <c r="K44" s="9">
        <v>520</v>
      </c>
      <c r="L44" s="10" t="s">
        <v>111</v>
      </c>
    </row>
    <row r="45" spans="2:12" x14ac:dyDescent="0.25">
      <c r="B45" s="77">
        <v>1410</v>
      </c>
      <c r="C45" s="80" t="s">
        <v>319</v>
      </c>
      <c r="E45" s="89">
        <v>325</v>
      </c>
      <c r="F45" s="92" t="s">
        <v>453</v>
      </c>
      <c r="H45" s="9">
        <v>2540</v>
      </c>
      <c r="I45" s="10" t="s">
        <v>112</v>
      </c>
      <c r="K45" s="9">
        <v>530</v>
      </c>
      <c r="L45" s="10" t="s">
        <v>113</v>
      </c>
    </row>
    <row r="46" spans="2:12" x14ac:dyDescent="0.25">
      <c r="B46" s="77">
        <v>1420</v>
      </c>
      <c r="C46" s="80" t="s">
        <v>320</v>
      </c>
      <c r="E46" s="89">
        <v>326</v>
      </c>
      <c r="F46" s="92" t="s">
        <v>454</v>
      </c>
      <c r="H46" s="9">
        <v>2550</v>
      </c>
      <c r="I46" s="10" t="s">
        <v>73</v>
      </c>
      <c r="K46" s="9">
        <v>540</v>
      </c>
      <c r="L46" s="10" t="s">
        <v>114</v>
      </c>
    </row>
    <row r="47" spans="2:12" x14ac:dyDescent="0.25">
      <c r="B47" s="77">
        <v>1430</v>
      </c>
      <c r="C47" s="80" t="s">
        <v>321</v>
      </c>
      <c r="E47" s="89">
        <v>327</v>
      </c>
      <c r="F47" s="92" t="s">
        <v>455</v>
      </c>
      <c r="H47" s="9">
        <v>2570</v>
      </c>
      <c r="I47" s="10" t="s">
        <v>115</v>
      </c>
      <c r="K47" s="9">
        <v>550</v>
      </c>
      <c r="L47" s="10" t="s">
        <v>116</v>
      </c>
    </row>
    <row r="48" spans="2:12" x14ac:dyDescent="0.25">
      <c r="B48" s="77">
        <v>1460</v>
      </c>
      <c r="C48" s="80" t="s">
        <v>322</v>
      </c>
      <c r="E48" s="89">
        <v>328</v>
      </c>
      <c r="F48" s="92" t="s">
        <v>456</v>
      </c>
      <c r="H48" s="9">
        <v>2610</v>
      </c>
      <c r="I48" s="10" t="s">
        <v>117</v>
      </c>
      <c r="K48" s="9">
        <v>562</v>
      </c>
      <c r="L48" s="10" t="s">
        <v>118</v>
      </c>
    </row>
    <row r="49" spans="2:12" x14ac:dyDescent="0.25">
      <c r="B49" s="77">
        <v>1490</v>
      </c>
      <c r="C49" s="80" t="s">
        <v>323</v>
      </c>
      <c r="E49" s="89">
        <v>329</v>
      </c>
      <c r="F49" s="92" t="s">
        <v>457</v>
      </c>
      <c r="H49" s="9">
        <v>2620</v>
      </c>
      <c r="I49" s="10" t="s">
        <v>119</v>
      </c>
      <c r="K49" s="9">
        <v>564</v>
      </c>
      <c r="L49" s="10" t="s">
        <v>120</v>
      </c>
    </row>
    <row r="50" spans="2:12" x14ac:dyDescent="0.25">
      <c r="B50" s="77">
        <v>2100</v>
      </c>
      <c r="C50" s="78" t="s">
        <v>324</v>
      </c>
      <c r="E50" s="87">
        <v>330</v>
      </c>
      <c r="F50" s="91" t="s">
        <v>458</v>
      </c>
      <c r="H50" s="9">
        <v>2630</v>
      </c>
      <c r="I50" s="10" t="s">
        <v>121</v>
      </c>
      <c r="K50" s="9">
        <v>590</v>
      </c>
      <c r="L50" s="10" t="s">
        <v>122</v>
      </c>
    </row>
    <row r="51" spans="2:12" x14ac:dyDescent="0.25">
      <c r="B51" s="75">
        <v>2110</v>
      </c>
      <c r="C51" s="76" t="s">
        <v>325</v>
      </c>
      <c r="E51" s="89">
        <v>331</v>
      </c>
      <c r="F51" s="92" t="s">
        <v>459</v>
      </c>
      <c r="H51" s="9">
        <v>2640</v>
      </c>
      <c r="I51" s="10" t="s">
        <v>123</v>
      </c>
      <c r="K51" s="9">
        <v>610</v>
      </c>
      <c r="L51" s="10" t="s">
        <v>124</v>
      </c>
    </row>
    <row r="52" spans="2:12" x14ac:dyDescent="0.25">
      <c r="B52" s="77">
        <v>2111</v>
      </c>
      <c r="C52" s="79" t="s">
        <v>326</v>
      </c>
      <c r="E52" s="89">
        <v>332</v>
      </c>
      <c r="F52" s="92" t="s">
        <v>460</v>
      </c>
      <c r="H52" s="9">
        <v>2660</v>
      </c>
      <c r="I52" s="10" t="s">
        <v>125</v>
      </c>
      <c r="K52" s="9">
        <v>621</v>
      </c>
      <c r="L52" s="10" t="s">
        <v>126</v>
      </c>
    </row>
    <row r="53" spans="2:12" x14ac:dyDescent="0.25">
      <c r="B53" s="77">
        <v>2112</v>
      </c>
      <c r="C53" s="79" t="s">
        <v>327</v>
      </c>
      <c r="E53" s="89">
        <v>333</v>
      </c>
      <c r="F53" s="92" t="s">
        <v>461</v>
      </c>
      <c r="H53" s="9">
        <v>2670</v>
      </c>
      <c r="I53" s="10" t="s">
        <v>127</v>
      </c>
      <c r="K53" s="9">
        <v>622</v>
      </c>
      <c r="L53" s="10" t="s">
        <v>128</v>
      </c>
    </row>
    <row r="54" spans="2:12" x14ac:dyDescent="0.25">
      <c r="B54" s="77">
        <v>2113</v>
      </c>
      <c r="C54" s="79" t="s">
        <v>328</v>
      </c>
      <c r="E54" s="89">
        <v>334</v>
      </c>
      <c r="F54" s="92" t="s">
        <v>462</v>
      </c>
      <c r="H54" s="9">
        <v>2680</v>
      </c>
      <c r="I54" s="10" t="s">
        <v>129</v>
      </c>
      <c r="K54" s="9">
        <v>630</v>
      </c>
      <c r="L54" s="10" t="s">
        <v>130</v>
      </c>
    </row>
    <row r="55" spans="2:12" x14ac:dyDescent="0.25">
      <c r="B55" s="77">
        <v>2114</v>
      </c>
      <c r="C55" s="79" t="s">
        <v>329</v>
      </c>
      <c r="E55" s="87">
        <v>340</v>
      </c>
      <c r="F55" s="91" t="s">
        <v>463</v>
      </c>
      <c r="H55" s="9">
        <v>2690</v>
      </c>
      <c r="I55" s="10" t="s">
        <v>131</v>
      </c>
      <c r="K55" s="9">
        <v>640</v>
      </c>
      <c r="L55" s="10" t="s">
        <v>132</v>
      </c>
    </row>
    <row r="56" spans="2:12" x14ac:dyDescent="0.25">
      <c r="B56" s="77">
        <v>2115</v>
      </c>
      <c r="C56" s="79" t="s">
        <v>330</v>
      </c>
      <c r="E56" s="89">
        <v>341</v>
      </c>
      <c r="F56" s="92" t="s">
        <v>464</v>
      </c>
      <c r="H56" s="9">
        <v>2700</v>
      </c>
      <c r="I56" s="10" t="s">
        <v>133</v>
      </c>
      <c r="K56" s="9">
        <v>650</v>
      </c>
      <c r="L56" s="10" t="s">
        <v>134</v>
      </c>
    </row>
    <row r="57" spans="2:12" x14ac:dyDescent="0.25">
      <c r="B57" s="77">
        <v>2117</v>
      </c>
      <c r="C57" s="79" t="s">
        <v>331</v>
      </c>
      <c r="E57" s="89">
        <v>342</v>
      </c>
      <c r="F57" s="92" t="s">
        <v>465</v>
      </c>
      <c r="H57" s="9">
        <v>3100</v>
      </c>
      <c r="I57" s="10" t="s">
        <v>135</v>
      </c>
      <c r="K57" s="9">
        <v>660</v>
      </c>
      <c r="L57" s="10" t="s">
        <v>136</v>
      </c>
    </row>
    <row r="58" spans="2:12" x14ac:dyDescent="0.25">
      <c r="B58" s="77">
        <v>2119</v>
      </c>
      <c r="C58" s="79" t="s">
        <v>332</v>
      </c>
      <c r="E58" s="89">
        <v>343</v>
      </c>
      <c r="F58" s="92" t="s">
        <v>466</v>
      </c>
      <c r="H58" s="9">
        <v>3200</v>
      </c>
      <c r="I58" s="10" t="s">
        <v>137</v>
      </c>
      <c r="K58" s="9">
        <v>670</v>
      </c>
      <c r="L58" s="10" t="s">
        <v>138</v>
      </c>
    </row>
    <row r="59" spans="2:12" x14ac:dyDescent="0.25">
      <c r="B59" s="75">
        <v>2120</v>
      </c>
      <c r="C59" s="76" t="s">
        <v>333</v>
      </c>
      <c r="E59" s="89">
        <v>349</v>
      </c>
      <c r="F59" s="92" t="s">
        <v>467</v>
      </c>
      <c r="H59" s="9">
        <v>3300</v>
      </c>
      <c r="I59" s="10" t="s">
        <v>139</v>
      </c>
      <c r="K59" s="9">
        <v>680</v>
      </c>
      <c r="L59" s="10" t="s">
        <v>140</v>
      </c>
    </row>
    <row r="60" spans="2:12" x14ac:dyDescent="0.25">
      <c r="B60" s="77">
        <v>2121</v>
      </c>
      <c r="C60" s="79" t="s">
        <v>326</v>
      </c>
      <c r="E60" s="87">
        <v>350</v>
      </c>
      <c r="F60" s="91" t="s">
        <v>468</v>
      </c>
      <c r="H60" s="9">
        <v>3500</v>
      </c>
      <c r="I60" s="10" t="s">
        <v>141</v>
      </c>
      <c r="K60" s="9">
        <v>690</v>
      </c>
      <c r="L60" s="10" t="s">
        <v>142</v>
      </c>
    </row>
    <row r="61" spans="2:12" x14ac:dyDescent="0.25">
      <c r="B61" s="77">
        <v>2122</v>
      </c>
      <c r="C61" s="79" t="s">
        <v>334</v>
      </c>
      <c r="E61" s="89">
        <v>351</v>
      </c>
      <c r="F61" s="92" t="s">
        <v>469</v>
      </c>
      <c r="H61" s="9">
        <v>4110</v>
      </c>
      <c r="I61" s="10" t="s">
        <v>143</v>
      </c>
      <c r="K61" s="9">
        <v>710</v>
      </c>
      <c r="L61" s="10" t="s">
        <v>144</v>
      </c>
    </row>
    <row r="62" spans="2:12" x14ac:dyDescent="0.25">
      <c r="B62" s="77">
        <v>2123</v>
      </c>
      <c r="C62" s="79" t="s">
        <v>335</v>
      </c>
      <c r="E62" s="89">
        <v>353</v>
      </c>
      <c r="F62" s="92" t="s">
        <v>470</v>
      </c>
      <c r="H62" s="9">
        <v>4120</v>
      </c>
      <c r="I62" s="10" t="s">
        <v>145</v>
      </c>
      <c r="K62" s="9">
        <v>720</v>
      </c>
      <c r="L62" s="10" t="s">
        <v>146</v>
      </c>
    </row>
    <row r="63" spans="2:12" x14ac:dyDescent="0.25">
      <c r="B63" s="77">
        <v>2124</v>
      </c>
      <c r="C63" s="79" t="s">
        <v>336</v>
      </c>
      <c r="E63" s="89">
        <v>354</v>
      </c>
      <c r="F63" s="92" t="s">
        <v>471</v>
      </c>
      <c r="H63" s="9">
        <v>4150</v>
      </c>
      <c r="I63" s="10" t="s">
        <v>147</v>
      </c>
      <c r="K63" s="9">
        <v>790</v>
      </c>
      <c r="L63" s="10" t="s">
        <v>148</v>
      </c>
    </row>
    <row r="64" spans="2:12" x14ac:dyDescent="0.25">
      <c r="B64" s="77">
        <v>2126</v>
      </c>
      <c r="C64" s="79" t="s">
        <v>337</v>
      </c>
      <c r="E64" s="89">
        <v>355</v>
      </c>
      <c r="F64" s="92" t="s">
        <v>472</v>
      </c>
      <c r="H64" s="9">
        <v>4180</v>
      </c>
      <c r="I64" s="10" t="s">
        <v>149</v>
      </c>
      <c r="K64" s="9">
        <v>810</v>
      </c>
      <c r="L64" s="10" t="s">
        <v>150</v>
      </c>
    </row>
    <row r="65" spans="2:12" x14ac:dyDescent="0.25">
      <c r="B65" s="77">
        <v>2129</v>
      </c>
      <c r="C65" s="79" t="s">
        <v>338</v>
      </c>
      <c r="E65" s="89">
        <v>359</v>
      </c>
      <c r="F65" s="92" t="s">
        <v>473</v>
      </c>
      <c r="H65" s="9">
        <v>4190</v>
      </c>
      <c r="I65" s="10" t="s">
        <v>151</v>
      </c>
      <c r="K65" s="11">
        <v>820</v>
      </c>
      <c r="L65" s="12" t="s">
        <v>152</v>
      </c>
    </row>
    <row r="66" spans="2:12" x14ac:dyDescent="0.25">
      <c r="B66" s="75">
        <v>2130</v>
      </c>
      <c r="C66" s="76" t="s">
        <v>339</v>
      </c>
      <c r="E66" s="87">
        <v>360</v>
      </c>
      <c r="F66" s="91" t="s">
        <v>474</v>
      </c>
      <c r="H66" s="9">
        <v>5100</v>
      </c>
      <c r="I66" s="10" t="s">
        <v>153</v>
      </c>
    </row>
    <row r="67" spans="2:12" x14ac:dyDescent="0.25">
      <c r="B67" s="77">
        <v>2131</v>
      </c>
      <c r="C67" s="79" t="s">
        <v>326</v>
      </c>
      <c r="E67" s="89">
        <v>370</v>
      </c>
      <c r="F67" s="90" t="s">
        <v>475</v>
      </c>
      <c r="H67" s="9">
        <v>5200</v>
      </c>
      <c r="I67" s="10" t="s">
        <v>154</v>
      </c>
    </row>
    <row r="68" spans="2:12" x14ac:dyDescent="0.25">
      <c r="B68" s="77">
        <v>2132</v>
      </c>
      <c r="C68" s="79" t="s">
        <v>340</v>
      </c>
      <c r="E68" s="87">
        <v>371</v>
      </c>
      <c r="F68" s="88" t="s">
        <v>476</v>
      </c>
      <c r="H68" s="9">
        <v>5300</v>
      </c>
      <c r="I68" s="10" t="s">
        <v>155</v>
      </c>
    </row>
    <row r="69" spans="2:12" x14ac:dyDescent="0.25">
      <c r="B69" s="77">
        <v>2133</v>
      </c>
      <c r="C69" s="79" t="s">
        <v>341</v>
      </c>
      <c r="E69" s="87">
        <v>372</v>
      </c>
      <c r="F69" s="88" t="s">
        <v>477</v>
      </c>
      <c r="H69" s="9">
        <v>5400</v>
      </c>
      <c r="I69" s="10" t="s">
        <v>140</v>
      </c>
    </row>
    <row r="70" spans="2:12" x14ac:dyDescent="0.25">
      <c r="B70" s="77">
        <v>2134</v>
      </c>
      <c r="C70" s="79" t="s">
        <v>342</v>
      </c>
      <c r="E70" s="87">
        <v>373</v>
      </c>
      <c r="F70" s="88" t="s">
        <v>478</v>
      </c>
      <c r="H70" s="9">
        <v>6000</v>
      </c>
      <c r="I70" s="10" t="s">
        <v>156</v>
      </c>
    </row>
    <row r="71" spans="2:12" x14ac:dyDescent="0.25">
      <c r="B71" s="77">
        <v>2139</v>
      </c>
      <c r="C71" s="79" t="s">
        <v>343</v>
      </c>
      <c r="E71" s="87">
        <v>374</v>
      </c>
      <c r="F71" s="88" t="s">
        <v>479</v>
      </c>
      <c r="H71" s="11">
        <v>7000</v>
      </c>
      <c r="I71" s="12" t="s">
        <v>157</v>
      </c>
    </row>
    <row r="72" spans="2:12" x14ac:dyDescent="0.25">
      <c r="B72" s="75">
        <v>2140</v>
      </c>
      <c r="C72" s="76" t="s">
        <v>84</v>
      </c>
      <c r="E72" s="87">
        <v>380</v>
      </c>
      <c r="F72" s="91" t="s">
        <v>480</v>
      </c>
    </row>
    <row r="73" spans="2:12" x14ac:dyDescent="0.25">
      <c r="B73" s="77">
        <v>2141</v>
      </c>
      <c r="C73" s="79" t="s">
        <v>326</v>
      </c>
      <c r="E73" s="89">
        <v>381</v>
      </c>
      <c r="F73" s="92" t="s">
        <v>481</v>
      </c>
    </row>
    <row r="74" spans="2:12" x14ac:dyDescent="0.25">
      <c r="B74" s="77">
        <v>2142</v>
      </c>
      <c r="C74" s="79" t="s">
        <v>344</v>
      </c>
      <c r="E74" s="89">
        <v>382</v>
      </c>
      <c r="F74" s="92" t="s">
        <v>482</v>
      </c>
    </row>
    <row r="75" spans="2:12" x14ac:dyDescent="0.25">
      <c r="B75" s="77">
        <v>2143</v>
      </c>
      <c r="C75" s="79" t="s">
        <v>345</v>
      </c>
      <c r="E75" s="89">
        <v>383</v>
      </c>
      <c r="F75" s="92" t="s">
        <v>483</v>
      </c>
    </row>
    <row r="76" spans="2:12" x14ac:dyDescent="0.25">
      <c r="B76" s="77">
        <v>2144</v>
      </c>
      <c r="C76" s="79" t="s">
        <v>346</v>
      </c>
      <c r="E76" s="89">
        <v>384</v>
      </c>
      <c r="F76" s="92" t="s">
        <v>484</v>
      </c>
    </row>
    <row r="77" spans="2:12" x14ac:dyDescent="0.25">
      <c r="B77" s="77">
        <v>2148</v>
      </c>
      <c r="C77" s="79" t="s">
        <v>347</v>
      </c>
      <c r="E77" s="89">
        <v>385</v>
      </c>
      <c r="F77" s="92" t="s">
        <v>485</v>
      </c>
    </row>
    <row r="78" spans="2:12" x14ac:dyDescent="0.25">
      <c r="B78" s="75">
        <v>2150</v>
      </c>
      <c r="C78" s="76" t="s">
        <v>348</v>
      </c>
      <c r="E78" s="89">
        <v>386</v>
      </c>
      <c r="F78" s="92" t="s">
        <v>486</v>
      </c>
    </row>
    <row r="79" spans="2:12" x14ac:dyDescent="0.25">
      <c r="B79" s="77">
        <v>2151</v>
      </c>
      <c r="C79" s="79" t="s">
        <v>326</v>
      </c>
      <c r="E79" s="89">
        <v>387</v>
      </c>
      <c r="F79" s="92" t="s">
        <v>446</v>
      </c>
    </row>
    <row r="80" spans="2:12" x14ac:dyDescent="0.25">
      <c r="B80" s="77">
        <v>2152</v>
      </c>
      <c r="C80" s="79" t="s">
        <v>349</v>
      </c>
      <c r="E80" s="89">
        <v>388</v>
      </c>
      <c r="F80" s="92" t="s">
        <v>487</v>
      </c>
    </row>
    <row r="81" spans="2:6" x14ac:dyDescent="0.25">
      <c r="B81" s="77">
        <v>2153</v>
      </c>
      <c r="C81" s="79" t="s">
        <v>350</v>
      </c>
      <c r="E81" s="89">
        <v>389</v>
      </c>
      <c r="F81" s="92" t="s">
        <v>488</v>
      </c>
    </row>
    <row r="82" spans="2:6" x14ac:dyDescent="0.25">
      <c r="B82" s="77">
        <v>2159</v>
      </c>
      <c r="C82" s="79" t="s">
        <v>351</v>
      </c>
      <c r="E82" s="87">
        <v>390</v>
      </c>
      <c r="F82" s="91" t="s">
        <v>91</v>
      </c>
    </row>
    <row r="83" spans="2:6" x14ac:dyDescent="0.25">
      <c r="B83" s="75">
        <v>2160</v>
      </c>
      <c r="C83" s="76" t="s">
        <v>88</v>
      </c>
      <c r="E83" s="87">
        <v>410</v>
      </c>
      <c r="F83" s="91" t="s">
        <v>489</v>
      </c>
    </row>
    <row r="84" spans="2:6" x14ac:dyDescent="0.25">
      <c r="B84" s="75">
        <v>2190</v>
      </c>
      <c r="C84" s="76" t="s">
        <v>90</v>
      </c>
      <c r="E84" s="87">
        <v>420</v>
      </c>
      <c r="F84" s="91" t="s">
        <v>490</v>
      </c>
    </row>
    <row r="85" spans="2:6" x14ac:dyDescent="0.25">
      <c r="B85" s="77">
        <v>2200</v>
      </c>
      <c r="C85" s="78" t="s">
        <v>352</v>
      </c>
      <c r="E85" s="87">
        <v>430</v>
      </c>
      <c r="F85" s="91" t="s">
        <v>491</v>
      </c>
    </row>
    <row r="86" spans="2:6" x14ac:dyDescent="0.25">
      <c r="B86" s="75">
        <v>2210</v>
      </c>
      <c r="C86" s="76" t="s">
        <v>92</v>
      </c>
      <c r="E86" s="87">
        <v>440</v>
      </c>
      <c r="F86" s="91" t="s">
        <v>492</v>
      </c>
    </row>
    <row r="87" spans="2:6" x14ac:dyDescent="0.25">
      <c r="B87" s="77">
        <v>2211</v>
      </c>
      <c r="C87" s="79" t="s">
        <v>143</v>
      </c>
      <c r="E87" s="87">
        <v>450</v>
      </c>
      <c r="F87" s="91" t="s">
        <v>493</v>
      </c>
    </row>
    <row r="88" spans="2:6" x14ac:dyDescent="0.25">
      <c r="B88" s="77">
        <v>2213</v>
      </c>
      <c r="C88" s="79" t="s">
        <v>353</v>
      </c>
      <c r="E88" s="87">
        <v>460</v>
      </c>
      <c r="F88" s="91" t="s">
        <v>494</v>
      </c>
    </row>
    <row r="89" spans="2:6" x14ac:dyDescent="0.25">
      <c r="B89" s="77">
        <v>2219</v>
      </c>
      <c r="C89" s="79" t="s">
        <v>354</v>
      </c>
      <c r="E89" s="87">
        <v>470</v>
      </c>
      <c r="F89" s="91" t="s">
        <v>495</v>
      </c>
    </row>
    <row r="90" spans="2:6" x14ac:dyDescent="0.25">
      <c r="B90" s="75">
        <v>2220</v>
      </c>
      <c r="C90" s="76" t="s">
        <v>94</v>
      </c>
      <c r="E90" s="87">
        <v>480</v>
      </c>
      <c r="F90" s="91" t="s">
        <v>496</v>
      </c>
    </row>
    <row r="91" spans="2:6" x14ac:dyDescent="0.25">
      <c r="B91" s="77">
        <v>2221</v>
      </c>
      <c r="C91" s="79" t="s">
        <v>326</v>
      </c>
      <c r="E91" s="87">
        <v>510</v>
      </c>
      <c r="F91" s="91" t="s">
        <v>497</v>
      </c>
    </row>
    <row r="92" spans="2:6" x14ac:dyDescent="0.25">
      <c r="B92" s="77">
        <v>2222</v>
      </c>
      <c r="C92" s="79" t="s">
        <v>355</v>
      </c>
      <c r="E92" s="87">
        <v>520</v>
      </c>
      <c r="F92" s="91" t="s">
        <v>498</v>
      </c>
    </row>
    <row r="93" spans="2:6" x14ac:dyDescent="0.25">
      <c r="B93" s="77">
        <v>2223</v>
      </c>
      <c r="C93" s="79" t="s">
        <v>356</v>
      </c>
      <c r="E93" s="87">
        <v>530</v>
      </c>
      <c r="F93" s="91" t="s">
        <v>499</v>
      </c>
    </row>
    <row r="94" spans="2:6" x14ac:dyDescent="0.25">
      <c r="B94" s="77">
        <v>2224</v>
      </c>
      <c r="C94" s="79" t="s">
        <v>357</v>
      </c>
      <c r="E94" s="87">
        <v>540</v>
      </c>
      <c r="F94" s="91" t="s">
        <v>500</v>
      </c>
    </row>
    <row r="95" spans="2:6" x14ac:dyDescent="0.25">
      <c r="B95" s="77">
        <v>2229</v>
      </c>
      <c r="C95" s="79" t="s">
        <v>358</v>
      </c>
      <c r="E95" s="89">
        <v>541</v>
      </c>
      <c r="F95" s="92" t="s">
        <v>501</v>
      </c>
    </row>
    <row r="96" spans="2:6" x14ac:dyDescent="0.25">
      <c r="B96" s="75">
        <v>2230</v>
      </c>
      <c r="C96" s="76" t="s">
        <v>359</v>
      </c>
      <c r="E96" s="89">
        <v>542</v>
      </c>
      <c r="F96" s="92" t="s">
        <v>502</v>
      </c>
    </row>
    <row r="97" spans="2:6" x14ac:dyDescent="0.25">
      <c r="B97" s="75">
        <v>2240</v>
      </c>
      <c r="C97" s="76" t="s">
        <v>360</v>
      </c>
      <c r="E97" s="87">
        <v>550</v>
      </c>
      <c r="F97" s="91" t="s">
        <v>503</v>
      </c>
    </row>
    <row r="98" spans="2:6" x14ac:dyDescent="0.25">
      <c r="B98" s="77">
        <v>2300</v>
      </c>
      <c r="C98" s="78" t="s">
        <v>361</v>
      </c>
      <c r="E98" s="89">
        <v>560</v>
      </c>
      <c r="F98" s="90" t="s">
        <v>504</v>
      </c>
    </row>
    <row r="99" spans="2:6" x14ac:dyDescent="0.25">
      <c r="B99" s="75">
        <v>2310</v>
      </c>
      <c r="C99" s="76" t="s">
        <v>362</v>
      </c>
      <c r="E99" s="87">
        <v>562</v>
      </c>
      <c r="F99" s="88" t="s">
        <v>505</v>
      </c>
    </row>
    <row r="100" spans="2:6" x14ac:dyDescent="0.25">
      <c r="B100" s="75">
        <v>2320</v>
      </c>
      <c r="C100" s="76" t="s">
        <v>102</v>
      </c>
      <c r="E100" s="87">
        <v>564</v>
      </c>
      <c r="F100" s="88" t="s">
        <v>506</v>
      </c>
    </row>
    <row r="101" spans="2:6" x14ac:dyDescent="0.25">
      <c r="B101" s="77">
        <v>2321</v>
      </c>
      <c r="C101" s="79" t="s">
        <v>363</v>
      </c>
      <c r="E101" s="87">
        <v>590</v>
      </c>
      <c r="F101" s="91" t="s">
        <v>507</v>
      </c>
    </row>
    <row r="102" spans="2:6" x14ac:dyDescent="0.25">
      <c r="B102" s="77">
        <v>2324</v>
      </c>
      <c r="C102" s="79" t="s">
        <v>364</v>
      </c>
      <c r="E102" s="87">
        <v>610</v>
      </c>
      <c r="F102" s="91" t="s">
        <v>508</v>
      </c>
    </row>
    <row r="103" spans="2:6" x14ac:dyDescent="0.25">
      <c r="B103" s="77">
        <v>2329</v>
      </c>
      <c r="C103" s="79" t="s">
        <v>365</v>
      </c>
      <c r="E103" s="89">
        <v>620</v>
      </c>
      <c r="F103" s="90" t="s">
        <v>509</v>
      </c>
    </row>
    <row r="104" spans="2:6" x14ac:dyDescent="0.25">
      <c r="B104" s="77">
        <v>2400</v>
      </c>
      <c r="C104" s="78" t="s">
        <v>366</v>
      </c>
      <c r="E104" s="87">
        <v>621</v>
      </c>
      <c r="F104" s="88" t="s">
        <v>510</v>
      </c>
    </row>
    <row r="105" spans="2:6" x14ac:dyDescent="0.25">
      <c r="B105" s="75">
        <v>2410</v>
      </c>
      <c r="C105" s="76" t="s">
        <v>104</v>
      </c>
      <c r="E105" s="87">
        <v>622</v>
      </c>
      <c r="F105" s="88" t="s">
        <v>511</v>
      </c>
    </row>
    <row r="106" spans="2:6" x14ac:dyDescent="0.25">
      <c r="B106" s="75">
        <v>2490</v>
      </c>
      <c r="C106" s="76" t="s">
        <v>367</v>
      </c>
      <c r="E106" s="87">
        <v>630</v>
      </c>
      <c r="F106" s="91" t="s">
        <v>130</v>
      </c>
    </row>
    <row r="107" spans="2:6" x14ac:dyDescent="0.25">
      <c r="B107" s="77">
        <v>2500</v>
      </c>
      <c r="C107" s="78" t="s">
        <v>368</v>
      </c>
      <c r="E107" s="87">
        <v>640</v>
      </c>
      <c r="F107" s="91" t="s">
        <v>512</v>
      </c>
    </row>
    <row r="108" spans="2:6" x14ac:dyDescent="0.25">
      <c r="B108" s="75">
        <v>2510</v>
      </c>
      <c r="C108" s="76" t="s">
        <v>369</v>
      </c>
      <c r="E108" s="87">
        <v>650</v>
      </c>
      <c r="F108" s="91" t="s">
        <v>513</v>
      </c>
    </row>
    <row r="109" spans="2:6" x14ac:dyDescent="0.25">
      <c r="B109" s="75">
        <v>2520</v>
      </c>
      <c r="C109" s="76" t="s">
        <v>370</v>
      </c>
      <c r="E109" s="89">
        <v>651</v>
      </c>
      <c r="F109" s="92" t="s">
        <v>514</v>
      </c>
    </row>
    <row r="110" spans="2:6" x14ac:dyDescent="0.25">
      <c r="B110" s="77">
        <v>2521</v>
      </c>
      <c r="C110" s="79" t="s">
        <v>326</v>
      </c>
      <c r="E110" s="89">
        <v>652</v>
      </c>
      <c r="F110" s="92" t="s">
        <v>515</v>
      </c>
    </row>
    <row r="111" spans="2:6" x14ac:dyDescent="0.25">
      <c r="B111" s="77">
        <v>2522</v>
      </c>
      <c r="C111" s="79" t="s">
        <v>371</v>
      </c>
      <c r="E111" s="89">
        <v>653</v>
      </c>
      <c r="F111" s="92" t="s">
        <v>516</v>
      </c>
    </row>
    <row r="112" spans="2:6" x14ac:dyDescent="0.25">
      <c r="B112" s="77">
        <v>2523</v>
      </c>
      <c r="C112" s="79" t="s">
        <v>372</v>
      </c>
      <c r="E112" s="89">
        <v>654</v>
      </c>
      <c r="F112" s="92" t="s">
        <v>517</v>
      </c>
    </row>
    <row r="113" spans="2:6" x14ac:dyDescent="0.25">
      <c r="B113" s="77">
        <v>2524</v>
      </c>
      <c r="C113" s="79" t="s">
        <v>373</v>
      </c>
      <c r="E113" s="89">
        <v>655</v>
      </c>
      <c r="F113" s="92" t="s">
        <v>518</v>
      </c>
    </row>
    <row r="114" spans="2:6" x14ac:dyDescent="0.25">
      <c r="B114" s="77">
        <v>2525</v>
      </c>
      <c r="C114" s="79" t="s">
        <v>374</v>
      </c>
      <c r="E114" s="89">
        <v>659</v>
      </c>
      <c r="F114" s="92" t="s">
        <v>519</v>
      </c>
    </row>
    <row r="115" spans="2:6" x14ac:dyDescent="0.25">
      <c r="B115" s="77">
        <v>2526</v>
      </c>
      <c r="C115" s="79" t="s">
        <v>375</v>
      </c>
      <c r="E115" s="87">
        <v>660</v>
      </c>
      <c r="F115" s="91" t="s">
        <v>136</v>
      </c>
    </row>
    <row r="116" spans="2:6" x14ac:dyDescent="0.25">
      <c r="B116" s="77">
        <v>2527</v>
      </c>
      <c r="C116" s="79" t="s">
        <v>376</v>
      </c>
      <c r="E116" s="89">
        <v>662</v>
      </c>
      <c r="F116" s="92" t="s">
        <v>520</v>
      </c>
    </row>
    <row r="117" spans="2:6" x14ac:dyDescent="0.25">
      <c r="B117" s="77">
        <v>2528</v>
      </c>
      <c r="C117" s="79" t="s">
        <v>377</v>
      </c>
      <c r="E117" s="89">
        <v>663</v>
      </c>
      <c r="F117" s="92" t="s">
        <v>499</v>
      </c>
    </row>
    <row r="118" spans="2:6" x14ac:dyDescent="0.25">
      <c r="B118" s="77">
        <v>2529</v>
      </c>
      <c r="C118" s="79" t="s">
        <v>378</v>
      </c>
      <c r="E118" s="89">
        <v>664</v>
      </c>
      <c r="F118" s="92" t="s">
        <v>521</v>
      </c>
    </row>
    <row r="119" spans="2:6" x14ac:dyDescent="0.25">
      <c r="B119" s="75">
        <v>2540</v>
      </c>
      <c r="C119" s="76" t="s">
        <v>112</v>
      </c>
      <c r="E119" s="89">
        <v>665</v>
      </c>
      <c r="F119" s="92" t="s">
        <v>522</v>
      </c>
    </row>
    <row r="120" spans="2:6" x14ac:dyDescent="0.25">
      <c r="B120" s="77">
        <v>2541</v>
      </c>
      <c r="C120" s="79" t="s">
        <v>326</v>
      </c>
      <c r="E120" s="89">
        <v>669</v>
      </c>
      <c r="F120" s="92" t="s">
        <v>523</v>
      </c>
    </row>
    <row r="121" spans="2:6" x14ac:dyDescent="0.25">
      <c r="B121" s="77">
        <v>2542</v>
      </c>
      <c r="C121" s="79" t="s">
        <v>379</v>
      </c>
      <c r="E121" s="87">
        <v>670</v>
      </c>
      <c r="F121" s="91" t="s">
        <v>524</v>
      </c>
    </row>
    <row r="122" spans="2:6" x14ac:dyDescent="0.25">
      <c r="B122" s="77">
        <v>2543</v>
      </c>
      <c r="C122" s="79" t="s">
        <v>380</v>
      </c>
      <c r="E122" s="87">
        <v>680</v>
      </c>
      <c r="F122" s="91" t="s">
        <v>525</v>
      </c>
    </row>
    <row r="123" spans="2:6" x14ac:dyDescent="0.25">
      <c r="B123" s="77">
        <v>2544</v>
      </c>
      <c r="C123" s="79" t="s">
        <v>381</v>
      </c>
      <c r="E123" s="87">
        <v>690</v>
      </c>
      <c r="F123" s="91" t="s">
        <v>526</v>
      </c>
    </row>
    <row r="124" spans="2:6" x14ac:dyDescent="0.25">
      <c r="B124" s="77">
        <v>2546</v>
      </c>
      <c r="C124" s="79" t="s">
        <v>382</v>
      </c>
      <c r="E124" s="87">
        <v>710</v>
      </c>
      <c r="F124" s="91" t="s">
        <v>144</v>
      </c>
    </row>
    <row r="125" spans="2:6" x14ac:dyDescent="0.25">
      <c r="B125" s="77">
        <v>2549</v>
      </c>
      <c r="C125" s="79" t="s">
        <v>383</v>
      </c>
      <c r="E125" s="87">
        <v>720</v>
      </c>
      <c r="F125" s="91" t="s">
        <v>527</v>
      </c>
    </row>
    <row r="126" spans="2:6" x14ac:dyDescent="0.25">
      <c r="B126" s="75">
        <v>2550</v>
      </c>
      <c r="C126" s="76" t="s">
        <v>73</v>
      </c>
      <c r="E126" s="87">
        <v>790</v>
      </c>
      <c r="F126" s="91" t="s">
        <v>528</v>
      </c>
    </row>
    <row r="127" spans="2:6" x14ac:dyDescent="0.25">
      <c r="B127" s="77">
        <v>2551</v>
      </c>
      <c r="C127" s="79" t="s">
        <v>326</v>
      </c>
      <c r="E127" s="87">
        <v>810</v>
      </c>
      <c r="F127" s="91" t="s">
        <v>529</v>
      </c>
    </row>
    <row r="128" spans="2:6" x14ac:dyDescent="0.25">
      <c r="B128" s="77">
        <v>2552</v>
      </c>
      <c r="C128" s="79" t="s">
        <v>384</v>
      </c>
      <c r="E128" s="93">
        <v>820</v>
      </c>
      <c r="F128" s="94" t="s">
        <v>530</v>
      </c>
    </row>
    <row r="129" spans="2:3" x14ac:dyDescent="0.25">
      <c r="B129" s="77">
        <v>2558</v>
      </c>
      <c r="C129" s="79" t="s">
        <v>385</v>
      </c>
    </row>
    <row r="130" spans="2:3" x14ac:dyDescent="0.25">
      <c r="B130" s="77">
        <v>2559</v>
      </c>
      <c r="C130" s="79" t="s">
        <v>386</v>
      </c>
    </row>
    <row r="131" spans="2:3" x14ac:dyDescent="0.25">
      <c r="B131" s="75">
        <v>2570</v>
      </c>
      <c r="C131" s="76" t="s">
        <v>115</v>
      </c>
    </row>
    <row r="132" spans="2:3" x14ac:dyDescent="0.25">
      <c r="B132" s="77">
        <v>2571</v>
      </c>
      <c r="C132" s="79" t="s">
        <v>326</v>
      </c>
    </row>
    <row r="133" spans="2:3" x14ac:dyDescent="0.25">
      <c r="B133" s="77">
        <v>2572</v>
      </c>
      <c r="C133" s="79" t="s">
        <v>387</v>
      </c>
    </row>
    <row r="134" spans="2:3" x14ac:dyDescent="0.25">
      <c r="B134" s="77">
        <v>2573</v>
      </c>
      <c r="C134" s="79" t="s">
        <v>388</v>
      </c>
    </row>
    <row r="135" spans="2:3" x14ac:dyDescent="0.25">
      <c r="B135" s="77">
        <v>2574</v>
      </c>
      <c r="C135" s="79" t="s">
        <v>389</v>
      </c>
    </row>
    <row r="136" spans="2:3" x14ac:dyDescent="0.25">
      <c r="B136" s="77">
        <v>2579</v>
      </c>
      <c r="C136" s="79" t="s">
        <v>390</v>
      </c>
    </row>
    <row r="137" spans="2:3" x14ac:dyDescent="0.25">
      <c r="B137" s="77">
        <v>2600</v>
      </c>
      <c r="C137" s="78" t="s">
        <v>391</v>
      </c>
    </row>
    <row r="138" spans="2:3" x14ac:dyDescent="0.25">
      <c r="B138" s="75">
        <v>2610</v>
      </c>
      <c r="C138" s="76" t="s">
        <v>392</v>
      </c>
    </row>
    <row r="139" spans="2:3" x14ac:dyDescent="0.25">
      <c r="B139" s="75">
        <v>2620</v>
      </c>
      <c r="C139" s="76" t="s">
        <v>119</v>
      </c>
    </row>
    <row r="140" spans="2:3" x14ac:dyDescent="0.25">
      <c r="B140" s="77">
        <v>2621</v>
      </c>
      <c r="C140" s="79" t="s">
        <v>326</v>
      </c>
    </row>
    <row r="141" spans="2:3" x14ac:dyDescent="0.25">
      <c r="B141" s="77">
        <v>2622</v>
      </c>
      <c r="C141" s="79" t="s">
        <v>393</v>
      </c>
    </row>
    <row r="142" spans="2:3" x14ac:dyDescent="0.25">
      <c r="B142" s="77">
        <v>2623</v>
      </c>
      <c r="C142" s="79" t="s">
        <v>394</v>
      </c>
    </row>
    <row r="143" spans="2:3" x14ac:dyDescent="0.25">
      <c r="B143" s="75">
        <v>2630</v>
      </c>
      <c r="C143" s="76" t="s">
        <v>121</v>
      </c>
    </row>
    <row r="144" spans="2:3" x14ac:dyDescent="0.25">
      <c r="B144" s="75">
        <v>2640</v>
      </c>
      <c r="C144" s="76" t="s">
        <v>123</v>
      </c>
    </row>
    <row r="145" spans="2:3" x14ac:dyDescent="0.25">
      <c r="B145" s="75">
        <v>2660</v>
      </c>
      <c r="C145" s="76" t="s">
        <v>125</v>
      </c>
    </row>
    <row r="146" spans="2:3" x14ac:dyDescent="0.25">
      <c r="B146" s="75">
        <v>2670</v>
      </c>
      <c r="C146" s="76" t="s">
        <v>127</v>
      </c>
    </row>
    <row r="147" spans="2:3" x14ac:dyDescent="0.25">
      <c r="B147" s="75">
        <v>2680</v>
      </c>
      <c r="C147" s="76" t="s">
        <v>129</v>
      </c>
    </row>
    <row r="148" spans="2:3" x14ac:dyDescent="0.25">
      <c r="B148" s="75">
        <v>2690</v>
      </c>
      <c r="C148" s="76" t="s">
        <v>131</v>
      </c>
    </row>
    <row r="149" spans="2:3" x14ac:dyDescent="0.25">
      <c r="B149" s="75">
        <v>2700</v>
      </c>
      <c r="C149" s="82" t="s">
        <v>133</v>
      </c>
    </row>
    <row r="150" spans="2:3" x14ac:dyDescent="0.25">
      <c r="B150" s="75">
        <v>3100</v>
      </c>
      <c r="C150" s="82" t="s">
        <v>135</v>
      </c>
    </row>
    <row r="151" spans="2:3" x14ac:dyDescent="0.25">
      <c r="B151" s="77">
        <v>3110</v>
      </c>
      <c r="C151" s="80" t="s">
        <v>326</v>
      </c>
    </row>
    <row r="152" spans="2:3" x14ac:dyDescent="0.25">
      <c r="B152" s="77">
        <v>3120</v>
      </c>
      <c r="C152" s="80" t="s">
        <v>395</v>
      </c>
    </row>
    <row r="153" spans="2:3" x14ac:dyDescent="0.25">
      <c r="B153" s="77">
        <v>3130</v>
      </c>
      <c r="C153" s="80" t="s">
        <v>396</v>
      </c>
    </row>
    <row r="154" spans="2:3" x14ac:dyDescent="0.25">
      <c r="B154" s="77">
        <v>3190</v>
      </c>
      <c r="C154" s="80" t="s">
        <v>397</v>
      </c>
    </row>
    <row r="155" spans="2:3" x14ac:dyDescent="0.25">
      <c r="B155" s="75">
        <v>3200</v>
      </c>
      <c r="C155" s="82" t="s">
        <v>398</v>
      </c>
    </row>
    <row r="156" spans="2:3" x14ac:dyDescent="0.25">
      <c r="B156" s="75">
        <v>3300</v>
      </c>
      <c r="C156" s="82" t="s">
        <v>399</v>
      </c>
    </row>
    <row r="157" spans="2:3" x14ac:dyDescent="0.25">
      <c r="B157" s="77">
        <v>3310</v>
      </c>
      <c r="C157" s="80" t="s">
        <v>400</v>
      </c>
    </row>
    <row r="158" spans="2:3" x14ac:dyDescent="0.25">
      <c r="B158" s="77">
        <v>3320</v>
      </c>
      <c r="C158" s="80" t="s">
        <v>401</v>
      </c>
    </row>
    <row r="159" spans="2:3" x14ac:dyDescent="0.25">
      <c r="B159" s="77">
        <v>3330</v>
      </c>
      <c r="C159" s="80" t="s">
        <v>402</v>
      </c>
    </row>
    <row r="160" spans="2:3" x14ac:dyDescent="0.25">
      <c r="B160" s="77">
        <v>3340</v>
      </c>
      <c r="C160" s="80" t="s">
        <v>403</v>
      </c>
    </row>
    <row r="161" spans="2:3" x14ac:dyDescent="0.25">
      <c r="B161" s="77">
        <v>3360</v>
      </c>
      <c r="C161" s="80" t="s">
        <v>404</v>
      </c>
    </row>
    <row r="162" spans="2:3" x14ac:dyDescent="0.25">
      <c r="B162" s="77">
        <v>3370</v>
      </c>
      <c r="C162" s="80" t="s">
        <v>405</v>
      </c>
    </row>
    <row r="163" spans="2:3" x14ac:dyDescent="0.25">
      <c r="B163" s="77">
        <v>3390</v>
      </c>
      <c r="C163" s="80" t="s">
        <v>406</v>
      </c>
    </row>
    <row r="164" spans="2:3" x14ac:dyDescent="0.25">
      <c r="B164" s="75">
        <v>3500</v>
      </c>
      <c r="C164" s="82" t="s">
        <v>407</v>
      </c>
    </row>
    <row r="165" spans="2:3" x14ac:dyDescent="0.25">
      <c r="B165" s="75">
        <v>4110</v>
      </c>
      <c r="C165" s="82" t="s">
        <v>326</v>
      </c>
    </row>
    <row r="166" spans="2:3" x14ac:dyDescent="0.25">
      <c r="B166" s="75">
        <v>4120</v>
      </c>
      <c r="C166" s="82" t="s">
        <v>408</v>
      </c>
    </row>
    <row r="167" spans="2:3" x14ac:dyDescent="0.25">
      <c r="B167" s="75">
        <v>4150</v>
      </c>
      <c r="C167" s="82" t="s">
        <v>409</v>
      </c>
    </row>
    <row r="168" spans="2:3" x14ac:dyDescent="0.25">
      <c r="B168" s="75">
        <v>4180</v>
      </c>
      <c r="C168" s="82" t="s">
        <v>410</v>
      </c>
    </row>
    <row r="169" spans="2:3" x14ac:dyDescent="0.25">
      <c r="B169" s="75">
        <v>4190</v>
      </c>
      <c r="C169" s="82" t="s">
        <v>411</v>
      </c>
    </row>
    <row r="170" spans="2:3" x14ac:dyDescent="0.25">
      <c r="B170" s="75">
        <v>5100</v>
      </c>
      <c r="C170" s="82" t="s">
        <v>153</v>
      </c>
    </row>
    <row r="171" spans="2:3" x14ac:dyDescent="0.25">
      <c r="B171" s="77">
        <v>5110</v>
      </c>
      <c r="C171" s="80" t="s">
        <v>412</v>
      </c>
    </row>
    <row r="172" spans="2:3" x14ac:dyDescent="0.25">
      <c r="B172" s="77">
        <v>5120</v>
      </c>
      <c r="C172" s="80" t="s">
        <v>413</v>
      </c>
    </row>
    <row r="173" spans="2:3" x14ac:dyDescent="0.25">
      <c r="B173" s="75">
        <v>5200</v>
      </c>
      <c r="C173" s="82" t="s">
        <v>414</v>
      </c>
    </row>
    <row r="174" spans="2:3" x14ac:dyDescent="0.25">
      <c r="B174" s="75">
        <v>5300</v>
      </c>
      <c r="C174" s="82" t="s">
        <v>415</v>
      </c>
    </row>
    <row r="175" spans="2:3" x14ac:dyDescent="0.25">
      <c r="B175" s="75">
        <v>5400</v>
      </c>
      <c r="C175" s="82" t="s">
        <v>416</v>
      </c>
    </row>
    <row r="176" spans="2:3" x14ac:dyDescent="0.25">
      <c r="B176" s="75">
        <v>6000</v>
      </c>
      <c r="C176" s="82" t="s">
        <v>156</v>
      </c>
    </row>
    <row r="177" spans="2:3" x14ac:dyDescent="0.25">
      <c r="B177" s="77">
        <v>6110</v>
      </c>
      <c r="C177" s="80" t="s">
        <v>417</v>
      </c>
    </row>
    <row r="178" spans="2:3" x14ac:dyDescent="0.25">
      <c r="B178" s="83">
        <v>7000</v>
      </c>
      <c r="C178" s="84" t="s">
        <v>157</v>
      </c>
    </row>
  </sheetData>
  <sheetProtection sheet="1" objects="1" scenarios="1"/>
  <mergeCells count="5">
    <mergeCell ref="B2:F2"/>
    <mergeCell ref="B4:C4"/>
    <mergeCell ref="E4:F4"/>
    <mergeCell ref="H4:I4"/>
    <mergeCell ref="K4:L4"/>
  </mergeCells>
  <hyperlinks>
    <hyperlink ref="B2:F2" r:id="rId1" display="Definitions and guidance for using the below codes can be found in the Program Budgeting and Accounting Manual." xr:uid="{00000000-0004-0000-0400-000000000000}"/>
  </hyperlinks>
  <pageMargins left="0.7" right="0.7" top="0.75" bottom="0.75" header="0.3" footer="0.3"/>
  <pageSetup orientation="portrait" horizontalDpi="300" verticalDpi="300" r:id="rId2"/>
  <tableParts count="4">
    <tablePart r:id="rId3"/>
    <tablePart r:id="rId4"/>
    <tablePart r:id="rId5"/>
    <tablePart r:id="rId6"/>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2D77C-E2B9-409D-921C-8730915DC9ED}">
  <sheetPr>
    <pageSetUpPr autoPageBreaks="0"/>
  </sheetPr>
  <dimension ref="A1:H221"/>
  <sheetViews>
    <sheetView showGridLines="0" showRowColHeaders="0" workbookViewId="0">
      <selection activeCell="B2" sqref="B2"/>
    </sheetView>
  </sheetViews>
  <sheetFormatPr defaultRowHeight="15" x14ac:dyDescent="0.25"/>
  <cols>
    <col min="1" max="1" width="2.7109375" style="46" customWidth="1"/>
    <col min="2" max="2" width="18.42578125" style="46" bestFit="1" customWidth="1"/>
    <col min="3" max="3" width="2.7109375" customWidth="1"/>
    <col min="4" max="4" width="18.85546875" bestFit="1" customWidth="1"/>
    <col min="5" max="5" width="3.7109375" style="46" customWidth="1"/>
    <col min="6" max="6" width="20.85546875" style="46" bestFit="1" customWidth="1"/>
    <col min="7" max="7" width="3.7109375" style="46" customWidth="1"/>
    <col min="8" max="8" width="19.28515625" style="46" bestFit="1" customWidth="1"/>
    <col min="9" max="16384" width="9.140625" style="46"/>
  </cols>
  <sheetData>
    <row r="1" spans="1:8" x14ac:dyDescent="0.25">
      <c r="A1" s="1"/>
      <c r="C1" s="1"/>
      <c r="D1" s="46"/>
    </row>
    <row r="2" spans="1:8" x14ac:dyDescent="0.25">
      <c r="A2" s="1"/>
      <c r="B2" s="61" t="s">
        <v>290</v>
      </c>
      <c r="D2" s="61" t="s">
        <v>541</v>
      </c>
      <c r="E2" s="56"/>
      <c r="F2" s="61" t="s">
        <v>19</v>
      </c>
      <c r="G2" s="57"/>
      <c r="H2"/>
    </row>
    <row r="3" spans="1:8" x14ac:dyDescent="0.25">
      <c r="A3" s="1"/>
      <c r="B3" s="58" t="s">
        <v>291</v>
      </c>
      <c r="D3" s="58" t="s">
        <v>542</v>
      </c>
      <c r="E3" s="56"/>
      <c r="F3" s="58" t="s">
        <v>545</v>
      </c>
      <c r="G3" s="57"/>
      <c r="H3"/>
    </row>
    <row r="4" spans="1:8" x14ac:dyDescent="0.25">
      <c r="B4" s="59" t="s">
        <v>292</v>
      </c>
      <c r="D4" s="59" t="s">
        <v>543</v>
      </c>
      <c r="E4" s="56"/>
      <c r="F4" s="59" t="s">
        <v>546</v>
      </c>
      <c r="G4" s="57"/>
      <c r="H4"/>
    </row>
    <row r="5" spans="1:8" x14ac:dyDescent="0.25">
      <c r="B5" s="60" t="s">
        <v>24</v>
      </c>
      <c r="D5" s="60" t="s">
        <v>24</v>
      </c>
      <c r="E5" s="56"/>
      <c r="F5" s="59" t="s">
        <v>161</v>
      </c>
      <c r="G5" s="57"/>
    </row>
    <row r="6" spans="1:8" x14ac:dyDescent="0.25">
      <c r="B6" s="56"/>
      <c r="E6" s="56"/>
      <c r="F6" s="59" t="s">
        <v>162</v>
      </c>
      <c r="G6" s="57"/>
    </row>
    <row r="7" spans="1:8" x14ac:dyDescent="0.25">
      <c r="B7" s="56"/>
      <c r="E7" s="56"/>
      <c r="F7" s="59" t="s">
        <v>596</v>
      </c>
      <c r="G7" s="57"/>
    </row>
    <row r="8" spans="1:8" x14ac:dyDescent="0.25">
      <c r="B8" s="56"/>
      <c r="E8" s="56"/>
      <c r="F8" s="59" t="s">
        <v>160</v>
      </c>
      <c r="G8" s="57"/>
    </row>
    <row r="9" spans="1:8" x14ac:dyDescent="0.25">
      <c r="B9" s="56"/>
      <c r="E9" s="56"/>
      <c r="F9" s="59" t="s">
        <v>566</v>
      </c>
      <c r="G9" s="57"/>
    </row>
    <row r="10" spans="1:8" x14ac:dyDescent="0.25">
      <c r="B10" s="56"/>
      <c r="E10" s="56"/>
      <c r="F10" s="59" t="s">
        <v>75</v>
      </c>
      <c r="G10" s="57"/>
    </row>
    <row r="11" spans="1:8" x14ac:dyDescent="0.25">
      <c r="B11" s="56"/>
      <c r="E11" s="56"/>
      <c r="F11" s="59" t="s">
        <v>603</v>
      </c>
      <c r="G11" s="57"/>
    </row>
    <row r="12" spans="1:8" x14ac:dyDescent="0.25">
      <c r="B12" s="56"/>
      <c r="E12" s="56"/>
      <c r="F12" s="59" t="s">
        <v>604</v>
      </c>
      <c r="G12" s="57"/>
    </row>
    <row r="13" spans="1:8" x14ac:dyDescent="0.25">
      <c r="B13" s="56"/>
      <c r="E13" s="56"/>
      <c r="F13" s="59" t="s">
        <v>567</v>
      </c>
      <c r="G13" s="57"/>
    </row>
    <row r="14" spans="1:8" x14ac:dyDescent="0.25">
      <c r="B14" s="56"/>
      <c r="E14" s="56"/>
      <c r="F14" s="59" t="s">
        <v>192</v>
      </c>
      <c r="G14" s="57"/>
    </row>
    <row r="15" spans="1:8" x14ac:dyDescent="0.25">
      <c r="B15" s="56"/>
      <c r="E15" s="56"/>
      <c r="F15" s="60" t="s">
        <v>24</v>
      </c>
      <c r="G15" s="57"/>
    </row>
    <row r="16" spans="1:8" x14ac:dyDescent="0.25">
      <c r="B16" s="56"/>
      <c r="E16" s="56"/>
      <c r="F16" s="57"/>
      <c r="G16" s="57"/>
    </row>
    <row r="17" spans="2:5" x14ac:dyDescent="0.25">
      <c r="B17"/>
      <c r="E17"/>
    </row>
    <row r="18" spans="2:5" x14ac:dyDescent="0.25">
      <c r="B18"/>
      <c r="E18"/>
    </row>
    <row r="19" spans="2:5" x14ac:dyDescent="0.25">
      <c r="B19"/>
      <c r="E19"/>
    </row>
    <row r="20" spans="2:5" x14ac:dyDescent="0.25">
      <c r="B20"/>
      <c r="E20"/>
    </row>
    <row r="21" spans="2:5" x14ac:dyDescent="0.25">
      <c r="B21"/>
      <c r="E21"/>
    </row>
    <row r="22" spans="2:5" x14ac:dyDescent="0.25">
      <c r="B22"/>
      <c r="E22"/>
    </row>
    <row r="23" spans="2:5" x14ac:dyDescent="0.25">
      <c r="B23"/>
      <c r="E23"/>
    </row>
    <row r="24" spans="2:5" x14ac:dyDescent="0.25">
      <c r="B24"/>
      <c r="E24"/>
    </row>
    <row r="25" spans="2:5" x14ac:dyDescent="0.25">
      <c r="B25"/>
      <c r="E25"/>
    </row>
    <row r="26" spans="2:5" x14ac:dyDescent="0.25">
      <c r="B26"/>
      <c r="E26"/>
    </row>
    <row r="27" spans="2:5" x14ac:dyDescent="0.25">
      <c r="B27"/>
      <c r="E27"/>
    </row>
    <row r="28" spans="2:5" x14ac:dyDescent="0.25">
      <c r="B28"/>
      <c r="E28"/>
    </row>
    <row r="29" spans="2:5" x14ac:dyDescent="0.25">
      <c r="B29"/>
      <c r="E29"/>
    </row>
    <row r="30" spans="2:5" x14ac:dyDescent="0.25">
      <c r="B30"/>
      <c r="E30"/>
    </row>
    <row r="31" spans="2:5" x14ac:dyDescent="0.25">
      <c r="B31"/>
      <c r="E31"/>
    </row>
    <row r="32" spans="2:5" x14ac:dyDescent="0.25">
      <c r="B32"/>
      <c r="E32"/>
    </row>
    <row r="33" spans="2:5" x14ac:dyDescent="0.25">
      <c r="B33"/>
      <c r="E33"/>
    </row>
    <row r="34" spans="2:5" x14ac:dyDescent="0.25">
      <c r="B34"/>
      <c r="E34"/>
    </row>
    <row r="35" spans="2:5" x14ac:dyDescent="0.25">
      <c r="B35"/>
      <c r="E35"/>
    </row>
    <row r="36" spans="2:5" x14ac:dyDescent="0.25">
      <c r="B36"/>
      <c r="E36"/>
    </row>
    <row r="37" spans="2:5" x14ac:dyDescent="0.25">
      <c r="B37"/>
      <c r="E37"/>
    </row>
    <row r="38" spans="2:5" x14ac:dyDescent="0.25">
      <c r="B38"/>
      <c r="E38"/>
    </row>
    <row r="39" spans="2:5" x14ac:dyDescent="0.25">
      <c r="B39"/>
      <c r="E39"/>
    </row>
    <row r="40" spans="2:5" x14ac:dyDescent="0.25">
      <c r="B40"/>
      <c r="E40"/>
    </row>
    <row r="41" spans="2:5" x14ac:dyDescent="0.25">
      <c r="B41"/>
      <c r="E41"/>
    </row>
    <row r="42" spans="2:5" x14ac:dyDescent="0.25">
      <c r="B42"/>
      <c r="E42"/>
    </row>
    <row r="43" spans="2:5" x14ac:dyDescent="0.25">
      <c r="B43"/>
      <c r="E43"/>
    </row>
    <row r="44" spans="2:5" x14ac:dyDescent="0.25">
      <c r="B44"/>
      <c r="E44"/>
    </row>
    <row r="45" spans="2:5" x14ac:dyDescent="0.25">
      <c r="B45"/>
      <c r="E45"/>
    </row>
    <row r="46" spans="2:5" x14ac:dyDescent="0.25">
      <c r="B46"/>
      <c r="E46"/>
    </row>
    <row r="47" spans="2:5" x14ac:dyDescent="0.25">
      <c r="B47"/>
      <c r="E47"/>
    </row>
    <row r="48" spans="2:5" x14ac:dyDescent="0.25">
      <c r="B48"/>
      <c r="E48"/>
    </row>
    <row r="49" spans="2:5" x14ac:dyDescent="0.25">
      <c r="B49"/>
      <c r="E49"/>
    </row>
    <row r="50" spans="2:5" x14ac:dyDescent="0.25">
      <c r="B50"/>
      <c r="E50"/>
    </row>
    <row r="51" spans="2:5" x14ac:dyDescent="0.25">
      <c r="B51"/>
      <c r="E51"/>
    </row>
    <row r="52" spans="2:5" x14ac:dyDescent="0.25">
      <c r="B52"/>
      <c r="E52"/>
    </row>
    <row r="53" spans="2:5" x14ac:dyDescent="0.25">
      <c r="B53"/>
      <c r="E53"/>
    </row>
    <row r="54" spans="2:5" x14ac:dyDescent="0.25">
      <c r="B54"/>
      <c r="E54"/>
    </row>
    <row r="55" spans="2:5" x14ac:dyDescent="0.25">
      <c r="B55"/>
      <c r="E55"/>
    </row>
    <row r="56" spans="2:5" x14ac:dyDescent="0.25">
      <c r="B56"/>
      <c r="E56"/>
    </row>
    <row r="57" spans="2:5" x14ac:dyDescent="0.25">
      <c r="B57"/>
      <c r="E57"/>
    </row>
    <row r="58" spans="2:5" x14ac:dyDescent="0.25">
      <c r="B58"/>
      <c r="E58"/>
    </row>
    <row r="59" spans="2:5" x14ac:dyDescent="0.25">
      <c r="B59"/>
      <c r="E59"/>
    </row>
    <row r="60" spans="2:5" x14ac:dyDescent="0.25">
      <c r="B60"/>
      <c r="E60"/>
    </row>
    <row r="61" spans="2:5" x14ac:dyDescent="0.25">
      <c r="B61"/>
      <c r="E61"/>
    </row>
    <row r="62" spans="2:5" x14ac:dyDescent="0.25">
      <c r="B62"/>
      <c r="E62"/>
    </row>
    <row r="63" spans="2:5" x14ac:dyDescent="0.25">
      <c r="B63"/>
      <c r="E63"/>
    </row>
    <row r="64" spans="2:5" x14ac:dyDescent="0.25">
      <c r="B64"/>
      <c r="E64"/>
    </row>
    <row r="65" spans="2:5" x14ac:dyDescent="0.25">
      <c r="B65"/>
      <c r="E65"/>
    </row>
    <row r="66" spans="2:5" x14ac:dyDescent="0.25">
      <c r="B66"/>
      <c r="E66"/>
    </row>
    <row r="67" spans="2:5" x14ac:dyDescent="0.25">
      <c r="B67"/>
      <c r="E67"/>
    </row>
    <row r="68" spans="2:5" x14ac:dyDescent="0.25">
      <c r="B68"/>
      <c r="E68"/>
    </row>
    <row r="69" spans="2:5" x14ac:dyDescent="0.25">
      <c r="B69"/>
      <c r="E69"/>
    </row>
    <row r="70" spans="2:5" x14ac:dyDescent="0.25">
      <c r="B70"/>
      <c r="E70"/>
    </row>
    <row r="71" spans="2:5" x14ac:dyDescent="0.25">
      <c r="B71"/>
      <c r="E71"/>
    </row>
    <row r="72" spans="2:5" x14ac:dyDescent="0.25">
      <c r="B72"/>
      <c r="E72"/>
    </row>
    <row r="73" spans="2:5" x14ac:dyDescent="0.25">
      <c r="B73"/>
      <c r="E73"/>
    </row>
    <row r="74" spans="2:5" x14ac:dyDescent="0.25">
      <c r="B74"/>
      <c r="E74"/>
    </row>
    <row r="75" spans="2:5" x14ac:dyDescent="0.25">
      <c r="B75"/>
      <c r="E75"/>
    </row>
    <row r="76" spans="2:5" x14ac:dyDescent="0.25">
      <c r="B76"/>
      <c r="E76"/>
    </row>
    <row r="77" spans="2:5" x14ac:dyDescent="0.25">
      <c r="B77"/>
      <c r="E77"/>
    </row>
    <row r="78" spans="2:5" x14ac:dyDescent="0.25">
      <c r="B78"/>
      <c r="E78"/>
    </row>
    <row r="79" spans="2:5" x14ac:dyDescent="0.25">
      <c r="B79"/>
      <c r="E79"/>
    </row>
    <row r="80" spans="2:5" x14ac:dyDescent="0.25">
      <c r="B80"/>
      <c r="E80"/>
    </row>
    <row r="81" spans="2:5" x14ac:dyDescent="0.25">
      <c r="B81"/>
      <c r="E81"/>
    </row>
    <row r="82" spans="2:5" x14ac:dyDescent="0.25">
      <c r="B82"/>
      <c r="E82"/>
    </row>
    <row r="83" spans="2:5" x14ac:dyDescent="0.25">
      <c r="B83"/>
      <c r="E83"/>
    </row>
    <row r="84" spans="2:5" x14ac:dyDescent="0.25">
      <c r="B84"/>
      <c r="E84"/>
    </row>
    <row r="85" spans="2:5" x14ac:dyDescent="0.25">
      <c r="B85"/>
      <c r="E85"/>
    </row>
    <row r="86" spans="2:5" x14ac:dyDescent="0.25">
      <c r="B86"/>
      <c r="E86"/>
    </row>
    <row r="87" spans="2:5" x14ac:dyDescent="0.25">
      <c r="B87"/>
      <c r="E87"/>
    </row>
    <row r="88" spans="2:5" x14ac:dyDescent="0.25">
      <c r="B88"/>
      <c r="E88"/>
    </row>
    <row r="89" spans="2:5" x14ac:dyDescent="0.25">
      <c r="B89"/>
      <c r="E89"/>
    </row>
    <row r="90" spans="2:5" x14ac:dyDescent="0.25">
      <c r="B90"/>
      <c r="E90"/>
    </row>
    <row r="91" spans="2:5" x14ac:dyDescent="0.25">
      <c r="B91"/>
      <c r="E91"/>
    </row>
    <row r="92" spans="2:5" x14ac:dyDescent="0.25">
      <c r="B92"/>
      <c r="E92"/>
    </row>
    <row r="93" spans="2:5" x14ac:dyDescent="0.25">
      <c r="B93"/>
      <c r="E93"/>
    </row>
    <row r="94" spans="2:5" x14ac:dyDescent="0.25">
      <c r="B94"/>
      <c r="E94"/>
    </row>
    <row r="95" spans="2:5" x14ac:dyDescent="0.25">
      <c r="B95"/>
      <c r="E95"/>
    </row>
    <row r="96" spans="2:5" x14ac:dyDescent="0.25">
      <c r="B96"/>
      <c r="E96"/>
    </row>
    <row r="97" spans="2:5" x14ac:dyDescent="0.25">
      <c r="B97"/>
      <c r="E97"/>
    </row>
    <row r="98" spans="2:5" x14ac:dyDescent="0.25">
      <c r="B98"/>
      <c r="E98"/>
    </row>
    <row r="99" spans="2:5" x14ac:dyDescent="0.25">
      <c r="B99"/>
      <c r="E99"/>
    </row>
    <row r="100" spans="2:5" x14ac:dyDescent="0.25">
      <c r="B100"/>
      <c r="E100"/>
    </row>
    <row r="101" spans="2:5" x14ac:dyDescent="0.25">
      <c r="B101"/>
      <c r="E101"/>
    </row>
    <row r="102" spans="2:5" x14ac:dyDescent="0.25">
      <c r="B102"/>
      <c r="E102"/>
    </row>
    <row r="103" spans="2:5" x14ac:dyDescent="0.25">
      <c r="B103"/>
      <c r="E103"/>
    </row>
    <row r="104" spans="2:5" x14ac:dyDescent="0.25">
      <c r="B104"/>
      <c r="E104"/>
    </row>
    <row r="105" spans="2:5" x14ac:dyDescent="0.25">
      <c r="B105"/>
      <c r="E105"/>
    </row>
    <row r="106" spans="2:5" x14ac:dyDescent="0.25">
      <c r="B106"/>
      <c r="E106"/>
    </row>
    <row r="107" spans="2:5" x14ac:dyDescent="0.25">
      <c r="B107"/>
      <c r="E107"/>
    </row>
    <row r="108" spans="2:5" x14ac:dyDescent="0.25">
      <c r="B108"/>
      <c r="E108"/>
    </row>
    <row r="109" spans="2:5" x14ac:dyDescent="0.25">
      <c r="B109"/>
      <c r="E109"/>
    </row>
    <row r="110" spans="2:5" x14ac:dyDescent="0.25">
      <c r="B110"/>
      <c r="E110"/>
    </row>
    <row r="111" spans="2:5" x14ac:dyDescent="0.25">
      <c r="B111"/>
      <c r="E111"/>
    </row>
    <row r="112" spans="2:5" x14ac:dyDescent="0.25">
      <c r="B112"/>
      <c r="E112"/>
    </row>
    <row r="113" spans="2:5" x14ac:dyDescent="0.25">
      <c r="B113"/>
      <c r="E113"/>
    </row>
    <row r="114" spans="2:5" x14ac:dyDescent="0.25">
      <c r="B114"/>
      <c r="E114"/>
    </row>
    <row r="115" spans="2:5" x14ac:dyDescent="0.25">
      <c r="B115"/>
      <c r="E115"/>
    </row>
    <row r="116" spans="2:5" x14ac:dyDescent="0.25">
      <c r="B116"/>
      <c r="E116"/>
    </row>
    <row r="117" spans="2:5" x14ac:dyDescent="0.25">
      <c r="B117"/>
      <c r="E117"/>
    </row>
    <row r="118" spans="2:5" x14ac:dyDescent="0.25">
      <c r="B118"/>
      <c r="E118"/>
    </row>
    <row r="119" spans="2:5" x14ac:dyDescent="0.25">
      <c r="B119"/>
      <c r="E119"/>
    </row>
    <row r="120" spans="2:5" x14ac:dyDescent="0.25">
      <c r="B120"/>
      <c r="E120"/>
    </row>
    <row r="121" spans="2:5" x14ac:dyDescent="0.25">
      <c r="B121"/>
      <c r="E121"/>
    </row>
    <row r="122" spans="2:5" x14ac:dyDescent="0.25">
      <c r="B122"/>
      <c r="E122"/>
    </row>
    <row r="123" spans="2:5" x14ac:dyDescent="0.25">
      <c r="B123"/>
      <c r="E123"/>
    </row>
    <row r="124" spans="2:5" x14ac:dyDescent="0.25">
      <c r="B124"/>
      <c r="E124"/>
    </row>
    <row r="125" spans="2:5" x14ac:dyDescent="0.25">
      <c r="B125"/>
      <c r="E125"/>
    </row>
    <row r="126" spans="2:5" x14ac:dyDescent="0.25">
      <c r="B126"/>
      <c r="E126"/>
    </row>
    <row r="127" spans="2:5" x14ac:dyDescent="0.25">
      <c r="B127"/>
      <c r="E127"/>
    </row>
    <row r="128" spans="2:5" x14ac:dyDescent="0.25">
      <c r="B128"/>
      <c r="E128"/>
    </row>
    <row r="129" spans="2:5" x14ac:dyDescent="0.25">
      <c r="B129"/>
      <c r="E129"/>
    </row>
    <row r="130" spans="2:5" x14ac:dyDescent="0.25">
      <c r="B130"/>
      <c r="E130"/>
    </row>
    <row r="131" spans="2:5" x14ac:dyDescent="0.25">
      <c r="B131"/>
      <c r="E131"/>
    </row>
    <row r="132" spans="2:5" x14ac:dyDescent="0.25">
      <c r="B132"/>
      <c r="E132"/>
    </row>
    <row r="133" spans="2:5" x14ac:dyDescent="0.25">
      <c r="B133"/>
      <c r="E133"/>
    </row>
    <row r="134" spans="2:5" x14ac:dyDescent="0.25">
      <c r="B134"/>
      <c r="E134"/>
    </row>
    <row r="135" spans="2:5" x14ac:dyDescent="0.25">
      <c r="B135"/>
      <c r="E135"/>
    </row>
    <row r="136" spans="2:5" x14ac:dyDescent="0.25">
      <c r="B136"/>
      <c r="E136"/>
    </row>
    <row r="137" spans="2:5" x14ac:dyDescent="0.25">
      <c r="B137"/>
      <c r="E137"/>
    </row>
    <row r="138" spans="2:5" x14ac:dyDescent="0.25">
      <c r="B138"/>
      <c r="E138"/>
    </row>
    <row r="139" spans="2:5" x14ac:dyDescent="0.25">
      <c r="B139"/>
      <c r="E139"/>
    </row>
    <row r="140" spans="2:5" x14ac:dyDescent="0.25">
      <c r="B140"/>
      <c r="E140"/>
    </row>
    <row r="141" spans="2:5" x14ac:dyDescent="0.25">
      <c r="B141"/>
      <c r="E141"/>
    </row>
    <row r="142" spans="2:5" x14ac:dyDescent="0.25">
      <c r="B142"/>
      <c r="E142"/>
    </row>
    <row r="143" spans="2:5" x14ac:dyDescent="0.25">
      <c r="B143"/>
      <c r="E143"/>
    </row>
    <row r="144" spans="2:5" x14ac:dyDescent="0.25">
      <c r="B144"/>
      <c r="E144"/>
    </row>
    <row r="145" spans="2:5" x14ac:dyDescent="0.25">
      <c r="B145"/>
      <c r="E145"/>
    </row>
    <row r="146" spans="2:5" x14ac:dyDescent="0.25">
      <c r="B146"/>
      <c r="E146"/>
    </row>
    <row r="147" spans="2:5" x14ac:dyDescent="0.25">
      <c r="B147"/>
      <c r="E147"/>
    </row>
    <row r="148" spans="2:5" x14ac:dyDescent="0.25">
      <c r="B148"/>
      <c r="E148"/>
    </row>
    <row r="149" spans="2:5" x14ac:dyDescent="0.25">
      <c r="B149"/>
      <c r="E149"/>
    </row>
    <row r="150" spans="2:5" x14ac:dyDescent="0.25">
      <c r="B150"/>
      <c r="E150"/>
    </row>
    <row r="151" spans="2:5" x14ac:dyDescent="0.25">
      <c r="B151"/>
      <c r="E151"/>
    </row>
    <row r="152" spans="2:5" x14ac:dyDescent="0.25">
      <c r="B152"/>
      <c r="E152"/>
    </row>
    <row r="153" spans="2:5" x14ac:dyDescent="0.25">
      <c r="B153"/>
      <c r="E153"/>
    </row>
    <row r="154" spans="2:5" x14ac:dyDescent="0.25">
      <c r="B154"/>
      <c r="E154"/>
    </row>
    <row r="155" spans="2:5" x14ac:dyDescent="0.25">
      <c r="B155"/>
      <c r="E155"/>
    </row>
    <row r="156" spans="2:5" x14ac:dyDescent="0.25">
      <c r="B156"/>
      <c r="E156"/>
    </row>
    <row r="157" spans="2:5" x14ac:dyDescent="0.25">
      <c r="B157"/>
      <c r="E157"/>
    </row>
    <row r="158" spans="2:5" x14ac:dyDescent="0.25">
      <c r="B158"/>
      <c r="E158"/>
    </row>
    <row r="159" spans="2:5" x14ac:dyDescent="0.25">
      <c r="B159"/>
      <c r="E159"/>
    </row>
    <row r="160" spans="2:5" x14ac:dyDescent="0.25">
      <c r="B160"/>
      <c r="E160"/>
    </row>
    <row r="161" spans="2:5" x14ac:dyDescent="0.25">
      <c r="B161"/>
      <c r="E161"/>
    </row>
    <row r="162" spans="2:5" x14ac:dyDescent="0.25">
      <c r="B162"/>
      <c r="E162"/>
    </row>
    <row r="163" spans="2:5" x14ac:dyDescent="0.25">
      <c r="B163"/>
      <c r="E163"/>
    </row>
    <row r="164" spans="2:5" x14ac:dyDescent="0.25">
      <c r="B164"/>
      <c r="E164"/>
    </row>
    <row r="165" spans="2:5" x14ac:dyDescent="0.25">
      <c r="B165"/>
      <c r="E165"/>
    </row>
    <row r="166" spans="2:5" x14ac:dyDescent="0.25">
      <c r="B166"/>
      <c r="E166"/>
    </row>
    <row r="167" spans="2:5" x14ac:dyDescent="0.25">
      <c r="B167"/>
      <c r="E167"/>
    </row>
    <row r="168" spans="2:5" x14ac:dyDescent="0.25">
      <c r="B168"/>
      <c r="E168"/>
    </row>
    <row r="169" spans="2:5" x14ac:dyDescent="0.25">
      <c r="B169"/>
      <c r="E169"/>
    </row>
    <row r="170" spans="2:5" x14ac:dyDescent="0.25">
      <c r="B170"/>
      <c r="E170"/>
    </row>
    <row r="171" spans="2:5" x14ac:dyDescent="0.25">
      <c r="B171"/>
      <c r="E171"/>
    </row>
    <row r="172" spans="2:5" x14ac:dyDescent="0.25">
      <c r="B172"/>
      <c r="E172"/>
    </row>
    <row r="173" spans="2:5" x14ac:dyDescent="0.25">
      <c r="B173"/>
      <c r="E173"/>
    </row>
    <row r="174" spans="2:5" x14ac:dyDescent="0.25">
      <c r="B174"/>
      <c r="E174"/>
    </row>
    <row r="175" spans="2:5" x14ac:dyDescent="0.25">
      <c r="B175"/>
      <c r="E175"/>
    </row>
    <row r="176" spans="2:5" x14ac:dyDescent="0.25">
      <c r="B176"/>
      <c r="E176"/>
    </row>
    <row r="177" spans="2:5" x14ac:dyDescent="0.25">
      <c r="B177"/>
      <c r="E177"/>
    </row>
    <row r="178" spans="2:5" x14ac:dyDescent="0.25">
      <c r="B178"/>
      <c r="E178"/>
    </row>
    <row r="179" spans="2:5" x14ac:dyDescent="0.25">
      <c r="B179"/>
      <c r="E179"/>
    </row>
    <row r="180" spans="2:5" x14ac:dyDescent="0.25">
      <c r="B180"/>
      <c r="E180"/>
    </row>
    <row r="181" spans="2:5" x14ac:dyDescent="0.25">
      <c r="B181"/>
      <c r="E181"/>
    </row>
    <row r="182" spans="2:5" x14ac:dyDescent="0.25">
      <c r="B182"/>
      <c r="E182"/>
    </row>
    <row r="183" spans="2:5" x14ac:dyDescent="0.25">
      <c r="B183"/>
      <c r="E183"/>
    </row>
    <row r="184" spans="2:5" x14ac:dyDescent="0.25">
      <c r="B184"/>
      <c r="E184"/>
    </row>
    <row r="185" spans="2:5" x14ac:dyDescent="0.25">
      <c r="B185"/>
      <c r="E185"/>
    </row>
    <row r="186" spans="2:5" x14ac:dyDescent="0.25">
      <c r="B186"/>
      <c r="E186"/>
    </row>
    <row r="187" spans="2:5" x14ac:dyDescent="0.25">
      <c r="B187"/>
      <c r="E187"/>
    </row>
    <row r="188" spans="2:5" x14ac:dyDescent="0.25">
      <c r="B188"/>
      <c r="E188"/>
    </row>
    <row r="189" spans="2:5" x14ac:dyDescent="0.25">
      <c r="B189"/>
      <c r="E189"/>
    </row>
    <row r="190" spans="2:5" x14ac:dyDescent="0.25">
      <c r="B190"/>
      <c r="E190"/>
    </row>
    <row r="191" spans="2:5" x14ac:dyDescent="0.25">
      <c r="B191"/>
      <c r="E191"/>
    </row>
    <row r="192" spans="2:5" x14ac:dyDescent="0.25">
      <c r="B192"/>
      <c r="E192"/>
    </row>
    <row r="193" spans="2:5" x14ac:dyDescent="0.25">
      <c r="B193"/>
      <c r="E193"/>
    </row>
    <row r="194" spans="2:5" x14ac:dyDescent="0.25">
      <c r="B194"/>
      <c r="E194"/>
    </row>
    <row r="195" spans="2:5" x14ac:dyDescent="0.25">
      <c r="B195"/>
      <c r="E195"/>
    </row>
    <row r="196" spans="2:5" x14ac:dyDescent="0.25">
      <c r="B196"/>
      <c r="E196"/>
    </row>
    <row r="197" spans="2:5" x14ac:dyDescent="0.25">
      <c r="B197"/>
      <c r="E197"/>
    </row>
    <row r="198" spans="2:5" x14ac:dyDescent="0.25">
      <c r="B198"/>
      <c r="E198"/>
    </row>
    <row r="199" spans="2:5" x14ac:dyDescent="0.25">
      <c r="B199"/>
      <c r="E199"/>
    </row>
    <row r="200" spans="2:5" x14ac:dyDescent="0.25">
      <c r="B200"/>
      <c r="E200"/>
    </row>
    <row r="201" spans="2:5" x14ac:dyDescent="0.25">
      <c r="B201"/>
      <c r="E201"/>
    </row>
    <row r="202" spans="2:5" x14ac:dyDescent="0.25">
      <c r="B202"/>
      <c r="E202"/>
    </row>
    <row r="203" spans="2:5" x14ac:dyDescent="0.25">
      <c r="B203"/>
      <c r="E203"/>
    </row>
    <row r="204" spans="2:5" x14ac:dyDescent="0.25">
      <c r="B204"/>
      <c r="E204"/>
    </row>
    <row r="205" spans="2:5" x14ac:dyDescent="0.25">
      <c r="B205"/>
      <c r="E205"/>
    </row>
    <row r="206" spans="2:5" x14ac:dyDescent="0.25">
      <c r="B206"/>
      <c r="E206"/>
    </row>
    <row r="207" spans="2:5" x14ac:dyDescent="0.25">
      <c r="B207"/>
      <c r="E207"/>
    </row>
    <row r="208" spans="2:5" x14ac:dyDescent="0.25">
      <c r="B208"/>
      <c r="E208"/>
    </row>
    <row r="209" spans="2:5" x14ac:dyDescent="0.25">
      <c r="B209"/>
      <c r="E209"/>
    </row>
    <row r="210" spans="2:5" x14ac:dyDescent="0.25">
      <c r="B210"/>
      <c r="E210"/>
    </row>
    <row r="211" spans="2:5" x14ac:dyDescent="0.25">
      <c r="B211"/>
      <c r="E211"/>
    </row>
    <row r="212" spans="2:5" x14ac:dyDescent="0.25">
      <c r="B212"/>
      <c r="E212"/>
    </row>
    <row r="213" spans="2:5" x14ac:dyDescent="0.25">
      <c r="B213"/>
      <c r="E213"/>
    </row>
    <row r="214" spans="2:5" x14ac:dyDescent="0.25">
      <c r="B214"/>
      <c r="E214"/>
    </row>
    <row r="215" spans="2:5" x14ac:dyDescent="0.25">
      <c r="B215"/>
      <c r="E215"/>
    </row>
    <row r="216" spans="2:5" x14ac:dyDescent="0.25">
      <c r="B216"/>
      <c r="E216"/>
    </row>
    <row r="217" spans="2:5" x14ac:dyDescent="0.25">
      <c r="B217"/>
      <c r="E217"/>
    </row>
    <row r="218" spans="2:5" x14ac:dyDescent="0.25">
      <c r="B218"/>
      <c r="E218"/>
    </row>
    <row r="219" spans="2:5" x14ac:dyDescent="0.25">
      <c r="B219"/>
      <c r="E219"/>
    </row>
    <row r="220" spans="2:5" x14ac:dyDescent="0.25">
      <c r="B220"/>
      <c r="E220"/>
    </row>
    <row r="221" spans="2:5" x14ac:dyDescent="0.25">
      <c r="B221"/>
      <c r="E221"/>
    </row>
  </sheetData>
  <sheetProtection sheet="1" objects="1" scenarios="1"/>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autoPageBreaks="0" fitToPage="1"/>
  </sheetPr>
  <dimension ref="A1:D155"/>
  <sheetViews>
    <sheetView showGridLines="0" showRowColHeaders="0" workbookViewId="0">
      <selection activeCell="A155" sqref="A155"/>
    </sheetView>
  </sheetViews>
  <sheetFormatPr defaultRowHeight="15" x14ac:dyDescent="0.25"/>
  <cols>
    <col min="1" max="1" width="2.7109375" style="15" customWidth="1"/>
    <col min="2" max="2" width="5.42578125" style="16" customWidth="1"/>
    <col min="3" max="3" width="98" style="17" customWidth="1"/>
    <col min="4" max="4" width="2" customWidth="1"/>
  </cols>
  <sheetData>
    <row r="1" spans="1:4" x14ac:dyDescent="0.25">
      <c r="A1" s="44" t="s">
        <v>0</v>
      </c>
    </row>
    <row r="2" spans="1:4" ht="24.75" x14ac:dyDescent="0.25">
      <c r="A2" s="15" t="s">
        <v>0</v>
      </c>
      <c r="B2" s="392" t="s">
        <v>159</v>
      </c>
      <c r="C2" s="393"/>
      <c r="D2" s="394"/>
    </row>
    <row r="3" spans="1:4" ht="24.75" x14ac:dyDescent="0.25">
      <c r="A3" s="15" t="s">
        <v>0</v>
      </c>
      <c r="B3" s="387" t="s">
        <v>560</v>
      </c>
      <c r="C3" s="388"/>
      <c r="D3" s="389"/>
    </row>
    <row r="4" spans="1:4" x14ac:dyDescent="0.25">
      <c r="A4" s="15" t="s">
        <v>0</v>
      </c>
      <c r="B4"/>
      <c r="C4"/>
    </row>
    <row r="5" spans="1:4" ht="21" customHeight="1" x14ac:dyDescent="0.25">
      <c r="A5" s="15" t="s">
        <v>0</v>
      </c>
      <c r="B5" s="169" t="s">
        <v>172</v>
      </c>
      <c r="C5" s="162"/>
      <c r="D5" s="163"/>
    </row>
    <row r="6" spans="1:4" ht="18" customHeight="1" x14ac:dyDescent="0.25">
      <c r="A6" s="15" t="s">
        <v>0</v>
      </c>
      <c r="B6" s="172" t="s">
        <v>193</v>
      </c>
      <c r="C6" s="18"/>
      <c r="D6" s="19"/>
    </row>
    <row r="7" spans="1:4" ht="18" customHeight="1" x14ac:dyDescent="0.25">
      <c r="A7" s="15" t="s">
        <v>0</v>
      </c>
      <c r="B7" s="277" t="s">
        <v>1</v>
      </c>
      <c r="C7" s="164" t="s">
        <v>3</v>
      </c>
      <c r="D7" s="19"/>
    </row>
    <row r="8" spans="1:4" ht="18" customHeight="1" x14ac:dyDescent="0.25">
      <c r="A8" s="15" t="s">
        <v>0</v>
      </c>
      <c r="B8" s="277" t="s">
        <v>1</v>
      </c>
      <c r="C8" s="164" t="s">
        <v>4</v>
      </c>
      <c r="D8" s="19"/>
    </row>
    <row r="9" spans="1:4" ht="18" customHeight="1" x14ac:dyDescent="0.25">
      <c r="A9" s="15" t="s">
        <v>0</v>
      </c>
      <c r="B9" s="278" t="s">
        <v>6</v>
      </c>
      <c r="C9" s="48" t="s">
        <v>554</v>
      </c>
      <c r="D9" s="19"/>
    </row>
    <row r="10" spans="1:4" ht="18" customHeight="1" x14ac:dyDescent="0.25">
      <c r="A10" s="15" t="s">
        <v>0</v>
      </c>
      <c r="B10" s="285" t="s">
        <v>6</v>
      </c>
      <c r="C10" s="286" t="s">
        <v>163</v>
      </c>
      <c r="D10" s="19"/>
    </row>
    <row r="11" spans="1:4" ht="18" customHeight="1" x14ac:dyDescent="0.25">
      <c r="A11" s="15" t="s">
        <v>0</v>
      </c>
      <c r="B11" s="166" t="s">
        <v>1</v>
      </c>
      <c r="C11" s="165" t="s">
        <v>561</v>
      </c>
      <c r="D11" s="19"/>
    </row>
    <row r="12" spans="1:4" ht="18" customHeight="1" x14ac:dyDescent="0.25">
      <c r="A12" s="15" t="s">
        <v>0</v>
      </c>
      <c r="B12" s="161" t="s">
        <v>6</v>
      </c>
      <c r="C12" s="118" t="s">
        <v>559</v>
      </c>
      <c r="D12" s="19"/>
    </row>
    <row r="13" spans="1:4" ht="18" customHeight="1" x14ac:dyDescent="0.25">
      <c r="A13" s="15" t="s">
        <v>0</v>
      </c>
      <c r="B13" s="161" t="s">
        <v>6</v>
      </c>
      <c r="C13" s="118" t="s">
        <v>562</v>
      </c>
      <c r="D13" s="19"/>
    </row>
    <row r="14" spans="1:4" ht="18" customHeight="1" x14ac:dyDescent="0.25">
      <c r="A14" s="15" t="s">
        <v>0</v>
      </c>
      <c r="B14" s="278" t="s">
        <v>6</v>
      </c>
      <c r="C14" s="48" t="s">
        <v>195</v>
      </c>
      <c r="D14" s="19"/>
    </row>
    <row r="15" spans="1:4" ht="18" customHeight="1" x14ac:dyDescent="0.25">
      <c r="A15" s="15" t="s">
        <v>0</v>
      </c>
      <c r="B15" s="277" t="s">
        <v>1</v>
      </c>
      <c r="C15" s="164" t="s">
        <v>5</v>
      </c>
      <c r="D15" s="19"/>
    </row>
    <row r="16" spans="1:4" ht="18" customHeight="1" x14ac:dyDescent="0.25">
      <c r="A16" s="15" t="s">
        <v>0</v>
      </c>
      <c r="B16" s="277" t="s">
        <v>1</v>
      </c>
      <c r="C16" s="164" t="s">
        <v>7</v>
      </c>
      <c r="D16" s="19"/>
    </row>
    <row r="17" spans="1:4" ht="21" customHeight="1" x14ac:dyDescent="0.25">
      <c r="A17" s="15" t="s">
        <v>0</v>
      </c>
      <c r="B17" s="279" t="s">
        <v>1</v>
      </c>
      <c r="C17" s="189" t="s">
        <v>171</v>
      </c>
      <c r="D17" s="21"/>
    </row>
    <row r="18" spans="1:4" x14ac:dyDescent="0.25">
      <c r="A18" s="15" t="s">
        <v>0</v>
      </c>
      <c r="B18" s="22"/>
    </row>
    <row r="19" spans="1:4" ht="21" customHeight="1" x14ac:dyDescent="0.25">
      <c r="A19" s="15" t="s">
        <v>0</v>
      </c>
      <c r="B19" s="169" t="s">
        <v>3</v>
      </c>
      <c r="C19" s="162"/>
      <c r="D19" s="163"/>
    </row>
    <row r="20" spans="1:4" ht="18" customHeight="1" x14ac:dyDescent="0.25">
      <c r="A20" s="15" t="s">
        <v>0</v>
      </c>
      <c r="B20" s="171" t="s">
        <v>552</v>
      </c>
      <c r="C20" s="35"/>
      <c r="D20" s="27"/>
    </row>
    <row r="21" spans="1:4" ht="15.75" x14ac:dyDescent="0.25">
      <c r="A21" s="15" t="s">
        <v>0</v>
      </c>
      <c r="B21" s="168" t="s">
        <v>173</v>
      </c>
      <c r="C21" s="35"/>
      <c r="D21" s="27"/>
    </row>
    <row r="22" spans="1:4" ht="33" customHeight="1" x14ac:dyDescent="0.25">
      <c r="A22" s="15" t="s">
        <v>0</v>
      </c>
      <c r="B22" s="37"/>
      <c r="C22" s="36" t="s">
        <v>174</v>
      </c>
      <c r="D22" s="27"/>
    </row>
    <row r="23" spans="1:4" ht="15.75" x14ac:dyDescent="0.25">
      <c r="A23" s="15" t="s">
        <v>0</v>
      </c>
      <c r="B23" s="168" t="s">
        <v>175</v>
      </c>
      <c r="C23" s="36"/>
      <c r="D23" s="27"/>
    </row>
    <row r="24" spans="1:4" ht="48" customHeight="1" x14ac:dyDescent="0.25">
      <c r="A24" s="15" t="s">
        <v>0</v>
      </c>
      <c r="B24" s="115"/>
      <c r="C24" s="18" t="s">
        <v>179</v>
      </c>
      <c r="D24" s="27"/>
    </row>
    <row r="25" spans="1:4" ht="15.75" x14ac:dyDescent="0.25">
      <c r="A25" s="15" t="s">
        <v>0</v>
      </c>
      <c r="B25" s="168" t="s">
        <v>176</v>
      </c>
      <c r="C25" s="18"/>
      <c r="D25" s="27"/>
    </row>
    <row r="26" spans="1:4" ht="33" customHeight="1" x14ac:dyDescent="0.25">
      <c r="A26" s="15" t="s">
        <v>0</v>
      </c>
      <c r="B26" s="114"/>
      <c r="C26" s="18" t="s">
        <v>180</v>
      </c>
      <c r="D26" s="27"/>
    </row>
    <row r="27" spans="1:4" ht="15.75" x14ac:dyDescent="0.25">
      <c r="A27" s="15" t="s">
        <v>0</v>
      </c>
      <c r="B27" s="168" t="s">
        <v>177</v>
      </c>
      <c r="C27" s="18"/>
      <c r="D27" s="27"/>
    </row>
    <row r="28" spans="1:4" ht="33" customHeight="1" x14ac:dyDescent="0.25">
      <c r="A28" s="44" t="s">
        <v>0</v>
      </c>
      <c r="B28" s="38"/>
      <c r="C28" s="31" t="s">
        <v>178</v>
      </c>
      <c r="D28" s="21"/>
    </row>
    <row r="29" spans="1:4" x14ac:dyDescent="0.25">
      <c r="A29" s="15" t="s">
        <v>0</v>
      </c>
    </row>
    <row r="30" spans="1:4" ht="21" customHeight="1" x14ac:dyDescent="0.25">
      <c r="A30" s="15" t="s">
        <v>0</v>
      </c>
      <c r="B30" s="169" t="s">
        <v>4</v>
      </c>
      <c r="C30" s="162"/>
      <c r="D30" s="163"/>
    </row>
    <row r="31" spans="1:4" ht="18" customHeight="1" x14ac:dyDescent="0.3">
      <c r="A31" s="15" t="s">
        <v>0</v>
      </c>
      <c r="B31" s="179" t="s">
        <v>554</v>
      </c>
      <c r="C31" s="180"/>
      <c r="D31" s="181"/>
    </row>
    <row r="32" spans="1:4" ht="16.5" customHeight="1" x14ac:dyDescent="0.25">
      <c r="A32" s="15" t="s">
        <v>0</v>
      </c>
      <c r="B32" s="39" t="s">
        <v>285</v>
      </c>
      <c r="C32" s="18"/>
      <c r="D32" s="19"/>
    </row>
    <row r="33" spans="1:4" ht="18" customHeight="1" x14ac:dyDescent="0.25">
      <c r="A33" s="15" t="s">
        <v>0</v>
      </c>
      <c r="B33" s="20" t="s">
        <v>1</v>
      </c>
      <c r="C33" s="18" t="s">
        <v>182</v>
      </c>
      <c r="D33" s="19"/>
    </row>
    <row r="34" spans="1:4" ht="18" customHeight="1" x14ac:dyDescent="0.25">
      <c r="A34" s="15" t="s">
        <v>0</v>
      </c>
      <c r="B34" s="20" t="s">
        <v>1</v>
      </c>
      <c r="C34" s="18" t="s">
        <v>181</v>
      </c>
      <c r="D34" s="19"/>
    </row>
    <row r="35" spans="1:4" ht="18" customHeight="1" x14ac:dyDescent="0.25">
      <c r="A35" s="15" t="s">
        <v>0</v>
      </c>
      <c r="B35" s="20" t="s">
        <v>1</v>
      </c>
      <c r="C35" s="18" t="s">
        <v>184</v>
      </c>
      <c r="D35" s="19"/>
    </row>
    <row r="36" spans="1:4" ht="18" customHeight="1" x14ac:dyDescent="0.25">
      <c r="A36" s="15" t="s">
        <v>0</v>
      </c>
      <c r="B36" s="20" t="s">
        <v>1</v>
      </c>
      <c r="C36" s="18" t="s">
        <v>183</v>
      </c>
      <c r="D36" s="19"/>
    </row>
    <row r="37" spans="1:4" ht="18" customHeight="1" x14ac:dyDescent="0.25">
      <c r="A37" s="15" t="s">
        <v>0</v>
      </c>
      <c r="B37" s="20" t="s">
        <v>1</v>
      </c>
      <c r="C37" s="18" t="s">
        <v>185</v>
      </c>
      <c r="D37" s="19"/>
    </row>
    <row r="38" spans="1:4" ht="18" customHeight="1" x14ac:dyDescent="0.25">
      <c r="A38" s="15" t="s">
        <v>0</v>
      </c>
      <c r="B38" s="20" t="s">
        <v>1</v>
      </c>
      <c r="C38" s="18" t="s">
        <v>186</v>
      </c>
      <c r="D38" s="19"/>
    </row>
    <row r="39" spans="1:4" ht="36" customHeight="1" x14ac:dyDescent="0.25">
      <c r="A39" s="44" t="s">
        <v>0</v>
      </c>
      <c r="B39" s="24" t="s">
        <v>1</v>
      </c>
      <c r="C39" s="18" t="s">
        <v>187</v>
      </c>
      <c r="D39" s="19"/>
    </row>
    <row r="40" spans="1:4" ht="18" customHeight="1" x14ac:dyDescent="0.25">
      <c r="A40" s="15" t="s">
        <v>0</v>
      </c>
      <c r="B40" s="186" t="s">
        <v>163</v>
      </c>
      <c r="C40" s="183"/>
      <c r="D40" s="184"/>
    </row>
    <row r="41" spans="1:4" x14ac:dyDescent="0.25">
      <c r="A41" s="15" t="s">
        <v>0</v>
      </c>
      <c r="B41" s="39" t="s">
        <v>555</v>
      </c>
      <c r="C41" s="18"/>
      <c r="D41" s="19"/>
    </row>
    <row r="42" spans="1:4" x14ac:dyDescent="0.25">
      <c r="A42" s="15" t="s">
        <v>0</v>
      </c>
      <c r="B42" s="39" t="s">
        <v>558</v>
      </c>
      <c r="C42" s="18"/>
      <c r="D42" s="19"/>
    </row>
    <row r="43" spans="1:4" x14ac:dyDescent="0.25">
      <c r="A43" s="15" t="s">
        <v>0</v>
      </c>
      <c r="B43" s="117" t="s">
        <v>556</v>
      </c>
      <c r="C43" s="18"/>
      <c r="D43" s="19"/>
    </row>
    <row r="44" spans="1:4" ht="18" customHeight="1" x14ac:dyDescent="0.25">
      <c r="A44" s="44" t="s">
        <v>0</v>
      </c>
      <c r="B44" s="40" t="s">
        <v>557</v>
      </c>
      <c r="C44" s="116"/>
      <c r="D44" s="21"/>
    </row>
    <row r="45" spans="1:4" x14ac:dyDescent="0.25">
      <c r="A45" s="15" t="s">
        <v>0</v>
      </c>
      <c r="C45" s="25"/>
    </row>
    <row r="46" spans="1:4" ht="21.75" customHeight="1" x14ac:dyDescent="0.25">
      <c r="A46" s="15" t="s">
        <v>0</v>
      </c>
      <c r="B46" s="170" t="s">
        <v>561</v>
      </c>
      <c r="C46" s="162"/>
      <c r="D46" s="163"/>
    </row>
    <row r="47" spans="1:4" ht="18" customHeight="1" x14ac:dyDescent="0.3">
      <c r="A47" s="15" t="s">
        <v>0</v>
      </c>
      <c r="B47" s="185" t="s">
        <v>559</v>
      </c>
      <c r="C47" s="180"/>
      <c r="D47" s="181"/>
    </row>
    <row r="48" spans="1:4" x14ac:dyDescent="0.25">
      <c r="A48" s="15" t="s">
        <v>0</v>
      </c>
      <c r="B48" s="39" t="s">
        <v>582</v>
      </c>
      <c r="C48" s="35"/>
      <c r="D48" s="27"/>
    </row>
    <row r="49" spans="1:4" ht="18" customHeight="1" x14ac:dyDescent="0.25">
      <c r="A49" s="15" t="s">
        <v>0</v>
      </c>
      <c r="B49" s="39" t="s">
        <v>581</v>
      </c>
      <c r="C49" s="35"/>
      <c r="D49" s="27"/>
    </row>
    <row r="50" spans="1:4" ht="16.5" customHeight="1" x14ac:dyDescent="0.25">
      <c r="A50" s="15" t="s">
        <v>0</v>
      </c>
      <c r="B50" s="159" t="s">
        <v>1</v>
      </c>
      <c r="C50" s="119" t="s">
        <v>564</v>
      </c>
      <c r="D50" s="27"/>
    </row>
    <row r="51" spans="1:4" ht="33" customHeight="1" x14ac:dyDescent="0.25">
      <c r="A51" s="15" t="s">
        <v>0</v>
      </c>
      <c r="B51" s="26" t="s">
        <v>6</v>
      </c>
      <c r="C51" s="35" t="s">
        <v>644</v>
      </c>
      <c r="D51" s="27"/>
    </row>
    <row r="52" spans="1:4" ht="48" customHeight="1" x14ac:dyDescent="0.25">
      <c r="A52" s="15" t="s">
        <v>0</v>
      </c>
      <c r="B52" s="161" t="s">
        <v>583</v>
      </c>
      <c r="C52" s="35" t="s">
        <v>642</v>
      </c>
      <c r="D52" s="27"/>
    </row>
    <row r="53" spans="1:4" ht="16.5" customHeight="1" x14ac:dyDescent="0.25">
      <c r="A53" s="15" t="s">
        <v>0</v>
      </c>
      <c r="B53" s="159" t="s">
        <v>1</v>
      </c>
      <c r="C53" s="18" t="s">
        <v>563</v>
      </c>
      <c r="D53" s="27"/>
    </row>
    <row r="54" spans="1:4" ht="63" customHeight="1" x14ac:dyDescent="0.25">
      <c r="A54" s="15" t="s">
        <v>0</v>
      </c>
      <c r="B54" s="26" t="s">
        <v>6</v>
      </c>
      <c r="C54" s="35" t="s">
        <v>645</v>
      </c>
      <c r="D54" s="27"/>
    </row>
    <row r="55" spans="1:4" ht="18" customHeight="1" x14ac:dyDescent="0.25">
      <c r="A55" s="15" t="s">
        <v>0</v>
      </c>
      <c r="B55" s="26" t="s">
        <v>6</v>
      </c>
      <c r="C55" s="35" t="s">
        <v>194</v>
      </c>
      <c r="D55" s="27"/>
    </row>
    <row r="56" spans="1:4" ht="16.5" customHeight="1" x14ac:dyDescent="0.25">
      <c r="A56" s="15" t="s">
        <v>0</v>
      </c>
      <c r="B56" s="159" t="s">
        <v>1</v>
      </c>
      <c r="C56" s="18" t="s">
        <v>565</v>
      </c>
      <c r="D56" s="27"/>
    </row>
    <row r="57" spans="1:4" ht="36" customHeight="1" x14ac:dyDescent="0.25">
      <c r="A57" s="44" t="s">
        <v>0</v>
      </c>
      <c r="B57" s="26" t="s">
        <v>6</v>
      </c>
      <c r="C57" s="35" t="s">
        <v>643</v>
      </c>
      <c r="D57" s="27"/>
    </row>
    <row r="58" spans="1:4" ht="18" customHeight="1" x14ac:dyDescent="0.25">
      <c r="A58" s="15" t="s">
        <v>0</v>
      </c>
      <c r="B58" s="186" t="s">
        <v>562</v>
      </c>
      <c r="C58" s="187"/>
      <c r="D58" s="188"/>
    </row>
    <row r="59" spans="1:4" ht="48" customHeight="1" x14ac:dyDescent="0.25">
      <c r="A59" s="15" t="s">
        <v>0</v>
      </c>
      <c r="B59" s="160" t="s">
        <v>1</v>
      </c>
      <c r="C59" s="18" t="s">
        <v>585</v>
      </c>
      <c r="D59" s="19"/>
    </row>
    <row r="60" spans="1:4" ht="33" customHeight="1" x14ac:dyDescent="0.25">
      <c r="A60" s="15" t="s">
        <v>0</v>
      </c>
      <c r="B60" s="160" t="s">
        <v>1</v>
      </c>
      <c r="C60" s="18" t="s">
        <v>586</v>
      </c>
      <c r="D60" s="19"/>
    </row>
    <row r="61" spans="1:4" ht="48" customHeight="1" x14ac:dyDescent="0.25">
      <c r="A61" s="15" t="s">
        <v>0</v>
      </c>
      <c r="B61" s="160" t="s">
        <v>1</v>
      </c>
      <c r="C61" s="18" t="s">
        <v>646</v>
      </c>
      <c r="D61" s="19"/>
    </row>
    <row r="62" spans="1:4" ht="33" customHeight="1" x14ac:dyDescent="0.25">
      <c r="A62" s="15" t="s">
        <v>0</v>
      </c>
      <c r="B62" s="160" t="s">
        <v>1</v>
      </c>
      <c r="C62" s="18" t="s">
        <v>679</v>
      </c>
      <c r="D62" s="19"/>
    </row>
    <row r="63" spans="1:4" ht="33" customHeight="1" x14ac:dyDescent="0.25">
      <c r="A63" s="44" t="s">
        <v>0</v>
      </c>
      <c r="B63" s="160" t="s">
        <v>1</v>
      </c>
      <c r="C63" s="18" t="s">
        <v>601</v>
      </c>
      <c r="D63" s="19"/>
    </row>
    <row r="64" spans="1:4" ht="63" customHeight="1" x14ac:dyDescent="0.25">
      <c r="A64" s="15" t="s">
        <v>0</v>
      </c>
      <c r="B64" s="160" t="s">
        <v>1</v>
      </c>
      <c r="C64" s="18" t="s">
        <v>676</v>
      </c>
      <c r="D64" s="19"/>
    </row>
    <row r="65" spans="1:4" ht="33" customHeight="1" x14ac:dyDescent="0.25">
      <c r="A65" s="15" t="s">
        <v>0</v>
      </c>
      <c r="B65" s="160" t="s">
        <v>1</v>
      </c>
      <c r="C65" s="18" t="s">
        <v>602</v>
      </c>
      <c r="D65" s="19"/>
    </row>
    <row r="66" spans="1:4" ht="33" customHeight="1" x14ac:dyDescent="0.25">
      <c r="A66" s="15" t="s">
        <v>0</v>
      </c>
      <c r="B66" s="160" t="s">
        <v>1</v>
      </c>
      <c r="C66" s="18" t="s">
        <v>600</v>
      </c>
      <c r="D66" s="19"/>
    </row>
    <row r="67" spans="1:4" ht="33" customHeight="1" x14ac:dyDescent="0.25">
      <c r="A67" s="15" t="s">
        <v>0</v>
      </c>
      <c r="B67" s="160" t="s">
        <v>1</v>
      </c>
      <c r="C67" s="18" t="s">
        <v>680</v>
      </c>
      <c r="D67" s="19"/>
    </row>
    <row r="68" spans="1:4" ht="48" customHeight="1" x14ac:dyDescent="0.25">
      <c r="A68" s="15" t="s">
        <v>0</v>
      </c>
      <c r="B68" s="160" t="s">
        <v>1</v>
      </c>
      <c r="C68" s="18" t="s">
        <v>681</v>
      </c>
      <c r="D68" s="19"/>
    </row>
    <row r="69" spans="1:4" ht="63" customHeight="1" x14ac:dyDescent="0.25">
      <c r="A69" s="15" t="s">
        <v>0</v>
      </c>
      <c r="B69" s="160" t="s">
        <v>1</v>
      </c>
      <c r="C69" s="287" t="s">
        <v>682</v>
      </c>
      <c r="D69" s="19"/>
    </row>
    <row r="70" spans="1:4" ht="33" customHeight="1" x14ac:dyDescent="0.25">
      <c r="A70" s="15" t="s">
        <v>0</v>
      </c>
      <c r="B70" s="160" t="s">
        <v>1</v>
      </c>
      <c r="C70" s="18" t="s">
        <v>647</v>
      </c>
      <c r="D70" s="19"/>
    </row>
    <row r="71" spans="1:4" ht="48" customHeight="1" x14ac:dyDescent="0.25">
      <c r="A71" s="15" t="s">
        <v>0</v>
      </c>
      <c r="B71" s="160" t="s">
        <v>1</v>
      </c>
      <c r="C71" s="18" t="s">
        <v>641</v>
      </c>
      <c r="D71" s="19"/>
    </row>
    <row r="72" spans="1:4" ht="51" customHeight="1" x14ac:dyDescent="0.25">
      <c r="A72" s="15" t="s">
        <v>0</v>
      </c>
      <c r="B72" s="161" t="s">
        <v>583</v>
      </c>
      <c r="C72" s="48" t="s">
        <v>640</v>
      </c>
      <c r="D72" s="19"/>
    </row>
    <row r="73" spans="1:4" ht="18" customHeight="1" x14ac:dyDescent="0.25">
      <c r="A73" s="15" t="s">
        <v>0</v>
      </c>
      <c r="B73" s="182" t="s">
        <v>195</v>
      </c>
      <c r="C73" s="183"/>
      <c r="D73" s="184"/>
    </row>
    <row r="74" spans="1:4" ht="48" customHeight="1" x14ac:dyDescent="0.25">
      <c r="A74" s="44" t="s">
        <v>0</v>
      </c>
      <c r="B74" s="23" t="s">
        <v>1</v>
      </c>
      <c r="C74" s="47" t="s">
        <v>584</v>
      </c>
      <c r="D74" s="113"/>
    </row>
    <row r="75" spans="1:4" x14ac:dyDescent="0.25">
      <c r="A75" s="15" t="s">
        <v>0</v>
      </c>
      <c r="C75" s="25"/>
    </row>
    <row r="76" spans="1:4" ht="21" customHeight="1" x14ac:dyDescent="0.25">
      <c r="A76" s="15" t="s">
        <v>0</v>
      </c>
      <c r="B76" s="169" t="s">
        <v>5</v>
      </c>
      <c r="C76" s="162"/>
      <c r="D76" s="163"/>
    </row>
    <row r="77" spans="1:4" x14ac:dyDescent="0.25">
      <c r="A77" s="15" t="s">
        <v>0</v>
      </c>
      <c r="B77" s="39" t="s">
        <v>196</v>
      </c>
      <c r="C77" s="18"/>
      <c r="D77" s="19"/>
    </row>
    <row r="78" spans="1:4" x14ac:dyDescent="0.25">
      <c r="A78" s="15" t="s">
        <v>0</v>
      </c>
      <c r="B78" s="39" t="s">
        <v>197</v>
      </c>
      <c r="C78" s="18"/>
      <c r="D78" s="27"/>
    </row>
    <row r="79" spans="1:4" x14ac:dyDescent="0.25">
      <c r="A79" s="15" t="s">
        <v>0</v>
      </c>
      <c r="B79" s="39" t="s">
        <v>198</v>
      </c>
      <c r="C79" s="18"/>
      <c r="D79" s="27"/>
    </row>
    <row r="80" spans="1:4" x14ac:dyDescent="0.25">
      <c r="A80" s="15" t="s">
        <v>0</v>
      </c>
      <c r="B80" s="39" t="s">
        <v>199</v>
      </c>
      <c r="C80" s="18"/>
      <c r="D80" s="27"/>
    </row>
    <row r="81" spans="1:4" x14ac:dyDescent="0.25">
      <c r="A81" s="15" t="s">
        <v>0</v>
      </c>
      <c r="B81" s="39" t="s">
        <v>200</v>
      </c>
      <c r="C81" s="18"/>
      <c r="D81" s="27"/>
    </row>
    <row r="82" spans="1:4" ht="18" customHeight="1" x14ac:dyDescent="0.25">
      <c r="A82" s="15" t="s">
        <v>0</v>
      </c>
      <c r="B82" s="390" t="s">
        <v>282</v>
      </c>
      <c r="C82" s="391"/>
      <c r="D82" s="27"/>
    </row>
    <row r="83" spans="1:4" x14ac:dyDescent="0.25">
      <c r="A83" s="15" t="s">
        <v>0</v>
      </c>
      <c r="B83" s="41" t="s">
        <v>188</v>
      </c>
      <c r="C83" s="18" t="s">
        <v>219</v>
      </c>
      <c r="D83" s="28"/>
    </row>
    <row r="84" spans="1:4" x14ac:dyDescent="0.25">
      <c r="A84" s="15" t="s">
        <v>0</v>
      </c>
      <c r="B84" s="26" t="s">
        <v>201</v>
      </c>
      <c r="C84" s="35" t="s">
        <v>206</v>
      </c>
      <c r="D84" s="29"/>
    </row>
    <row r="85" spans="1:4" x14ac:dyDescent="0.25">
      <c r="A85" s="15" t="s">
        <v>0</v>
      </c>
      <c r="B85" s="26" t="s">
        <v>202</v>
      </c>
      <c r="C85" s="35" t="s">
        <v>207</v>
      </c>
      <c r="D85" s="29"/>
    </row>
    <row r="86" spans="1:4" x14ac:dyDescent="0.25">
      <c r="A86" s="15" t="s">
        <v>0</v>
      </c>
      <c r="B86" s="26" t="s">
        <v>203</v>
      </c>
      <c r="C86" s="35" t="s">
        <v>208</v>
      </c>
      <c r="D86" s="29"/>
    </row>
    <row r="87" spans="1:4" ht="33" customHeight="1" x14ac:dyDescent="0.25">
      <c r="A87" s="15" t="s">
        <v>0</v>
      </c>
      <c r="B87" s="26" t="s">
        <v>204</v>
      </c>
      <c r="C87" s="35" t="s">
        <v>209</v>
      </c>
      <c r="D87" s="29"/>
    </row>
    <row r="88" spans="1:4" x14ac:dyDescent="0.25">
      <c r="A88" s="44" t="s">
        <v>0</v>
      </c>
      <c r="B88" s="41" t="s">
        <v>189</v>
      </c>
      <c r="C88" s="18" t="s">
        <v>218</v>
      </c>
      <c r="D88" s="29"/>
    </row>
    <row r="89" spans="1:4" x14ac:dyDescent="0.25">
      <c r="A89" s="15" t="s">
        <v>0</v>
      </c>
      <c r="B89" s="26" t="s">
        <v>201</v>
      </c>
      <c r="C89" s="35" t="s">
        <v>211</v>
      </c>
      <c r="D89" s="29"/>
    </row>
    <row r="90" spans="1:4" ht="18" customHeight="1" x14ac:dyDescent="0.25">
      <c r="A90" s="15" t="s">
        <v>0</v>
      </c>
      <c r="B90" s="26" t="s">
        <v>202</v>
      </c>
      <c r="C90" s="35" t="s">
        <v>210</v>
      </c>
      <c r="D90" s="29"/>
    </row>
    <row r="91" spans="1:4" x14ac:dyDescent="0.25">
      <c r="A91" s="15" t="s">
        <v>0</v>
      </c>
      <c r="B91" s="41" t="s">
        <v>190</v>
      </c>
      <c r="C91" s="18" t="s">
        <v>217</v>
      </c>
      <c r="D91" s="29"/>
    </row>
    <row r="92" spans="1:4" ht="18" customHeight="1" x14ac:dyDescent="0.25">
      <c r="A92" s="15" t="s">
        <v>0</v>
      </c>
      <c r="B92" s="26" t="s">
        <v>201</v>
      </c>
      <c r="C92" s="35" t="s">
        <v>212</v>
      </c>
      <c r="D92" s="29"/>
    </row>
    <row r="93" spans="1:4" ht="30" x14ac:dyDescent="0.25">
      <c r="A93" s="15" t="s">
        <v>0</v>
      </c>
      <c r="B93" s="41" t="s">
        <v>191</v>
      </c>
      <c r="C93" s="18" t="s">
        <v>216</v>
      </c>
      <c r="D93" s="29"/>
    </row>
    <row r="94" spans="1:4" ht="33" customHeight="1" x14ac:dyDescent="0.25">
      <c r="A94" s="15" t="s">
        <v>0</v>
      </c>
      <c r="B94" s="26" t="s">
        <v>201</v>
      </c>
      <c r="C94" s="35" t="s">
        <v>213</v>
      </c>
      <c r="D94" s="29"/>
    </row>
    <row r="95" spans="1:4" ht="30" x14ac:dyDescent="0.25">
      <c r="A95" s="15" t="s">
        <v>0</v>
      </c>
      <c r="B95" s="41" t="s">
        <v>205</v>
      </c>
      <c r="C95" s="18" t="s">
        <v>215</v>
      </c>
      <c r="D95" s="30"/>
    </row>
    <row r="96" spans="1:4" ht="33" customHeight="1" x14ac:dyDescent="0.25">
      <c r="A96" s="15" t="s">
        <v>0</v>
      </c>
      <c r="B96" s="42" t="s">
        <v>201</v>
      </c>
      <c r="C96" s="43" t="s">
        <v>214</v>
      </c>
      <c r="D96" s="32"/>
    </row>
    <row r="97" spans="1:4" x14ac:dyDescent="0.25">
      <c r="A97" s="15" t="s">
        <v>0</v>
      </c>
    </row>
    <row r="98" spans="1:4" ht="21" customHeight="1" x14ac:dyDescent="0.25">
      <c r="A98" s="15" t="s">
        <v>0</v>
      </c>
      <c r="B98" s="169" t="s">
        <v>7</v>
      </c>
      <c r="C98" s="162"/>
      <c r="D98" s="163"/>
    </row>
    <row r="99" spans="1:4" x14ac:dyDescent="0.25">
      <c r="A99" s="15" t="s">
        <v>0</v>
      </c>
      <c r="B99" s="39" t="s">
        <v>286</v>
      </c>
      <c r="C99" s="18"/>
      <c r="D99" s="19"/>
    </row>
    <row r="100" spans="1:4" ht="18" customHeight="1" x14ac:dyDescent="0.25">
      <c r="A100" s="15" t="s">
        <v>0</v>
      </c>
      <c r="B100" s="39" t="s">
        <v>287</v>
      </c>
      <c r="C100" s="18"/>
      <c r="D100" s="19"/>
    </row>
    <row r="101" spans="1:4" ht="30" x14ac:dyDescent="0.25">
      <c r="A101" s="15" t="s">
        <v>0</v>
      </c>
      <c r="B101" s="24" t="s">
        <v>188</v>
      </c>
      <c r="C101" s="18" t="s">
        <v>229</v>
      </c>
      <c r="D101" s="19"/>
    </row>
    <row r="102" spans="1:4" x14ac:dyDescent="0.25">
      <c r="A102" s="15" t="s">
        <v>0</v>
      </c>
      <c r="B102" s="26" t="s">
        <v>201</v>
      </c>
      <c r="C102" s="35" t="s">
        <v>230</v>
      </c>
      <c r="D102" s="19"/>
    </row>
    <row r="103" spans="1:4" ht="18" customHeight="1" x14ac:dyDescent="0.25">
      <c r="A103" s="15" t="s">
        <v>0</v>
      </c>
      <c r="B103" s="26" t="s">
        <v>202</v>
      </c>
      <c r="C103" s="35" t="s">
        <v>231</v>
      </c>
      <c r="D103" s="19"/>
    </row>
    <row r="104" spans="1:4" ht="33" customHeight="1" x14ac:dyDescent="0.25">
      <c r="A104" s="44" t="s">
        <v>0</v>
      </c>
      <c r="B104" s="24" t="s">
        <v>189</v>
      </c>
      <c r="C104" s="18" t="s">
        <v>232</v>
      </c>
      <c r="D104" s="19"/>
    </row>
    <row r="105" spans="1:4" ht="18" customHeight="1" x14ac:dyDescent="0.25">
      <c r="A105" s="15" t="s">
        <v>0</v>
      </c>
      <c r="B105" s="24" t="s">
        <v>190</v>
      </c>
      <c r="C105" s="18" t="s">
        <v>233</v>
      </c>
      <c r="D105" s="19"/>
    </row>
    <row r="106" spans="1:4" ht="33" customHeight="1" x14ac:dyDescent="0.25">
      <c r="A106" s="15" t="s">
        <v>0</v>
      </c>
      <c r="B106" s="24" t="s">
        <v>191</v>
      </c>
      <c r="C106" s="18" t="s">
        <v>234</v>
      </c>
      <c r="D106" s="19"/>
    </row>
    <row r="107" spans="1:4" ht="18" customHeight="1" x14ac:dyDescent="0.25">
      <c r="A107" s="15" t="s">
        <v>0</v>
      </c>
      <c r="B107" s="24" t="s">
        <v>205</v>
      </c>
      <c r="C107" s="18" t="s">
        <v>235</v>
      </c>
      <c r="D107" s="19"/>
    </row>
    <row r="108" spans="1:4" ht="33" customHeight="1" x14ac:dyDescent="0.25">
      <c r="A108" s="15" t="s">
        <v>0</v>
      </c>
      <c r="B108" s="24" t="s">
        <v>220</v>
      </c>
      <c r="C108" s="18" t="s">
        <v>236</v>
      </c>
      <c r="D108" s="19"/>
    </row>
    <row r="109" spans="1:4" ht="18" customHeight="1" x14ac:dyDescent="0.25">
      <c r="A109" s="15" t="s">
        <v>0</v>
      </c>
      <c r="B109" s="24" t="s">
        <v>221</v>
      </c>
      <c r="C109" s="18" t="s">
        <v>237</v>
      </c>
      <c r="D109" s="19"/>
    </row>
    <row r="110" spans="1:4" ht="18" customHeight="1" x14ac:dyDescent="0.25">
      <c r="A110" s="15" t="s">
        <v>0</v>
      </c>
      <c r="B110" s="24" t="s">
        <v>222</v>
      </c>
      <c r="C110" s="18" t="s">
        <v>238</v>
      </c>
      <c r="D110" s="19"/>
    </row>
    <row r="111" spans="1:4" ht="18" customHeight="1" x14ac:dyDescent="0.25">
      <c r="A111" s="15" t="s">
        <v>0</v>
      </c>
      <c r="B111" s="24" t="s">
        <v>223</v>
      </c>
      <c r="C111" s="18" t="s">
        <v>239</v>
      </c>
      <c r="D111" s="19"/>
    </row>
    <row r="112" spans="1:4" ht="18" customHeight="1" x14ac:dyDescent="0.25">
      <c r="A112" s="15" t="s">
        <v>0</v>
      </c>
      <c r="B112" s="24" t="s">
        <v>224</v>
      </c>
      <c r="C112" s="18" t="s">
        <v>240</v>
      </c>
      <c r="D112" s="19"/>
    </row>
    <row r="113" spans="1:4" ht="33" customHeight="1" x14ac:dyDescent="0.25">
      <c r="A113" s="15" t="s">
        <v>0</v>
      </c>
      <c r="B113" s="24" t="s">
        <v>225</v>
      </c>
      <c r="C113" s="18" t="s">
        <v>241</v>
      </c>
      <c r="D113" s="19"/>
    </row>
    <row r="114" spans="1:4" ht="18" customHeight="1" x14ac:dyDescent="0.25">
      <c r="A114" s="15" t="s">
        <v>0</v>
      </c>
      <c r="B114" s="24" t="s">
        <v>226</v>
      </c>
      <c r="C114" s="18" t="s">
        <v>242</v>
      </c>
      <c r="D114" s="19"/>
    </row>
    <row r="115" spans="1:4" ht="48" customHeight="1" x14ac:dyDescent="0.25">
      <c r="A115" s="15" t="s">
        <v>0</v>
      </c>
      <c r="B115" s="24" t="s">
        <v>227</v>
      </c>
      <c r="C115" s="18" t="s">
        <v>243</v>
      </c>
      <c r="D115" s="19"/>
    </row>
    <row r="116" spans="1:4" ht="63" customHeight="1" x14ac:dyDescent="0.25">
      <c r="A116" s="15" t="s">
        <v>0</v>
      </c>
      <c r="B116" s="23" t="s">
        <v>228</v>
      </c>
      <c r="C116" s="31" t="s">
        <v>244</v>
      </c>
      <c r="D116" s="21"/>
    </row>
    <row r="117" spans="1:4" x14ac:dyDescent="0.25">
      <c r="A117" s="15" t="s">
        <v>0</v>
      </c>
    </row>
    <row r="118" spans="1:4" ht="21" customHeight="1" x14ac:dyDescent="0.25">
      <c r="A118" s="15" t="s">
        <v>0</v>
      </c>
      <c r="B118" s="169" t="s">
        <v>171</v>
      </c>
      <c r="C118" s="162"/>
      <c r="D118" s="163"/>
    </row>
    <row r="119" spans="1:4" ht="18" customHeight="1" x14ac:dyDescent="0.25">
      <c r="A119" s="15" t="s">
        <v>0</v>
      </c>
      <c r="B119" s="171" t="s">
        <v>245</v>
      </c>
      <c r="C119" s="18"/>
      <c r="D119" s="19"/>
    </row>
    <row r="120" spans="1:4" ht="33" customHeight="1" x14ac:dyDescent="0.25">
      <c r="A120" s="15" t="s">
        <v>0</v>
      </c>
      <c r="B120" s="24" t="s">
        <v>1</v>
      </c>
      <c r="C120" s="18" t="s">
        <v>549</v>
      </c>
      <c r="D120" s="19"/>
    </row>
    <row r="121" spans="1:4" ht="33" customHeight="1" x14ac:dyDescent="0.25">
      <c r="A121" s="15" t="s">
        <v>0</v>
      </c>
      <c r="B121" s="24" t="s">
        <v>1</v>
      </c>
      <c r="C121" s="18" t="s">
        <v>550</v>
      </c>
      <c r="D121" s="19"/>
    </row>
    <row r="122" spans="1:4" ht="63" customHeight="1" x14ac:dyDescent="0.25">
      <c r="A122" s="15" t="s">
        <v>0</v>
      </c>
      <c r="B122" s="24" t="s">
        <v>1</v>
      </c>
      <c r="C122" s="18" t="s">
        <v>551</v>
      </c>
      <c r="D122" s="19"/>
    </row>
    <row r="123" spans="1:4" ht="18" customHeight="1" x14ac:dyDescent="0.25">
      <c r="A123" s="15" t="s">
        <v>0</v>
      </c>
      <c r="B123" s="24" t="s">
        <v>1</v>
      </c>
      <c r="C123" s="18" t="s">
        <v>246</v>
      </c>
      <c r="D123" s="19"/>
    </row>
    <row r="124" spans="1:4" ht="18" customHeight="1" x14ac:dyDescent="0.25">
      <c r="A124" s="15" t="s">
        <v>0</v>
      </c>
      <c r="B124" s="24" t="s">
        <v>1</v>
      </c>
      <c r="C124" s="18" t="s">
        <v>247</v>
      </c>
      <c r="D124" s="19"/>
    </row>
    <row r="125" spans="1:4" ht="18" customHeight="1" x14ac:dyDescent="0.25">
      <c r="A125" s="15" t="s">
        <v>0</v>
      </c>
      <c r="B125" s="24" t="s">
        <v>1</v>
      </c>
      <c r="C125" s="18" t="s">
        <v>252</v>
      </c>
      <c r="D125" s="19"/>
    </row>
    <row r="126" spans="1:4" ht="18" customHeight="1" x14ac:dyDescent="0.25">
      <c r="A126" s="15" t="s">
        <v>0</v>
      </c>
      <c r="B126" s="24" t="s">
        <v>1</v>
      </c>
      <c r="C126" s="18" t="s">
        <v>248</v>
      </c>
      <c r="D126" s="19"/>
    </row>
    <row r="127" spans="1:4" ht="18" customHeight="1" x14ac:dyDescent="0.25">
      <c r="A127" s="15" t="s">
        <v>0</v>
      </c>
      <c r="B127" s="24" t="s">
        <v>1</v>
      </c>
      <c r="C127" s="18" t="s">
        <v>249</v>
      </c>
      <c r="D127" s="19"/>
    </row>
    <row r="128" spans="1:4" ht="18" customHeight="1" x14ac:dyDescent="0.25">
      <c r="A128" s="15" t="s">
        <v>0</v>
      </c>
      <c r="B128" s="24" t="s">
        <v>1</v>
      </c>
      <c r="C128" s="18" t="s">
        <v>250</v>
      </c>
      <c r="D128" s="19"/>
    </row>
    <row r="129" spans="1:4" ht="18" customHeight="1" x14ac:dyDescent="0.25">
      <c r="A129" s="44" t="s">
        <v>0</v>
      </c>
      <c r="B129" s="23" t="s">
        <v>1</v>
      </c>
      <c r="C129" s="31" t="s">
        <v>251</v>
      </c>
      <c r="D129" s="21"/>
    </row>
    <row r="155" spans="1:1" x14ac:dyDescent="0.25">
      <c r="A155" s="44"/>
    </row>
  </sheetData>
  <sheetProtection sheet="1" objects="1" scenarios="1" selectLockedCells="1"/>
  <mergeCells count="3">
    <mergeCell ref="B82:C82"/>
    <mergeCell ref="B3:D3"/>
    <mergeCell ref="B2:D2"/>
  </mergeCells>
  <hyperlinks>
    <hyperlink ref="C74" r:id="rId1" display="Applicants can reference the Program Budgeting and Accounting Manual (PBAM) for more information on appropriate Function and Object codes to enter into the budget form." xr:uid="{00000000-0004-0000-0100-000000000000}"/>
    <hyperlink ref="B82:C82" r:id="rId2" display="necessary, allocable, and adequately documented (2 CFR Part 200)." xr:uid="{00000000-0004-0000-0100-000001000000}"/>
    <hyperlink ref="C7" location="ProgramGoals" display="Program Goals and Focus" xr:uid="{00000000-0004-0000-0100-000002000000}"/>
    <hyperlink ref="C8" location="CapExpenditures" display="Key Considerations" xr:uid="{00000000-0004-0000-0100-000003000000}"/>
    <hyperlink ref="C11" location="BudgetRequirements" display="Requirements and Definitions" xr:uid="{00000000-0004-0000-0100-000004000000}"/>
    <hyperlink ref="C13" location="BudgetCategories" display="Budget Category Definitions" xr:uid="{00000000-0004-0000-0100-000005000000}"/>
    <hyperlink ref="C14" location="FxObjCodes" display="Function and Object Codes" xr:uid="{00000000-0004-0000-0100-000006000000}"/>
    <hyperlink ref="C15" location="SupplementNotSupplant" display="Supplement, not Supplant Requirements" xr:uid="{00000000-0004-0000-0100-00000A000000}"/>
    <hyperlink ref="C16" location="AllowableUses" display="Allowable Uses of Funds" xr:uid="{00000000-0004-0000-0100-00000B000000}"/>
    <hyperlink ref="C17" location="UnallowableUses" display="Unallowable Uses of Funds" xr:uid="{00000000-0004-0000-0100-00000C000000}"/>
    <hyperlink ref="C12" location="BudgetRequirements" display="Budget Requirements" xr:uid="{0F0E6E23-A232-4565-9D43-0BF30619EC10}"/>
    <hyperlink ref="C9" location="TailoredBudgeting" display="Tailored Budgeting" xr:uid="{F25245C6-7053-422A-B3E4-943C33C4718A}"/>
    <hyperlink ref="C10" location="CapExpenditures" display="Capital Expenditures" xr:uid="{A70E6F7C-4FB9-405A-B026-40BEA1509C63}"/>
    <hyperlink ref="C72" r:id="rId3" display="Note: Indirect expenses are different from direct administrative expenses. Do not apply this category to direct administrative expenses. For more information on the difference between indirect and direct administrative expenses, see ODE's Administrative Costs Brief." xr:uid="{5A0A2E2B-DF1A-4E50-964F-D540D3A5865C}"/>
    <hyperlink ref="C69" r:id="rId4" display="Meals and Snacks: Costs associated with providing students with meals and snacks that meet USDA nutritional guidelines. *The 21st CCLC grant is not designed to fund all anticipated program costs. All programs should pursue other funding sources to cover these expenses prior to charging them to the grant. For more information, please see this guidance on using grant funds for food costs." xr:uid="{6F3DC85F-E81A-4C20-85BC-36ED089BACE7}"/>
  </hyperlinks>
  <pageMargins left="0.7" right="0.7" top="0.75" bottom="0.75" header="0.3" footer="0.3"/>
  <pageSetup scale="92" fitToHeight="0" orientation="portrait" horizontalDpi="300" verticalDpi="300"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E3A05-F774-4453-B3BF-5084BB2FFA9D}">
  <sheetPr>
    <tabColor rgb="FFAAD4F4"/>
    <pageSetUpPr autoPageBreaks="0" fitToPage="1"/>
  </sheetPr>
  <dimension ref="A1:Z90"/>
  <sheetViews>
    <sheetView showGridLines="0" showRowColHeaders="0" zoomScaleNormal="100" workbookViewId="0">
      <pane ySplit="15" topLeftCell="A16" activePane="bottomLeft" state="frozen"/>
      <selection activeCell="C4" sqref="C4"/>
      <selection pane="bottomLeft" activeCell="C4" sqref="C4"/>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577</v>
      </c>
      <c r="C2" s="396"/>
      <c r="D2" s="396"/>
      <c r="E2" s="396"/>
      <c r="F2" s="396"/>
      <c r="G2" s="397"/>
    </row>
    <row r="3" spans="1:26" customFormat="1" x14ac:dyDescent="0.25">
      <c r="A3" s="1" t="s">
        <v>0</v>
      </c>
    </row>
    <row r="4" spans="1:26" customFormat="1" x14ac:dyDescent="0.25">
      <c r="A4" s="1" t="s">
        <v>0</v>
      </c>
      <c r="B4" s="134" t="s">
        <v>536</v>
      </c>
      <c r="C4" s="111" t="s">
        <v>547</v>
      </c>
      <c r="D4" s="284" t="s">
        <v>666</v>
      </c>
      <c r="E4" s="137"/>
    </row>
    <row r="5" spans="1:26" customFormat="1" ht="16.5" customHeight="1" x14ac:dyDescent="0.25">
      <c r="A5" s="1" t="s">
        <v>0</v>
      </c>
      <c r="B5" s="139" t="s">
        <v>537</v>
      </c>
      <c r="C5" s="398" t="str">
        <f>IF($C$4="(enter ID)","(autofill)",IFERROR(VLOOKUP($C$4,Entity_IDs[],2,0),"Invalid Entity ID"))</f>
        <v>(autofill)</v>
      </c>
      <c r="D5" s="399"/>
      <c r="E5" s="400"/>
    </row>
    <row r="6" spans="1:26" customFormat="1" ht="16.5" customHeight="1" x14ac:dyDescent="0.25">
      <c r="A6" s="1" t="s">
        <v>0</v>
      </c>
      <c r="B6" s="140" t="s">
        <v>538</v>
      </c>
      <c r="C6" s="401" t="s">
        <v>576</v>
      </c>
      <c r="D6" s="402"/>
      <c r="E6" s="403"/>
      <c r="H6" s="141" t="s">
        <v>8</v>
      </c>
      <c r="I6" s="142" t="s">
        <v>9</v>
      </c>
      <c r="J6" s="142" t="s">
        <v>9</v>
      </c>
      <c r="K6" s="142" t="s">
        <v>9</v>
      </c>
      <c r="L6" s="142" t="s">
        <v>9</v>
      </c>
      <c r="M6" s="142" t="s">
        <v>9</v>
      </c>
      <c r="N6" s="142"/>
    </row>
    <row r="7" spans="1:26" s="146" customFormat="1" ht="30" customHeight="1" thickBot="1" x14ac:dyDescent="0.3">
      <c r="A7" s="1" t="s">
        <v>0</v>
      </c>
      <c r="B7" s="143" t="s">
        <v>539</v>
      </c>
      <c r="C7" s="112" t="str">
        <f>IF($C$4="(enter ID)","(autofill)",IFERROR(VLOOKUP($C$4,Entity_IDs[],3,0),"Invalid ID"))</f>
        <v>(autofill)</v>
      </c>
      <c r="D7" s="144"/>
      <c r="E7" s="145"/>
      <c r="G7"/>
      <c r="H7" s="297" t="s">
        <v>289</v>
      </c>
      <c r="I7" s="147"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x14ac:dyDescent="0.25">
      <c r="A8" s="1" t="s">
        <v>0</v>
      </c>
      <c r="G8" s="149" t="s">
        <v>608</v>
      </c>
      <c r="H8" s="298">
        <f>ROUND(SUMIF(Program_Detail[[Program Type]:[Program Type]],"Before/Afterschool",Program_Detail[21st CCLC,  Title IV-B]),2)</f>
        <v>0</v>
      </c>
      <c r="I8" s="302">
        <f>ROUND(SUMIF(Program_Detail[[Program Type]:[Program Type]],"Before/Afterschool",Program_Detail[(enter addt''l. fund source 1)]),2)</f>
        <v>0</v>
      </c>
      <c r="J8" s="303">
        <f>ROUND(SUMIF(Program_Detail[[Program Type]:[Program Type]],"Before/Afterschool",Program_Detail[(enter addt''l. fund source 2)]),2)</f>
        <v>0</v>
      </c>
      <c r="K8" s="303">
        <f>ROUND(SUMIF(Program_Detail[[Program Type]:[Program Type]],"Before/Afterschool",Program_Detail[(enter addt''l. fund source 3)]),2)</f>
        <v>0</v>
      </c>
      <c r="L8" s="303">
        <f>ROUND(SUMIF(Program_Detail[[Program Type]:[Program Type]],"Before/Afterschool",Program_Detail[(enter addt''l. fund source 4)]),2)</f>
        <v>0</v>
      </c>
      <c r="M8" s="304">
        <f>ROUND(SUMIF(Program_Detail[[Program Type]:[Program Type]],"Before/Afterschool",Program_Detail[(enter addt''l. fund source 5)]),2)</f>
        <v>0</v>
      </c>
      <c r="N8" s="299">
        <f>SUM(Program_Summary[[#This Row],[Column3]:[Column8]])</f>
        <v>0</v>
      </c>
    </row>
    <row r="9" spans="1:26" customFormat="1" x14ac:dyDescent="0.25">
      <c r="A9" s="1" t="s">
        <v>0</v>
      </c>
      <c r="G9" s="149" t="s">
        <v>609</v>
      </c>
      <c r="H9" s="300">
        <f>ROUND(SUMIF(Program_Detail[[Program Type]:[Program Type]],"Summer",Program_Detail[21st CCLC,  Title IV-B]),2)</f>
        <v>0</v>
      </c>
      <c r="I9" s="305">
        <f>ROUND(SUMIF(Program_Detail[[Program Type]:[Program Type]],"Summer",Program_Detail[(enter addt''l. fund source 1)]),2)</f>
        <v>0</v>
      </c>
      <c r="J9" s="306">
        <f>ROUND(SUMIF(Program_Detail[[Program Type]:[Program Type]],"Summer",Program_Detail[(enter addt''l. fund source 2)]),2)</f>
        <v>0</v>
      </c>
      <c r="K9" s="306">
        <f>ROUND(SUMIF(Program_Detail[[Program Type]:[Program Type]],"Summer",Program_Detail[(enter addt''l. fund source 3)]),2)</f>
        <v>0</v>
      </c>
      <c r="L9" s="306">
        <f>ROUND(SUMIF(Program_Detail[[Program Type]:[Program Type]],"Summer",Program_Detail[(enter addt''l. fund source 4)]),2)</f>
        <v>0</v>
      </c>
      <c r="M9" s="307">
        <f>ROUND(SUMIF(Program_Detail[[Program Type]:[Program Type]],"Summer",Program_Detail[(enter addt''l. fund source 5)]),2)</f>
        <v>0</v>
      </c>
      <c r="N9" s="301">
        <f>SUM(Program_Summary[[#This Row],[Column3]:[Column8]])</f>
        <v>0</v>
      </c>
    </row>
    <row r="10" spans="1:26" customFormat="1" x14ac:dyDescent="0.25">
      <c r="A10" s="1" t="s">
        <v>0</v>
      </c>
      <c r="G10" s="152" t="s">
        <v>610</v>
      </c>
      <c r="H10" s="247">
        <f>ROUND(SUM(Program_Detail[21st CCLC,  Title IV-B]),2)</f>
        <v>0</v>
      </c>
      <c r="I10" s="248">
        <f>ROUND(SUM(Program_Detail[(enter addt''l. fund source 1)]),2)</f>
        <v>0</v>
      </c>
      <c r="J10" s="109">
        <f>ROUND(SUM(Program_Detail[(enter addt''l. fund source 2)]),2)</f>
        <v>0</v>
      </c>
      <c r="K10" s="109">
        <f>ROUND(SUM(Program_Detail[(enter addt''l. fund source 3)]),2)</f>
        <v>0</v>
      </c>
      <c r="L10" s="109">
        <f>ROUND(SUM(Program_Detail[(enter addt''l. fund source 4)]),2)</f>
        <v>0</v>
      </c>
      <c r="M10" s="110">
        <f>ROUND(SUM(Program_Detail[(enter addt''l. fund source 5)]),2)</f>
        <v>0</v>
      </c>
      <c r="N10" s="238">
        <f>SUM(Program_Summary[[#This Row],[Column3]:[Column8]])</f>
        <v>0</v>
      </c>
    </row>
    <row r="11" spans="1:26" customFormat="1" x14ac:dyDescent="0.25">
      <c r="A11" s="1" t="s">
        <v>0</v>
      </c>
      <c r="G11" s="153" t="s">
        <v>16</v>
      </c>
      <c r="H11" s="291" t="s">
        <v>17</v>
      </c>
      <c r="I11" s="308" t="s">
        <v>17</v>
      </c>
      <c r="J11" s="309" t="s">
        <v>17</v>
      </c>
      <c r="K11" s="309" t="s">
        <v>17</v>
      </c>
      <c r="L11" s="309" t="s">
        <v>17</v>
      </c>
      <c r="M11" s="310" t="s">
        <v>17</v>
      </c>
      <c r="N11" s="292" t="s">
        <v>6</v>
      </c>
    </row>
    <row r="12" spans="1:26" customFormat="1" x14ac:dyDescent="0.25">
      <c r="A12" s="1" t="s">
        <v>0</v>
      </c>
      <c r="G12" s="154" t="s">
        <v>18</v>
      </c>
      <c r="H12" s="293">
        <f>IFERROR(ROUND(H$11*$C$7,2),0)</f>
        <v>0</v>
      </c>
      <c r="I12" s="311">
        <f>IFERROR(ROUND(I$11*SUM(S$16:S$26),2),0)</f>
        <v>0</v>
      </c>
      <c r="J12" s="312">
        <f>IFERROR(ROUND(J$11*SUM(T$16:T$26),2),0)</f>
        <v>0</v>
      </c>
      <c r="K12" s="312">
        <f>IFERROR(ROUND(K$11*SUM(U$16:U$26),2),0)</f>
        <v>0</v>
      </c>
      <c r="L12" s="312">
        <f>IFERROR(ROUND(L$11*SUM(V$16:V$26),2),0)</f>
        <v>0</v>
      </c>
      <c r="M12" s="313">
        <f>IFERROR(ROUND(M$11*SUM(W$16:W$26),2),0)</f>
        <v>0</v>
      </c>
      <c r="N12" s="294">
        <f>SUM(Program_Summary[[#This Row],[Column3]:[Column8]])</f>
        <v>0</v>
      </c>
    </row>
    <row r="13" spans="1:26" customFormat="1" x14ac:dyDescent="0.25">
      <c r="A13" s="1" t="s">
        <v>0</v>
      </c>
      <c r="G13" s="153" t="s">
        <v>288</v>
      </c>
      <c r="H13" s="295">
        <f>ROUND(SUMIFS(Program_Detail[21st CCLC,  Title IV-B],Program_Detail[[Category]:[Category]],"Indirect",Program_Detail[[Contracted Service?]:[Contracted Service?]],"&lt;&gt;Yes"),2)</f>
        <v>0</v>
      </c>
      <c r="I13" s="314">
        <f>ROUND(SUMIFS(Program_Detail[(enter addt''l. fund source 1)],Program_Detail[[Category]:[Category]],"Indirect",Program_Detail[[Contracted Service?]:[Contracted Service?]],"&lt;&gt;Yes"),2)</f>
        <v>0</v>
      </c>
      <c r="J13" s="315">
        <f>ROUND(SUMIFS(Program_Detail[(enter addt''l. fund source 2)],Program_Detail[[Category]:[Category]],"Indirect",Program_Detail[[Contracted Service?]:[Contracted Service?]],"&lt;&gt;Yes"),2)</f>
        <v>0</v>
      </c>
      <c r="K13" s="315">
        <f>ROUND(SUMIFS(Program_Detail[(enter addt''l. fund source 3)],Program_Detail[[Category]:[Category]],"Indirect",Program_Detail[[Contracted Service?]:[Contracted Service?]],"&lt;&gt;Yes"),2)</f>
        <v>0</v>
      </c>
      <c r="L13" s="315">
        <f>ROUND(SUMIFS(Program_Detail[(enter addt''l. fund source 4)],Program_Detail[[Category]:[Category]],"Indirect",Program_Detail[[Contracted Service?]:[Contracted Service?]],"&lt;&gt;Yes"),2)</f>
        <v>0</v>
      </c>
      <c r="M13" s="316">
        <f>ROUND(SUMIFS(Program_Detail[(enter addt''l. fund source 5)],Program_Detail[[Category]:[Category]],"Indirect",Program_Detail[[Contracted Service?]:[Contracted Service?]],"&lt;&gt;Yes"),2)</f>
        <v>0</v>
      </c>
      <c r="N13" s="296">
        <f>SUM(Program_Summary[[#This Row],[Column3]:[Column8]])</f>
        <v>0</v>
      </c>
    </row>
    <row r="14" spans="1:26" customFormat="1" x14ac:dyDescent="0.25">
      <c r="A14" s="1" t="s">
        <v>0</v>
      </c>
      <c r="B14" s="155" t="s">
        <v>540</v>
      </c>
      <c r="H14" s="141" t="s">
        <v>8</v>
      </c>
      <c r="I14" s="142" t="s">
        <v>9</v>
      </c>
      <c r="J14" s="142" t="s">
        <v>9</v>
      </c>
      <c r="K14" s="142" t="s">
        <v>9</v>
      </c>
      <c r="L14" s="142" t="s">
        <v>9</v>
      </c>
      <c r="M14" s="142" t="s">
        <v>9</v>
      </c>
      <c r="N14" s="142" t="s">
        <v>595</v>
      </c>
      <c r="O14" s="194" t="s">
        <v>9</v>
      </c>
    </row>
    <row r="15" spans="1:26" s="146" customFormat="1" ht="30.75" customHeight="1" thickBot="1" x14ac:dyDescent="0.3">
      <c r="A15" s="1" t="s">
        <v>0</v>
      </c>
      <c r="B15" s="156" t="s">
        <v>290</v>
      </c>
      <c r="C15" s="157" t="s">
        <v>541</v>
      </c>
      <c r="D15" s="158" t="s">
        <v>19</v>
      </c>
      <c r="E15" s="157" t="s">
        <v>20</v>
      </c>
      <c r="F15" s="157" t="s">
        <v>21</v>
      </c>
      <c r="G15" s="210" t="s">
        <v>22</v>
      </c>
      <c r="H15" s="211" t="s">
        <v>289</v>
      </c>
      <c r="I15" s="288" t="s">
        <v>10</v>
      </c>
      <c r="J15" s="289" t="s">
        <v>11</v>
      </c>
      <c r="K15" s="289" t="s">
        <v>12</v>
      </c>
      <c r="L15" s="289" t="s">
        <v>13</v>
      </c>
      <c r="M15" s="290" t="s">
        <v>14</v>
      </c>
      <c r="N15" s="214" t="s">
        <v>607</v>
      </c>
      <c r="O15" s="215" t="s">
        <v>23</v>
      </c>
      <c r="P15"/>
      <c r="Q15" s="371" t="s">
        <v>544</v>
      </c>
      <c r="R15" s="372" t="s">
        <v>289</v>
      </c>
      <c r="S15" s="373" t="str">
        <f>IF(IFERROR(FIND("enter",Program_Detail[[#Headers],[(enter addt''l. fund source 1)]]),0)&gt;0,"(addt'l. fund source 1)",Program_Detail[[#Headers],[(enter addt''l. fund source 1)]])</f>
        <v>(addt'l. fund source 1)</v>
      </c>
      <c r="T15" s="374" t="str">
        <f>IF(IFERROR(FIND("enter",Program_Detail[[#Headers],[(enter addt''l. fund source 2)]]),0)&gt;0,"(addt'l. fund source 2)",Program_Detail[[#Headers],[(enter addt''l. fund source 2)]])</f>
        <v>(addt'l. fund source 2)</v>
      </c>
      <c r="U15" s="374" t="str">
        <f>IF(IFERROR(FIND("enter",Program_Detail[[#Headers],[(enter addt''l. fund source 3)]]),0)&gt;0,"(addt'l. fund source 3)",Program_Detail[[#Headers],[(enter addt''l. fund source 3)]])</f>
        <v>(addt'l. fund source 3)</v>
      </c>
      <c r="V15" s="374" t="str">
        <f>IF(IFERROR(FIND("enter",Program_Detail[[#Headers],[(enter addt''l. fund source 4)]]),0)&gt;0,"(addt'l. fund source 4)",Program_Detail[[#Headers],[(enter addt''l. fund source 4)]])</f>
        <v>(addt'l. fund source 4)</v>
      </c>
      <c r="W15" s="375" t="str">
        <f>IF(IFERROR(FIND("enter",Program_Detail[[#Headers],[(enter addt''l. fund source 5)]]),0)&gt;0,"(addt'l. fund source 5)",Program_Detail[[#Headers],[(enter addt''l. fund source 5)]])</f>
        <v>(addt'l. fund source 5)</v>
      </c>
      <c r="X15" s="376" t="s">
        <v>607</v>
      </c>
      <c r="Z15" s="178" t="s">
        <v>0</v>
      </c>
    </row>
    <row r="16" spans="1:26" x14ac:dyDescent="0.25">
      <c r="A16" s="270" t="s">
        <v>534</v>
      </c>
      <c r="B16" s="317" t="s">
        <v>24</v>
      </c>
      <c r="C16" s="318" t="s">
        <v>24</v>
      </c>
      <c r="D16" s="319" t="s">
        <v>24</v>
      </c>
      <c r="E16" s="318" t="s">
        <v>25</v>
      </c>
      <c r="F16" s="318" t="s">
        <v>26</v>
      </c>
      <c r="G16" s="329" t="s">
        <v>27</v>
      </c>
      <c r="H16" s="335" t="s">
        <v>15</v>
      </c>
      <c r="I16" s="332" t="s">
        <v>15</v>
      </c>
      <c r="J16" s="320" t="s">
        <v>15</v>
      </c>
      <c r="K16" s="320" t="s">
        <v>15</v>
      </c>
      <c r="L16" s="320" t="s">
        <v>15</v>
      </c>
      <c r="M16" s="338" t="s">
        <v>15</v>
      </c>
      <c r="N16" s="344">
        <f>ROUND(SUM(Program_Detail[[#This Row],[21st CCLC,  Title IV-B]:[(enter addt''l. fund source 5)]]),2)</f>
        <v>0</v>
      </c>
      <c r="O16" s="341" t="s">
        <v>28</v>
      </c>
      <c r="P16" s="378"/>
      <c r="Q16" s="349" t="s">
        <v>545</v>
      </c>
      <c r="R16" s="353" cm="1">
        <f t="array" ref="R16">SUMIF(Program_Detail[[Category]:[Category]],Program_Category_Sum[[#This Row],[Column1]:[Column1]],Program_Detail[21st CCLC,  Title IV-B])</f>
        <v>0</v>
      </c>
      <c r="S16" s="351" cm="1">
        <f t="array" ref="S16">SUMIF(Program_Detail[[Category]:[Category]],Program_Category_Sum[[#This Row],[Column1]:[Column1]],Program_Detail[(enter addt''l. fund source 1)])</f>
        <v>0</v>
      </c>
      <c r="T16" s="347" cm="1">
        <f t="array" ref="T16">SUMIF(Program_Detail[[Category]:[Category]],Program_Category_Sum[[#This Row],[Column1]:[Column1]],Program_Detail[(enter addt''l. fund source 2)])</f>
        <v>0</v>
      </c>
      <c r="U16" s="347" cm="1">
        <f t="array" ref="U16">SUMIF(Program_Detail[[Category]:[Category]],Program_Category_Sum[[#This Row],[Column1]:[Column1]],Program_Detail[(enter addt''l. fund source 3)])</f>
        <v>0</v>
      </c>
      <c r="V16" s="347" cm="1">
        <f t="array" ref="V16">SUMIF(Program_Detail[[Category]:[Category]],Program_Category_Sum[[#This Row],[Column1]:[Column1]],Program_Detail[(enter addt''l. fund source 4)])</f>
        <v>0</v>
      </c>
      <c r="W16" s="355" cm="1">
        <f t="array" ref="W16">SUMIF(Program_Detail[[Category]:[Category]],Program_Category_Sum[[#This Row],[Column1]:[Column1]],Program_Detail[(enter addt''l. fund source 5)])</f>
        <v>0</v>
      </c>
      <c r="X16" s="357">
        <f>ROUND(SUM(Program_Category_Sum[[#This Row],[Column2]:[Column7]]),2)</f>
        <v>0</v>
      </c>
      <c r="Y16" s="380"/>
      <c r="Z16" s="178" t="s">
        <v>0</v>
      </c>
    </row>
    <row r="17" spans="2:26" x14ac:dyDescent="0.25">
      <c r="B17" s="321"/>
      <c r="C17" s="322"/>
      <c r="D17" s="323"/>
      <c r="E17" s="322"/>
      <c r="F17" s="322"/>
      <c r="G17" s="330"/>
      <c r="H17" s="336"/>
      <c r="I17" s="333"/>
      <c r="J17" s="324"/>
      <c r="K17" s="324"/>
      <c r="L17" s="324"/>
      <c r="M17" s="339"/>
      <c r="N17" s="345">
        <f>ROUND(SUM(Program_Detail[[#This Row],[21st CCLC,  Title IV-B]:[(enter addt''l. fund source 5)]]),2)</f>
        <v>0</v>
      </c>
      <c r="O17" s="342"/>
      <c r="P17" s="378"/>
      <c r="Q17" s="350" t="s">
        <v>546</v>
      </c>
      <c r="R17" s="354" cm="1">
        <f t="array" ref="R17">SUMIF(Program_Detail[[Category]:[Category]],Program_Category_Sum[[#This Row],[Column1]:[Column1]],Program_Detail[21st CCLC,  Title IV-B])</f>
        <v>0</v>
      </c>
      <c r="S17" s="352" cm="1">
        <f t="array" ref="S17">SUMIF(Program_Detail[[Category]:[Category]],Program_Category_Sum[[#This Row],[Column1]:[Column1]],Program_Detail[(enter addt''l. fund source 1)])</f>
        <v>0</v>
      </c>
      <c r="T17" s="348" cm="1">
        <f t="array" ref="T17">SUMIF(Program_Detail[[Category]:[Category]],Program_Category_Sum[[#This Row],[Column1]:[Column1]],Program_Detail[(enter addt''l. fund source 2)])</f>
        <v>0</v>
      </c>
      <c r="U17" s="348" cm="1">
        <f t="array" ref="U17">SUMIF(Program_Detail[[Category]:[Category]],Program_Category_Sum[[#This Row],[Column1]:[Column1]],Program_Detail[(enter addt''l. fund source 3)])</f>
        <v>0</v>
      </c>
      <c r="V17" s="348" cm="1">
        <f t="array" ref="V17">SUMIF(Program_Detail[[Category]:[Category]],Program_Category_Sum[[#This Row],[Column1]:[Column1]],Program_Detail[(enter addt''l. fund source 4)])</f>
        <v>0</v>
      </c>
      <c r="W17" s="356" cm="1">
        <f t="array" ref="W17">SUMIF(Program_Detail[[Category]:[Category]],Program_Category_Sum[[#This Row],[Column1]:[Column1]],Program_Detail[(enter addt''l. fund source 5)])</f>
        <v>0</v>
      </c>
      <c r="X17" s="358">
        <f>ROUND(SUM(Program_Category_Sum[[#This Row],[Column2]:[Column7]]),2)</f>
        <v>0</v>
      </c>
      <c r="Y17" s="380"/>
      <c r="Z17" s="178" t="s">
        <v>0</v>
      </c>
    </row>
    <row r="18" spans="2:26" x14ac:dyDescent="0.25">
      <c r="B18" s="321"/>
      <c r="C18" s="322"/>
      <c r="D18" s="323"/>
      <c r="E18" s="322"/>
      <c r="F18" s="322"/>
      <c r="G18" s="330"/>
      <c r="H18" s="336"/>
      <c r="I18" s="333"/>
      <c r="J18" s="324"/>
      <c r="K18" s="324"/>
      <c r="L18" s="324"/>
      <c r="M18" s="339"/>
      <c r="N18" s="345">
        <f>ROUND(SUM(Program_Detail[[#This Row],[21st CCLC,  Title IV-B]:[(enter addt''l. fund source 5)]]),2)</f>
        <v>0</v>
      </c>
      <c r="O18" s="342"/>
      <c r="P18" s="378"/>
      <c r="Q18" s="350" t="s">
        <v>161</v>
      </c>
      <c r="R18" s="354" cm="1">
        <f t="array" ref="R18">SUMIF(Program_Detail[[Category]:[Category]],Program_Category_Sum[[#This Row],[Column1]:[Column1]],Program_Detail[21st CCLC,  Title IV-B])</f>
        <v>0</v>
      </c>
      <c r="S18" s="352" cm="1">
        <f t="array" ref="S18">SUMIF(Program_Detail[[Category]:[Category]],Program_Category_Sum[[#This Row],[Column1]:[Column1]],Program_Detail[(enter addt''l. fund source 1)])</f>
        <v>0</v>
      </c>
      <c r="T18" s="348" cm="1">
        <f t="array" ref="T18">SUMIF(Program_Detail[[Category]:[Category]],Program_Category_Sum[[#This Row],[Column1]:[Column1]],Program_Detail[(enter addt''l. fund source 2)])</f>
        <v>0</v>
      </c>
      <c r="U18" s="348" cm="1">
        <f t="array" ref="U18">SUMIF(Program_Detail[[Category]:[Category]],Program_Category_Sum[[#This Row],[Column1]:[Column1]],Program_Detail[(enter addt''l. fund source 3)])</f>
        <v>0</v>
      </c>
      <c r="V18" s="348" cm="1">
        <f t="array" ref="V18">SUMIF(Program_Detail[[Category]:[Category]],Program_Category_Sum[[#This Row],[Column1]:[Column1]],Program_Detail[(enter addt''l. fund source 4)])</f>
        <v>0</v>
      </c>
      <c r="W18" s="356" cm="1">
        <f t="array" ref="W18">SUMIF(Program_Detail[[Category]:[Category]],Program_Category_Sum[[#This Row],[Column1]:[Column1]],Program_Detail[(enter addt''l. fund source 5)])</f>
        <v>0</v>
      </c>
      <c r="X18" s="358">
        <f>ROUND(SUM(Program_Category_Sum[[#This Row],[Column2]:[Column7]]),2)</f>
        <v>0</v>
      </c>
      <c r="Y18" s="380"/>
      <c r="Z18" s="178" t="s">
        <v>0</v>
      </c>
    </row>
    <row r="19" spans="2:26" x14ac:dyDescent="0.25">
      <c r="B19" s="321"/>
      <c r="C19" s="322"/>
      <c r="D19" s="323"/>
      <c r="E19" s="322"/>
      <c r="F19" s="322"/>
      <c r="G19" s="330"/>
      <c r="H19" s="336"/>
      <c r="I19" s="333"/>
      <c r="J19" s="324"/>
      <c r="K19" s="324"/>
      <c r="L19" s="324"/>
      <c r="M19" s="339"/>
      <c r="N19" s="345">
        <f>ROUND(SUM(Program_Detail[[#This Row],[21st CCLC,  Title IV-B]:[(enter addt''l. fund source 5)]]),2)</f>
        <v>0</v>
      </c>
      <c r="O19" s="342"/>
      <c r="P19" s="378"/>
      <c r="Q19" s="350" t="s">
        <v>162</v>
      </c>
      <c r="R19" s="354" cm="1">
        <f t="array" ref="R19">SUMIF(Program_Detail[[Category]:[Category]],Program_Category_Sum[[#This Row],[Column1]:[Column1]],Program_Detail[21st CCLC,  Title IV-B])</f>
        <v>0</v>
      </c>
      <c r="S19" s="352" cm="1">
        <f t="array" ref="S19">SUMIF(Program_Detail[[Category]:[Category]],Program_Category_Sum[[#This Row],[Column1]:[Column1]],Program_Detail[(enter addt''l. fund source 1)])</f>
        <v>0</v>
      </c>
      <c r="T19" s="348" cm="1">
        <f t="array" ref="T19">SUMIF(Program_Detail[[Category]:[Category]],Program_Category_Sum[[#This Row],[Column1]:[Column1]],Program_Detail[(enter addt''l. fund source 2)])</f>
        <v>0</v>
      </c>
      <c r="U19" s="348" cm="1">
        <f t="array" ref="U19">SUMIF(Program_Detail[[Category]:[Category]],Program_Category_Sum[[#This Row],[Column1]:[Column1]],Program_Detail[(enter addt''l. fund source 3)])</f>
        <v>0</v>
      </c>
      <c r="V19" s="348" cm="1">
        <f t="array" ref="V19">SUMIF(Program_Detail[[Category]:[Category]],Program_Category_Sum[[#This Row],[Column1]:[Column1]],Program_Detail[(enter addt''l. fund source 4)])</f>
        <v>0</v>
      </c>
      <c r="W19" s="356" cm="1">
        <f t="array" ref="W19">SUMIF(Program_Detail[[Category]:[Category]],Program_Category_Sum[[#This Row],[Column1]:[Column1]],Program_Detail[(enter addt''l. fund source 5)])</f>
        <v>0</v>
      </c>
      <c r="X19" s="358">
        <f>ROUND(SUM(Program_Category_Sum[[#This Row],[Column2]:[Column7]]),2)</f>
        <v>0</v>
      </c>
      <c r="Y19" s="380"/>
      <c r="Z19" s="178" t="s">
        <v>0</v>
      </c>
    </row>
    <row r="20" spans="2:26" x14ac:dyDescent="0.25">
      <c r="B20" s="321"/>
      <c r="C20" s="322"/>
      <c r="D20" s="323"/>
      <c r="E20" s="322"/>
      <c r="F20" s="322"/>
      <c r="G20" s="330"/>
      <c r="H20" s="336"/>
      <c r="I20" s="333"/>
      <c r="J20" s="324"/>
      <c r="K20" s="324"/>
      <c r="L20" s="324"/>
      <c r="M20" s="339"/>
      <c r="N20" s="345">
        <f>ROUND(SUM(Program_Detail[[#This Row],[21st CCLC,  Title IV-B]:[(enter addt''l. fund source 5)]]),2)</f>
        <v>0</v>
      </c>
      <c r="O20" s="342"/>
      <c r="P20" s="378"/>
      <c r="Q20" s="350" t="s">
        <v>596</v>
      </c>
      <c r="R20" s="354" cm="1">
        <f t="array" ref="R20">SUMIF(Program_Detail[[Category]:[Category]],Program_Category_Sum[[#This Row],[Column1]:[Column1]],Program_Detail[21st CCLC,  Title IV-B])</f>
        <v>0</v>
      </c>
      <c r="S20" s="352" cm="1">
        <f t="array" ref="S20">SUMIF(Program_Detail[[Category]:[Category]],Program_Category_Sum[[#This Row],[Column1]:[Column1]],Program_Detail[(enter addt''l. fund source 1)])</f>
        <v>0</v>
      </c>
      <c r="T20" s="348" cm="1">
        <f t="array" ref="T20">SUMIF(Program_Detail[[Category]:[Category]],Program_Category_Sum[[#This Row],[Column1]:[Column1]],Program_Detail[(enter addt''l. fund source 2)])</f>
        <v>0</v>
      </c>
      <c r="U20" s="348" cm="1">
        <f t="array" ref="U20">SUMIF(Program_Detail[[Category]:[Category]],Program_Category_Sum[[#This Row],[Column1]:[Column1]],Program_Detail[(enter addt''l. fund source 3)])</f>
        <v>0</v>
      </c>
      <c r="V20" s="348" cm="1">
        <f t="array" ref="V20">SUMIF(Program_Detail[[Category]:[Category]],Program_Category_Sum[[#This Row],[Column1]:[Column1]],Program_Detail[(enter addt''l. fund source 4)])</f>
        <v>0</v>
      </c>
      <c r="W20" s="356" cm="1">
        <f t="array" ref="W20">SUMIF(Program_Detail[[Category]:[Category]],Program_Category_Sum[[#This Row],[Column1]:[Column1]],Program_Detail[(enter addt''l. fund source 5)])</f>
        <v>0</v>
      </c>
      <c r="X20" s="358">
        <f>ROUND(SUM(Program_Category_Sum[[#This Row],[Column2]:[Column7]]),2)</f>
        <v>0</v>
      </c>
      <c r="Y20" s="380"/>
      <c r="Z20" s="178" t="s">
        <v>0</v>
      </c>
    </row>
    <row r="21" spans="2:26" x14ac:dyDescent="0.25">
      <c r="B21" s="321"/>
      <c r="C21" s="322"/>
      <c r="D21" s="323"/>
      <c r="E21" s="322"/>
      <c r="F21" s="322"/>
      <c r="G21" s="330"/>
      <c r="H21" s="336"/>
      <c r="I21" s="333"/>
      <c r="J21" s="324"/>
      <c r="K21" s="324"/>
      <c r="L21" s="324"/>
      <c r="M21" s="339"/>
      <c r="N21" s="345">
        <f>ROUND(SUM(Program_Detail[[#This Row],[21st CCLC,  Title IV-B]:[(enter addt''l. fund source 5)]]),2)</f>
        <v>0</v>
      </c>
      <c r="O21" s="342"/>
      <c r="P21" s="378"/>
      <c r="Q21" s="350" t="s">
        <v>160</v>
      </c>
      <c r="R21" s="354" cm="1">
        <f t="array" ref="R21">SUMIF(Program_Detail[[Category]:[Category]],Program_Category_Sum[[#This Row],[Column1]:[Column1]],Program_Detail[21st CCLC,  Title IV-B])</f>
        <v>0</v>
      </c>
      <c r="S21" s="352" cm="1">
        <f t="array" ref="S21">SUMIF(Program_Detail[[Category]:[Category]],Program_Category_Sum[[#This Row],[Column1]:[Column1]],Program_Detail[(enter addt''l. fund source 1)])</f>
        <v>0</v>
      </c>
      <c r="T21" s="348" cm="1">
        <f t="array" ref="T21">SUMIF(Program_Detail[[Category]:[Category]],Program_Category_Sum[[#This Row],[Column1]:[Column1]],Program_Detail[(enter addt''l. fund source 2)])</f>
        <v>0</v>
      </c>
      <c r="U21" s="348" cm="1">
        <f t="array" ref="U21">SUMIF(Program_Detail[[Category]:[Category]],Program_Category_Sum[[#This Row],[Column1]:[Column1]],Program_Detail[(enter addt''l. fund source 3)])</f>
        <v>0</v>
      </c>
      <c r="V21" s="348" cm="1">
        <f t="array" ref="V21">SUMIF(Program_Detail[[Category]:[Category]],Program_Category_Sum[[#This Row],[Column1]:[Column1]],Program_Detail[(enter addt''l. fund source 4)])</f>
        <v>0</v>
      </c>
      <c r="W21" s="356" cm="1">
        <f t="array" ref="W21">SUMIF(Program_Detail[[Category]:[Category]],Program_Category_Sum[[#This Row],[Column1]:[Column1]],Program_Detail[(enter addt''l. fund source 5)])</f>
        <v>0</v>
      </c>
      <c r="X21" s="358">
        <f>ROUND(SUM(Program_Category_Sum[[#This Row],[Column2]:[Column7]]),2)</f>
        <v>0</v>
      </c>
      <c r="Y21" s="380"/>
      <c r="Z21" s="178" t="s">
        <v>0</v>
      </c>
    </row>
    <row r="22" spans="2:26" x14ac:dyDescent="0.25">
      <c r="B22" s="321"/>
      <c r="C22" s="322"/>
      <c r="D22" s="323"/>
      <c r="E22" s="322"/>
      <c r="F22" s="322"/>
      <c r="G22" s="330"/>
      <c r="H22" s="336"/>
      <c r="I22" s="333"/>
      <c r="J22" s="324"/>
      <c r="K22" s="324"/>
      <c r="L22" s="324"/>
      <c r="M22" s="339"/>
      <c r="N22" s="345">
        <f>ROUND(SUM(Program_Detail[[#This Row],[21st CCLC,  Title IV-B]:[(enter addt''l. fund source 5)]]),2)</f>
        <v>0</v>
      </c>
      <c r="O22" s="342"/>
      <c r="P22" s="378"/>
      <c r="Q22" s="350" t="s">
        <v>566</v>
      </c>
      <c r="R22" s="354" cm="1">
        <f t="array" ref="R22">SUMIF(Program_Detail[[Category]:[Category]],Program_Category_Sum[[#This Row],[Column1]:[Column1]],Program_Detail[21st CCLC,  Title IV-B])</f>
        <v>0</v>
      </c>
      <c r="S22" s="352" cm="1">
        <f t="array" ref="S22">SUMIF(Program_Detail[[Category]:[Category]],Program_Category_Sum[[#This Row],[Column1]:[Column1]],Program_Detail[(enter addt''l. fund source 1)])</f>
        <v>0</v>
      </c>
      <c r="T22" s="348" cm="1">
        <f t="array" ref="T22">SUMIF(Program_Detail[[Category]:[Category]],Program_Category_Sum[[#This Row],[Column1]:[Column1]],Program_Detail[(enter addt''l. fund source 2)])</f>
        <v>0</v>
      </c>
      <c r="U22" s="348" cm="1">
        <f t="array" ref="U22">SUMIF(Program_Detail[[Category]:[Category]],Program_Category_Sum[[#This Row],[Column1]:[Column1]],Program_Detail[(enter addt''l. fund source 3)])</f>
        <v>0</v>
      </c>
      <c r="V22" s="348" cm="1">
        <f t="array" ref="V22">SUMIF(Program_Detail[[Category]:[Category]],Program_Category_Sum[[#This Row],[Column1]:[Column1]],Program_Detail[(enter addt''l. fund source 4)])</f>
        <v>0</v>
      </c>
      <c r="W22" s="356" cm="1">
        <f t="array" ref="W22">SUMIF(Program_Detail[[Category]:[Category]],Program_Category_Sum[[#This Row],[Column1]:[Column1]],Program_Detail[(enter addt''l. fund source 5)])</f>
        <v>0</v>
      </c>
      <c r="X22" s="358">
        <f>ROUND(SUM(Program_Category_Sum[[#This Row],[Column2]:[Column7]]),2)</f>
        <v>0</v>
      </c>
      <c r="Y22" s="380"/>
      <c r="Z22" s="178" t="s">
        <v>0</v>
      </c>
    </row>
    <row r="23" spans="2:26" x14ac:dyDescent="0.25">
      <c r="B23" s="321"/>
      <c r="C23" s="322"/>
      <c r="D23" s="323"/>
      <c r="E23" s="322"/>
      <c r="F23" s="322"/>
      <c r="G23" s="330"/>
      <c r="H23" s="336"/>
      <c r="I23" s="333"/>
      <c r="J23" s="324"/>
      <c r="K23" s="324"/>
      <c r="L23" s="324"/>
      <c r="M23" s="339"/>
      <c r="N23" s="345">
        <f>ROUND(SUM(Program_Detail[[#This Row],[21st CCLC,  Title IV-B]:[(enter addt''l. fund source 5)]]),2)</f>
        <v>0</v>
      </c>
      <c r="O23" s="342"/>
      <c r="P23" s="378"/>
      <c r="Q23" s="350" t="s">
        <v>75</v>
      </c>
      <c r="R23" s="354" cm="1">
        <f t="array" ref="R23">SUMIF(Program_Detail[[Category]:[Category]],Program_Category_Sum[[#This Row],[Column1]:[Column1]],Program_Detail[21st CCLC,  Title IV-B])</f>
        <v>0</v>
      </c>
      <c r="S23" s="352" cm="1">
        <f t="array" ref="S23">SUMIF(Program_Detail[[Category]:[Category]],Program_Category_Sum[[#This Row],[Column1]:[Column1]],Program_Detail[(enter addt''l. fund source 1)])</f>
        <v>0</v>
      </c>
      <c r="T23" s="348" cm="1">
        <f t="array" ref="T23">SUMIF(Program_Detail[[Category]:[Category]],Program_Category_Sum[[#This Row],[Column1]:[Column1]],Program_Detail[(enter addt''l. fund source 2)])</f>
        <v>0</v>
      </c>
      <c r="U23" s="348" cm="1">
        <f t="array" ref="U23">SUMIF(Program_Detail[[Category]:[Category]],Program_Category_Sum[[#This Row],[Column1]:[Column1]],Program_Detail[(enter addt''l. fund source 3)])</f>
        <v>0</v>
      </c>
      <c r="V23" s="348" cm="1">
        <f t="array" ref="V23">SUMIF(Program_Detail[[Category]:[Category]],Program_Category_Sum[[#This Row],[Column1]:[Column1]],Program_Detail[(enter addt''l. fund source 4)])</f>
        <v>0</v>
      </c>
      <c r="W23" s="356" cm="1">
        <f t="array" ref="W23">SUMIF(Program_Detail[[Category]:[Category]],Program_Category_Sum[[#This Row],[Column1]:[Column1]],Program_Detail[(enter addt''l. fund source 5)])</f>
        <v>0</v>
      </c>
      <c r="X23" s="358">
        <f>ROUND(SUM(Program_Category_Sum[[#This Row],[Column2]:[Column7]]),2)</f>
        <v>0</v>
      </c>
      <c r="Y23" s="380"/>
      <c r="Z23" s="178" t="s">
        <v>0</v>
      </c>
    </row>
    <row r="24" spans="2:26" x14ac:dyDescent="0.25">
      <c r="B24" s="321"/>
      <c r="C24" s="322"/>
      <c r="D24" s="323"/>
      <c r="E24" s="322"/>
      <c r="F24" s="322"/>
      <c r="G24" s="330"/>
      <c r="H24" s="336"/>
      <c r="I24" s="333"/>
      <c r="J24" s="324"/>
      <c r="K24" s="324"/>
      <c r="L24" s="324"/>
      <c r="M24" s="339"/>
      <c r="N24" s="345">
        <f>ROUND(SUM(Program_Detail[[#This Row],[21st CCLC,  Title IV-B]:[(enter addt''l. fund source 5)]]),2)</f>
        <v>0</v>
      </c>
      <c r="O24" s="342"/>
      <c r="P24" s="378"/>
      <c r="Q24" s="350" t="s">
        <v>603</v>
      </c>
      <c r="R24" s="354" cm="1">
        <f t="array" ref="R24">SUMIF(Program_Detail[[Category]:[Category]],Program_Category_Sum[[#This Row],[Column1]:[Column1]],Program_Detail[21st CCLC,  Title IV-B])</f>
        <v>0</v>
      </c>
      <c r="S24" s="352" cm="1">
        <f t="array" ref="S24">SUMIF(Program_Detail[[Category]:[Category]],Program_Category_Sum[[#This Row],[Column1]:[Column1]],Program_Detail[(enter addt''l. fund source 1)])</f>
        <v>0</v>
      </c>
      <c r="T24" s="348" cm="1">
        <f t="array" ref="T24">SUMIF(Program_Detail[[Category]:[Category]],Program_Category_Sum[[#This Row],[Column1]:[Column1]],Program_Detail[(enter addt''l. fund source 2)])</f>
        <v>0</v>
      </c>
      <c r="U24" s="348" cm="1">
        <f t="array" ref="U24">SUMIF(Program_Detail[[Category]:[Category]],Program_Category_Sum[[#This Row],[Column1]:[Column1]],Program_Detail[(enter addt''l. fund source 3)])</f>
        <v>0</v>
      </c>
      <c r="V24" s="348" cm="1">
        <f t="array" ref="V24">SUMIF(Program_Detail[[Category]:[Category]],Program_Category_Sum[[#This Row],[Column1]:[Column1]],Program_Detail[(enter addt''l. fund source 4)])</f>
        <v>0</v>
      </c>
      <c r="W24" s="356" cm="1">
        <f t="array" ref="W24">SUMIF(Program_Detail[[Category]:[Category]],Program_Category_Sum[[#This Row],[Column1]:[Column1]],Program_Detail[(enter addt''l. fund source 5)])</f>
        <v>0</v>
      </c>
      <c r="X24" s="358">
        <f>ROUND(SUM(Program_Category_Sum[[#This Row],[Column2]:[Column7]]),2)</f>
        <v>0</v>
      </c>
      <c r="Y24" s="380"/>
      <c r="Z24" s="178" t="s">
        <v>0</v>
      </c>
    </row>
    <row r="25" spans="2:26" x14ac:dyDescent="0.25">
      <c r="B25" s="321"/>
      <c r="C25" s="322"/>
      <c r="D25" s="323"/>
      <c r="E25" s="322"/>
      <c r="F25" s="322"/>
      <c r="G25" s="330"/>
      <c r="H25" s="336"/>
      <c r="I25" s="333"/>
      <c r="J25" s="324"/>
      <c r="K25" s="324"/>
      <c r="L25" s="324"/>
      <c r="M25" s="339"/>
      <c r="N25" s="345">
        <f>ROUND(SUM(Program_Detail[[#This Row],[21st CCLC,  Title IV-B]:[(enter addt''l. fund source 5)]]),2)</f>
        <v>0</v>
      </c>
      <c r="O25" s="342"/>
      <c r="P25" s="378"/>
      <c r="Q25" s="350" t="s">
        <v>604</v>
      </c>
      <c r="R25" s="354" cm="1">
        <f t="array" ref="R25">SUMIF(Program_Detail[[Category]:[Category]],Program_Category_Sum[[#This Row],[Column1]:[Column1]],Program_Detail[21st CCLC,  Title IV-B])</f>
        <v>0</v>
      </c>
      <c r="S25" s="352" cm="1">
        <f t="array" ref="S25">SUMIF(Program_Detail[[Category]:[Category]],Program_Category_Sum[[#This Row],[Column1]:[Column1]],Program_Detail[(enter addt''l. fund source 1)])</f>
        <v>0</v>
      </c>
      <c r="T25" s="348" cm="1">
        <f t="array" ref="T25">SUMIF(Program_Detail[[Category]:[Category]],Program_Category_Sum[[#This Row],[Column1]:[Column1]],Program_Detail[(enter addt''l. fund source 2)])</f>
        <v>0</v>
      </c>
      <c r="U25" s="348" cm="1">
        <f t="array" ref="U25">SUMIF(Program_Detail[[Category]:[Category]],Program_Category_Sum[[#This Row],[Column1]:[Column1]],Program_Detail[(enter addt''l. fund source 3)])</f>
        <v>0</v>
      </c>
      <c r="V25" s="348" cm="1">
        <f t="array" ref="V25">SUMIF(Program_Detail[[Category]:[Category]],Program_Category_Sum[[#This Row],[Column1]:[Column1]],Program_Detail[(enter addt''l. fund source 4)])</f>
        <v>0</v>
      </c>
      <c r="W25" s="356" cm="1">
        <f t="array" ref="W25">SUMIF(Program_Detail[[Category]:[Category]],Program_Category_Sum[[#This Row],[Column1]:[Column1]],Program_Detail[(enter addt''l. fund source 5)])</f>
        <v>0</v>
      </c>
      <c r="X25" s="358">
        <f>ROUND(SUM(Program_Category_Sum[[#This Row],[Column2]:[Column7]]),2)</f>
        <v>0</v>
      </c>
      <c r="Y25" s="380"/>
      <c r="Z25" s="178" t="s">
        <v>0</v>
      </c>
    </row>
    <row r="26" spans="2:26" x14ac:dyDescent="0.25">
      <c r="B26" s="321"/>
      <c r="C26" s="322"/>
      <c r="D26" s="323"/>
      <c r="E26" s="322"/>
      <c r="F26" s="322"/>
      <c r="G26" s="330"/>
      <c r="H26" s="336"/>
      <c r="I26" s="333"/>
      <c r="J26" s="324"/>
      <c r="K26" s="324"/>
      <c r="L26" s="324"/>
      <c r="M26" s="339"/>
      <c r="N26" s="345">
        <f>ROUND(SUM(Program_Detail[[#This Row],[21st CCLC,  Title IV-B]:[(enter addt''l. fund source 5)]]),2)</f>
        <v>0</v>
      </c>
      <c r="O26" s="342"/>
      <c r="P26" s="378"/>
      <c r="Q26" s="350" t="s">
        <v>567</v>
      </c>
      <c r="R26" s="354" cm="1">
        <f t="array" ref="R26">SUMIF(Program_Detail[[Category]:[Category]],Program_Category_Sum[[#This Row],[Column1]:[Column1]],Program_Detail[21st CCLC,  Title IV-B])</f>
        <v>0</v>
      </c>
      <c r="S26" s="352" cm="1">
        <f t="array" ref="S26">SUMIF(Program_Detail[[Category]:[Category]],Program_Category_Sum[[#This Row],[Column1]:[Column1]],Program_Detail[(enter addt''l. fund source 1)])</f>
        <v>0</v>
      </c>
      <c r="T26" s="348" cm="1">
        <f t="array" ref="T26">SUMIF(Program_Detail[[Category]:[Category]],Program_Category_Sum[[#This Row],[Column1]:[Column1]],Program_Detail[(enter addt''l. fund source 2)])</f>
        <v>0</v>
      </c>
      <c r="U26" s="348" cm="1">
        <f t="array" ref="U26">SUMIF(Program_Detail[[Category]:[Category]],Program_Category_Sum[[#This Row],[Column1]:[Column1]],Program_Detail[(enter addt''l. fund source 3)])</f>
        <v>0</v>
      </c>
      <c r="V26" s="348" cm="1">
        <f t="array" ref="V26">SUMIF(Program_Detail[[Category]:[Category]],Program_Category_Sum[[#This Row],[Column1]:[Column1]],Program_Detail[(enter addt''l. fund source 4)])</f>
        <v>0</v>
      </c>
      <c r="W26" s="356" cm="1">
        <f t="array" ref="W26">SUMIF(Program_Detail[[Category]:[Category]],Program_Category_Sum[[#This Row],[Column1]:[Column1]],Program_Detail[(enter addt''l. fund source 5)])</f>
        <v>0</v>
      </c>
      <c r="X26" s="358">
        <f>ROUND(SUM(Program_Category_Sum[[#This Row],[Column2]:[Column7]]),2)</f>
        <v>0</v>
      </c>
      <c r="Y26" s="380"/>
      <c r="Z26" s="178" t="s">
        <v>0</v>
      </c>
    </row>
    <row r="27" spans="2:26" x14ac:dyDescent="0.25">
      <c r="B27" s="321"/>
      <c r="C27" s="322"/>
      <c r="D27" s="323"/>
      <c r="E27" s="322"/>
      <c r="F27" s="322"/>
      <c r="G27" s="330"/>
      <c r="H27" s="336"/>
      <c r="I27" s="333"/>
      <c r="J27" s="324"/>
      <c r="K27" s="324"/>
      <c r="L27" s="324"/>
      <c r="M27" s="339"/>
      <c r="N27" s="345">
        <f>ROUND(SUM(Program_Detail[[#This Row],[21st CCLC,  Title IV-B]:[(enter addt''l. fund source 5)]]),2)</f>
        <v>0</v>
      </c>
      <c r="O27" s="342"/>
      <c r="P27" s="378"/>
      <c r="Q27" s="359" t="s">
        <v>192</v>
      </c>
      <c r="R27" s="360">
        <f>ROUND(SUMIFS(Program_Detail[21st CCLC,  Title IV-B],Program_Detail[[Category]:[Category]],"Indirect",Program_Detail[[Contracted Service?]:[Contracted Service?]],"&lt;&gt;Yes"),2)</f>
        <v>0</v>
      </c>
      <c r="S27" s="361">
        <f>ROUND(SUMIFS(Program_Detail[(enter addt''l. fund source 1)],Program_Detail[[Category]:[Category]],"Indirect",Program_Detail[[Contracted Service?]:[Contracted Service?]],"&lt;&gt;Yes"),2)</f>
        <v>0</v>
      </c>
      <c r="T27" s="362">
        <f>ROUND(SUMIFS(Program_Detail[(enter addt''l. fund source 2)],Program_Detail[[Category]:[Category]],"Indirect",Program_Detail[[Contracted Service?]:[Contracted Service?]],"&lt;&gt;Yes"),2)</f>
        <v>0</v>
      </c>
      <c r="U27" s="362">
        <f>ROUND(SUMIFS(Program_Detail[(enter addt''l. fund source 3)],Program_Detail[[Category]:[Category]],"Indirect",Program_Detail[[Contracted Service?]:[Contracted Service?]],"&lt;&gt;Yes"),2)</f>
        <v>0</v>
      </c>
      <c r="V27" s="362">
        <f>ROUND(SUMIFS(Program_Detail[(enter addt''l. fund source 4)],Program_Detail[[Category]:[Category]],"Indirect",Program_Detail[[Contracted Service?]:[Contracted Service?]],"&lt;&gt;Yes"),2)</f>
        <v>0</v>
      </c>
      <c r="W27" s="363">
        <f>ROUND(SUMIFS(Program_Detail[(enter addt''l. fund source 5)],Program_Detail[[Category]:[Category]],"Indirect",Program_Detail[[Contracted Service?]:[Contracted Service?]],"&lt;&gt;Yes"),2)</f>
        <v>0</v>
      </c>
      <c r="X27" s="364">
        <f>ROUND(SUM(Program_Category_Sum[[#This Row],[Column2]:[Column7]]),2)</f>
        <v>0</v>
      </c>
      <c r="Y27" s="380"/>
      <c r="Z27" s="178" t="s">
        <v>0</v>
      </c>
    </row>
    <row r="28" spans="2:26" x14ac:dyDescent="0.25">
      <c r="B28" s="321"/>
      <c r="C28" s="322"/>
      <c r="D28" s="323"/>
      <c r="E28" s="322"/>
      <c r="F28" s="322"/>
      <c r="G28" s="330"/>
      <c r="H28" s="336"/>
      <c r="I28" s="333"/>
      <c r="J28" s="324"/>
      <c r="K28" s="324"/>
      <c r="L28" s="324"/>
      <c r="M28" s="339"/>
      <c r="N28" s="345">
        <f>ROUND(SUM(Program_Detail[[#This Row],[21st CCLC,  Title IV-B]:[(enter addt''l. fund source 5)]]),2)</f>
        <v>0</v>
      </c>
      <c r="O28" s="342"/>
      <c r="P28" s="378"/>
      <c r="Q28" s="229" t="s">
        <v>29</v>
      </c>
      <c r="R28" s="231">
        <f t="shared" ref="R28:W28" si="0">ROUND(SUM(R$16:R$27),2)</f>
        <v>0</v>
      </c>
      <c r="S28" s="177">
        <f t="shared" si="0"/>
        <v>0</v>
      </c>
      <c r="T28" s="177">
        <f t="shared" si="0"/>
        <v>0</v>
      </c>
      <c r="U28" s="177">
        <f t="shared" si="0"/>
        <v>0</v>
      </c>
      <c r="V28" s="177">
        <f t="shared" si="0"/>
        <v>0</v>
      </c>
      <c r="W28" s="177">
        <f t="shared" si="0"/>
        <v>0</v>
      </c>
      <c r="X28" s="232">
        <f>ROUND(SUM(Program_Category_Sum[[#This Row],[Column2]:[Column7]]),2)</f>
        <v>0</v>
      </c>
      <c r="Y28" s="380"/>
      <c r="Z28" s="178" t="s">
        <v>0</v>
      </c>
    </row>
    <row r="29" spans="2:26" x14ac:dyDescent="0.25">
      <c r="B29" s="321"/>
      <c r="C29" s="322"/>
      <c r="D29" s="323"/>
      <c r="E29" s="322"/>
      <c r="F29" s="322"/>
      <c r="G29" s="330"/>
      <c r="H29" s="336"/>
      <c r="I29" s="333"/>
      <c r="J29" s="324"/>
      <c r="K29" s="324"/>
      <c r="L29" s="324"/>
      <c r="M29" s="339"/>
      <c r="N29" s="345">
        <f>ROUND(SUM(Program_Detail[[#This Row],[21st CCLC,  Title IV-B]:[(enter addt''l. fund source 5)]]),2)</f>
        <v>0</v>
      </c>
      <c r="O29" s="342"/>
      <c r="P29" s="378"/>
      <c r="Q29" s="368" t="s">
        <v>291</v>
      </c>
      <c r="R29" s="353" cm="1">
        <f t="array" ref="R29">SUMIF(Program_Detail[[Program Type]:[Program Type]],Program_Category_Sum[[#This Row],[Column1]:[Column1]],Program_Detail[21st CCLC,  Title IV-B])</f>
        <v>0</v>
      </c>
      <c r="S29" s="351" cm="1">
        <f t="array" ref="S29">SUMIF(Program_Detail[[Program Type]:[Program Type]],Program_Category_Sum[[#This Row],[Column1]:[Column1]],Program_Detail[(enter addt''l. fund source 1)])</f>
        <v>0</v>
      </c>
      <c r="T29" s="369" cm="1">
        <f t="array" ref="T29">SUMIF(Program_Detail[[Program Type]:[Program Type]],Program_Category_Sum[[#This Row],[Column1]:[Column1]],Program_Detail[(enter addt''l. fund source 2)])</f>
        <v>0</v>
      </c>
      <c r="U29" s="369" cm="1">
        <f t="array" ref="U29">SUMIF(Program_Detail[[Program Type]:[Program Type]],Program_Category_Sum[[#This Row],[Column1]:[Column1]],Program_Detail[(enter addt''l. fund source 3)])</f>
        <v>0</v>
      </c>
      <c r="V29" s="369" cm="1">
        <f t="array" ref="V29">SUMIF(Program_Detail[[Program Type]:[Program Type]],Program_Category_Sum[[#This Row],[Column1]:[Column1]],Program_Detail[(enter addt''l. fund source 4)])</f>
        <v>0</v>
      </c>
      <c r="W29" s="370" cm="1">
        <f t="array" ref="W29">SUMIF(Program_Detail[[Program Type]:[Program Type]],Program_Category_Sum[[#This Row],[Column1]:[Column1]],Program_Detail[(enter addt''l. fund source 5)])</f>
        <v>0</v>
      </c>
      <c r="X29" s="357">
        <f>ROUND(SUM(Program_Category_Sum[[#This Row],[Column2]:[Column7]]),2)</f>
        <v>0</v>
      </c>
      <c r="Y29" s="380"/>
      <c r="Z29" s="178" t="s">
        <v>0</v>
      </c>
    </row>
    <row r="30" spans="2:26" x14ac:dyDescent="0.25">
      <c r="B30" s="321"/>
      <c r="C30" s="322"/>
      <c r="D30" s="323"/>
      <c r="E30" s="322"/>
      <c r="F30" s="322"/>
      <c r="G30" s="330"/>
      <c r="H30" s="336"/>
      <c r="I30" s="333"/>
      <c r="J30" s="324"/>
      <c r="K30" s="324"/>
      <c r="L30" s="324"/>
      <c r="M30" s="339"/>
      <c r="N30" s="345">
        <f>ROUND(SUM(Program_Detail[[#This Row],[21st CCLC,  Title IV-B]:[(enter addt''l. fund source 5)]]),2)</f>
        <v>0</v>
      </c>
      <c r="O30" s="342"/>
      <c r="P30" s="378"/>
      <c r="Q30" s="359" t="s">
        <v>292</v>
      </c>
      <c r="R30" s="360" cm="1">
        <f t="array" ref="R30">SUMIF(Program_Detail[[Program Type]:[Program Type]],Program_Category_Sum[[#This Row],[Column1]:[Column1]],Program_Detail[21st CCLC,  Title IV-B])</f>
        <v>0</v>
      </c>
      <c r="S30" s="361" cm="1">
        <f t="array" ref="S30">SUMIF(Program_Detail[[Program Type]:[Program Type]],Program_Category_Sum[[#This Row],[Column1]:[Column1]],Program_Detail[(enter addt''l. fund source 1)])</f>
        <v>0</v>
      </c>
      <c r="T30" s="362" cm="1">
        <f t="array" ref="T30">SUMIF(Program_Detail[[Program Type]:[Program Type]],Program_Category_Sum[[#This Row],[Column1]:[Column1]],Program_Detail[(enter addt''l. fund source 2)])</f>
        <v>0</v>
      </c>
      <c r="U30" s="362" cm="1">
        <f t="array" ref="U30">SUMIF(Program_Detail[[Program Type]:[Program Type]],Program_Category_Sum[[#This Row],[Column1]:[Column1]],Program_Detail[(enter addt''l. fund source 3)])</f>
        <v>0</v>
      </c>
      <c r="V30" s="362" cm="1">
        <f t="array" ref="V30">SUMIF(Program_Detail[[Program Type]:[Program Type]],Program_Category_Sum[[#This Row],[Column1]:[Column1]],Program_Detail[(enter addt''l. fund source 4)])</f>
        <v>0</v>
      </c>
      <c r="W30" s="363" cm="1">
        <f t="array" ref="W30">SUMIF(Program_Detail[[Program Type]:[Program Type]],Program_Category_Sum[[#This Row],[Column1]:[Column1]],Program_Detail[(enter addt''l. fund source 5)])</f>
        <v>0</v>
      </c>
      <c r="X30" s="364">
        <f>ROUND(SUM(Program_Category_Sum[[#This Row],[Column2]:[Column7]]),2)</f>
        <v>0</v>
      </c>
      <c r="Y30" s="380"/>
    </row>
    <row r="31" spans="2:26" x14ac:dyDescent="0.25">
      <c r="B31" s="321"/>
      <c r="C31" s="322"/>
      <c r="D31" s="323"/>
      <c r="E31" s="322"/>
      <c r="F31" s="322"/>
      <c r="G31" s="330"/>
      <c r="H31" s="336"/>
      <c r="I31" s="333"/>
      <c r="J31" s="324"/>
      <c r="K31" s="324"/>
      <c r="L31" s="324"/>
      <c r="M31" s="339"/>
      <c r="N31" s="345">
        <f>ROUND(SUM(Program_Detail[[#This Row],[21st CCLC,  Title IV-B]:[(enter addt''l. fund source 5)]]),2)</f>
        <v>0</v>
      </c>
      <c r="O31" s="342"/>
      <c r="P31" s="378"/>
      <c r="Q31" s="229" t="s">
        <v>29</v>
      </c>
      <c r="R31" s="231">
        <f>ROUND(SUM(R$29:R$30),2)</f>
        <v>0</v>
      </c>
      <c r="S31" s="177">
        <f t="shared" ref="S31:W31" si="1">ROUND(SUM(S$29:S$30),2)</f>
        <v>0</v>
      </c>
      <c r="T31" s="177">
        <f t="shared" si="1"/>
        <v>0</v>
      </c>
      <c r="U31" s="177">
        <f t="shared" si="1"/>
        <v>0</v>
      </c>
      <c r="V31" s="177">
        <f t="shared" si="1"/>
        <v>0</v>
      </c>
      <c r="W31" s="177">
        <f t="shared" si="1"/>
        <v>0</v>
      </c>
      <c r="X31" s="232">
        <f>ROUND(SUM(Program_Category_Sum[[#This Row],[Column2]:[Column7]]),2)</f>
        <v>0</v>
      </c>
      <c r="Y31" s="380"/>
    </row>
    <row r="32" spans="2:26" x14ac:dyDescent="0.25">
      <c r="B32" s="321"/>
      <c r="C32" s="322"/>
      <c r="D32" s="323"/>
      <c r="E32" s="322"/>
      <c r="F32" s="322"/>
      <c r="G32" s="330"/>
      <c r="H32" s="336"/>
      <c r="I32" s="333"/>
      <c r="J32" s="324"/>
      <c r="K32" s="324"/>
      <c r="L32" s="324"/>
      <c r="M32" s="339"/>
      <c r="N32" s="345">
        <f>ROUND(SUM(Program_Detail[[#This Row],[21st CCLC,  Title IV-B]:[(enter addt''l. fund source 5)]]),2)</f>
        <v>0</v>
      </c>
      <c r="O32" s="342"/>
      <c r="P32" s="378"/>
      <c r="Q32" s="368" t="s">
        <v>591</v>
      </c>
      <c r="R32" s="353">
        <f>ROUND(SUMIF(Program_Detail[[Contracted Service?]:[Contracted Service?]],"Yes",Program_Detail[21st CCLC,  Title IV-B]),2)</f>
        <v>0</v>
      </c>
      <c r="S32" s="351">
        <f>ROUND(SUMIF(Program_Detail[[Contracted Service?]:[Contracted Service?]],"Yes",Program_Detail[(enter addt''l. fund source 1)]),2)</f>
        <v>0</v>
      </c>
      <c r="T32" s="369">
        <f>ROUND(SUMIF(Program_Detail[[Contracted Service?]:[Contracted Service?]],"Yes",Program_Detail[(enter addt''l. fund source 2)]),2)</f>
        <v>0</v>
      </c>
      <c r="U32" s="369">
        <f>ROUND(SUMIF(Program_Detail[[Contracted Service?]:[Contracted Service?]],"Yes",Program_Detail[(enter addt''l. fund source 3)]),2)</f>
        <v>0</v>
      </c>
      <c r="V32" s="369">
        <f>ROUND(SUMIF(Program_Detail[[Contracted Service?]:[Contracted Service?]],"Yes",Program_Detail[(enter addt''l. fund source 4)]),2)</f>
        <v>0</v>
      </c>
      <c r="W32" s="370">
        <f>ROUND(SUMIF(Program_Detail[[Contracted Service?]:[Contracted Service?]],"Yes",Program_Detail[(enter addt''l. fund source 5)]),2)</f>
        <v>0</v>
      </c>
      <c r="X32" s="357">
        <f>ROUND(SUM(Program_Category_Sum[[#This Row],[Column2]:[Column7]]),2)</f>
        <v>0</v>
      </c>
      <c r="Y32" s="380"/>
    </row>
    <row r="33" spans="2:25" x14ac:dyDescent="0.25">
      <c r="B33" s="321"/>
      <c r="C33" s="322"/>
      <c r="D33" s="323"/>
      <c r="E33" s="322"/>
      <c r="F33" s="322"/>
      <c r="G33" s="330"/>
      <c r="H33" s="336"/>
      <c r="I33" s="333"/>
      <c r="J33" s="324"/>
      <c r="K33" s="324"/>
      <c r="L33" s="324"/>
      <c r="M33" s="339"/>
      <c r="N33" s="345">
        <f>ROUND(SUM(Program_Detail[[#This Row],[21st CCLC,  Title IV-B]:[(enter addt''l. fund source 5)]]),2)</f>
        <v>0</v>
      </c>
      <c r="O33" s="342"/>
      <c r="P33" s="378"/>
      <c r="Q33" s="359" t="s">
        <v>597</v>
      </c>
      <c r="R33" s="360">
        <f>ROUND(SUMIF(Program_Detail[[Contracted Service?]:[Contracted Service?]],"&lt;&gt;Yes",Program_Detail[21st CCLC,  Title IV-B]),2)</f>
        <v>0</v>
      </c>
      <c r="S33" s="361">
        <f>ROUND(SUMIF(Program_Detail[[Contracted Service?]:[Contracted Service?]],"&lt;&gt;Yes",Program_Detail[(enter addt''l. fund source 1)]),2)</f>
        <v>0</v>
      </c>
      <c r="T33" s="362">
        <f>ROUND(SUMIF(Program_Detail[[Contracted Service?]:[Contracted Service?]],"&lt;&gt;Yes",Program_Detail[(enter addt''l. fund source 2)]),2)</f>
        <v>0</v>
      </c>
      <c r="U33" s="362">
        <f>ROUND(SUMIF(Program_Detail[[Contracted Service?]:[Contracted Service?]],"&lt;&gt;Yes",Program_Detail[(enter addt''l. fund source 3)]),2)</f>
        <v>0</v>
      </c>
      <c r="V33" s="362">
        <f>ROUND(SUMIF(Program_Detail[[Contracted Service?]:[Contracted Service?]],"&lt;&gt;Yes",Program_Detail[(enter addt''l. fund source 4)]),2)</f>
        <v>0</v>
      </c>
      <c r="W33" s="363">
        <f>ROUND(SUMIF(Program_Detail[[Contracted Service?]:[Contracted Service?]],"&lt;&gt;Yes",Program_Detail[(enter addt''l. fund source 5)]),2)</f>
        <v>0</v>
      </c>
      <c r="X33" s="364">
        <f>ROUND(SUM(Program_Category_Sum[[#This Row],[Column2]:[Column7]]),2)</f>
        <v>0</v>
      </c>
      <c r="Y33" s="380"/>
    </row>
    <row r="34" spans="2:25" x14ac:dyDescent="0.25">
      <c r="B34" s="321"/>
      <c r="C34" s="322"/>
      <c r="D34" s="323"/>
      <c r="E34" s="322"/>
      <c r="F34" s="322"/>
      <c r="G34" s="330"/>
      <c r="H34" s="336"/>
      <c r="I34" s="333"/>
      <c r="J34" s="324"/>
      <c r="K34" s="324"/>
      <c r="L34" s="324"/>
      <c r="M34" s="339"/>
      <c r="N34" s="345">
        <f>ROUND(SUM(Program_Detail[[#This Row],[21st CCLC,  Title IV-B]:[(enter addt''l. fund source 5)]]),2)</f>
        <v>0</v>
      </c>
      <c r="O34" s="342"/>
      <c r="P34" s="378"/>
      <c r="Q34" s="365" t="s">
        <v>29</v>
      </c>
      <c r="R34" s="377">
        <f>ROUND(SUM(R$32:R$33),2)</f>
        <v>0</v>
      </c>
      <c r="S34" s="366">
        <f t="shared" ref="S34:W34" si="2">ROUND(SUM(S$32:S$33),2)</f>
        <v>0</v>
      </c>
      <c r="T34" s="366">
        <f t="shared" si="2"/>
        <v>0</v>
      </c>
      <c r="U34" s="366">
        <f t="shared" si="2"/>
        <v>0</v>
      </c>
      <c r="V34" s="366">
        <f t="shared" si="2"/>
        <v>0</v>
      </c>
      <c r="W34" s="366">
        <f t="shared" si="2"/>
        <v>0</v>
      </c>
      <c r="X34" s="367">
        <f>ROUND(SUM(Program_Category_Sum[[#This Row],[Column2]:[Column7]]),2)</f>
        <v>0</v>
      </c>
      <c r="Y34" s="380"/>
    </row>
    <row r="35" spans="2:25" x14ac:dyDescent="0.25">
      <c r="B35" s="321"/>
      <c r="C35" s="322"/>
      <c r="D35" s="323"/>
      <c r="E35" s="322"/>
      <c r="F35" s="322"/>
      <c r="G35" s="330"/>
      <c r="H35" s="336"/>
      <c r="I35" s="333"/>
      <c r="J35" s="324"/>
      <c r="K35" s="324"/>
      <c r="L35" s="324"/>
      <c r="M35" s="339"/>
      <c r="N35" s="345">
        <f>ROUND(SUM(Program_Detail[[#This Row],[21st CCLC,  Title IV-B]:[(enter addt''l. fund source 5)]]),2)</f>
        <v>0</v>
      </c>
      <c r="O35" s="342"/>
      <c r="Q35" s="379"/>
      <c r="R35" s="379"/>
      <c r="S35" s="379"/>
      <c r="T35" s="379"/>
      <c r="U35" s="379"/>
      <c r="V35" s="379"/>
      <c r="W35" s="379"/>
      <c r="X35" s="379"/>
    </row>
    <row r="36" spans="2:25" x14ac:dyDescent="0.25">
      <c r="B36" s="321"/>
      <c r="C36" s="322"/>
      <c r="D36" s="323"/>
      <c r="E36" s="322"/>
      <c r="F36" s="322"/>
      <c r="G36" s="330"/>
      <c r="H36" s="336"/>
      <c r="I36" s="333"/>
      <c r="J36" s="324"/>
      <c r="K36" s="324"/>
      <c r="L36" s="324"/>
      <c r="M36" s="339"/>
      <c r="N36" s="345">
        <f>ROUND(SUM(Program_Detail[[#This Row],[21st CCLC,  Title IV-B]:[(enter addt''l. fund source 5)]]),2)</f>
        <v>0</v>
      </c>
      <c r="O36" s="342"/>
    </row>
    <row r="37" spans="2:25" x14ac:dyDescent="0.25">
      <c r="B37" s="321"/>
      <c r="C37" s="322"/>
      <c r="D37" s="323"/>
      <c r="E37" s="322"/>
      <c r="F37" s="322"/>
      <c r="G37" s="330"/>
      <c r="H37" s="336"/>
      <c r="I37" s="333"/>
      <c r="J37" s="324"/>
      <c r="K37" s="324"/>
      <c r="L37" s="324"/>
      <c r="M37" s="339"/>
      <c r="N37" s="345">
        <f>ROUND(SUM(Program_Detail[[#This Row],[21st CCLC,  Title IV-B]:[(enter addt''l. fund source 5)]]),2)</f>
        <v>0</v>
      </c>
      <c r="O37" s="342"/>
    </row>
    <row r="38" spans="2:25" x14ac:dyDescent="0.25">
      <c r="B38" s="321"/>
      <c r="C38" s="322"/>
      <c r="D38" s="323"/>
      <c r="E38" s="322"/>
      <c r="F38" s="322"/>
      <c r="G38" s="330"/>
      <c r="H38" s="336"/>
      <c r="I38" s="333"/>
      <c r="J38" s="324"/>
      <c r="K38" s="324"/>
      <c r="L38" s="324"/>
      <c r="M38" s="339"/>
      <c r="N38" s="345">
        <f>ROUND(SUM(Program_Detail[[#This Row],[21st CCLC,  Title IV-B]:[(enter addt''l. fund source 5)]]),2)</f>
        <v>0</v>
      </c>
      <c r="O38" s="342"/>
    </row>
    <row r="39" spans="2:25" x14ac:dyDescent="0.25">
      <c r="B39" s="321"/>
      <c r="C39" s="322"/>
      <c r="D39" s="323"/>
      <c r="E39" s="322"/>
      <c r="F39" s="322"/>
      <c r="G39" s="330"/>
      <c r="H39" s="336"/>
      <c r="I39" s="333"/>
      <c r="J39" s="324"/>
      <c r="K39" s="324"/>
      <c r="L39" s="324"/>
      <c r="M39" s="339"/>
      <c r="N39" s="345">
        <f>ROUND(SUM(Program_Detail[[#This Row],[21st CCLC,  Title IV-B]:[(enter addt''l. fund source 5)]]),2)</f>
        <v>0</v>
      </c>
      <c r="O39" s="342"/>
    </row>
    <row r="40" spans="2:25" x14ac:dyDescent="0.25">
      <c r="B40" s="321"/>
      <c r="C40" s="322"/>
      <c r="D40" s="323"/>
      <c r="E40" s="322"/>
      <c r="F40" s="322"/>
      <c r="G40" s="330"/>
      <c r="H40" s="336"/>
      <c r="I40" s="333"/>
      <c r="J40" s="324"/>
      <c r="K40" s="324"/>
      <c r="L40" s="324"/>
      <c r="M40" s="339"/>
      <c r="N40" s="345">
        <f>ROUND(SUM(Program_Detail[[#This Row],[21st CCLC,  Title IV-B]:[(enter addt''l. fund source 5)]]),2)</f>
        <v>0</v>
      </c>
      <c r="O40" s="342"/>
    </row>
    <row r="41" spans="2:25" x14ac:dyDescent="0.25">
      <c r="B41" s="321"/>
      <c r="C41" s="322"/>
      <c r="D41" s="323"/>
      <c r="E41" s="322"/>
      <c r="F41" s="322"/>
      <c r="G41" s="330"/>
      <c r="H41" s="336"/>
      <c r="I41" s="333"/>
      <c r="J41" s="324"/>
      <c r="K41" s="324"/>
      <c r="L41" s="324"/>
      <c r="M41" s="339"/>
      <c r="N41" s="345">
        <f>ROUND(SUM(Program_Detail[[#This Row],[21st CCLC,  Title IV-B]:[(enter addt''l. fund source 5)]]),2)</f>
        <v>0</v>
      </c>
      <c r="O41" s="342"/>
    </row>
    <row r="42" spans="2:25" x14ac:dyDescent="0.25">
      <c r="B42" s="321"/>
      <c r="C42" s="322"/>
      <c r="D42" s="323"/>
      <c r="E42" s="322"/>
      <c r="F42" s="322"/>
      <c r="G42" s="330"/>
      <c r="H42" s="336"/>
      <c r="I42" s="333"/>
      <c r="J42" s="324"/>
      <c r="K42" s="324"/>
      <c r="L42" s="324"/>
      <c r="M42" s="339"/>
      <c r="N42" s="345">
        <f>ROUND(SUM(Program_Detail[[#This Row],[21st CCLC,  Title IV-B]:[(enter addt''l. fund source 5)]]),2)</f>
        <v>0</v>
      </c>
      <c r="O42" s="342"/>
    </row>
    <row r="43" spans="2:25" x14ac:dyDescent="0.25">
      <c r="B43" s="321"/>
      <c r="C43" s="322"/>
      <c r="D43" s="323"/>
      <c r="E43" s="322"/>
      <c r="F43" s="322"/>
      <c r="G43" s="330"/>
      <c r="H43" s="336"/>
      <c r="I43" s="333"/>
      <c r="J43" s="324"/>
      <c r="K43" s="324"/>
      <c r="L43" s="324"/>
      <c r="M43" s="339"/>
      <c r="N43" s="345">
        <f>ROUND(SUM(Program_Detail[[#This Row],[21st CCLC,  Title IV-B]:[(enter addt''l. fund source 5)]]),2)</f>
        <v>0</v>
      </c>
      <c r="O43" s="342"/>
    </row>
    <row r="44" spans="2:25" x14ac:dyDescent="0.25">
      <c r="B44" s="321"/>
      <c r="C44" s="322"/>
      <c r="D44" s="323"/>
      <c r="E44" s="322"/>
      <c r="F44" s="322"/>
      <c r="G44" s="330"/>
      <c r="H44" s="336"/>
      <c r="I44" s="333"/>
      <c r="J44" s="324"/>
      <c r="K44" s="324"/>
      <c r="L44" s="324"/>
      <c r="M44" s="339"/>
      <c r="N44" s="345">
        <f>ROUND(SUM(Program_Detail[[#This Row],[21st CCLC,  Title IV-B]:[(enter addt''l. fund source 5)]]),2)</f>
        <v>0</v>
      </c>
      <c r="O44" s="342"/>
    </row>
    <row r="45" spans="2:25" x14ac:dyDescent="0.25">
      <c r="B45" s="321"/>
      <c r="C45" s="322"/>
      <c r="D45" s="323"/>
      <c r="E45" s="322"/>
      <c r="F45" s="322"/>
      <c r="G45" s="330"/>
      <c r="H45" s="336"/>
      <c r="I45" s="333"/>
      <c r="J45" s="324"/>
      <c r="K45" s="324"/>
      <c r="L45" s="324"/>
      <c r="M45" s="339"/>
      <c r="N45" s="345">
        <f>ROUND(SUM(Program_Detail[[#This Row],[21st CCLC,  Title IV-B]:[(enter addt''l. fund source 5)]]),2)</f>
        <v>0</v>
      </c>
      <c r="O45" s="342"/>
    </row>
    <row r="46" spans="2:25" x14ac:dyDescent="0.25">
      <c r="B46" s="321"/>
      <c r="C46" s="322"/>
      <c r="D46" s="323"/>
      <c r="E46" s="322"/>
      <c r="F46" s="322"/>
      <c r="G46" s="330"/>
      <c r="H46" s="336"/>
      <c r="I46" s="333"/>
      <c r="J46" s="324"/>
      <c r="K46" s="324"/>
      <c r="L46" s="324"/>
      <c r="M46" s="339"/>
      <c r="N46" s="345">
        <f>ROUND(SUM(Program_Detail[[#This Row],[21st CCLC,  Title IV-B]:[(enter addt''l. fund source 5)]]),2)</f>
        <v>0</v>
      </c>
      <c r="O46" s="342"/>
    </row>
    <row r="47" spans="2:25" x14ac:dyDescent="0.25">
      <c r="B47" s="321"/>
      <c r="C47" s="322"/>
      <c r="D47" s="323"/>
      <c r="E47" s="322"/>
      <c r="F47" s="322"/>
      <c r="G47" s="330"/>
      <c r="H47" s="336"/>
      <c r="I47" s="333"/>
      <c r="J47" s="324"/>
      <c r="K47" s="324"/>
      <c r="L47" s="324"/>
      <c r="M47" s="339"/>
      <c r="N47" s="345">
        <f>ROUND(SUM(Program_Detail[[#This Row],[21st CCLC,  Title IV-B]:[(enter addt''l. fund source 5)]]),2)</f>
        <v>0</v>
      </c>
      <c r="O47" s="342"/>
    </row>
    <row r="48" spans="2:25" x14ac:dyDescent="0.25">
      <c r="B48" s="321"/>
      <c r="C48" s="322"/>
      <c r="D48" s="323"/>
      <c r="E48" s="322"/>
      <c r="F48" s="322"/>
      <c r="G48" s="330"/>
      <c r="H48" s="336"/>
      <c r="I48" s="333"/>
      <c r="J48" s="324"/>
      <c r="K48" s="324"/>
      <c r="L48" s="324"/>
      <c r="M48" s="339"/>
      <c r="N48" s="345">
        <f>ROUND(SUM(Program_Detail[[#This Row],[21st CCLC,  Title IV-B]:[(enter addt''l. fund source 5)]]),2)</f>
        <v>0</v>
      </c>
      <c r="O48" s="342"/>
    </row>
    <row r="49" spans="2:15" x14ac:dyDescent="0.25">
      <c r="B49" s="321"/>
      <c r="C49" s="322"/>
      <c r="D49" s="323"/>
      <c r="E49" s="322"/>
      <c r="F49" s="322"/>
      <c r="G49" s="330"/>
      <c r="H49" s="336"/>
      <c r="I49" s="333"/>
      <c r="J49" s="324"/>
      <c r="K49" s="324"/>
      <c r="L49" s="324"/>
      <c r="M49" s="339"/>
      <c r="N49" s="345">
        <f>ROUND(SUM(Program_Detail[[#This Row],[21st CCLC,  Title IV-B]:[(enter addt''l. fund source 5)]]),2)</f>
        <v>0</v>
      </c>
      <c r="O49" s="342"/>
    </row>
    <row r="50" spans="2:15" x14ac:dyDescent="0.25">
      <c r="B50" s="321"/>
      <c r="C50" s="322"/>
      <c r="D50" s="323"/>
      <c r="E50" s="322"/>
      <c r="F50" s="322"/>
      <c r="G50" s="330"/>
      <c r="H50" s="336"/>
      <c r="I50" s="333"/>
      <c r="J50" s="324"/>
      <c r="K50" s="324"/>
      <c r="L50" s="324"/>
      <c r="M50" s="339"/>
      <c r="N50" s="345">
        <f>ROUND(SUM(Program_Detail[[#This Row],[21st CCLC,  Title IV-B]:[(enter addt''l. fund source 5)]]),2)</f>
        <v>0</v>
      </c>
      <c r="O50" s="342"/>
    </row>
    <row r="51" spans="2:15" x14ac:dyDescent="0.25">
      <c r="B51" s="321"/>
      <c r="C51" s="322"/>
      <c r="D51" s="323"/>
      <c r="E51" s="322"/>
      <c r="F51" s="322"/>
      <c r="G51" s="330"/>
      <c r="H51" s="336"/>
      <c r="I51" s="333"/>
      <c r="J51" s="324"/>
      <c r="K51" s="324"/>
      <c r="L51" s="324"/>
      <c r="M51" s="339"/>
      <c r="N51" s="345">
        <f>ROUND(SUM(Program_Detail[[#This Row],[21st CCLC,  Title IV-B]:[(enter addt''l. fund source 5)]]),2)</f>
        <v>0</v>
      </c>
      <c r="O51" s="342"/>
    </row>
    <row r="52" spans="2:15" x14ac:dyDescent="0.25">
      <c r="B52" s="321"/>
      <c r="C52" s="322"/>
      <c r="D52" s="323"/>
      <c r="E52" s="322"/>
      <c r="F52" s="322"/>
      <c r="G52" s="330"/>
      <c r="H52" s="336"/>
      <c r="I52" s="333"/>
      <c r="J52" s="324"/>
      <c r="K52" s="324"/>
      <c r="L52" s="324"/>
      <c r="M52" s="339"/>
      <c r="N52" s="345">
        <f>ROUND(SUM(Program_Detail[[#This Row],[21st CCLC,  Title IV-B]:[(enter addt''l. fund source 5)]]),2)</f>
        <v>0</v>
      </c>
      <c r="O52" s="342"/>
    </row>
    <row r="53" spans="2:15" x14ac:dyDescent="0.25">
      <c r="B53" s="321"/>
      <c r="C53" s="322"/>
      <c r="D53" s="323"/>
      <c r="E53" s="322"/>
      <c r="F53" s="322"/>
      <c r="G53" s="330"/>
      <c r="H53" s="336"/>
      <c r="I53" s="333"/>
      <c r="J53" s="324"/>
      <c r="K53" s="324"/>
      <c r="L53" s="324"/>
      <c r="M53" s="339"/>
      <c r="N53" s="345">
        <f>ROUND(SUM(Program_Detail[[#This Row],[21st CCLC,  Title IV-B]:[(enter addt''l. fund source 5)]]),2)</f>
        <v>0</v>
      </c>
      <c r="O53" s="342"/>
    </row>
    <row r="54" spans="2:15" x14ac:dyDescent="0.25">
      <c r="B54" s="321"/>
      <c r="C54" s="322"/>
      <c r="D54" s="323"/>
      <c r="E54" s="322"/>
      <c r="F54" s="322"/>
      <c r="G54" s="330"/>
      <c r="H54" s="336"/>
      <c r="I54" s="333"/>
      <c r="J54" s="324"/>
      <c r="K54" s="324"/>
      <c r="L54" s="324"/>
      <c r="M54" s="339"/>
      <c r="N54" s="345">
        <f>ROUND(SUM(Program_Detail[[#This Row],[21st CCLC,  Title IV-B]:[(enter addt''l. fund source 5)]]),2)</f>
        <v>0</v>
      </c>
      <c r="O54" s="342"/>
    </row>
    <row r="55" spans="2:15" x14ac:dyDescent="0.25">
      <c r="B55" s="321"/>
      <c r="C55" s="322"/>
      <c r="D55" s="323"/>
      <c r="E55" s="322"/>
      <c r="F55" s="322"/>
      <c r="G55" s="330"/>
      <c r="H55" s="336"/>
      <c r="I55" s="333"/>
      <c r="J55" s="324"/>
      <c r="K55" s="324"/>
      <c r="L55" s="324"/>
      <c r="M55" s="339"/>
      <c r="N55" s="345">
        <f>ROUND(SUM(Program_Detail[[#This Row],[21st CCLC,  Title IV-B]:[(enter addt''l. fund source 5)]]),2)</f>
        <v>0</v>
      </c>
      <c r="O55" s="342"/>
    </row>
    <row r="56" spans="2:15" x14ac:dyDescent="0.25">
      <c r="B56" s="321"/>
      <c r="C56" s="322"/>
      <c r="D56" s="323"/>
      <c r="E56" s="322"/>
      <c r="F56" s="322"/>
      <c r="G56" s="330"/>
      <c r="H56" s="336"/>
      <c r="I56" s="333"/>
      <c r="J56" s="324"/>
      <c r="K56" s="324"/>
      <c r="L56" s="324"/>
      <c r="M56" s="339"/>
      <c r="N56" s="345">
        <f>ROUND(SUM(Program_Detail[[#This Row],[21st CCLC,  Title IV-B]:[(enter addt''l. fund source 5)]]),2)</f>
        <v>0</v>
      </c>
      <c r="O56" s="342"/>
    </row>
    <row r="57" spans="2:15" x14ac:dyDescent="0.25">
      <c r="B57" s="321"/>
      <c r="C57" s="322"/>
      <c r="D57" s="323"/>
      <c r="E57" s="322"/>
      <c r="F57" s="322"/>
      <c r="G57" s="330"/>
      <c r="H57" s="336"/>
      <c r="I57" s="333"/>
      <c r="J57" s="324"/>
      <c r="K57" s="324"/>
      <c r="L57" s="324"/>
      <c r="M57" s="339"/>
      <c r="N57" s="345">
        <f>ROUND(SUM(Program_Detail[[#This Row],[21st CCLC,  Title IV-B]:[(enter addt''l. fund source 5)]]),2)</f>
        <v>0</v>
      </c>
      <c r="O57" s="342"/>
    </row>
    <row r="58" spans="2:15" x14ac:dyDescent="0.25">
      <c r="B58" s="321"/>
      <c r="C58" s="322"/>
      <c r="D58" s="323"/>
      <c r="E58" s="322"/>
      <c r="F58" s="322"/>
      <c r="G58" s="330"/>
      <c r="H58" s="336"/>
      <c r="I58" s="333"/>
      <c r="J58" s="324"/>
      <c r="K58" s="324"/>
      <c r="L58" s="324"/>
      <c r="M58" s="339"/>
      <c r="N58" s="345">
        <f>ROUND(SUM(Program_Detail[[#This Row],[21st CCLC,  Title IV-B]:[(enter addt''l. fund source 5)]]),2)</f>
        <v>0</v>
      </c>
      <c r="O58" s="342"/>
    </row>
    <row r="59" spans="2:15" x14ac:dyDescent="0.25">
      <c r="B59" s="321"/>
      <c r="C59" s="322"/>
      <c r="D59" s="323"/>
      <c r="E59" s="322"/>
      <c r="F59" s="322"/>
      <c r="G59" s="330"/>
      <c r="H59" s="336"/>
      <c r="I59" s="333"/>
      <c r="J59" s="324"/>
      <c r="K59" s="324"/>
      <c r="L59" s="324"/>
      <c r="M59" s="339"/>
      <c r="N59" s="345">
        <f>ROUND(SUM(Program_Detail[[#This Row],[21st CCLC,  Title IV-B]:[(enter addt''l. fund source 5)]]),2)</f>
        <v>0</v>
      </c>
      <c r="O59" s="342"/>
    </row>
    <row r="60" spans="2:15" x14ac:dyDescent="0.25">
      <c r="B60" s="321"/>
      <c r="C60" s="322"/>
      <c r="D60" s="323"/>
      <c r="E60" s="322"/>
      <c r="F60" s="322"/>
      <c r="G60" s="330"/>
      <c r="H60" s="336"/>
      <c r="I60" s="333"/>
      <c r="J60" s="324"/>
      <c r="K60" s="324"/>
      <c r="L60" s="324"/>
      <c r="M60" s="339"/>
      <c r="N60" s="345">
        <f>ROUND(SUM(Program_Detail[[#This Row],[21st CCLC,  Title IV-B]:[(enter addt''l. fund source 5)]]),2)</f>
        <v>0</v>
      </c>
      <c r="O60" s="342"/>
    </row>
    <row r="61" spans="2:15" x14ac:dyDescent="0.25">
      <c r="B61" s="321"/>
      <c r="C61" s="322"/>
      <c r="D61" s="323"/>
      <c r="E61" s="322"/>
      <c r="F61" s="322"/>
      <c r="G61" s="330"/>
      <c r="H61" s="336"/>
      <c r="I61" s="333"/>
      <c r="J61" s="324"/>
      <c r="K61" s="324"/>
      <c r="L61" s="324"/>
      <c r="M61" s="339"/>
      <c r="N61" s="345">
        <f>ROUND(SUM(Program_Detail[[#This Row],[21st CCLC,  Title IV-B]:[(enter addt''l. fund source 5)]]),2)</f>
        <v>0</v>
      </c>
      <c r="O61" s="342"/>
    </row>
    <row r="62" spans="2:15" x14ac:dyDescent="0.25">
      <c r="B62" s="321"/>
      <c r="C62" s="322"/>
      <c r="D62" s="323"/>
      <c r="E62" s="322"/>
      <c r="F62" s="322"/>
      <c r="G62" s="330"/>
      <c r="H62" s="336"/>
      <c r="I62" s="333"/>
      <c r="J62" s="324"/>
      <c r="K62" s="324"/>
      <c r="L62" s="324"/>
      <c r="M62" s="339"/>
      <c r="N62" s="345">
        <f>ROUND(SUM(Program_Detail[[#This Row],[21st CCLC,  Title IV-B]:[(enter addt''l. fund source 5)]]),2)</f>
        <v>0</v>
      </c>
      <c r="O62" s="342"/>
    </row>
    <row r="63" spans="2:15" x14ac:dyDescent="0.25">
      <c r="B63" s="321"/>
      <c r="C63" s="322"/>
      <c r="D63" s="323"/>
      <c r="E63" s="322"/>
      <c r="F63" s="322"/>
      <c r="G63" s="330"/>
      <c r="H63" s="336"/>
      <c r="I63" s="333"/>
      <c r="J63" s="324"/>
      <c r="K63" s="324"/>
      <c r="L63" s="324"/>
      <c r="M63" s="339"/>
      <c r="N63" s="345">
        <f>ROUND(SUM(Program_Detail[[#This Row],[21st CCLC,  Title IV-B]:[(enter addt''l. fund source 5)]]),2)</f>
        <v>0</v>
      </c>
      <c r="O63" s="342"/>
    </row>
    <row r="64" spans="2:15" x14ac:dyDescent="0.25">
      <c r="B64" s="321"/>
      <c r="C64" s="322"/>
      <c r="D64" s="323"/>
      <c r="E64" s="322"/>
      <c r="F64" s="322"/>
      <c r="G64" s="330"/>
      <c r="H64" s="336"/>
      <c r="I64" s="333"/>
      <c r="J64" s="324"/>
      <c r="K64" s="324"/>
      <c r="L64" s="324"/>
      <c r="M64" s="339"/>
      <c r="N64" s="345">
        <f>ROUND(SUM(Program_Detail[[#This Row],[21st CCLC,  Title IV-B]:[(enter addt''l. fund source 5)]]),2)</f>
        <v>0</v>
      </c>
      <c r="O64" s="342"/>
    </row>
    <row r="65" spans="2:15" x14ac:dyDescent="0.25">
      <c r="B65" s="321"/>
      <c r="C65" s="322"/>
      <c r="D65" s="323"/>
      <c r="E65" s="322"/>
      <c r="F65" s="322"/>
      <c r="G65" s="330"/>
      <c r="H65" s="336"/>
      <c r="I65" s="333"/>
      <c r="J65" s="324"/>
      <c r="K65" s="324"/>
      <c r="L65" s="324"/>
      <c r="M65" s="339"/>
      <c r="N65" s="345">
        <f>ROUND(SUM(Program_Detail[[#This Row],[21st CCLC,  Title IV-B]:[(enter addt''l. fund source 5)]]),2)</f>
        <v>0</v>
      </c>
      <c r="O65" s="342"/>
    </row>
    <row r="66" spans="2:15" x14ac:dyDescent="0.25">
      <c r="B66" s="321"/>
      <c r="C66" s="322"/>
      <c r="D66" s="323"/>
      <c r="E66" s="322"/>
      <c r="F66" s="322"/>
      <c r="G66" s="330"/>
      <c r="H66" s="336"/>
      <c r="I66" s="333"/>
      <c r="J66" s="324"/>
      <c r="K66" s="324"/>
      <c r="L66" s="324"/>
      <c r="M66" s="339"/>
      <c r="N66" s="345">
        <f>ROUND(SUM(Program_Detail[[#This Row],[21st CCLC,  Title IV-B]:[(enter addt''l. fund source 5)]]),2)</f>
        <v>0</v>
      </c>
      <c r="O66" s="342"/>
    </row>
    <row r="67" spans="2:15" x14ac:dyDescent="0.25">
      <c r="B67" s="321"/>
      <c r="C67" s="322"/>
      <c r="D67" s="323"/>
      <c r="E67" s="322"/>
      <c r="F67" s="322"/>
      <c r="G67" s="330"/>
      <c r="H67" s="336"/>
      <c r="I67" s="333"/>
      <c r="J67" s="324"/>
      <c r="K67" s="324"/>
      <c r="L67" s="324"/>
      <c r="M67" s="339"/>
      <c r="N67" s="345">
        <f>ROUND(SUM(Program_Detail[[#This Row],[21st CCLC,  Title IV-B]:[(enter addt''l. fund source 5)]]),2)</f>
        <v>0</v>
      </c>
      <c r="O67" s="342"/>
    </row>
    <row r="68" spans="2:15" x14ac:dyDescent="0.25">
      <c r="B68" s="321"/>
      <c r="C68" s="322"/>
      <c r="D68" s="323"/>
      <c r="E68" s="322"/>
      <c r="F68" s="322"/>
      <c r="G68" s="330"/>
      <c r="H68" s="336"/>
      <c r="I68" s="333"/>
      <c r="J68" s="324"/>
      <c r="K68" s="324"/>
      <c r="L68" s="324"/>
      <c r="M68" s="339"/>
      <c r="N68" s="345">
        <f>ROUND(SUM(Program_Detail[[#This Row],[21st CCLC,  Title IV-B]:[(enter addt''l. fund source 5)]]),2)</f>
        <v>0</v>
      </c>
      <c r="O68" s="342"/>
    </row>
    <row r="69" spans="2:15" x14ac:dyDescent="0.25">
      <c r="B69" s="321"/>
      <c r="C69" s="322"/>
      <c r="D69" s="323"/>
      <c r="E69" s="322"/>
      <c r="F69" s="322"/>
      <c r="G69" s="330"/>
      <c r="H69" s="336"/>
      <c r="I69" s="333"/>
      <c r="J69" s="324"/>
      <c r="K69" s="324"/>
      <c r="L69" s="324"/>
      <c r="M69" s="339"/>
      <c r="N69" s="345">
        <f>ROUND(SUM(Program_Detail[[#This Row],[21st CCLC,  Title IV-B]:[(enter addt''l. fund source 5)]]),2)</f>
        <v>0</v>
      </c>
      <c r="O69" s="342"/>
    </row>
    <row r="70" spans="2:15" x14ac:dyDescent="0.25">
      <c r="B70" s="321"/>
      <c r="C70" s="322"/>
      <c r="D70" s="323"/>
      <c r="E70" s="322"/>
      <c r="F70" s="322"/>
      <c r="G70" s="330"/>
      <c r="H70" s="336"/>
      <c r="I70" s="333"/>
      <c r="J70" s="324"/>
      <c r="K70" s="324"/>
      <c r="L70" s="324"/>
      <c r="M70" s="339"/>
      <c r="N70" s="345">
        <f>ROUND(SUM(Program_Detail[[#This Row],[21st CCLC,  Title IV-B]:[(enter addt''l. fund source 5)]]),2)</f>
        <v>0</v>
      </c>
      <c r="O70" s="342"/>
    </row>
    <row r="71" spans="2:15" x14ac:dyDescent="0.25">
      <c r="B71" s="321"/>
      <c r="C71" s="322"/>
      <c r="D71" s="323"/>
      <c r="E71" s="322"/>
      <c r="F71" s="322"/>
      <c r="G71" s="330"/>
      <c r="H71" s="336"/>
      <c r="I71" s="333"/>
      <c r="J71" s="324"/>
      <c r="K71" s="324"/>
      <c r="L71" s="324"/>
      <c r="M71" s="339"/>
      <c r="N71" s="345">
        <f>ROUND(SUM(Program_Detail[[#This Row],[21st CCLC,  Title IV-B]:[(enter addt''l. fund source 5)]]),2)</f>
        <v>0</v>
      </c>
      <c r="O71" s="342"/>
    </row>
    <row r="72" spans="2:15" x14ac:dyDescent="0.25">
      <c r="B72" s="321"/>
      <c r="C72" s="322"/>
      <c r="D72" s="323"/>
      <c r="E72" s="322"/>
      <c r="F72" s="322"/>
      <c r="G72" s="330"/>
      <c r="H72" s="336"/>
      <c r="I72" s="333"/>
      <c r="J72" s="324"/>
      <c r="K72" s="324"/>
      <c r="L72" s="324"/>
      <c r="M72" s="339"/>
      <c r="N72" s="345">
        <f>ROUND(SUM(Program_Detail[[#This Row],[21st CCLC,  Title IV-B]:[(enter addt''l. fund source 5)]]),2)</f>
        <v>0</v>
      </c>
      <c r="O72" s="342"/>
    </row>
    <row r="73" spans="2:15" x14ac:dyDescent="0.25">
      <c r="B73" s="321"/>
      <c r="C73" s="322"/>
      <c r="D73" s="323"/>
      <c r="E73" s="322"/>
      <c r="F73" s="322"/>
      <c r="G73" s="330"/>
      <c r="H73" s="336"/>
      <c r="I73" s="333"/>
      <c r="J73" s="324"/>
      <c r="K73" s="324"/>
      <c r="L73" s="324"/>
      <c r="M73" s="339"/>
      <c r="N73" s="345">
        <f>ROUND(SUM(Program_Detail[[#This Row],[21st CCLC,  Title IV-B]:[(enter addt''l. fund source 5)]]),2)</f>
        <v>0</v>
      </c>
      <c r="O73" s="342"/>
    </row>
    <row r="74" spans="2:15" x14ac:dyDescent="0.25">
      <c r="B74" s="321"/>
      <c r="C74" s="322"/>
      <c r="D74" s="323"/>
      <c r="E74" s="322"/>
      <c r="F74" s="322"/>
      <c r="G74" s="330"/>
      <c r="H74" s="336"/>
      <c r="I74" s="333"/>
      <c r="J74" s="324"/>
      <c r="K74" s="324"/>
      <c r="L74" s="324"/>
      <c r="M74" s="339"/>
      <c r="N74" s="345">
        <f>ROUND(SUM(Program_Detail[[#This Row],[21st CCLC,  Title IV-B]:[(enter addt''l. fund source 5)]]),2)</f>
        <v>0</v>
      </c>
      <c r="O74" s="342"/>
    </row>
    <row r="75" spans="2:15" x14ac:dyDescent="0.25">
      <c r="B75" s="321"/>
      <c r="C75" s="322"/>
      <c r="D75" s="323"/>
      <c r="E75" s="322"/>
      <c r="F75" s="322"/>
      <c r="G75" s="330"/>
      <c r="H75" s="336"/>
      <c r="I75" s="333"/>
      <c r="J75" s="324"/>
      <c r="K75" s="324"/>
      <c r="L75" s="324"/>
      <c r="M75" s="339"/>
      <c r="N75" s="345">
        <f>ROUND(SUM(Program_Detail[[#This Row],[21st CCLC,  Title IV-B]:[(enter addt''l. fund source 5)]]),2)</f>
        <v>0</v>
      </c>
      <c r="O75" s="342"/>
    </row>
    <row r="76" spans="2:15" x14ac:dyDescent="0.25">
      <c r="B76" s="321"/>
      <c r="C76" s="322"/>
      <c r="D76" s="323"/>
      <c r="E76" s="322"/>
      <c r="F76" s="322"/>
      <c r="G76" s="330"/>
      <c r="H76" s="336"/>
      <c r="I76" s="333"/>
      <c r="J76" s="324"/>
      <c r="K76" s="324"/>
      <c r="L76" s="324"/>
      <c r="M76" s="339"/>
      <c r="N76" s="345">
        <f>ROUND(SUM(Program_Detail[[#This Row],[21st CCLC,  Title IV-B]:[(enter addt''l. fund source 5)]]),2)</f>
        <v>0</v>
      </c>
      <c r="O76" s="342"/>
    </row>
    <row r="77" spans="2:15" x14ac:dyDescent="0.25">
      <c r="B77" s="321"/>
      <c r="C77" s="322"/>
      <c r="D77" s="323"/>
      <c r="E77" s="322"/>
      <c r="F77" s="322"/>
      <c r="G77" s="330"/>
      <c r="H77" s="336"/>
      <c r="I77" s="333"/>
      <c r="J77" s="324"/>
      <c r="K77" s="324"/>
      <c r="L77" s="324"/>
      <c r="M77" s="339"/>
      <c r="N77" s="345">
        <f>ROUND(SUM(Program_Detail[[#This Row],[21st CCLC,  Title IV-B]:[(enter addt''l. fund source 5)]]),2)</f>
        <v>0</v>
      </c>
      <c r="O77" s="342"/>
    </row>
    <row r="78" spans="2:15" x14ac:dyDescent="0.25">
      <c r="B78" s="321"/>
      <c r="C78" s="322"/>
      <c r="D78" s="323"/>
      <c r="E78" s="322"/>
      <c r="F78" s="322"/>
      <c r="G78" s="330"/>
      <c r="H78" s="336"/>
      <c r="I78" s="333"/>
      <c r="J78" s="324"/>
      <c r="K78" s="324"/>
      <c r="L78" s="324"/>
      <c r="M78" s="339"/>
      <c r="N78" s="345">
        <f>ROUND(SUM(Program_Detail[[#This Row],[21st CCLC,  Title IV-B]:[(enter addt''l. fund source 5)]]),2)</f>
        <v>0</v>
      </c>
      <c r="O78" s="342"/>
    </row>
    <row r="79" spans="2:15" x14ac:dyDescent="0.25">
      <c r="B79" s="321"/>
      <c r="C79" s="322"/>
      <c r="D79" s="323"/>
      <c r="E79" s="322"/>
      <c r="F79" s="322"/>
      <c r="G79" s="330"/>
      <c r="H79" s="336"/>
      <c r="I79" s="333"/>
      <c r="J79" s="324"/>
      <c r="K79" s="324"/>
      <c r="L79" s="324"/>
      <c r="M79" s="339"/>
      <c r="N79" s="345">
        <f>ROUND(SUM(Program_Detail[[#This Row],[21st CCLC,  Title IV-B]:[(enter addt''l. fund source 5)]]),2)</f>
        <v>0</v>
      </c>
      <c r="O79" s="342"/>
    </row>
    <row r="80" spans="2:15" x14ac:dyDescent="0.25">
      <c r="B80" s="321"/>
      <c r="C80" s="322"/>
      <c r="D80" s="323"/>
      <c r="E80" s="322"/>
      <c r="F80" s="322"/>
      <c r="G80" s="330"/>
      <c r="H80" s="336"/>
      <c r="I80" s="333"/>
      <c r="J80" s="324"/>
      <c r="K80" s="324"/>
      <c r="L80" s="324"/>
      <c r="M80" s="339"/>
      <c r="N80" s="345">
        <f>ROUND(SUM(Program_Detail[[#This Row],[21st CCLC,  Title IV-B]:[(enter addt''l. fund source 5)]]),2)</f>
        <v>0</v>
      </c>
      <c r="O80" s="342"/>
    </row>
    <row r="81" spans="2:15" x14ac:dyDescent="0.25">
      <c r="B81" s="321"/>
      <c r="C81" s="322"/>
      <c r="D81" s="323"/>
      <c r="E81" s="322"/>
      <c r="F81" s="322"/>
      <c r="G81" s="330"/>
      <c r="H81" s="336"/>
      <c r="I81" s="333"/>
      <c r="J81" s="324"/>
      <c r="K81" s="324"/>
      <c r="L81" s="324"/>
      <c r="M81" s="339"/>
      <c r="N81" s="345">
        <f>ROUND(SUM(Program_Detail[[#This Row],[21st CCLC,  Title IV-B]:[(enter addt''l. fund source 5)]]),2)</f>
        <v>0</v>
      </c>
      <c r="O81" s="342"/>
    </row>
    <row r="82" spans="2:15" x14ac:dyDescent="0.25">
      <c r="B82" s="321"/>
      <c r="C82" s="322"/>
      <c r="D82" s="323"/>
      <c r="E82" s="322"/>
      <c r="F82" s="322"/>
      <c r="G82" s="330"/>
      <c r="H82" s="336"/>
      <c r="I82" s="333"/>
      <c r="J82" s="324"/>
      <c r="K82" s="324"/>
      <c r="L82" s="324"/>
      <c r="M82" s="339"/>
      <c r="N82" s="345">
        <f>ROUND(SUM(Program_Detail[[#This Row],[21st CCLC,  Title IV-B]:[(enter addt''l. fund source 5)]]),2)</f>
        <v>0</v>
      </c>
      <c r="O82" s="342"/>
    </row>
    <row r="83" spans="2:15" x14ac:dyDescent="0.25">
      <c r="B83" s="321"/>
      <c r="C83" s="322"/>
      <c r="D83" s="323"/>
      <c r="E83" s="322"/>
      <c r="F83" s="322"/>
      <c r="G83" s="330"/>
      <c r="H83" s="336"/>
      <c r="I83" s="333"/>
      <c r="J83" s="324"/>
      <c r="K83" s="324"/>
      <c r="L83" s="324"/>
      <c r="M83" s="339"/>
      <c r="N83" s="345">
        <f>ROUND(SUM(Program_Detail[[#This Row],[21st CCLC,  Title IV-B]:[(enter addt''l. fund source 5)]]),2)</f>
        <v>0</v>
      </c>
      <c r="O83" s="342"/>
    </row>
    <row r="84" spans="2:15" x14ac:dyDescent="0.25">
      <c r="B84" s="321"/>
      <c r="C84" s="322"/>
      <c r="D84" s="323"/>
      <c r="E84" s="322"/>
      <c r="F84" s="322"/>
      <c r="G84" s="330"/>
      <c r="H84" s="336"/>
      <c r="I84" s="333"/>
      <c r="J84" s="324"/>
      <c r="K84" s="324"/>
      <c r="L84" s="324"/>
      <c r="M84" s="339"/>
      <c r="N84" s="345">
        <f>ROUND(SUM(Program_Detail[[#This Row],[21st CCLC,  Title IV-B]:[(enter addt''l. fund source 5)]]),2)</f>
        <v>0</v>
      </c>
      <c r="O84" s="342"/>
    </row>
    <row r="85" spans="2:15" x14ac:dyDescent="0.25">
      <c r="B85" s="321"/>
      <c r="C85" s="322"/>
      <c r="D85" s="323"/>
      <c r="E85" s="322"/>
      <c r="F85" s="322"/>
      <c r="G85" s="330"/>
      <c r="H85" s="336"/>
      <c r="I85" s="333"/>
      <c r="J85" s="324"/>
      <c r="K85" s="324"/>
      <c r="L85" s="324"/>
      <c r="M85" s="339"/>
      <c r="N85" s="345">
        <f>ROUND(SUM(Program_Detail[[#This Row],[21st CCLC,  Title IV-B]:[(enter addt''l. fund source 5)]]),2)</f>
        <v>0</v>
      </c>
      <c r="O85" s="342"/>
    </row>
    <row r="86" spans="2:15" x14ac:dyDescent="0.25">
      <c r="B86" s="321"/>
      <c r="C86" s="322"/>
      <c r="D86" s="323"/>
      <c r="E86" s="322"/>
      <c r="F86" s="322"/>
      <c r="G86" s="330"/>
      <c r="H86" s="336"/>
      <c r="I86" s="333"/>
      <c r="J86" s="324"/>
      <c r="K86" s="324"/>
      <c r="L86" s="324"/>
      <c r="M86" s="339"/>
      <c r="N86" s="345">
        <f>ROUND(SUM(Program_Detail[[#This Row],[21st CCLC,  Title IV-B]:[(enter addt''l. fund source 5)]]),2)</f>
        <v>0</v>
      </c>
      <c r="O86" s="342"/>
    </row>
    <row r="87" spans="2:15" x14ac:dyDescent="0.25">
      <c r="B87" s="321"/>
      <c r="C87" s="322"/>
      <c r="D87" s="323"/>
      <c r="E87" s="322"/>
      <c r="F87" s="322"/>
      <c r="G87" s="330"/>
      <c r="H87" s="336"/>
      <c r="I87" s="333"/>
      <c r="J87" s="324"/>
      <c r="K87" s="324"/>
      <c r="L87" s="324"/>
      <c r="M87" s="339"/>
      <c r="N87" s="345">
        <f>ROUND(SUM(Program_Detail[[#This Row],[21st CCLC,  Title IV-B]:[(enter addt''l. fund source 5)]]),2)</f>
        <v>0</v>
      </c>
      <c r="O87" s="342"/>
    </row>
    <row r="88" spans="2:15" x14ac:dyDescent="0.25">
      <c r="B88" s="321"/>
      <c r="C88" s="322"/>
      <c r="D88" s="323"/>
      <c r="E88" s="322"/>
      <c r="F88" s="322"/>
      <c r="G88" s="330"/>
      <c r="H88" s="336"/>
      <c r="I88" s="333"/>
      <c r="J88" s="324"/>
      <c r="K88" s="324"/>
      <c r="L88" s="324"/>
      <c r="M88" s="339"/>
      <c r="N88" s="345">
        <f>ROUND(SUM(Program_Detail[[#This Row],[21st CCLC,  Title IV-B]:[(enter addt''l. fund source 5)]]),2)</f>
        <v>0</v>
      </c>
      <c r="O88" s="342"/>
    </row>
    <row r="89" spans="2:15" x14ac:dyDescent="0.25">
      <c r="B89" s="321"/>
      <c r="C89" s="322"/>
      <c r="D89" s="323"/>
      <c r="E89" s="322"/>
      <c r="F89" s="322"/>
      <c r="G89" s="330"/>
      <c r="H89" s="336"/>
      <c r="I89" s="333"/>
      <c r="J89" s="324"/>
      <c r="K89" s="324"/>
      <c r="L89" s="324"/>
      <c r="M89" s="339"/>
      <c r="N89" s="345">
        <f>ROUND(SUM(Program_Detail[[#This Row],[21st CCLC,  Title IV-B]:[(enter addt''l. fund source 5)]]),2)</f>
        <v>0</v>
      </c>
      <c r="O89" s="342"/>
    </row>
    <row r="90" spans="2:15" x14ac:dyDescent="0.25">
      <c r="B90" s="325"/>
      <c r="C90" s="326"/>
      <c r="D90" s="327"/>
      <c r="E90" s="326"/>
      <c r="F90" s="326"/>
      <c r="G90" s="331"/>
      <c r="H90" s="337"/>
      <c r="I90" s="334"/>
      <c r="J90" s="328"/>
      <c r="K90" s="328"/>
      <c r="L90" s="328"/>
      <c r="M90" s="340"/>
      <c r="N90" s="346">
        <f>ROUND(SUM(Program_Detail[[#This Row],[21st CCLC,  Title IV-B]:[(enter addt''l. fund source 5)]]),2)</f>
        <v>0</v>
      </c>
      <c r="O90" s="343"/>
    </row>
  </sheetData>
  <sheetProtection sheet="1" objects="1" scenarios="1" sort="0" autoFilter="0"/>
  <mergeCells count="3">
    <mergeCell ref="B2:G2"/>
    <mergeCell ref="C5:E5"/>
    <mergeCell ref="C6:E6"/>
  </mergeCells>
  <conditionalFormatting sqref="B16:D16">
    <cfRule type="cellIs" dxfId="20" priority="15" operator="equal">
      <formula>"(select)"</formula>
    </cfRule>
  </conditionalFormatting>
  <conditionalFormatting sqref="B16:G90">
    <cfRule type="expression" dxfId="19" priority="19">
      <formula>AND(SUM($H16:$M16)&gt;0,B16="")</formula>
    </cfRule>
  </conditionalFormatting>
  <conditionalFormatting sqref="C4">
    <cfRule type="cellIs" dxfId="18" priority="1" operator="equal">
      <formula>"(enter ID)"</formula>
    </cfRule>
  </conditionalFormatting>
  <conditionalFormatting sqref="C4:C5 C7">
    <cfRule type="expression" dxfId="17" priority="2">
      <formula>$C$5="Invalid Entity ID"</formula>
    </cfRule>
  </conditionalFormatting>
  <conditionalFormatting sqref="C5 C7">
    <cfRule type="cellIs" dxfId="16" priority="3" operator="equal">
      <formula>"(autofill)"</formula>
    </cfRule>
  </conditionalFormatting>
  <conditionalFormatting sqref="C16:C90">
    <cfRule type="cellIs" dxfId="15" priority="20" operator="equal">
      <formula>"Yes"</formula>
    </cfRule>
  </conditionalFormatting>
  <conditionalFormatting sqref="C16:D90 H16:H90">
    <cfRule type="expression" dxfId="14" priority="21">
      <formula>AND($C16="Yes",$D16="Indirect")</formula>
    </cfRule>
  </conditionalFormatting>
  <conditionalFormatting sqref="D16:D90 H16:H90">
    <cfRule type="expression" dxfId="13" priority="23">
      <formula>AND($D16="Indirect",ROUND($H$13,2)&gt;ROUND($H$12,2))</formula>
    </cfRule>
  </conditionalFormatting>
  <conditionalFormatting sqref="E16">
    <cfRule type="cellIs" dxfId="12" priority="24" operator="equal">
      <formula>"(fx code)"</formula>
    </cfRule>
  </conditionalFormatting>
  <conditionalFormatting sqref="F16">
    <cfRule type="cellIs" dxfId="11" priority="26" operator="equal">
      <formula>"(obj)"</formula>
    </cfRule>
  </conditionalFormatting>
  <conditionalFormatting sqref="G16">
    <cfRule type="cellIs" dxfId="10" priority="30" operator="equal">
      <formula>"(enter description)"</formula>
    </cfRule>
  </conditionalFormatting>
  <conditionalFormatting sqref="H11">
    <cfRule type="expression" dxfId="9" priority="5">
      <formula>AND($H$13&gt;0,OR($H$11="(enter %)",$H$11=""))</formula>
    </cfRule>
    <cfRule type="cellIs" dxfId="0" priority="7" operator="equal">
      <formula>"(enter %)"</formula>
    </cfRule>
  </conditionalFormatting>
  <conditionalFormatting sqref="H12:H13">
    <cfRule type="expression" dxfId="8" priority="12">
      <formula>ROUND($H$13,2)&gt;ROUND($H$12,2)</formula>
    </cfRule>
  </conditionalFormatting>
  <conditionalFormatting sqref="H16:M16">
    <cfRule type="cellIs" dxfId="7" priority="33" operator="equal">
      <formula>"(enter $)"</formula>
    </cfRule>
  </conditionalFormatting>
  <conditionalFormatting sqref="I7:M7 S15:W15">
    <cfRule type="containsText" dxfId="6" priority="4" operator="containsText" text="(addt'l. fund source">
      <formula>NOT(ISERROR(SEARCH("(addt'l. fund source",I7)))</formula>
    </cfRule>
  </conditionalFormatting>
  <conditionalFormatting sqref="I11:M11">
    <cfRule type="expression" dxfId="5" priority="8">
      <formula>AND(I$13&gt;0,OR(I$11="(enter %)",I$11=""))</formula>
    </cfRule>
  </conditionalFormatting>
  <conditionalFormatting sqref="I13:M13">
    <cfRule type="expression" dxfId="4" priority="13">
      <formula>ROUND(I$13,2)&gt;ROUND(I$12,2)</formula>
    </cfRule>
  </conditionalFormatting>
  <conditionalFormatting sqref="I15:M15">
    <cfRule type="containsText" dxfId="3" priority="14" operator="containsText" text="enter addt'l. fund source">
      <formula>NOT(ISERROR(SEARCH("enter addt'l. fund source",I15)))</formula>
    </cfRule>
  </conditionalFormatting>
  <conditionalFormatting sqref="I11:N11">
    <cfRule type="cellIs" dxfId="2" priority="10" operator="equal">
      <formula>"(enter %)"</formula>
    </cfRule>
  </conditionalFormatting>
  <conditionalFormatting sqref="O16">
    <cfRule type="cellIs" dxfId="1" priority="34" operator="equal">
      <formula>"(enter note)"</formula>
    </cfRule>
  </conditionalFormatting>
  <dataValidations count="8">
    <dataValidation allowBlank="1" showInputMessage="1" showErrorMessage="1" prompt="Enter your entity's federally negotiated restricted indirect rate. If you do not have one, enter 0." sqref="H11" xr:uid="{29A03F15-D64D-48EB-AF30-DF25D81BBA16}"/>
    <dataValidation allowBlank="1" showInputMessage="1" showErrorMessage="1" prompt="Each line item for salaries MUST indicate: _x000a__x000a_1) Amount of FTE, and _x000a__x000a_2) Type of position (see Budget Guidance tab for examples)." sqref="G16:G18" xr:uid="{0597B967-4B5F-4141-921A-8CD5875F8FD0}"/>
    <dataValidation type="list" allowBlank="1" showErrorMessage="1" sqref="B19:B90" xr:uid="{90D40A2D-8D0A-41E2-83A6-B439F36FCBEC}">
      <formula1>Program_List</formula1>
    </dataValidation>
    <dataValidation type="list" allowBlank="1" showErrorMessage="1" sqref="D16:D90" xr:uid="{47D6FB9F-1BCF-424E-9C98-70290E53FE6E}">
      <formula1>Categories_List</formula1>
    </dataValidation>
    <dataValidation type="list" allowBlank="1" showErrorMessage="1" sqref="C19:C90" xr:uid="{64A1E36F-D662-4210-8F72-28F29FB28EB3}">
      <formula1>Contracted_List</formula1>
    </dataValidation>
    <dataValidation type="list" allowBlank="1" showInputMessage="1" showErrorMessage="1" prompt="Indicate whether this budget item is a Before/Afterschool Program expense or Summer Program expense." sqref="B16:B18" xr:uid="{815A71F8-03BC-4E4D-A1EF-DEC65FB4262D}">
      <formula1>Program_List</formula1>
    </dataValidation>
    <dataValidation type="list" allowBlank="1" showInputMessage="1" showErrorMessage="1" prompt="Select &quot;Yes&quot; if this budget item is part of contract with an external partner. _x000a__x000a_Select &quot;No&quot; if it is this budget item will be a direct expenditure." sqref="C16:C18" xr:uid="{BA9AE05A-139D-4DE5-8DBC-CECFF422FA51}">
      <formula1>Contracted_List</formula1>
    </dataValidation>
    <dataValidation allowBlank="1" showInputMessage="1" showErrorMessage="1" prompt="Enter the name of the additional funding source here. The corresponding column header will automatically fill in for all other tables in this workbook." sqref="I15:M15" xr:uid="{781FA610-EC96-432A-A515-7163062E8894}"/>
  </dataValidations>
  <hyperlinks>
    <hyperlink ref="D4" location="'Entity IDs'!B2" display="List of Entity IDs" xr:uid="{066E6034-B0C6-41BB-9E90-4060FDF3D846}"/>
  </hyperlink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E318C-E128-4F80-892C-5E08891E16AC}">
  <sheetPr>
    <tabColor rgb="FFAAD4F4"/>
    <pageSetUpPr autoPageBreaks="0" fitToPage="1"/>
  </sheetPr>
  <dimension ref="A1:Z87"/>
  <sheetViews>
    <sheetView showGridLines="0" showRowColHeaders="0" zoomScaleNormal="100" workbookViewId="0">
      <pane ySplit="12" topLeftCell="A13" activePane="bottomLeft" state="frozen"/>
      <selection activeCell="C4" sqref="C4"/>
      <selection pane="bottomLeft" activeCell="C6" sqref="C6:E6"/>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578</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ROUND(SUMIF(Site_Detail_1[[Program Type]:[Program Type]],"Before/Afterschool",Site_Detail_1[21st CCLC,  Title IV-B]),2)</f>
        <v>0</v>
      </c>
      <c r="I8" s="150">
        <f>ROUND(SUMIF(Site_Detail_1[[Program Type]:[Program Type]],"Before/Afterschool",Site_Detail_1[(enter addt''l. fund source 1)]),2)</f>
        <v>0</v>
      </c>
      <c r="J8" s="150">
        <f>ROUND(SUMIF(Site_Detail_1[[Program Type]:[Program Type]],"Before/Afterschool",Site_Detail_1[(enter addt''l. fund source 2)]),2)</f>
        <v>0</v>
      </c>
      <c r="K8" s="150">
        <f>ROUND(SUMIF(Site_Detail_1[[Program Type]:[Program Type]],"Before/Afterschool",Site_Detail_1[(enter addt''l. fund source 3)]),2)</f>
        <v>0</v>
      </c>
      <c r="L8" s="150">
        <f>ROUND(SUMIF(Site_Detail_1[[Program Type]:[Program Type]],"Before/Afterschool",Site_Detail_1[(enter addt''l. fund source 4)]),2)</f>
        <v>0</v>
      </c>
      <c r="M8" s="203">
        <f>ROUND(SUMIF(Site_Detail_1[[Program Type]:[Program Type]],"Before/Afterschool",Site_Detail_1[(enter addt''l. fund source 5)]),2)</f>
        <v>0</v>
      </c>
      <c r="N8" s="198">
        <f>SUM(Site_Summary_1[[#This Row],[Column3]:[Column8]])</f>
        <v>0</v>
      </c>
    </row>
    <row r="9" spans="1:26" customFormat="1" x14ac:dyDescent="0.25">
      <c r="A9" s="1" t="s">
        <v>0</v>
      </c>
      <c r="B9" s="408"/>
      <c r="C9" s="410"/>
      <c r="G9" s="149" t="s">
        <v>609</v>
      </c>
      <c r="H9" s="151">
        <f>ROUND(SUMIF(Site_Detail_1[[Program Type]:[Program Type]],"Summer",Site_Detail_1[21st CCLC,  Title IV-B]),2)</f>
        <v>0</v>
      </c>
      <c r="I9" s="150">
        <f>ROUND(SUMIF(Site_Detail_1[[Program Type]:[Program Type]],"Summer",Site_Detail_1[(enter addt''l. fund source 1)]),2)</f>
        <v>0</v>
      </c>
      <c r="J9" s="150">
        <f>ROUND(SUMIF(Site_Detail_1[[Program Type]:[Program Type]],"Summer",Site_Detail_1[(enter addt''l. fund source 2)]),2)</f>
        <v>0</v>
      </c>
      <c r="K9" s="150">
        <f>ROUND(SUMIF(Site_Detail_1[[Program Type]:[Program Type]],"Summer",Site_Detail_1[(enter addt''l. fund source 3)]),2)</f>
        <v>0</v>
      </c>
      <c r="L9" s="150">
        <f>ROUND(SUMIF(Site_Detail_1[[Program Type]:[Program Type]],"Summer",Site_Detail_1[(enter addt''l. fund source 4)]),2)</f>
        <v>0</v>
      </c>
      <c r="M9" s="204">
        <f>ROUND(SUMIF(Site_Detail_1[[Program Type]:[Program Type]],"Summer",Site_Detail_1[(enter addt''l. fund source 5)]),2)</f>
        <v>0</v>
      </c>
      <c r="N9" s="199">
        <f>SUM(Site_Summary_1[[#This Row],[Column3]:[Column8]])</f>
        <v>0</v>
      </c>
    </row>
    <row r="10" spans="1:26" customFormat="1" x14ac:dyDescent="0.25">
      <c r="A10" s="1" t="s">
        <v>0</v>
      </c>
      <c r="G10" s="152" t="s">
        <v>612</v>
      </c>
      <c r="H10" s="247">
        <f>ROUND(SUM(Site_Detail_1[21st CCLC,  Title IV-B]),2)</f>
        <v>0</v>
      </c>
      <c r="I10" s="248">
        <f>ROUND(SUM(Site_Detail_1[(enter addt''l. fund source 1)]),2)</f>
        <v>0</v>
      </c>
      <c r="J10" s="109">
        <f>ROUND(SUM(Site_Detail_1[(enter addt''l. fund source 2)]),2)</f>
        <v>0</v>
      </c>
      <c r="K10" s="109">
        <f>ROUND(SUM(Site_Detail_1[(enter addt''l. fund source 3)]),2)</f>
        <v>0</v>
      </c>
      <c r="L10" s="109">
        <f>ROUND(SUM(Site_Detail_1[(enter addt''l. fund source 4)]),2)</f>
        <v>0</v>
      </c>
      <c r="M10" s="110">
        <f>ROUND(SUM(Site_Detail_1[(enter addt''l. fund source 5)]),2)</f>
        <v>0</v>
      </c>
      <c r="N10" s="238">
        <f>SUM(Site_Summary_1[[#This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ROUND(SUM(Site_Detail_1[[#This Row],[21st CCLC,  Title IV-B]:[(enter addt''l. fund source 5)]]),2)</f>
        <v>0</v>
      </c>
      <c r="O13" s="225" t="s">
        <v>28</v>
      </c>
      <c r="Q13" s="101" t="s">
        <v>545</v>
      </c>
      <c r="R13" s="230" cm="1">
        <f t="array" ref="R13">SUMIF(Site_Detail_1[[Category]:[Category]],Site_Category_Sum_1[[#This Row],[Column1]:[Column1]],Site_Detail_1[21st CCLC,  Title IV-B])</f>
        <v>0</v>
      </c>
      <c r="S13" s="124" cm="1">
        <f t="array" ref="S13">SUMIF(Site_Detail_1[[Category]:[Category]],Site_Category_Sum_1[[#This Row],[Column1]:[Column1]],Site_Detail_1[(enter addt''l. fund source 1)])</f>
        <v>0</v>
      </c>
      <c r="T13" s="124" cm="1">
        <f t="array" ref="T13">SUMIF(Site_Detail_1[[Category]:[Category]],Site_Category_Sum_1[[#This Row],[Column1]:[Column1]],Site_Detail_1[(enter addt''l. fund source 2)])</f>
        <v>0</v>
      </c>
      <c r="U13" s="124" cm="1">
        <f t="array" ref="U13">SUMIF(Site_Detail_1[[Category]:[Category]],Site_Category_Sum_1[[#This Row],[Column1]:[Column1]],Site_Detail_1[(enter addt''l. fund source 3)])</f>
        <v>0</v>
      </c>
      <c r="V13" s="124" cm="1">
        <f t="array" ref="V13">SUMIF(Site_Detail_1[[Category]:[Category]],Site_Category_Sum_1[[#This Row],[Column1]:[Column1]],Site_Detail_1[(enter addt''l. fund source 4)])</f>
        <v>0</v>
      </c>
      <c r="W13" s="124" cm="1">
        <f t="array" ref="W13">SUMIF(Site_Detail_1[[Category]:[Category]],Site_Category_Sum_1[[#This Row],[Column1]:[Column1]],Site_Detail_1[(enter addt''l. fund source 5)])</f>
        <v>0</v>
      </c>
      <c r="X13" s="233">
        <f>ROUND(SUM(Site_Category_Sum_1[[#This Row],[Column2]:[Column7]]),2)</f>
        <v>0</v>
      </c>
      <c r="Z13" s="178" t="s">
        <v>0</v>
      </c>
    </row>
    <row r="14" spans="1:26" x14ac:dyDescent="0.25">
      <c r="B14" s="53"/>
      <c r="C14" s="54"/>
      <c r="D14" s="53"/>
      <c r="E14" s="54"/>
      <c r="F14" s="54"/>
      <c r="G14" s="219"/>
      <c r="H14" s="196"/>
      <c r="I14" s="220"/>
      <c r="J14" s="55"/>
      <c r="K14" s="55"/>
      <c r="L14" s="55"/>
      <c r="M14" s="207"/>
      <c r="N14" s="200">
        <f>ROUND(SUM(Site_Detail_1[[#This Row],[21st CCLC,  Title IV-B]:[(enter addt''l. fund source 5)]]),2)</f>
        <v>0</v>
      </c>
      <c r="O14" s="208"/>
      <c r="Q14" s="103" t="s">
        <v>546</v>
      </c>
      <c r="R14" s="230" cm="1">
        <f t="array" ref="R14">SUMIF(Site_Detail_1[[Category]:[Category]],Site_Category_Sum_1[[#This Row],[Column1]:[Column1]],Site_Detail_1[21st CCLC,  Title IV-B])</f>
        <v>0</v>
      </c>
      <c r="S14" s="124" cm="1">
        <f t="array" ref="S14">SUMIF(Site_Detail_1[[Category]:[Category]],Site_Category_Sum_1[[#This Row],[Column1]:[Column1]],Site_Detail_1[(enter addt''l. fund source 1)])</f>
        <v>0</v>
      </c>
      <c r="T14" s="102" cm="1">
        <f t="array" ref="T14">SUMIF(Site_Detail_1[[Category]:[Category]],Site_Category_Sum_1[[#This Row],[Column1]:[Column1]],Site_Detail_1[(enter addt''l. fund source 2)])</f>
        <v>0</v>
      </c>
      <c r="U14" s="102" cm="1">
        <f t="array" ref="U14">SUMIF(Site_Detail_1[[Category]:[Category]],Site_Category_Sum_1[[#This Row],[Column1]:[Column1]],Site_Detail_1[(enter addt''l. fund source 3)])</f>
        <v>0</v>
      </c>
      <c r="V14" s="102" cm="1">
        <f t="array" ref="V14">SUMIF(Site_Detail_1[[Category]:[Category]],Site_Category_Sum_1[[#This Row],[Column1]:[Column1]],Site_Detail_1[(enter addt''l. fund source 4)])</f>
        <v>0</v>
      </c>
      <c r="W14" s="102" cm="1">
        <f t="array" ref="W14">SUMIF(Site_Detail_1[[Category]:[Category]],Site_Category_Sum_1[[#This Row],[Column1]:[Column1]],Site_Detail_1[(enter addt''l. fund source 5)])</f>
        <v>0</v>
      </c>
      <c r="X14" s="233">
        <f>ROUND(SUM(Site_Category_Sum_1[[#This Row],[Column2]:[Column7]]),2)</f>
        <v>0</v>
      </c>
      <c r="Z14" s="178" t="s">
        <v>0</v>
      </c>
    </row>
    <row r="15" spans="1:26" x14ac:dyDescent="0.25">
      <c r="B15" s="50"/>
      <c r="C15" s="51"/>
      <c r="D15" s="50"/>
      <c r="E15" s="51"/>
      <c r="F15" s="51"/>
      <c r="G15" s="221"/>
      <c r="H15" s="196"/>
      <c r="I15" s="222"/>
      <c r="J15" s="52"/>
      <c r="K15" s="52"/>
      <c r="L15" s="52"/>
      <c r="M15" s="205"/>
      <c r="N15" s="200">
        <f>ROUND(SUM(Site_Detail_1[[#This Row],[21st CCLC,  Title IV-B]:[(enter addt''l. fund source 5)]]),2)</f>
        <v>0</v>
      </c>
      <c r="O15" s="206"/>
      <c r="Q15" s="103" t="s">
        <v>161</v>
      </c>
      <c r="R15" s="230" cm="1">
        <f t="array" ref="R15">SUMIF(Site_Detail_1[[Category]:[Category]],Site_Category_Sum_1[[#This Row],[Column1]:[Column1]],Site_Detail_1[21st CCLC,  Title IV-B])</f>
        <v>0</v>
      </c>
      <c r="S15" s="124" cm="1">
        <f t="array" ref="S15">SUMIF(Site_Detail_1[[Category]:[Category]],Site_Category_Sum_1[[#This Row],[Column1]:[Column1]],Site_Detail_1[(enter addt''l. fund source 1)])</f>
        <v>0</v>
      </c>
      <c r="T15" s="102" cm="1">
        <f t="array" ref="T15">SUMIF(Site_Detail_1[[Category]:[Category]],Site_Category_Sum_1[[#This Row],[Column1]:[Column1]],Site_Detail_1[(enter addt''l. fund source 2)])</f>
        <v>0</v>
      </c>
      <c r="U15" s="102" cm="1">
        <f t="array" ref="U15">SUMIF(Site_Detail_1[[Category]:[Category]],Site_Category_Sum_1[[#This Row],[Column1]:[Column1]],Site_Detail_1[(enter addt''l. fund source 3)])</f>
        <v>0</v>
      </c>
      <c r="V15" s="102" cm="1">
        <f t="array" ref="V15">SUMIF(Site_Detail_1[[Category]:[Category]],Site_Category_Sum_1[[#This Row],[Column1]:[Column1]],Site_Detail_1[(enter addt''l. fund source 4)])</f>
        <v>0</v>
      </c>
      <c r="W15" s="102" cm="1">
        <f t="array" ref="W15">SUMIF(Site_Detail_1[[Category]:[Category]],Site_Category_Sum_1[[#This Row],[Column1]:[Column1]],Site_Detail_1[(enter addt''l. fund source 5)])</f>
        <v>0</v>
      </c>
      <c r="X15" s="233">
        <f>ROUND(SUM(Site_Category_Sum_1[[#This Row],[Column2]:[Column7]]),2)</f>
        <v>0</v>
      </c>
      <c r="Z15" s="178" t="s">
        <v>0</v>
      </c>
    </row>
    <row r="16" spans="1:26" x14ac:dyDescent="0.25">
      <c r="B16" s="53"/>
      <c r="C16" s="54"/>
      <c r="D16" s="53"/>
      <c r="E16" s="54"/>
      <c r="F16" s="54"/>
      <c r="G16" s="219"/>
      <c r="H16" s="196"/>
      <c r="I16" s="220"/>
      <c r="J16" s="55"/>
      <c r="K16" s="55"/>
      <c r="L16" s="55"/>
      <c r="M16" s="207"/>
      <c r="N16" s="200">
        <f>ROUND(SUM(Site_Detail_1[[#This Row],[21st CCLC,  Title IV-B]:[(enter addt''l. fund source 5)]]),2)</f>
        <v>0</v>
      </c>
      <c r="O16" s="208"/>
      <c r="Q16" s="103" t="s">
        <v>162</v>
      </c>
      <c r="R16" s="230" cm="1">
        <f t="array" ref="R16">SUMIF(Site_Detail_1[[Category]:[Category]],Site_Category_Sum_1[[#This Row],[Column1]:[Column1]],Site_Detail_1[21st CCLC,  Title IV-B])</f>
        <v>0</v>
      </c>
      <c r="S16" s="124" cm="1">
        <f t="array" ref="S16">SUMIF(Site_Detail_1[[Category]:[Category]],Site_Category_Sum_1[[#This Row],[Column1]:[Column1]],Site_Detail_1[(enter addt''l. fund source 1)])</f>
        <v>0</v>
      </c>
      <c r="T16" s="102" cm="1">
        <f t="array" ref="T16">SUMIF(Site_Detail_1[[Category]:[Category]],Site_Category_Sum_1[[#This Row],[Column1]:[Column1]],Site_Detail_1[(enter addt''l. fund source 2)])</f>
        <v>0</v>
      </c>
      <c r="U16" s="102" cm="1">
        <f t="array" ref="U16">SUMIF(Site_Detail_1[[Category]:[Category]],Site_Category_Sum_1[[#This Row],[Column1]:[Column1]],Site_Detail_1[(enter addt''l. fund source 3)])</f>
        <v>0</v>
      </c>
      <c r="V16" s="102" cm="1">
        <f t="array" ref="V16">SUMIF(Site_Detail_1[[Category]:[Category]],Site_Category_Sum_1[[#This Row],[Column1]:[Column1]],Site_Detail_1[(enter addt''l. fund source 4)])</f>
        <v>0</v>
      </c>
      <c r="W16" s="102" cm="1">
        <f t="array" ref="W16">SUMIF(Site_Detail_1[[Category]:[Category]],Site_Category_Sum_1[[#This Row],[Column1]:[Column1]],Site_Detail_1[(enter addt''l. fund source 5)])</f>
        <v>0</v>
      </c>
      <c r="X16" s="233">
        <f>ROUND(SUM(Site_Category_Sum_1[[#This Row],[Column2]:[Column7]]),2)</f>
        <v>0</v>
      </c>
      <c r="Z16" s="178" t="s">
        <v>0</v>
      </c>
    </row>
    <row r="17" spans="2:26" x14ac:dyDescent="0.25">
      <c r="B17" s="53"/>
      <c r="C17" s="54"/>
      <c r="D17" s="53"/>
      <c r="E17" s="54"/>
      <c r="F17" s="54"/>
      <c r="G17" s="219"/>
      <c r="H17" s="196"/>
      <c r="I17" s="220"/>
      <c r="J17" s="55"/>
      <c r="K17" s="55"/>
      <c r="L17" s="55"/>
      <c r="M17" s="207"/>
      <c r="N17" s="200">
        <f>ROUND(SUM(Site_Detail_1[[#This Row],[21st CCLC,  Title IV-B]:[(enter addt''l. fund source 5)]]),2)</f>
        <v>0</v>
      </c>
      <c r="O17" s="208"/>
      <c r="Q17" s="103" t="s">
        <v>596</v>
      </c>
      <c r="R17" s="230" cm="1">
        <f t="array" ref="R17">SUMIF(Site_Detail_1[[Category]:[Category]],Site_Category_Sum_1[[#This Row],[Column1]:[Column1]],Site_Detail_1[21st CCLC,  Title IV-B])</f>
        <v>0</v>
      </c>
      <c r="S17" s="124" cm="1">
        <f t="array" ref="S17">SUMIF(Site_Detail_1[[Category]:[Category]],Site_Category_Sum_1[[#This Row],[Column1]:[Column1]],Site_Detail_1[(enter addt''l. fund source 1)])</f>
        <v>0</v>
      </c>
      <c r="T17" s="102" cm="1">
        <f t="array" ref="T17">SUMIF(Site_Detail_1[[Category]:[Category]],Site_Category_Sum_1[[#This Row],[Column1]:[Column1]],Site_Detail_1[(enter addt''l. fund source 2)])</f>
        <v>0</v>
      </c>
      <c r="U17" s="102" cm="1">
        <f t="array" ref="U17">SUMIF(Site_Detail_1[[Category]:[Category]],Site_Category_Sum_1[[#This Row],[Column1]:[Column1]],Site_Detail_1[(enter addt''l. fund source 3)])</f>
        <v>0</v>
      </c>
      <c r="V17" s="102" cm="1">
        <f t="array" ref="V17">SUMIF(Site_Detail_1[[Category]:[Category]],Site_Category_Sum_1[[#This Row],[Column1]:[Column1]],Site_Detail_1[(enter addt''l. fund source 4)])</f>
        <v>0</v>
      </c>
      <c r="W17" s="102" cm="1">
        <f t="array" ref="W17">SUMIF(Site_Detail_1[[Category]:[Category]],Site_Category_Sum_1[[#This Row],[Column1]:[Column1]],Site_Detail_1[(enter addt''l. fund source 5)])</f>
        <v>0</v>
      </c>
      <c r="X17" s="233">
        <f>ROUND(SUM(Site_Category_Sum_1[[#This Row],[Column2]:[Column7]]),2)</f>
        <v>0</v>
      </c>
      <c r="Z17" s="178" t="s">
        <v>0</v>
      </c>
    </row>
    <row r="18" spans="2:26" x14ac:dyDescent="0.25">
      <c r="B18" s="53"/>
      <c r="C18" s="54"/>
      <c r="D18" s="53"/>
      <c r="E18" s="54"/>
      <c r="F18" s="54"/>
      <c r="G18" s="219"/>
      <c r="H18" s="196"/>
      <c r="I18" s="220"/>
      <c r="J18" s="55"/>
      <c r="K18" s="55"/>
      <c r="L18" s="55"/>
      <c r="M18" s="207"/>
      <c r="N18" s="200">
        <f>ROUND(SUM(Site_Detail_1[[#This Row],[21st CCLC,  Title IV-B]:[(enter addt''l. fund source 5)]]),2)</f>
        <v>0</v>
      </c>
      <c r="O18" s="208"/>
      <c r="Q18" s="103" t="s">
        <v>160</v>
      </c>
      <c r="R18" s="230" cm="1">
        <f t="array" ref="R18">SUMIF(Site_Detail_1[[Category]:[Category]],Site_Category_Sum_1[[#This Row],[Column1]:[Column1]],Site_Detail_1[21st CCLC,  Title IV-B])</f>
        <v>0</v>
      </c>
      <c r="S18" s="124" cm="1">
        <f t="array" ref="S18">SUMIF(Site_Detail_1[[Category]:[Category]],Site_Category_Sum_1[[#This Row],[Column1]:[Column1]],Site_Detail_1[(enter addt''l. fund source 1)])</f>
        <v>0</v>
      </c>
      <c r="T18" s="102" cm="1">
        <f t="array" ref="T18">SUMIF(Site_Detail_1[[Category]:[Category]],Site_Category_Sum_1[[#This Row],[Column1]:[Column1]],Site_Detail_1[(enter addt''l. fund source 2)])</f>
        <v>0</v>
      </c>
      <c r="U18" s="102" cm="1">
        <f t="array" ref="U18">SUMIF(Site_Detail_1[[Category]:[Category]],Site_Category_Sum_1[[#This Row],[Column1]:[Column1]],Site_Detail_1[(enter addt''l. fund source 3)])</f>
        <v>0</v>
      </c>
      <c r="V18" s="102" cm="1">
        <f t="array" ref="V18">SUMIF(Site_Detail_1[[Category]:[Category]],Site_Category_Sum_1[[#This Row],[Column1]:[Column1]],Site_Detail_1[(enter addt''l. fund source 4)])</f>
        <v>0</v>
      </c>
      <c r="W18" s="102" cm="1">
        <f t="array" ref="W18">SUMIF(Site_Detail_1[[Category]:[Category]],Site_Category_Sum_1[[#This Row],[Column1]:[Column1]],Site_Detail_1[(enter addt''l. fund source 5)])</f>
        <v>0</v>
      </c>
      <c r="X18" s="233">
        <f>ROUND(SUM(Site_Category_Sum_1[[#This Row],[Column2]:[Column7]]),2)</f>
        <v>0</v>
      </c>
      <c r="Z18" s="178" t="s">
        <v>0</v>
      </c>
    </row>
    <row r="19" spans="2:26" x14ac:dyDescent="0.25">
      <c r="B19" s="53"/>
      <c r="C19" s="54"/>
      <c r="D19" s="53"/>
      <c r="E19" s="54"/>
      <c r="F19" s="54"/>
      <c r="G19" s="219"/>
      <c r="H19" s="196"/>
      <c r="I19" s="220"/>
      <c r="J19" s="55"/>
      <c r="K19" s="55"/>
      <c r="L19" s="55"/>
      <c r="M19" s="207"/>
      <c r="N19" s="200">
        <f>ROUND(SUM(Site_Detail_1[[#This Row],[21st CCLC,  Title IV-B]:[(enter addt''l. fund source 5)]]),2)</f>
        <v>0</v>
      </c>
      <c r="O19" s="208"/>
      <c r="Q19" s="103" t="s">
        <v>566</v>
      </c>
      <c r="R19" s="230" cm="1">
        <f t="array" ref="R19">SUMIF(Site_Detail_1[[Category]:[Category]],Site_Category_Sum_1[[#This Row],[Column1]:[Column1]],Site_Detail_1[21st CCLC,  Title IV-B])</f>
        <v>0</v>
      </c>
      <c r="S19" s="124" cm="1">
        <f t="array" ref="S19">SUMIF(Site_Detail_1[[Category]:[Category]],Site_Category_Sum_1[[#This Row],[Column1]:[Column1]],Site_Detail_1[(enter addt''l. fund source 1)])</f>
        <v>0</v>
      </c>
      <c r="T19" s="102" cm="1">
        <f t="array" ref="T19">SUMIF(Site_Detail_1[[Category]:[Category]],Site_Category_Sum_1[[#This Row],[Column1]:[Column1]],Site_Detail_1[(enter addt''l. fund source 2)])</f>
        <v>0</v>
      </c>
      <c r="U19" s="102" cm="1">
        <f t="array" ref="U19">SUMIF(Site_Detail_1[[Category]:[Category]],Site_Category_Sum_1[[#This Row],[Column1]:[Column1]],Site_Detail_1[(enter addt''l. fund source 3)])</f>
        <v>0</v>
      </c>
      <c r="V19" s="102" cm="1">
        <f t="array" ref="V19">SUMIF(Site_Detail_1[[Category]:[Category]],Site_Category_Sum_1[[#This Row],[Column1]:[Column1]],Site_Detail_1[(enter addt''l. fund source 4)])</f>
        <v>0</v>
      </c>
      <c r="W19" s="102" cm="1">
        <f t="array" ref="W19">SUMIF(Site_Detail_1[[Category]:[Category]],Site_Category_Sum_1[[#This Row],[Column1]:[Column1]],Site_Detail_1[(enter addt''l. fund source 5)])</f>
        <v>0</v>
      </c>
      <c r="X19" s="233">
        <f>ROUND(SUM(Site_Category_Sum_1[[#This Row],[Column2]:[Column7]]),2)</f>
        <v>0</v>
      </c>
      <c r="Z19" s="178" t="s">
        <v>0</v>
      </c>
    </row>
    <row r="20" spans="2:26" x14ac:dyDescent="0.25">
      <c r="B20" s="53"/>
      <c r="C20" s="54"/>
      <c r="D20" s="53"/>
      <c r="E20" s="54"/>
      <c r="F20" s="54"/>
      <c r="G20" s="219"/>
      <c r="H20" s="196"/>
      <c r="I20" s="220"/>
      <c r="J20" s="55"/>
      <c r="K20" s="55"/>
      <c r="L20" s="55"/>
      <c r="M20" s="207"/>
      <c r="N20" s="200">
        <f>ROUND(SUM(Site_Detail_1[[#This Row],[21st CCLC,  Title IV-B]:[(enter addt''l. fund source 5)]]),2)</f>
        <v>0</v>
      </c>
      <c r="O20" s="208"/>
      <c r="Q20" s="103" t="s">
        <v>75</v>
      </c>
      <c r="R20" s="230" cm="1">
        <f t="array" ref="R20">SUMIF(Site_Detail_1[[Category]:[Category]],Site_Category_Sum_1[[#This Row],[Column1]:[Column1]],Site_Detail_1[21st CCLC,  Title IV-B])</f>
        <v>0</v>
      </c>
      <c r="S20" s="124" cm="1">
        <f t="array" ref="S20">SUMIF(Site_Detail_1[[Category]:[Category]],Site_Category_Sum_1[[#This Row],[Column1]:[Column1]],Site_Detail_1[(enter addt''l. fund source 1)])</f>
        <v>0</v>
      </c>
      <c r="T20" s="102" cm="1">
        <f t="array" ref="T20">SUMIF(Site_Detail_1[[Category]:[Category]],Site_Category_Sum_1[[#This Row],[Column1]:[Column1]],Site_Detail_1[(enter addt''l. fund source 2)])</f>
        <v>0</v>
      </c>
      <c r="U20" s="102" cm="1">
        <f t="array" ref="U20">SUMIF(Site_Detail_1[[Category]:[Category]],Site_Category_Sum_1[[#This Row],[Column1]:[Column1]],Site_Detail_1[(enter addt''l. fund source 3)])</f>
        <v>0</v>
      </c>
      <c r="V20" s="102" cm="1">
        <f t="array" ref="V20">SUMIF(Site_Detail_1[[Category]:[Category]],Site_Category_Sum_1[[#This Row],[Column1]:[Column1]],Site_Detail_1[(enter addt''l. fund source 4)])</f>
        <v>0</v>
      </c>
      <c r="W20" s="102" cm="1">
        <f t="array" ref="W20">SUMIF(Site_Detail_1[[Category]:[Category]],Site_Category_Sum_1[[#This Row],[Column1]:[Column1]],Site_Detail_1[(enter addt''l. fund source 5)])</f>
        <v>0</v>
      </c>
      <c r="X20" s="233">
        <f>ROUND(SUM(Site_Category_Sum_1[[#This Row],[Column2]:[Column7]]),2)</f>
        <v>0</v>
      </c>
      <c r="Z20" s="178" t="s">
        <v>0</v>
      </c>
    </row>
    <row r="21" spans="2:26" x14ac:dyDescent="0.25">
      <c r="B21" s="53"/>
      <c r="C21" s="54"/>
      <c r="D21" s="53"/>
      <c r="E21" s="54"/>
      <c r="F21" s="54"/>
      <c r="G21" s="219"/>
      <c r="H21" s="196"/>
      <c r="I21" s="220"/>
      <c r="J21" s="55"/>
      <c r="K21" s="55"/>
      <c r="L21" s="55"/>
      <c r="M21" s="207"/>
      <c r="N21" s="200">
        <f>ROUND(SUM(Site_Detail_1[[#This Row],[21st CCLC,  Title IV-B]:[(enter addt''l. fund source 5)]]),2)</f>
        <v>0</v>
      </c>
      <c r="O21" s="208"/>
      <c r="Q21" s="103" t="s">
        <v>603</v>
      </c>
      <c r="R21" s="230" cm="1">
        <f t="array" ref="R21">SUMIF(Site_Detail_1[[Category]:[Category]],Site_Category_Sum_1[[#This Row],[Column1]:[Column1]],Site_Detail_1[21st CCLC,  Title IV-B])</f>
        <v>0</v>
      </c>
      <c r="S21" s="124" cm="1">
        <f t="array" ref="S21">SUMIF(Site_Detail_1[[Category]:[Category]],Site_Category_Sum_1[[#This Row],[Column1]:[Column1]],Site_Detail_1[(enter addt''l. fund source 1)])</f>
        <v>0</v>
      </c>
      <c r="T21" s="102" cm="1">
        <f t="array" ref="T21">SUMIF(Site_Detail_1[[Category]:[Category]],Site_Category_Sum_1[[#This Row],[Column1]:[Column1]],Site_Detail_1[(enter addt''l. fund source 2)])</f>
        <v>0</v>
      </c>
      <c r="U21" s="102" cm="1">
        <f t="array" ref="U21">SUMIF(Site_Detail_1[[Category]:[Category]],Site_Category_Sum_1[[#This Row],[Column1]:[Column1]],Site_Detail_1[(enter addt''l. fund source 3)])</f>
        <v>0</v>
      </c>
      <c r="V21" s="102" cm="1">
        <f t="array" ref="V21">SUMIF(Site_Detail_1[[Category]:[Category]],Site_Category_Sum_1[[#This Row],[Column1]:[Column1]],Site_Detail_1[(enter addt''l. fund source 4)])</f>
        <v>0</v>
      </c>
      <c r="W21" s="102" cm="1">
        <f t="array" ref="W21">SUMIF(Site_Detail_1[[Category]:[Category]],Site_Category_Sum_1[[#This Row],[Column1]:[Column1]],Site_Detail_1[(enter addt''l. fund source 5)])</f>
        <v>0</v>
      </c>
      <c r="X21" s="233">
        <f>ROUND(SUM(Site_Category_Sum_1[[#This Row],[Column2]:[Column7]]),2)</f>
        <v>0</v>
      </c>
      <c r="Z21" s="178" t="s">
        <v>0</v>
      </c>
    </row>
    <row r="22" spans="2:26" x14ac:dyDescent="0.25">
      <c r="B22" s="53"/>
      <c r="C22" s="54"/>
      <c r="D22" s="53"/>
      <c r="E22" s="54"/>
      <c r="F22" s="54"/>
      <c r="G22" s="219"/>
      <c r="H22" s="196"/>
      <c r="I22" s="220"/>
      <c r="J22" s="55"/>
      <c r="K22" s="55"/>
      <c r="L22" s="55"/>
      <c r="M22" s="207"/>
      <c r="N22" s="200">
        <f>ROUND(SUM(Site_Detail_1[[#This Row],[21st CCLC,  Title IV-B]:[(enter addt''l. fund source 5)]]),2)</f>
        <v>0</v>
      </c>
      <c r="O22" s="208"/>
      <c r="Q22" s="103" t="s">
        <v>604</v>
      </c>
      <c r="R22" s="230" cm="1">
        <f t="array" ref="R22">SUMIF(Site_Detail_1[[Category]:[Category]],Site_Category_Sum_1[[#This Row],[Column1]:[Column1]],Site_Detail_1[21st CCLC,  Title IV-B])</f>
        <v>0</v>
      </c>
      <c r="S22" s="124" cm="1">
        <f t="array" ref="S22">SUMIF(Site_Detail_1[[Category]:[Category]],Site_Category_Sum_1[[#This Row],[Column1]:[Column1]],Site_Detail_1[(enter addt''l. fund source 1)])</f>
        <v>0</v>
      </c>
      <c r="T22" s="102" cm="1">
        <f t="array" ref="T22">SUMIF(Site_Detail_1[[Category]:[Category]],Site_Category_Sum_1[[#This Row],[Column1]:[Column1]],Site_Detail_1[(enter addt''l. fund source 2)])</f>
        <v>0</v>
      </c>
      <c r="U22" s="102" cm="1">
        <f t="array" ref="U22">SUMIF(Site_Detail_1[[Category]:[Category]],Site_Category_Sum_1[[#This Row],[Column1]:[Column1]],Site_Detail_1[(enter addt''l. fund source 3)])</f>
        <v>0</v>
      </c>
      <c r="V22" s="102" cm="1">
        <f t="array" ref="V22">SUMIF(Site_Detail_1[[Category]:[Category]],Site_Category_Sum_1[[#This Row],[Column1]:[Column1]],Site_Detail_1[(enter addt''l. fund source 4)])</f>
        <v>0</v>
      </c>
      <c r="W22" s="102" cm="1">
        <f t="array" ref="W22">SUMIF(Site_Detail_1[[Category]:[Category]],Site_Category_Sum_1[[#This Row],[Column1]:[Column1]],Site_Detail_1[(enter addt''l. fund source 5)])</f>
        <v>0</v>
      </c>
      <c r="X22" s="233">
        <f>ROUND(SUM(Site_Category_Sum_1[[#This Row],[Column2]:[Column7]]),2)</f>
        <v>0</v>
      </c>
      <c r="Z22" s="178" t="s">
        <v>0</v>
      </c>
    </row>
    <row r="23" spans="2:26" x14ac:dyDescent="0.25">
      <c r="B23" s="53"/>
      <c r="C23" s="54"/>
      <c r="D23" s="53"/>
      <c r="E23" s="54"/>
      <c r="F23" s="54"/>
      <c r="G23" s="219"/>
      <c r="H23" s="196"/>
      <c r="I23" s="220"/>
      <c r="J23" s="55"/>
      <c r="K23" s="55"/>
      <c r="L23" s="55"/>
      <c r="M23" s="207"/>
      <c r="N23" s="200">
        <f>ROUND(SUM(Site_Detail_1[[#This Row],[21st CCLC,  Title IV-B]:[(enter addt''l. fund source 5)]]),2)</f>
        <v>0</v>
      </c>
      <c r="O23" s="208"/>
      <c r="Q23" s="103" t="s">
        <v>567</v>
      </c>
      <c r="R23" s="230" cm="1">
        <f t="array" ref="R23">SUMIF(Site_Detail_1[[Category]:[Category]],Site_Category_Sum_1[[#This Row],[Column1]:[Column1]],Site_Detail_1[21st CCLC,  Title IV-B])</f>
        <v>0</v>
      </c>
      <c r="S23" s="124" cm="1">
        <f t="array" ref="S23">SUMIF(Site_Detail_1[[Category]:[Category]],Site_Category_Sum_1[[#This Row],[Column1]:[Column1]],Site_Detail_1[(enter addt''l. fund source 1)])</f>
        <v>0</v>
      </c>
      <c r="T23" s="102" cm="1">
        <f t="array" ref="T23">SUMIF(Site_Detail_1[[Category]:[Category]],Site_Category_Sum_1[[#This Row],[Column1]:[Column1]],Site_Detail_1[(enter addt''l. fund source 2)])</f>
        <v>0</v>
      </c>
      <c r="U23" s="102" cm="1">
        <f t="array" ref="U23">SUMIF(Site_Detail_1[[Category]:[Category]],Site_Category_Sum_1[[#This Row],[Column1]:[Column1]],Site_Detail_1[(enter addt''l. fund source 3)])</f>
        <v>0</v>
      </c>
      <c r="V23" s="102" cm="1">
        <f t="array" ref="V23">SUMIF(Site_Detail_1[[Category]:[Category]],Site_Category_Sum_1[[#This Row],[Column1]:[Column1]],Site_Detail_1[(enter addt''l. fund source 4)])</f>
        <v>0</v>
      </c>
      <c r="W23" s="102" cm="1">
        <f t="array" ref="W23">SUMIF(Site_Detail_1[[Category]:[Category]],Site_Category_Sum_1[[#This Row],[Column1]:[Column1]],Site_Detail_1[(enter addt''l. fund source 5)])</f>
        <v>0</v>
      </c>
      <c r="X23" s="233">
        <f>ROUND(SUM(Site_Category_Sum_1[[#This Row],[Column2]:[Column7]]),2)</f>
        <v>0</v>
      </c>
      <c r="Z23" s="178" t="s">
        <v>0</v>
      </c>
    </row>
    <row r="24" spans="2:26" x14ac:dyDescent="0.25">
      <c r="B24" s="53"/>
      <c r="C24" s="54"/>
      <c r="D24" s="53"/>
      <c r="E24" s="54"/>
      <c r="F24" s="54"/>
      <c r="G24" s="219"/>
      <c r="H24" s="196"/>
      <c r="I24" s="220"/>
      <c r="J24" s="55"/>
      <c r="K24" s="55"/>
      <c r="L24" s="55"/>
      <c r="M24" s="207"/>
      <c r="N24" s="200">
        <f>ROUND(SUM(Site_Detail_1[[#This Row],[21st CCLC,  Title IV-B]:[(enter addt''l. fund source 5)]]),2)</f>
        <v>0</v>
      </c>
      <c r="O24" s="208"/>
      <c r="Q24" s="103" t="s">
        <v>192</v>
      </c>
      <c r="R24" s="230">
        <f>ROUND(SUMIFS(Site_Detail_1[21st CCLC,  Title IV-B],Site_Detail_1[[Category]:[Category]],"Indirect",Site_Detail_1[[Contracted Service?]:[Contracted Service?]],"&lt;&gt;Yes"),2)</f>
        <v>0</v>
      </c>
      <c r="S24" s="124">
        <f>ROUND(SUMIFS(Site_Detail_1[(enter addt''l. fund source 1)],Site_Detail_1[[Category]:[Category]],"Indirect",Site_Detail_1[[Contracted Service?]:[Contracted Service?]],"&lt;&gt;Yes"),2)</f>
        <v>0</v>
      </c>
      <c r="T24" s="102">
        <f>ROUND(SUMIFS(Site_Detail_1[(enter addt''l. fund source 2)],Site_Detail_1[[Category]:[Category]],"Indirect",Site_Detail_1[[Contracted Service?]:[Contracted Service?]],"&lt;&gt;Yes"),2)</f>
        <v>0</v>
      </c>
      <c r="U24" s="102">
        <f>ROUND(SUMIFS(Site_Detail_1[(enter addt''l. fund source 3)],Site_Detail_1[[Category]:[Category]],"Indirect",Site_Detail_1[[Contracted Service?]:[Contracted Service?]],"&lt;&gt;Yes"),2)</f>
        <v>0</v>
      </c>
      <c r="V24" s="102">
        <f>ROUND(SUMIFS(Site_Detail_1[(enter addt''l. fund source 4)],Site_Detail_1[[Category]:[Category]],"Indirect",Site_Detail_1[[Contracted Service?]:[Contracted Service?]],"&lt;&gt;Yes"),2)</f>
        <v>0</v>
      </c>
      <c r="W24" s="102">
        <f>ROUND(SUMIFS(Site_Detail_1[(enter addt''l. fund source 5)],Site_Detail_1[[Category]:[Category]],"Indirect",Site_Detail_1[[Contracted Service?]:[Contracted Service?]],"&lt;&gt;Yes"),2)</f>
        <v>0</v>
      </c>
      <c r="X24" s="233">
        <f>ROUND(SUM(Site_Category_Sum_1[[#This Row],[Column2]:[Column7]]),2)</f>
        <v>0</v>
      </c>
      <c r="Z24" s="178" t="s">
        <v>0</v>
      </c>
    </row>
    <row r="25" spans="2:26" x14ac:dyDescent="0.25">
      <c r="B25" s="53"/>
      <c r="C25" s="54"/>
      <c r="D25" s="53"/>
      <c r="E25" s="54"/>
      <c r="F25" s="54"/>
      <c r="G25" s="219"/>
      <c r="H25" s="196"/>
      <c r="I25" s="220"/>
      <c r="J25" s="55"/>
      <c r="K25" s="55"/>
      <c r="L25" s="55"/>
      <c r="M25" s="207"/>
      <c r="N25" s="200">
        <f>ROUND(SUM(Site_Detail_1[[#This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ROUND(SUM(Site_Category_Sum_1[[#This Row],[Column2]:[Column7]]),2)</f>
        <v>0</v>
      </c>
      <c r="Z25" s="178" t="s">
        <v>0</v>
      </c>
    </row>
    <row r="26" spans="2:26" x14ac:dyDescent="0.25">
      <c r="B26" s="53"/>
      <c r="C26" s="54"/>
      <c r="D26" s="53"/>
      <c r="E26" s="54"/>
      <c r="F26" s="54"/>
      <c r="G26" s="219"/>
      <c r="H26" s="196"/>
      <c r="I26" s="220"/>
      <c r="J26" s="55"/>
      <c r="K26" s="55"/>
      <c r="L26" s="55"/>
      <c r="M26" s="207"/>
      <c r="N26" s="200">
        <f>ROUND(SUM(Site_Detail_1[[#This Row],[21st CCLC,  Title IV-B]:[(enter addt''l. fund source 5)]]),2)</f>
        <v>0</v>
      </c>
      <c r="O26" s="208"/>
      <c r="Q26" s="103" t="s">
        <v>291</v>
      </c>
      <c r="R26" s="230" cm="1">
        <f t="array" ref="R26">SUMIF(Site_Detail_1[[Program Type]:[Program Type]],Site_Category_Sum_1[[#This Row],[Column1]:[Column1]],Site_Detail_1[21st CCLC,  Title IV-B])</f>
        <v>0</v>
      </c>
      <c r="S26" s="124" cm="1">
        <f t="array" ref="S26">SUMIF(Site_Detail_1[[Program Type]:[Program Type]],Site_Category_Sum_1[[#This Row],[Column1]:[Column1]],Site_Detail_1[(enter addt''l. fund source 1)])</f>
        <v>0</v>
      </c>
      <c r="T26" s="102" cm="1">
        <f t="array" ref="T26">SUMIF(Site_Detail_1[[Program Type]:[Program Type]],Site_Category_Sum_1[[#This Row],[Column1]:[Column1]],Site_Detail_1[(enter addt''l. fund source 2)])</f>
        <v>0</v>
      </c>
      <c r="U26" s="102" cm="1">
        <f t="array" ref="U26">SUMIF(Site_Detail_1[[Program Type]:[Program Type]],Site_Category_Sum_1[[#This Row],[Column1]:[Column1]],Site_Detail_1[(enter addt''l. fund source 3)])</f>
        <v>0</v>
      </c>
      <c r="V26" s="102" cm="1">
        <f t="array" ref="V26">SUMIF(Site_Detail_1[[Program Type]:[Program Type]],Site_Category_Sum_1[[#This Row],[Column1]:[Column1]],Site_Detail_1[(enter addt''l. fund source 4)])</f>
        <v>0</v>
      </c>
      <c r="W26" s="102" cm="1">
        <f t="array" ref="W26">SUMIF(Site_Detail_1[[Program Type]:[Program Type]],Site_Category_Sum_1[[#This Row],[Column1]:[Column1]],Site_Detail_1[(enter addt''l. fund source 5)])</f>
        <v>0</v>
      </c>
      <c r="X26" s="233">
        <f>ROUND(SUM(Site_Category_Sum_1[[#This Row],[Column2]:[Column7]]),2)</f>
        <v>0</v>
      </c>
      <c r="Z26" s="178" t="s">
        <v>0</v>
      </c>
    </row>
    <row r="27" spans="2:26" x14ac:dyDescent="0.25">
      <c r="B27" s="53"/>
      <c r="C27" s="54"/>
      <c r="D27" s="53"/>
      <c r="E27" s="54"/>
      <c r="F27" s="54"/>
      <c r="G27" s="219"/>
      <c r="H27" s="196"/>
      <c r="I27" s="220"/>
      <c r="J27" s="55"/>
      <c r="K27" s="55"/>
      <c r="L27" s="55"/>
      <c r="M27" s="207"/>
      <c r="N27" s="200">
        <f>ROUND(SUM(Site_Detail_1[[#This Row],[21st CCLC,  Title IV-B]:[(enter addt''l. fund source 5)]]),2)</f>
        <v>0</v>
      </c>
      <c r="O27" s="208"/>
      <c r="Q27" s="103" t="s">
        <v>292</v>
      </c>
      <c r="R27" s="230" cm="1">
        <f t="array" ref="R27">SUMIF(Site_Detail_1[[Program Type]:[Program Type]],Site_Category_Sum_1[[#This Row],[Column1]:[Column1]],Site_Detail_1[21st CCLC,  Title IV-B])</f>
        <v>0</v>
      </c>
      <c r="S27" s="124" cm="1">
        <f t="array" ref="S27">SUMIF(Site_Detail_1[[Program Type]:[Program Type]],Site_Category_Sum_1[[#This Row],[Column1]:[Column1]],Site_Detail_1[(enter addt''l. fund source 1)])</f>
        <v>0</v>
      </c>
      <c r="T27" s="102" cm="1">
        <f t="array" ref="T27">SUMIF(Site_Detail_1[[Program Type]:[Program Type]],Site_Category_Sum_1[[#This Row],[Column1]:[Column1]],Site_Detail_1[(enter addt''l. fund source 2)])</f>
        <v>0</v>
      </c>
      <c r="U27" s="102" cm="1">
        <f t="array" ref="U27">SUMIF(Site_Detail_1[[Program Type]:[Program Type]],Site_Category_Sum_1[[#This Row],[Column1]:[Column1]],Site_Detail_1[(enter addt''l. fund source 3)])</f>
        <v>0</v>
      </c>
      <c r="V27" s="102" cm="1">
        <f t="array" ref="V27">SUMIF(Site_Detail_1[[Program Type]:[Program Type]],Site_Category_Sum_1[[#This Row],[Column1]:[Column1]],Site_Detail_1[(enter addt''l. fund source 4)])</f>
        <v>0</v>
      </c>
      <c r="W27" s="102" cm="1">
        <f t="array" ref="W27">SUMIF(Site_Detail_1[[Program Type]:[Program Type]],Site_Category_Sum_1[[#This Row],[Column1]:[Column1]],Site_Detail_1[(enter addt''l. fund source 5)])</f>
        <v>0</v>
      </c>
      <c r="X27" s="233">
        <f>ROUND(SUM(Site_Category_Sum_1[[#This Row],[Column2]:[Column7]]),2)</f>
        <v>0</v>
      </c>
    </row>
    <row r="28" spans="2:26" x14ac:dyDescent="0.25">
      <c r="B28" s="53"/>
      <c r="C28" s="54"/>
      <c r="D28" s="53"/>
      <c r="E28" s="54"/>
      <c r="F28" s="54"/>
      <c r="G28" s="219"/>
      <c r="H28" s="196"/>
      <c r="I28" s="220"/>
      <c r="J28" s="55"/>
      <c r="K28" s="55"/>
      <c r="L28" s="55"/>
      <c r="M28" s="207"/>
      <c r="N28" s="200">
        <f>ROUND(SUM(Site_Detail_1[[#This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ROUND(SUM(Site_Category_Sum_1[[#This Row],[Column2]:[Column7]]),2)</f>
        <v>0</v>
      </c>
    </row>
    <row r="29" spans="2:26" x14ac:dyDescent="0.25">
      <c r="B29" s="53"/>
      <c r="C29" s="54"/>
      <c r="D29" s="53"/>
      <c r="E29" s="54"/>
      <c r="F29" s="54"/>
      <c r="G29" s="219"/>
      <c r="H29" s="196"/>
      <c r="I29" s="220"/>
      <c r="J29" s="55"/>
      <c r="K29" s="55"/>
      <c r="L29" s="55"/>
      <c r="M29" s="207"/>
      <c r="N29" s="200">
        <f>ROUND(SUM(Site_Detail_1[[#This Row],[21st CCLC,  Title IV-B]:[(enter addt''l. fund source 5)]]),2)</f>
        <v>0</v>
      </c>
      <c r="O29" s="208"/>
      <c r="Q29" s="103" t="s">
        <v>591</v>
      </c>
      <c r="R29" s="230">
        <f>ROUND(SUMIF(Site_Detail_1[[Contracted Service?]:[Contracted Service?]],"Yes",Site_Detail_1[21st CCLC,  Title IV-B]),2)</f>
        <v>0</v>
      </c>
      <c r="S29" s="124">
        <f>ROUND(SUMIF(Site_Detail_1[[Contracted Service?]:[Contracted Service?]],"Yes",Site_Detail_1[(enter addt''l. fund source 1)]),2)</f>
        <v>0</v>
      </c>
      <c r="T29" s="102">
        <f>ROUND(SUMIF(Site_Detail_1[[Contracted Service?]:[Contracted Service?]],"Yes",Site_Detail_1[(enter addt''l. fund source 2)]),2)</f>
        <v>0</v>
      </c>
      <c r="U29" s="102">
        <f>ROUND(SUMIF(Site_Detail_1[[Contracted Service?]:[Contracted Service?]],"Yes",Site_Detail_1[(enter addt''l. fund source 3)]),2)</f>
        <v>0</v>
      </c>
      <c r="V29" s="102">
        <f>ROUND(SUMIF(Site_Detail_1[[Contracted Service?]:[Contracted Service?]],"Yes",Site_Detail_1[(enter addt''l. fund source 4)]),2)</f>
        <v>0</v>
      </c>
      <c r="W29" s="102">
        <f>ROUND(SUMIF(Site_Detail_1[[Contracted Service?]:[Contracted Service?]],"Yes",Site_Detail_1[(enter addt''l. fund source 5)]),2)</f>
        <v>0</v>
      </c>
      <c r="X29" s="233">
        <f>ROUND(SUM(Site_Category_Sum_1[[#This Row],[Column2]:[Column7]]),2)</f>
        <v>0</v>
      </c>
    </row>
    <row r="30" spans="2:26" x14ac:dyDescent="0.25">
      <c r="B30" s="53"/>
      <c r="C30" s="54"/>
      <c r="D30" s="53"/>
      <c r="E30" s="54"/>
      <c r="F30" s="54"/>
      <c r="G30" s="219"/>
      <c r="H30" s="196"/>
      <c r="I30" s="220"/>
      <c r="J30" s="55"/>
      <c r="K30" s="55"/>
      <c r="L30" s="55"/>
      <c r="M30" s="207"/>
      <c r="N30" s="200">
        <f>ROUND(SUM(Site_Detail_1[[#This Row],[21st CCLC,  Title IV-B]:[(enter addt''l. fund source 5)]]),2)</f>
        <v>0</v>
      </c>
      <c r="O30" s="208"/>
      <c r="Q30" s="103" t="s">
        <v>597</v>
      </c>
      <c r="R30" s="230">
        <f>ROUND(SUMIF(Site_Detail_1[[Contracted Service?]:[Contracted Service?]],"&lt;&gt;Yes",Site_Detail_1[21st CCLC,  Title IV-B]),2)</f>
        <v>0</v>
      </c>
      <c r="S30" s="124">
        <f>ROUND(SUMIF(Site_Detail_1[[Contracted Service?]:[Contracted Service?]],"&lt;&gt;Yes",Site_Detail_1[(enter addt''l. fund source 1)]),2)</f>
        <v>0</v>
      </c>
      <c r="T30" s="102">
        <f>ROUND(SUMIF(Site_Detail_1[[Contracted Service?]:[Contracted Service?]],"&lt;&gt;Yes",Site_Detail_1[(enter addt''l. fund source 2)]),2)</f>
        <v>0</v>
      </c>
      <c r="U30" s="102">
        <f>ROUND(SUMIF(Site_Detail_1[[Contracted Service?]:[Contracted Service?]],"&lt;&gt;Yes",Site_Detail_1[(enter addt''l. fund source 3)]),2)</f>
        <v>0</v>
      </c>
      <c r="V30" s="102">
        <f>ROUND(SUMIF(Site_Detail_1[[Contracted Service?]:[Contracted Service?]],"&lt;&gt;Yes",Site_Detail_1[(enter addt''l. fund source 4)]),2)</f>
        <v>0</v>
      </c>
      <c r="W30" s="102">
        <f>ROUND(SUMIF(Site_Detail_1[[Contracted Service?]:[Contracted Service?]],"&lt;&gt;Yes",Site_Detail_1[(enter addt''l. fund source 5)]),2)</f>
        <v>0</v>
      </c>
      <c r="X30" s="233">
        <f>ROUND(SUM(Site_Category_Sum_1[[#This Row],[Column2]:[Column7]]),2)</f>
        <v>0</v>
      </c>
    </row>
    <row r="31" spans="2:26" x14ac:dyDescent="0.25">
      <c r="B31" s="53"/>
      <c r="C31" s="54"/>
      <c r="D31" s="53"/>
      <c r="E31" s="54"/>
      <c r="F31" s="54"/>
      <c r="G31" s="219"/>
      <c r="H31" s="196"/>
      <c r="I31" s="220"/>
      <c r="J31" s="55"/>
      <c r="K31" s="55"/>
      <c r="L31" s="55"/>
      <c r="M31" s="207"/>
      <c r="N31" s="200">
        <f>ROUND(SUM(Site_Detail_1[[#This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ROUND(SUM(Site_Category_Sum_1[[#This Row],[Column2]:[Column7]]),2)</f>
        <v>0</v>
      </c>
    </row>
    <row r="32" spans="2:26" x14ac:dyDescent="0.25">
      <c r="B32" s="53"/>
      <c r="C32" s="54"/>
      <c r="D32" s="53"/>
      <c r="E32" s="54"/>
      <c r="F32" s="54"/>
      <c r="G32" s="219"/>
      <c r="H32" s="196"/>
      <c r="I32" s="220"/>
      <c r="J32" s="55"/>
      <c r="K32" s="55"/>
      <c r="L32" s="55"/>
      <c r="M32" s="207"/>
      <c r="N32" s="200">
        <f>ROUND(SUM(Site_Detail_1[[#This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ROUND(SUM(Site_Detail_1[[#This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ROUND(SUM(Site_Detail_1[[#This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ROUND(SUM(Site_Detail_1[[#This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ROUND(SUM(Site_Detail_1[[#This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ROUND(SUM(Site_Detail_1[[#This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ROUND(SUM(Site_Detail_1[[#This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ROUND(SUM(Site_Detail_1[[#This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ROUND(SUM(Site_Detail_1[[#This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ROUND(SUM(Site_Detail_1[[#This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ROUND(SUM(Site_Detail_1[[#This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ROUND(SUM(Site_Detail_1[[#This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ROUND(SUM(Site_Detail_1[[#This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ROUND(SUM(Site_Detail_1[[#This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ROUND(SUM(Site_Detail_1[[#This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ROUND(SUM(Site_Detail_1[[#This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ROUND(SUM(Site_Detail_1[[#This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ROUND(SUM(Site_Detail_1[[#This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ROUND(SUM(Site_Detail_1[[#This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ROUND(SUM(Site_Detail_1[[#This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ROUND(SUM(Site_Detail_1[[#This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ROUND(SUM(Site_Detail_1[[#This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ROUND(SUM(Site_Detail_1[[#This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ROUND(SUM(Site_Detail_1[[#This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ROUND(SUM(Site_Detail_1[[#This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ROUND(SUM(Site_Detail_1[[#This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ROUND(SUM(Site_Detail_1[[#This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ROUND(SUM(Site_Detail_1[[#This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ROUND(SUM(Site_Detail_1[[#This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ROUND(SUM(Site_Detail_1[[#This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ROUND(SUM(Site_Detail_1[[#This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ROUND(SUM(Site_Detail_1[[#This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ROUND(SUM(Site_Detail_1[[#This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ROUND(SUM(Site_Detail_1[[#This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ROUND(SUM(Site_Detail_1[[#This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ROUND(SUM(Site_Detail_1[[#This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ROUND(SUM(Site_Detail_1[[#This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ROUND(SUM(Site_Detail_1[[#This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ROUND(SUM(Site_Detail_1[[#This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ROUND(SUM(Site_Detail_1[[#This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ROUND(SUM(Site_Detail_1[[#This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ROUND(SUM(Site_Detail_1[[#This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ROUND(SUM(Site_Detail_1[[#This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ROUND(SUM(Site_Detail_1[[#This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ROUND(SUM(Site_Detail_1[[#This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ROUND(SUM(Site_Detail_1[[#This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ROUND(SUM(Site_Detail_1[[#This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ROUND(SUM(Site_Detail_1[[#This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ROUND(SUM(Site_Detail_1[[#This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ROUND(SUM(Site_Detail_1[[#This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ROUND(SUM(Site_Detail_1[[#This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ROUND(SUM(Site_Detail_1[[#This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ROUND(SUM(Site_Detail_1[[#This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ROUND(SUM(Site_Detail_1[[#This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ROUND(SUM(Site_Detail_1[[#This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ROUND(SUM(Site_Detail_1[[#This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186" priority="17" operator="equal">
      <formula>"(select)"</formula>
    </cfRule>
  </conditionalFormatting>
  <conditionalFormatting sqref="B13:G87">
    <cfRule type="expression" dxfId="185" priority="22">
      <formula>AND(SUM($H13:$M13)&gt;0,B13="")</formula>
    </cfRule>
  </conditionalFormatting>
  <conditionalFormatting sqref="C4:C5 C7">
    <cfRule type="cellIs" dxfId="184" priority="1" operator="equal">
      <formula>"(autofill)"</formula>
    </cfRule>
    <cfRule type="expression" dxfId="183" priority="2">
      <formula>$C$5="Invalid Entity ID"</formula>
    </cfRule>
  </conditionalFormatting>
  <conditionalFormatting sqref="C6">
    <cfRule type="cellIs" dxfId="182" priority="5" operator="equal">
      <formula>"(enter center/site name)"</formula>
    </cfRule>
  </conditionalFormatting>
  <conditionalFormatting sqref="C8">
    <cfRule type="cellIs" dxfId="181" priority="9" operator="equal">
      <formula>"(enter #)"</formula>
    </cfRule>
  </conditionalFormatting>
  <conditionalFormatting sqref="C13:C87">
    <cfRule type="cellIs" dxfId="180" priority="23" operator="equal">
      <formula>"Yes"</formula>
    </cfRule>
  </conditionalFormatting>
  <conditionalFormatting sqref="E13">
    <cfRule type="cellIs" dxfId="179" priority="24" operator="equal">
      <formula>"(fx code)"</formula>
    </cfRule>
  </conditionalFormatting>
  <conditionalFormatting sqref="F13">
    <cfRule type="cellIs" dxfId="178" priority="25" operator="equal">
      <formula>"(obj)"</formula>
    </cfRule>
  </conditionalFormatting>
  <conditionalFormatting sqref="G13">
    <cfRule type="cellIs" dxfId="177" priority="26" operator="equal">
      <formula>"(enter description)"</formula>
    </cfRule>
  </conditionalFormatting>
  <conditionalFormatting sqref="H13:M13">
    <cfRule type="cellIs" dxfId="176" priority="27" operator="equal">
      <formula>"(enter $)"</formula>
    </cfRule>
  </conditionalFormatting>
  <conditionalFormatting sqref="I7:M7 I12:M12 S12:W12">
    <cfRule type="containsText" dxfId="175" priority="13" operator="containsText" text="(addt'l. fund source">
      <formula>NOT(ISERROR(SEARCH("(addt'l. fund source",I7)))</formula>
    </cfRule>
  </conditionalFormatting>
  <conditionalFormatting sqref="O13">
    <cfRule type="cellIs" dxfId="174" priority="30" operator="equal">
      <formula>"(enter note)"</formula>
    </cfRule>
  </conditionalFormatting>
  <dataValidations count="4">
    <dataValidation type="list" allowBlank="1" showErrorMessage="1" sqref="C13:C87" xr:uid="{A2D6AC0D-CFCC-4647-98BF-A1420D2BFAFA}">
      <formula1>Contracted_List</formula1>
    </dataValidation>
    <dataValidation type="list" allowBlank="1" showErrorMessage="1" sqref="D13:D87" xr:uid="{DD4FB529-9C7D-4A53-A142-76781CED6E51}">
      <formula1>Categories_List</formula1>
    </dataValidation>
    <dataValidation type="list" allowBlank="1" showErrorMessage="1" sqref="B13:B87" xr:uid="{D227FB97-EFA0-470A-8FA7-391F197B2D2B}">
      <formula1>Program_List</formula1>
    </dataValidation>
    <dataValidation allowBlank="1" showInputMessage="1" showErrorMessage="1" prompt="Each line item for salaries MUST indicate: _x000a__x000a_1) Amount of FTE, and _x000a__x000a_2) Type of position (see Budget Guidance tab for examples)." sqref="G13:G15" xr:uid="{41F35C85-39A9-49B6-9E5E-0D7F683A7EBB}"/>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B13FD-52C2-44FB-A6E4-0D8FEF74BEF0}">
  <sheetPr>
    <tabColor rgb="FFAAD4F4"/>
    <pageSetUpPr autoPageBreaks="0" fitToPage="1"/>
  </sheetPr>
  <dimension ref="A1:Z87"/>
  <sheetViews>
    <sheetView showGridLines="0" showRowColHeaders="0" zoomScaleNormal="100" workbookViewId="0">
      <pane ySplit="12" topLeftCell="A13" activePane="bottomLeft" state="frozen"/>
      <selection activeCell="C4" sqref="C4"/>
      <selection pane="bottomLeft" activeCell="C6" sqref="C6:E6"/>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605</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ROUND(SUMIF(Site_Detail_2[[Program Type]:[Program Type]],"Before/Afterschool",Site_Detail_2[21st CCLC,  Title IV-B]),2)</f>
        <v>0</v>
      </c>
      <c r="I8" s="150">
        <f>ROUND(SUMIF(Site_Detail_2[[Program Type]:[Program Type]],"Before/Afterschool",Site_Detail_2[(enter addt''l. fund source 1)]),2)</f>
        <v>0</v>
      </c>
      <c r="J8" s="150">
        <f>ROUND(SUMIF(Site_Detail_2[[Program Type]:[Program Type]],"Before/Afterschool",Site_Detail_2[(enter addt''l. fund source 2)]),2)</f>
        <v>0</v>
      </c>
      <c r="K8" s="150">
        <f>ROUND(SUMIF(Site_Detail_2[[Program Type]:[Program Type]],"Before/Afterschool",Site_Detail_2[(enter addt''l. fund source 3)]),2)</f>
        <v>0</v>
      </c>
      <c r="L8" s="150">
        <f>ROUND(SUMIF(Site_Detail_2[[Program Type]:[Program Type]],"Before/Afterschool",Site_Detail_2[(enter addt''l. fund source 4)]),2)</f>
        <v>0</v>
      </c>
      <c r="M8" s="203">
        <f>ROUND(SUMIF(Site_Detail_2[[Program Type]:[Program Type]],"Before/Afterschool",Site_Detail_2[(enter addt''l. fund source 5)]),2)</f>
        <v>0</v>
      </c>
      <c r="N8" s="198">
        <f>SUM(Site_Summary_2[[#This Row],[Column3]:[Column8]])</f>
        <v>0</v>
      </c>
    </row>
    <row r="9" spans="1:26" customFormat="1" x14ac:dyDescent="0.25">
      <c r="A9" s="1" t="s">
        <v>0</v>
      </c>
      <c r="B9" s="408"/>
      <c r="C9" s="410"/>
      <c r="G9" s="149" t="s">
        <v>609</v>
      </c>
      <c r="H9" s="151">
        <f>ROUND(SUMIF(Site_Detail_2[[Program Type]:[Program Type]],"Summer",Site_Detail_2[21st CCLC,  Title IV-B]),2)</f>
        <v>0</v>
      </c>
      <c r="I9" s="150">
        <f>ROUND(SUMIF(Site_Detail_2[[Program Type]:[Program Type]],"Summer",Site_Detail_2[(enter addt''l. fund source 1)]),2)</f>
        <v>0</v>
      </c>
      <c r="J9" s="150">
        <f>ROUND(SUMIF(Site_Detail_2[[Program Type]:[Program Type]],"Summer",Site_Detail_2[(enter addt''l. fund source 2)]),2)</f>
        <v>0</v>
      </c>
      <c r="K9" s="150">
        <f>ROUND(SUMIF(Site_Detail_2[[Program Type]:[Program Type]],"Summer",Site_Detail_2[(enter addt''l. fund source 3)]),2)</f>
        <v>0</v>
      </c>
      <c r="L9" s="150">
        <f>ROUND(SUMIF(Site_Detail_2[[Program Type]:[Program Type]],"Summer",Site_Detail_2[(enter addt''l. fund source 4)]),2)</f>
        <v>0</v>
      </c>
      <c r="M9" s="204">
        <f>ROUND(SUMIF(Site_Detail_2[[Program Type]:[Program Type]],"Summer",Site_Detail_2[(enter addt''l. fund source 5)]),2)</f>
        <v>0</v>
      </c>
      <c r="N9" s="199">
        <f>SUM(Site_Summary_2[[#This Row],[Column3]:[Column8]])</f>
        <v>0</v>
      </c>
    </row>
    <row r="10" spans="1:26" customFormat="1" x14ac:dyDescent="0.25">
      <c r="A10" s="1" t="s">
        <v>0</v>
      </c>
      <c r="G10" s="152" t="s">
        <v>613</v>
      </c>
      <c r="H10" s="247">
        <f>ROUND(SUM(Site_Detail_2[21st CCLC,  Title IV-B]),2)</f>
        <v>0</v>
      </c>
      <c r="I10" s="248">
        <f>ROUND(SUM(Site_Detail_2[(enter addt''l. fund source 1)]),2)</f>
        <v>0</v>
      </c>
      <c r="J10" s="109">
        <f>ROUND(SUM(Site_Detail_2[(enter addt''l. fund source 2)]),2)</f>
        <v>0</v>
      </c>
      <c r="K10" s="109">
        <f>ROUND(SUM(Site_Detail_2[(enter addt''l. fund source 3)]),2)</f>
        <v>0</v>
      </c>
      <c r="L10" s="109">
        <f>ROUND(SUM(Site_Detail_2[(enter addt''l. fund source 4)]),2)</f>
        <v>0</v>
      </c>
      <c r="M10" s="110">
        <f>ROUND(SUM(Site_Detail_2[(enter addt''l. fund source 5)]),2)</f>
        <v>0</v>
      </c>
      <c r="N10" s="238">
        <f>SUM(Site_Summary_2[[#This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ROUND(SUM(Site_Detail_2[[#This Row],[21st CCLC,  Title IV-B]:[(enter addt''l. fund source 5)]]),2)</f>
        <v>0</v>
      </c>
      <c r="O13" s="225" t="s">
        <v>28</v>
      </c>
      <c r="Q13" s="101" t="s">
        <v>545</v>
      </c>
      <c r="R13" s="230" cm="1">
        <f t="array" ref="R13">SUMIF(Site_Detail_2[[Category]:[Category]],Site_Category_Sum_2[[#This Row],[Column1]:[Column1]],Site_Detail_2[21st CCLC,  Title IV-B])</f>
        <v>0</v>
      </c>
      <c r="S13" s="124" cm="1">
        <f t="array" ref="S13">SUMIF(Site_Detail_2[[Category]:[Category]],Site_Category_Sum_2[[#This Row],[Column1]:[Column1]],Site_Detail_2[(enter addt''l. fund source 1)])</f>
        <v>0</v>
      </c>
      <c r="T13" s="124" cm="1">
        <f t="array" ref="T13">SUMIF(Site_Detail_2[[Category]:[Category]],Site_Category_Sum_2[[#This Row],[Column1]:[Column1]],Site_Detail_2[(enter addt''l. fund source 2)])</f>
        <v>0</v>
      </c>
      <c r="U13" s="124" cm="1">
        <f t="array" ref="U13">SUMIF(Site_Detail_2[[Category]:[Category]],Site_Category_Sum_2[[#This Row],[Column1]:[Column1]],Site_Detail_2[(enter addt''l. fund source 3)])</f>
        <v>0</v>
      </c>
      <c r="V13" s="124" cm="1">
        <f t="array" ref="V13">SUMIF(Site_Detail_2[[Category]:[Category]],Site_Category_Sum_2[[#This Row],[Column1]:[Column1]],Site_Detail_2[(enter addt''l. fund source 4)])</f>
        <v>0</v>
      </c>
      <c r="W13" s="124" cm="1">
        <f t="array" ref="W13">SUMIF(Site_Detail_2[[Category]:[Category]],Site_Category_Sum_2[[#This Row],[Column1]:[Column1]],Site_Detail_2[(enter addt''l. fund source 5)])</f>
        <v>0</v>
      </c>
      <c r="X13" s="233">
        <f>ROUND(SUM(Site_Category_Sum_2[[#This Row],[Column2]:[Column7]]),2)</f>
        <v>0</v>
      </c>
      <c r="Z13" s="178" t="s">
        <v>0</v>
      </c>
    </row>
    <row r="14" spans="1:26" x14ac:dyDescent="0.25">
      <c r="B14" s="53"/>
      <c r="C14" s="54"/>
      <c r="D14" s="53"/>
      <c r="E14" s="54"/>
      <c r="F14" s="54"/>
      <c r="G14" s="219"/>
      <c r="H14" s="196"/>
      <c r="I14" s="220"/>
      <c r="J14" s="55"/>
      <c r="K14" s="55"/>
      <c r="L14" s="55"/>
      <c r="M14" s="207"/>
      <c r="N14" s="200">
        <f>ROUND(SUM(Site_Detail_2[[#This Row],[21st CCLC,  Title IV-B]:[(enter addt''l. fund source 5)]]),2)</f>
        <v>0</v>
      </c>
      <c r="O14" s="208"/>
      <c r="Q14" s="103" t="s">
        <v>546</v>
      </c>
      <c r="R14" s="230" cm="1">
        <f t="array" ref="R14">SUMIF(Site_Detail_2[[Category]:[Category]],Site_Category_Sum_2[[#This Row],[Column1]:[Column1]],Site_Detail_2[21st CCLC,  Title IV-B])</f>
        <v>0</v>
      </c>
      <c r="S14" s="124" cm="1">
        <f t="array" ref="S14">SUMIF(Site_Detail_2[[Category]:[Category]],Site_Category_Sum_2[[#This Row],[Column1]:[Column1]],Site_Detail_2[(enter addt''l. fund source 1)])</f>
        <v>0</v>
      </c>
      <c r="T14" s="102" cm="1">
        <f t="array" ref="T14">SUMIF(Site_Detail_2[[Category]:[Category]],Site_Category_Sum_2[[#This Row],[Column1]:[Column1]],Site_Detail_2[(enter addt''l. fund source 2)])</f>
        <v>0</v>
      </c>
      <c r="U14" s="102" cm="1">
        <f t="array" ref="U14">SUMIF(Site_Detail_2[[Category]:[Category]],Site_Category_Sum_2[[#This Row],[Column1]:[Column1]],Site_Detail_2[(enter addt''l. fund source 3)])</f>
        <v>0</v>
      </c>
      <c r="V14" s="102" cm="1">
        <f t="array" ref="V14">SUMIF(Site_Detail_2[[Category]:[Category]],Site_Category_Sum_2[[#This Row],[Column1]:[Column1]],Site_Detail_2[(enter addt''l. fund source 4)])</f>
        <v>0</v>
      </c>
      <c r="W14" s="102" cm="1">
        <f t="array" ref="W14">SUMIF(Site_Detail_2[[Category]:[Category]],Site_Category_Sum_2[[#This Row],[Column1]:[Column1]],Site_Detail_2[(enter addt''l. fund source 5)])</f>
        <v>0</v>
      </c>
      <c r="X14" s="233">
        <f>ROUND(SUM(Site_Category_Sum_2[[#This Row],[Column2]:[Column7]]),2)</f>
        <v>0</v>
      </c>
      <c r="Z14" s="178" t="s">
        <v>0</v>
      </c>
    </row>
    <row r="15" spans="1:26" x14ac:dyDescent="0.25">
      <c r="B15" s="50"/>
      <c r="C15" s="51"/>
      <c r="D15" s="50"/>
      <c r="E15" s="51"/>
      <c r="F15" s="51"/>
      <c r="G15" s="221"/>
      <c r="H15" s="196"/>
      <c r="I15" s="222"/>
      <c r="J15" s="52"/>
      <c r="K15" s="52"/>
      <c r="L15" s="52"/>
      <c r="M15" s="205"/>
      <c r="N15" s="200">
        <f>ROUND(SUM(Site_Detail_2[[#This Row],[21st CCLC,  Title IV-B]:[(enter addt''l. fund source 5)]]),2)</f>
        <v>0</v>
      </c>
      <c r="O15" s="206"/>
      <c r="Q15" s="103" t="s">
        <v>161</v>
      </c>
      <c r="R15" s="230" cm="1">
        <f t="array" ref="R15">SUMIF(Site_Detail_2[[Category]:[Category]],Site_Category_Sum_2[[#This Row],[Column1]:[Column1]],Site_Detail_2[21st CCLC,  Title IV-B])</f>
        <v>0</v>
      </c>
      <c r="S15" s="124" cm="1">
        <f t="array" ref="S15">SUMIF(Site_Detail_2[[Category]:[Category]],Site_Category_Sum_2[[#This Row],[Column1]:[Column1]],Site_Detail_2[(enter addt''l. fund source 1)])</f>
        <v>0</v>
      </c>
      <c r="T15" s="102" cm="1">
        <f t="array" ref="T15">SUMIF(Site_Detail_2[[Category]:[Category]],Site_Category_Sum_2[[#This Row],[Column1]:[Column1]],Site_Detail_2[(enter addt''l. fund source 2)])</f>
        <v>0</v>
      </c>
      <c r="U15" s="102" cm="1">
        <f t="array" ref="U15">SUMIF(Site_Detail_2[[Category]:[Category]],Site_Category_Sum_2[[#This Row],[Column1]:[Column1]],Site_Detail_2[(enter addt''l. fund source 3)])</f>
        <v>0</v>
      </c>
      <c r="V15" s="102" cm="1">
        <f t="array" ref="V15">SUMIF(Site_Detail_2[[Category]:[Category]],Site_Category_Sum_2[[#This Row],[Column1]:[Column1]],Site_Detail_2[(enter addt''l. fund source 4)])</f>
        <v>0</v>
      </c>
      <c r="W15" s="102" cm="1">
        <f t="array" ref="W15">SUMIF(Site_Detail_2[[Category]:[Category]],Site_Category_Sum_2[[#This Row],[Column1]:[Column1]],Site_Detail_2[(enter addt''l. fund source 5)])</f>
        <v>0</v>
      </c>
      <c r="X15" s="233">
        <f>ROUND(SUM(Site_Category_Sum_2[[#This Row],[Column2]:[Column7]]),2)</f>
        <v>0</v>
      </c>
      <c r="Z15" s="178" t="s">
        <v>0</v>
      </c>
    </row>
    <row r="16" spans="1:26" x14ac:dyDescent="0.25">
      <c r="B16" s="53"/>
      <c r="C16" s="54"/>
      <c r="D16" s="53"/>
      <c r="E16" s="54"/>
      <c r="F16" s="54"/>
      <c r="G16" s="219"/>
      <c r="H16" s="196"/>
      <c r="I16" s="220"/>
      <c r="J16" s="55"/>
      <c r="K16" s="55"/>
      <c r="L16" s="55"/>
      <c r="M16" s="207"/>
      <c r="N16" s="200">
        <f>ROUND(SUM(Site_Detail_2[[#This Row],[21st CCLC,  Title IV-B]:[(enter addt''l. fund source 5)]]),2)</f>
        <v>0</v>
      </c>
      <c r="O16" s="208"/>
      <c r="Q16" s="103" t="s">
        <v>162</v>
      </c>
      <c r="R16" s="230" cm="1">
        <f t="array" ref="R16">SUMIF(Site_Detail_2[[Category]:[Category]],Site_Category_Sum_2[[#This Row],[Column1]:[Column1]],Site_Detail_2[21st CCLC,  Title IV-B])</f>
        <v>0</v>
      </c>
      <c r="S16" s="124" cm="1">
        <f t="array" ref="S16">SUMIF(Site_Detail_2[[Category]:[Category]],Site_Category_Sum_2[[#This Row],[Column1]:[Column1]],Site_Detail_2[(enter addt''l. fund source 1)])</f>
        <v>0</v>
      </c>
      <c r="T16" s="102" cm="1">
        <f t="array" ref="T16">SUMIF(Site_Detail_2[[Category]:[Category]],Site_Category_Sum_2[[#This Row],[Column1]:[Column1]],Site_Detail_2[(enter addt''l. fund source 2)])</f>
        <v>0</v>
      </c>
      <c r="U16" s="102" cm="1">
        <f t="array" ref="U16">SUMIF(Site_Detail_2[[Category]:[Category]],Site_Category_Sum_2[[#This Row],[Column1]:[Column1]],Site_Detail_2[(enter addt''l. fund source 3)])</f>
        <v>0</v>
      </c>
      <c r="V16" s="102" cm="1">
        <f t="array" ref="V16">SUMIF(Site_Detail_2[[Category]:[Category]],Site_Category_Sum_2[[#This Row],[Column1]:[Column1]],Site_Detail_2[(enter addt''l. fund source 4)])</f>
        <v>0</v>
      </c>
      <c r="W16" s="102" cm="1">
        <f t="array" ref="W16">SUMIF(Site_Detail_2[[Category]:[Category]],Site_Category_Sum_2[[#This Row],[Column1]:[Column1]],Site_Detail_2[(enter addt''l. fund source 5)])</f>
        <v>0</v>
      </c>
      <c r="X16" s="233">
        <f>ROUND(SUM(Site_Category_Sum_2[[#This Row],[Column2]:[Column7]]),2)</f>
        <v>0</v>
      </c>
      <c r="Z16" s="178" t="s">
        <v>0</v>
      </c>
    </row>
    <row r="17" spans="2:26" x14ac:dyDescent="0.25">
      <c r="B17" s="53"/>
      <c r="C17" s="54"/>
      <c r="D17" s="53"/>
      <c r="E17" s="54"/>
      <c r="F17" s="54"/>
      <c r="G17" s="219"/>
      <c r="H17" s="196"/>
      <c r="I17" s="220"/>
      <c r="J17" s="55"/>
      <c r="K17" s="55"/>
      <c r="L17" s="55"/>
      <c r="M17" s="207"/>
      <c r="N17" s="200">
        <f>ROUND(SUM(Site_Detail_2[[#This Row],[21st CCLC,  Title IV-B]:[(enter addt''l. fund source 5)]]),2)</f>
        <v>0</v>
      </c>
      <c r="O17" s="208"/>
      <c r="Q17" s="103" t="s">
        <v>596</v>
      </c>
      <c r="R17" s="230" cm="1">
        <f t="array" ref="R17">SUMIF(Site_Detail_2[[Category]:[Category]],Site_Category_Sum_2[[#This Row],[Column1]:[Column1]],Site_Detail_2[21st CCLC,  Title IV-B])</f>
        <v>0</v>
      </c>
      <c r="S17" s="124" cm="1">
        <f t="array" ref="S17">SUMIF(Site_Detail_2[[Category]:[Category]],Site_Category_Sum_2[[#This Row],[Column1]:[Column1]],Site_Detail_2[(enter addt''l. fund source 1)])</f>
        <v>0</v>
      </c>
      <c r="T17" s="102" cm="1">
        <f t="array" ref="T17">SUMIF(Site_Detail_2[[Category]:[Category]],Site_Category_Sum_2[[#This Row],[Column1]:[Column1]],Site_Detail_2[(enter addt''l. fund source 2)])</f>
        <v>0</v>
      </c>
      <c r="U17" s="102" cm="1">
        <f t="array" ref="U17">SUMIF(Site_Detail_2[[Category]:[Category]],Site_Category_Sum_2[[#This Row],[Column1]:[Column1]],Site_Detail_2[(enter addt''l. fund source 3)])</f>
        <v>0</v>
      </c>
      <c r="V17" s="102" cm="1">
        <f t="array" ref="V17">SUMIF(Site_Detail_2[[Category]:[Category]],Site_Category_Sum_2[[#This Row],[Column1]:[Column1]],Site_Detail_2[(enter addt''l. fund source 4)])</f>
        <v>0</v>
      </c>
      <c r="W17" s="102" cm="1">
        <f t="array" ref="W17">SUMIF(Site_Detail_2[[Category]:[Category]],Site_Category_Sum_2[[#This Row],[Column1]:[Column1]],Site_Detail_2[(enter addt''l. fund source 5)])</f>
        <v>0</v>
      </c>
      <c r="X17" s="233">
        <f>ROUND(SUM(Site_Category_Sum_2[[#This Row],[Column2]:[Column7]]),2)</f>
        <v>0</v>
      </c>
      <c r="Z17" s="178" t="s">
        <v>0</v>
      </c>
    </row>
    <row r="18" spans="2:26" x14ac:dyDescent="0.25">
      <c r="B18" s="53"/>
      <c r="C18" s="54"/>
      <c r="D18" s="53"/>
      <c r="E18" s="54"/>
      <c r="F18" s="54"/>
      <c r="G18" s="219"/>
      <c r="H18" s="196"/>
      <c r="I18" s="220"/>
      <c r="J18" s="55"/>
      <c r="K18" s="55"/>
      <c r="L18" s="55"/>
      <c r="M18" s="207"/>
      <c r="N18" s="200">
        <f>ROUND(SUM(Site_Detail_2[[#This Row],[21st CCLC,  Title IV-B]:[(enter addt''l. fund source 5)]]),2)</f>
        <v>0</v>
      </c>
      <c r="O18" s="208"/>
      <c r="Q18" s="103" t="s">
        <v>160</v>
      </c>
      <c r="R18" s="230" cm="1">
        <f t="array" ref="R18">SUMIF(Site_Detail_2[[Category]:[Category]],Site_Category_Sum_2[[#This Row],[Column1]:[Column1]],Site_Detail_2[21st CCLC,  Title IV-B])</f>
        <v>0</v>
      </c>
      <c r="S18" s="124" cm="1">
        <f t="array" ref="S18">SUMIF(Site_Detail_2[[Category]:[Category]],Site_Category_Sum_2[[#This Row],[Column1]:[Column1]],Site_Detail_2[(enter addt''l. fund source 1)])</f>
        <v>0</v>
      </c>
      <c r="T18" s="102" cm="1">
        <f t="array" ref="T18">SUMIF(Site_Detail_2[[Category]:[Category]],Site_Category_Sum_2[[#This Row],[Column1]:[Column1]],Site_Detail_2[(enter addt''l. fund source 2)])</f>
        <v>0</v>
      </c>
      <c r="U18" s="102" cm="1">
        <f t="array" ref="U18">SUMIF(Site_Detail_2[[Category]:[Category]],Site_Category_Sum_2[[#This Row],[Column1]:[Column1]],Site_Detail_2[(enter addt''l. fund source 3)])</f>
        <v>0</v>
      </c>
      <c r="V18" s="102" cm="1">
        <f t="array" ref="V18">SUMIF(Site_Detail_2[[Category]:[Category]],Site_Category_Sum_2[[#This Row],[Column1]:[Column1]],Site_Detail_2[(enter addt''l. fund source 4)])</f>
        <v>0</v>
      </c>
      <c r="W18" s="102" cm="1">
        <f t="array" ref="W18">SUMIF(Site_Detail_2[[Category]:[Category]],Site_Category_Sum_2[[#This Row],[Column1]:[Column1]],Site_Detail_2[(enter addt''l. fund source 5)])</f>
        <v>0</v>
      </c>
      <c r="X18" s="233">
        <f>ROUND(SUM(Site_Category_Sum_2[[#This Row],[Column2]:[Column7]]),2)</f>
        <v>0</v>
      </c>
      <c r="Z18" s="178" t="s">
        <v>0</v>
      </c>
    </row>
    <row r="19" spans="2:26" x14ac:dyDescent="0.25">
      <c r="B19" s="53"/>
      <c r="C19" s="54"/>
      <c r="D19" s="53"/>
      <c r="E19" s="54"/>
      <c r="F19" s="54"/>
      <c r="G19" s="219"/>
      <c r="H19" s="196"/>
      <c r="I19" s="220"/>
      <c r="J19" s="55"/>
      <c r="K19" s="55"/>
      <c r="L19" s="55"/>
      <c r="M19" s="207"/>
      <c r="N19" s="200">
        <f>ROUND(SUM(Site_Detail_2[[#This Row],[21st CCLC,  Title IV-B]:[(enter addt''l. fund source 5)]]),2)</f>
        <v>0</v>
      </c>
      <c r="O19" s="208"/>
      <c r="Q19" s="103" t="s">
        <v>566</v>
      </c>
      <c r="R19" s="230" cm="1">
        <f t="array" ref="R19">SUMIF(Site_Detail_2[[Category]:[Category]],Site_Category_Sum_2[[#This Row],[Column1]:[Column1]],Site_Detail_2[21st CCLC,  Title IV-B])</f>
        <v>0</v>
      </c>
      <c r="S19" s="124" cm="1">
        <f t="array" ref="S19">SUMIF(Site_Detail_2[[Category]:[Category]],Site_Category_Sum_2[[#This Row],[Column1]:[Column1]],Site_Detail_2[(enter addt''l. fund source 1)])</f>
        <v>0</v>
      </c>
      <c r="T19" s="102" cm="1">
        <f t="array" ref="T19">SUMIF(Site_Detail_2[[Category]:[Category]],Site_Category_Sum_2[[#This Row],[Column1]:[Column1]],Site_Detail_2[(enter addt''l. fund source 2)])</f>
        <v>0</v>
      </c>
      <c r="U19" s="102" cm="1">
        <f t="array" ref="U19">SUMIF(Site_Detail_2[[Category]:[Category]],Site_Category_Sum_2[[#This Row],[Column1]:[Column1]],Site_Detail_2[(enter addt''l. fund source 3)])</f>
        <v>0</v>
      </c>
      <c r="V19" s="102" cm="1">
        <f t="array" ref="V19">SUMIF(Site_Detail_2[[Category]:[Category]],Site_Category_Sum_2[[#This Row],[Column1]:[Column1]],Site_Detail_2[(enter addt''l. fund source 4)])</f>
        <v>0</v>
      </c>
      <c r="W19" s="102" cm="1">
        <f t="array" ref="W19">SUMIF(Site_Detail_2[[Category]:[Category]],Site_Category_Sum_2[[#This Row],[Column1]:[Column1]],Site_Detail_2[(enter addt''l. fund source 5)])</f>
        <v>0</v>
      </c>
      <c r="X19" s="233">
        <f>ROUND(SUM(Site_Category_Sum_2[[#This Row],[Column2]:[Column7]]),2)</f>
        <v>0</v>
      </c>
      <c r="Z19" s="178" t="s">
        <v>0</v>
      </c>
    </row>
    <row r="20" spans="2:26" x14ac:dyDescent="0.25">
      <c r="B20" s="53"/>
      <c r="C20" s="54"/>
      <c r="D20" s="53"/>
      <c r="E20" s="54"/>
      <c r="F20" s="54"/>
      <c r="G20" s="219"/>
      <c r="H20" s="196"/>
      <c r="I20" s="220"/>
      <c r="J20" s="55"/>
      <c r="K20" s="55"/>
      <c r="L20" s="55"/>
      <c r="M20" s="207"/>
      <c r="N20" s="200">
        <f>ROUND(SUM(Site_Detail_2[[#This Row],[21st CCLC,  Title IV-B]:[(enter addt''l. fund source 5)]]),2)</f>
        <v>0</v>
      </c>
      <c r="O20" s="208"/>
      <c r="Q20" s="103" t="s">
        <v>75</v>
      </c>
      <c r="R20" s="230" cm="1">
        <f t="array" ref="R20">SUMIF(Site_Detail_2[[Category]:[Category]],Site_Category_Sum_2[[#This Row],[Column1]:[Column1]],Site_Detail_2[21st CCLC,  Title IV-B])</f>
        <v>0</v>
      </c>
      <c r="S20" s="124" cm="1">
        <f t="array" ref="S20">SUMIF(Site_Detail_2[[Category]:[Category]],Site_Category_Sum_2[[#This Row],[Column1]:[Column1]],Site_Detail_2[(enter addt''l. fund source 1)])</f>
        <v>0</v>
      </c>
      <c r="T20" s="102" cm="1">
        <f t="array" ref="T20">SUMIF(Site_Detail_2[[Category]:[Category]],Site_Category_Sum_2[[#This Row],[Column1]:[Column1]],Site_Detail_2[(enter addt''l. fund source 2)])</f>
        <v>0</v>
      </c>
      <c r="U20" s="102" cm="1">
        <f t="array" ref="U20">SUMIF(Site_Detail_2[[Category]:[Category]],Site_Category_Sum_2[[#This Row],[Column1]:[Column1]],Site_Detail_2[(enter addt''l. fund source 3)])</f>
        <v>0</v>
      </c>
      <c r="V20" s="102" cm="1">
        <f t="array" ref="V20">SUMIF(Site_Detail_2[[Category]:[Category]],Site_Category_Sum_2[[#This Row],[Column1]:[Column1]],Site_Detail_2[(enter addt''l. fund source 4)])</f>
        <v>0</v>
      </c>
      <c r="W20" s="102" cm="1">
        <f t="array" ref="W20">SUMIF(Site_Detail_2[[Category]:[Category]],Site_Category_Sum_2[[#This Row],[Column1]:[Column1]],Site_Detail_2[(enter addt''l. fund source 5)])</f>
        <v>0</v>
      </c>
      <c r="X20" s="233">
        <f>ROUND(SUM(Site_Category_Sum_2[[#This Row],[Column2]:[Column7]]),2)</f>
        <v>0</v>
      </c>
      <c r="Z20" s="178" t="s">
        <v>0</v>
      </c>
    </row>
    <row r="21" spans="2:26" x14ac:dyDescent="0.25">
      <c r="B21" s="53"/>
      <c r="C21" s="54"/>
      <c r="D21" s="53"/>
      <c r="E21" s="54"/>
      <c r="F21" s="54"/>
      <c r="G21" s="219"/>
      <c r="H21" s="196"/>
      <c r="I21" s="220"/>
      <c r="J21" s="55"/>
      <c r="K21" s="55"/>
      <c r="L21" s="55"/>
      <c r="M21" s="207"/>
      <c r="N21" s="200">
        <f>ROUND(SUM(Site_Detail_2[[#This Row],[21st CCLC,  Title IV-B]:[(enter addt''l. fund source 5)]]),2)</f>
        <v>0</v>
      </c>
      <c r="O21" s="208"/>
      <c r="Q21" s="103" t="s">
        <v>603</v>
      </c>
      <c r="R21" s="230" cm="1">
        <f t="array" ref="R21">SUMIF(Site_Detail_2[[Category]:[Category]],Site_Category_Sum_2[[#This Row],[Column1]:[Column1]],Site_Detail_2[21st CCLC,  Title IV-B])</f>
        <v>0</v>
      </c>
      <c r="S21" s="124" cm="1">
        <f t="array" ref="S21">SUMIF(Site_Detail_2[[Category]:[Category]],Site_Category_Sum_2[[#This Row],[Column1]:[Column1]],Site_Detail_2[(enter addt''l. fund source 1)])</f>
        <v>0</v>
      </c>
      <c r="T21" s="102" cm="1">
        <f t="array" ref="T21">SUMIF(Site_Detail_2[[Category]:[Category]],Site_Category_Sum_2[[#This Row],[Column1]:[Column1]],Site_Detail_2[(enter addt''l. fund source 2)])</f>
        <v>0</v>
      </c>
      <c r="U21" s="102" cm="1">
        <f t="array" ref="U21">SUMIF(Site_Detail_2[[Category]:[Category]],Site_Category_Sum_2[[#This Row],[Column1]:[Column1]],Site_Detail_2[(enter addt''l. fund source 3)])</f>
        <v>0</v>
      </c>
      <c r="V21" s="102" cm="1">
        <f t="array" ref="V21">SUMIF(Site_Detail_2[[Category]:[Category]],Site_Category_Sum_2[[#This Row],[Column1]:[Column1]],Site_Detail_2[(enter addt''l. fund source 4)])</f>
        <v>0</v>
      </c>
      <c r="W21" s="102" cm="1">
        <f t="array" ref="W21">SUMIF(Site_Detail_2[[Category]:[Category]],Site_Category_Sum_2[[#This Row],[Column1]:[Column1]],Site_Detail_2[(enter addt''l. fund source 5)])</f>
        <v>0</v>
      </c>
      <c r="X21" s="233">
        <f>ROUND(SUM(Site_Category_Sum_2[[#This Row],[Column2]:[Column7]]),2)</f>
        <v>0</v>
      </c>
      <c r="Z21" s="178" t="s">
        <v>0</v>
      </c>
    </row>
    <row r="22" spans="2:26" x14ac:dyDescent="0.25">
      <c r="B22" s="53"/>
      <c r="C22" s="54"/>
      <c r="D22" s="53"/>
      <c r="E22" s="54"/>
      <c r="F22" s="54"/>
      <c r="G22" s="219"/>
      <c r="H22" s="196"/>
      <c r="I22" s="220"/>
      <c r="J22" s="55"/>
      <c r="K22" s="55"/>
      <c r="L22" s="55"/>
      <c r="M22" s="207"/>
      <c r="N22" s="200">
        <f>ROUND(SUM(Site_Detail_2[[#This Row],[21st CCLC,  Title IV-B]:[(enter addt''l. fund source 5)]]),2)</f>
        <v>0</v>
      </c>
      <c r="O22" s="208"/>
      <c r="Q22" s="103" t="s">
        <v>604</v>
      </c>
      <c r="R22" s="230" cm="1">
        <f t="array" ref="R22">SUMIF(Site_Detail_2[[Category]:[Category]],Site_Category_Sum_2[[#This Row],[Column1]:[Column1]],Site_Detail_2[21st CCLC,  Title IV-B])</f>
        <v>0</v>
      </c>
      <c r="S22" s="124" cm="1">
        <f t="array" ref="S22">SUMIF(Site_Detail_2[[Category]:[Category]],Site_Category_Sum_2[[#This Row],[Column1]:[Column1]],Site_Detail_2[(enter addt''l. fund source 1)])</f>
        <v>0</v>
      </c>
      <c r="T22" s="102" cm="1">
        <f t="array" ref="T22">SUMIF(Site_Detail_2[[Category]:[Category]],Site_Category_Sum_2[[#This Row],[Column1]:[Column1]],Site_Detail_2[(enter addt''l. fund source 2)])</f>
        <v>0</v>
      </c>
      <c r="U22" s="102" cm="1">
        <f t="array" ref="U22">SUMIF(Site_Detail_2[[Category]:[Category]],Site_Category_Sum_2[[#This Row],[Column1]:[Column1]],Site_Detail_2[(enter addt''l. fund source 3)])</f>
        <v>0</v>
      </c>
      <c r="V22" s="102" cm="1">
        <f t="array" ref="V22">SUMIF(Site_Detail_2[[Category]:[Category]],Site_Category_Sum_2[[#This Row],[Column1]:[Column1]],Site_Detail_2[(enter addt''l. fund source 4)])</f>
        <v>0</v>
      </c>
      <c r="W22" s="102" cm="1">
        <f t="array" ref="W22">SUMIF(Site_Detail_2[[Category]:[Category]],Site_Category_Sum_2[[#This Row],[Column1]:[Column1]],Site_Detail_2[(enter addt''l. fund source 5)])</f>
        <v>0</v>
      </c>
      <c r="X22" s="233">
        <f>ROUND(SUM(Site_Category_Sum_2[[#This Row],[Column2]:[Column7]]),2)</f>
        <v>0</v>
      </c>
      <c r="Z22" s="178" t="s">
        <v>0</v>
      </c>
    </row>
    <row r="23" spans="2:26" x14ac:dyDescent="0.25">
      <c r="B23" s="53"/>
      <c r="C23" s="54"/>
      <c r="D23" s="53"/>
      <c r="E23" s="54"/>
      <c r="F23" s="54"/>
      <c r="G23" s="219"/>
      <c r="H23" s="196"/>
      <c r="I23" s="220"/>
      <c r="J23" s="55"/>
      <c r="K23" s="55"/>
      <c r="L23" s="55"/>
      <c r="M23" s="207"/>
      <c r="N23" s="200">
        <f>ROUND(SUM(Site_Detail_2[[#This Row],[21st CCLC,  Title IV-B]:[(enter addt''l. fund source 5)]]),2)</f>
        <v>0</v>
      </c>
      <c r="O23" s="208"/>
      <c r="Q23" s="103" t="s">
        <v>567</v>
      </c>
      <c r="R23" s="230" cm="1">
        <f t="array" ref="R23">SUMIF(Site_Detail_2[[Category]:[Category]],Site_Category_Sum_2[[#This Row],[Column1]:[Column1]],Site_Detail_2[21st CCLC,  Title IV-B])</f>
        <v>0</v>
      </c>
      <c r="S23" s="124" cm="1">
        <f t="array" ref="S23">SUMIF(Site_Detail_2[[Category]:[Category]],Site_Category_Sum_2[[#This Row],[Column1]:[Column1]],Site_Detail_2[(enter addt''l. fund source 1)])</f>
        <v>0</v>
      </c>
      <c r="T23" s="102" cm="1">
        <f t="array" ref="T23">SUMIF(Site_Detail_2[[Category]:[Category]],Site_Category_Sum_2[[#This Row],[Column1]:[Column1]],Site_Detail_2[(enter addt''l. fund source 2)])</f>
        <v>0</v>
      </c>
      <c r="U23" s="102" cm="1">
        <f t="array" ref="U23">SUMIF(Site_Detail_2[[Category]:[Category]],Site_Category_Sum_2[[#This Row],[Column1]:[Column1]],Site_Detail_2[(enter addt''l. fund source 3)])</f>
        <v>0</v>
      </c>
      <c r="V23" s="102" cm="1">
        <f t="array" ref="V23">SUMIF(Site_Detail_2[[Category]:[Category]],Site_Category_Sum_2[[#This Row],[Column1]:[Column1]],Site_Detail_2[(enter addt''l. fund source 4)])</f>
        <v>0</v>
      </c>
      <c r="W23" s="102" cm="1">
        <f t="array" ref="W23">SUMIF(Site_Detail_2[[Category]:[Category]],Site_Category_Sum_2[[#This Row],[Column1]:[Column1]],Site_Detail_2[(enter addt''l. fund source 5)])</f>
        <v>0</v>
      </c>
      <c r="X23" s="233">
        <f>ROUND(SUM(Site_Category_Sum_2[[#This Row],[Column2]:[Column7]]),2)</f>
        <v>0</v>
      </c>
      <c r="Z23" s="178" t="s">
        <v>0</v>
      </c>
    </row>
    <row r="24" spans="2:26" x14ac:dyDescent="0.25">
      <c r="B24" s="53"/>
      <c r="C24" s="54"/>
      <c r="D24" s="53"/>
      <c r="E24" s="54"/>
      <c r="F24" s="54"/>
      <c r="G24" s="219"/>
      <c r="H24" s="196"/>
      <c r="I24" s="220"/>
      <c r="J24" s="55"/>
      <c r="K24" s="55"/>
      <c r="L24" s="55"/>
      <c r="M24" s="207"/>
      <c r="N24" s="200">
        <f>ROUND(SUM(Site_Detail_2[[#This Row],[21st CCLC,  Title IV-B]:[(enter addt''l. fund source 5)]]),2)</f>
        <v>0</v>
      </c>
      <c r="O24" s="208"/>
      <c r="Q24" s="103" t="s">
        <v>192</v>
      </c>
      <c r="R24" s="230">
        <f>ROUND(SUMIFS(Site_Detail_2[21st CCLC,  Title IV-B],Site_Detail_2[[Category]:[Category]],"Indirect",Site_Detail_2[[Contracted Service?]:[Contracted Service?]],"&lt;&gt;Yes"),2)</f>
        <v>0</v>
      </c>
      <c r="S24" s="124">
        <f>ROUND(SUMIFS(Site_Detail_2[(enter addt''l. fund source 1)],Site_Detail_2[[Category]:[Category]],"Indirect",Site_Detail_2[[Contracted Service?]:[Contracted Service?]],"&lt;&gt;Yes"),2)</f>
        <v>0</v>
      </c>
      <c r="T24" s="102">
        <f>ROUND(SUMIFS(Site_Detail_2[(enter addt''l. fund source 2)],Site_Detail_2[[Category]:[Category]],"Indirect",Site_Detail_2[[Contracted Service?]:[Contracted Service?]],"&lt;&gt;Yes"),2)</f>
        <v>0</v>
      </c>
      <c r="U24" s="102">
        <f>ROUND(SUMIFS(Site_Detail_2[(enter addt''l. fund source 3)],Site_Detail_2[[Category]:[Category]],"Indirect",Site_Detail_2[[Contracted Service?]:[Contracted Service?]],"&lt;&gt;Yes"),2)</f>
        <v>0</v>
      </c>
      <c r="V24" s="102">
        <f>ROUND(SUMIFS(Site_Detail_2[(enter addt''l. fund source 4)],Site_Detail_2[[Category]:[Category]],"Indirect",Site_Detail_2[[Contracted Service?]:[Contracted Service?]],"&lt;&gt;Yes"),2)</f>
        <v>0</v>
      </c>
      <c r="W24" s="102">
        <f>ROUND(SUMIFS(Site_Detail_2[(enter addt''l. fund source 5)],Site_Detail_2[[Category]:[Category]],"Indirect",Site_Detail_2[[Contracted Service?]:[Contracted Service?]],"&lt;&gt;Yes"),2)</f>
        <v>0</v>
      </c>
      <c r="X24" s="233">
        <f>ROUND(SUM(Site_Category_Sum_2[[#This Row],[Column2]:[Column7]]),2)</f>
        <v>0</v>
      </c>
      <c r="Z24" s="178" t="s">
        <v>0</v>
      </c>
    </row>
    <row r="25" spans="2:26" x14ac:dyDescent="0.25">
      <c r="B25" s="53"/>
      <c r="C25" s="54"/>
      <c r="D25" s="53"/>
      <c r="E25" s="54"/>
      <c r="F25" s="54"/>
      <c r="G25" s="219"/>
      <c r="H25" s="196"/>
      <c r="I25" s="220"/>
      <c r="J25" s="55"/>
      <c r="K25" s="55"/>
      <c r="L25" s="55"/>
      <c r="M25" s="207"/>
      <c r="N25" s="200">
        <f>ROUND(SUM(Site_Detail_2[[#This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ROUND(SUM(Site_Category_Sum_2[[#This Row],[Column2]:[Column7]]),2)</f>
        <v>0</v>
      </c>
      <c r="Z25" s="178" t="s">
        <v>0</v>
      </c>
    </row>
    <row r="26" spans="2:26" x14ac:dyDescent="0.25">
      <c r="B26" s="53"/>
      <c r="C26" s="54"/>
      <c r="D26" s="53"/>
      <c r="E26" s="54"/>
      <c r="F26" s="54"/>
      <c r="G26" s="219"/>
      <c r="H26" s="196"/>
      <c r="I26" s="220"/>
      <c r="J26" s="55"/>
      <c r="K26" s="55"/>
      <c r="L26" s="55"/>
      <c r="M26" s="207"/>
      <c r="N26" s="200">
        <f>ROUND(SUM(Site_Detail_2[[#This Row],[21st CCLC,  Title IV-B]:[(enter addt''l. fund source 5)]]),2)</f>
        <v>0</v>
      </c>
      <c r="O26" s="208"/>
      <c r="Q26" s="103" t="s">
        <v>291</v>
      </c>
      <c r="R26" s="230" cm="1">
        <f t="array" ref="R26">SUMIF(Site_Detail_2[[Program Type]:[Program Type]],Site_Category_Sum_2[[#This Row],[Column1]:[Column1]],Site_Detail_2[21st CCLC,  Title IV-B])</f>
        <v>0</v>
      </c>
      <c r="S26" s="124" cm="1">
        <f t="array" ref="S26">SUMIF(Site_Detail_2[[Program Type]:[Program Type]],Site_Category_Sum_2[[#This Row],[Column1]:[Column1]],Site_Detail_2[(enter addt''l. fund source 1)])</f>
        <v>0</v>
      </c>
      <c r="T26" s="102" cm="1">
        <f t="array" ref="T26">SUMIF(Site_Detail_2[[Program Type]:[Program Type]],Site_Category_Sum_2[[#This Row],[Column1]:[Column1]],Site_Detail_2[(enter addt''l. fund source 2)])</f>
        <v>0</v>
      </c>
      <c r="U26" s="102" cm="1">
        <f t="array" ref="U26">SUMIF(Site_Detail_2[[Program Type]:[Program Type]],Site_Category_Sum_2[[#This Row],[Column1]:[Column1]],Site_Detail_2[(enter addt''l. fund source 3)])</f>
        <v>0</v>
      </c>
      <c r="V26" s="102" cm="1">
        <f t="array" ref="V26">SUMIF(Site_Detail_2[[Program Type]:[Program Type]],Site_Category_Sum_2[[#This Row],[Column1]:[Column1]],Site_Detail_2[(enter addt''l. fund source 4)])</f>
        <v>0</v>
      </c>
      <c r="W26" s="102" cm="1">
        <f t="array" ref="W26">SUMIF(Site_Detail_2[[Program Type]:[Program Type]],Site_Category_Sum_2[[#This Row],[Column1]:[Column1]],Site_Detail_2[(enter addt''l. fund source 5)])</f>
        <v>0</v>
      </c>
      <c r="X26" s="233">
        <f>ROUND(SUM(Site_Category_Sum_2[[#This Row],[Column2]:[Column7]]),2)</f>
        <v>0</v>
      </c>
      <c r="Z26" s="178" t="s">
        <v>0</v>
      </c>
    </row>
    <row r="27" spans="2:26" x14ac:dyDescent="0.25">
      <c r="B27" s="53"/>
      <c r="C27" s="54"/>
      <c r="D27" s="53"/>
      <c r="E27" s="54"/>
      <c r="F27" s="54"/>
      <c r="G27" s="219"/>
      <c r="H27" s="196"/>
      <c r="I27" s="220"/>
      <c r="J27" s="55"/>
      <c r="K27" s="55"/>
      <c r="L27" s="55"/>
      <c r="M27" s="207"/>
      <c r="N27" s="200">
        <f>ROUND(SUM(Site_Detail_2[[#This Row],[21st CCLC,  Title IV-B]:[(enter addt''l. fund source 5)]]),2)</f>
        <v>0</v>
      </c>
      <c r="O27" s="208"/>
      <c r="Q27" s="103" t="s">
        <v>292</v>
      </c>
      <c r="R27" s="230" cm="1">
        <f t="array" ref="R27">SUMIF(Site_Detail_2[[Program Type]:[Program Type]],Site_Category_Sum_2[[#This Row],[Column1]:[Column1]],Site_Detail_2[21st CCLC,  Title IV-B])</f>
        <v>0</v>
      </c>
      <c r="S27" s="124" cm="1">
        <f t="array" ref="S27">SUMIF(Site_Detail_2[[Program Type]:[Program Type]],Site_Category_Sum_2[[#This Row],[Column1]:[Column1]],Site_Detail_2[(enter addt''l. fund source 1)])</f>
        <v>0</v>
      </c>
      <c r="T27" s="102" cm="1">
        <f t="array" ref="T27">SUMIF(Site_Detail_2[[Program Type]:[Program Type]],Site_Category_Sum_2[[#This Row],[Column1]:[Column1]],Site_Detail_2[(enter addt''l. fund source 2)])</f>
        <v>0</v>
      </c>
      <c r="U27" s="102" cm="1">
        <f t="array" ref="U27">SUMIF(Site_Detail_2[[Program Type]:[Program Type]],Site_Category_Sum_2[[#This Row],[Column1]:[Column1]],Site_Detail_2[(enter addt''l. fund source 3)])</f>
        <v>0</v>
      </c>
      <c r="V27" s="102" cm="1">
        <f t="array" ref="V27">SUMIF(Site_Detail_2[[Program Type]:[Program Type]],Site_Category_Sum_2[[#This Row],[Column1]:[Column1]],Site_Detail_2[(enter addt''l. fund source 4)])</f>
        <v>0</v>
      </c>
      <c r="W27" s="102" cm="1">
        <f t="array" ref="W27">SUMIF(Site_Detail_2[[Program Type]:[Program Type]],Site_Category_Sum_2[[#This Row],[Column1]:[Column1]],Site_Detail_2[(enter addt''l. fund source 5)])</f>
        <v>0</v>
      </c>
      <c r="X27" s="233">
        <f>ROUND(SUM(Site_Category_Sum_2[[#This Row],[Column2]:[Column7]]),2)</f>
        <v>0</v>
      </c>
    </row>
    <row r="28" spans="2:26" x14ac:dyDescent="0.25">
      <c r="B28" s="53"/>
      <c r="C28" s="54"/>
      <c r="D28" s="53"/>
      <c r="E28" s="54"/>
      <c r="F28" s="54"/>
      <c r="G28" s="219"/>
      <c r="H28" s="196"/>
      <c r="I28" s="220"/>
      <c r="J28" s="55"/>
      <c r="K28" s="55"/>
      <c r="L28" s="55"/>
      <c r="M28" s="207"/>
      <c r="N28" s="200">
        <f>ROUND(SUM(Site_Detail_2[[#This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ROUND(SUM(Site_Category_Sum_2[[#This Row],[Column2]:[Column7]]),2)</f>
        <v>0</v>
      </c>
    </row>
    <row r="29" spans="2:26" x14ac:dyDescent="0.25">
      <c r="B29" s="53"/>
      <c r="C29" s="54"/>
      <c r="D29" s="53"/>
      <c r="E29" s="54"/>
      <c r="F29" s="54"/>
      <c r="G29" s="219"/>
      <c r="H29" s="196"/>
      <c r="I29" s="220"/>
      <c r="J29" s="55"/>
      <c r="K29" s="55"/>
      <c r="L29" s="55"/>
      <c r="M29" s="207"/>
      <c r="N29" s="200">
        <f>ROUND(SUM(Site_Detail_2[[#This Row],[21st CCLC,  Title IV-B]:[(enter addt''l. fund source 5)]]),2)</f>
        <v>0</v>
      </c>
      <c r="O29" s="208"/>
      <c r="Q29" s="103" t="s">
        <v>591</v>
      </c>
      <c r="R29" s="230">
        <f>ROUND(SUMIF(Site_Detail_2[[Contracted Service?]:[Contracted Service?]],"Yes",Site_Detail_2[21st CCLC,  Title IV-B]),2)</f>
        <v>0</v>
      </c>
      <c r="S29" s="124">
        <f>ROUND(SUMIF(Site_Detail_2[[Contracted Service?]:[Contracted Service?]],"Yes",Site_Detail_2[(enter addt''l. fund source 1)]),2)</f>
        <v>0</v>
      </c>
      <c r="T29" s="102">
        <f>ROUND(SUMIF(Site_Detail_2[[Contracted Service?]:[Contracted Service?]],"Yes",Site_Detail_2[(enter addt''l. fund source 2)]),2)</f>
        <v>0</v>
      </c>
      <c r="U29" s="102">
        <f>ROUND(SUMIF(Site_Detail_2[[Contracted Service?]:[Contracted Service?]],"Yes",Site_Detail_2[(enter addt''l. fund source 3)]),2)</f>
        <v>0</v>
      </c>
      <c r="V29" s="102">
        <f>ROUND(SUMIF(Site_Detail_2[[Contracted Service?]:[Contracted Service?]],"Yes",Site_Detail_2[(enter addt''l. fund source 4)]),2)</f>
        <v>0</v>
      </c>
      <c r="W29" s="102">
        <f>ROUND(SUMIF(Site_Detail_2[[Contracted Service?]:[Contracted Service?]],"Yes",Site_Detail_2[(enter addt''l. fund source 5)]),2)</f>
        <v>0</v>
      </c>
      <c r="X29" s="233">
        <f>ROUND(SUM(Site_Category_Sum_2[[#This Row],[Column2]:[Column7]]),2)</f>
        <v>0</v>
      </c>
    </row>
    <row r="30" spans="2:26" x14ac:dyDescent="0.25">
      <c r="B30" s="53"/>
      <c r="C30" s="54"/>
      <c r="D30" s="53"/>
      <c r="E30" s="54"/>
      <c r="F30" s="54"/>
      <c r="G30" s="219"/>
      <c r="H30" s="196"/>
      <c r="I30" s="220"/>
      <c r="J30" s="55"/>
      <c r="K30" s="55"/>
      <c r="L30" s="55"/>
      <c r="M30" s="207"/>
      <c r="N30" s="200">
        <f>ROUND(SUM(Site_Detail_2[[#This Row],[21st CCLC,  Title IV-B]:[(enter addt''l. fund source 5)]]),2)</f>
        <v>0</v>
      </c>
      <c r="O30" s="208"/>
      <c r="Q30" s="103" t="s">
        <v>597</v>
      </c>
      <c r="R30" s="230">
        <f>ROUND(SUMIF(Site_Detail_2[[Contracted Service?]:[Contracted Service?]],"&lt;&gt;Yes",Site_Detail_2[21st CCLC,  Title IV-B]),2)</f>
        <v>0</v>
      </c>
      <c r="S30" s="124">
        <f>ROUND(SUMIF(Site_Detail_2[[Contracted Service?]:[Contracted Service?]],"&lt;&gt;Yes",Site_Detail_2[(enter addt''l. fund source 1)]),2)</f>
        <v>0</v>
      </c>
      <c r="T30" s="102">
        <f>ROUND(SUMIF(Site_Detail_2[[Contracted Service?]:[Contracted Service?]],"&lt;&gt;Yes",Site_Detail_2[(enter addt''l. fund source 2)]),2)</f>
        <v>0</v>
      </c>
      <c r="U30" s="102">
        <f>ROUND(SUMIF(Site_Detail_2[[Contracted Service?]:[Contracted Service?]],"&lt;&gt;Yes",Site_Detail_2[(enter addt''l. fund source 3)]),2)</f>
        <v>0</v>
      </c>
      <c r="V30" s="102">
        <f>ROUND(SUMIF(Site_Detail_2[[Contracted Service?]:[Contracted Service?]],"&lt;&gt;Yes",Site_Detail_2[(enter addt''l. fund source 4)]),2)</f>
        <v>0</v>
      </c>
      <c r="W30" s="102">
        <f>ROUND(SUMIF(Site_Detail_2[[Contracted Service?]:[Contracted Service?]],"&lt;&gt;Yes",Site_Detail_2[(enter addt''l. fund source 5)]),2)</f>
        <v>0</v>
      </c>
      <c r="X30" s="233">
        <f>ROUND(SUM(Site_Category_Sum_2[[#This Row],[Column2]:[Column7]]),2)</f>
        <v>0</v>
      </c>
    </row>
    <row r="31" spans="2:26" x14ac:dyDescent="0.25">
      <c r="B31" s="53"/>
      <c r="C31" s="54"/>
      <c r="D31" s="53"/>
      <c r="E31" s="54"/>
      <c r="F31" s="54"/>
      <c r="G31" s="219"/>
      <c r="H31" s="196"/>
      <c r="I31" s="220"/>
      <c r="J31" s="55"/>
      <c r="K31" s="55"/>
      <c r="L31" s="55"/>
      <c r="M31" s="207"/>
      <c r="N31" s="200">
        <f>ROUND(SUM(Site_Detail_2[[#This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ROUND(SUM(Site_Category_Sum_2[[#This Row],[Column2]:[Column7]]),2)</f>
        <v>0</v>
      </c>
    </row>
    <row r="32" spans="2:26" x14ac:dyDescent="0.25">
      <c r="B32" s="53"/>
      <c r="C32" s="54"/>
      <c r="D32" s="53"/>
      <c r="E32" s="54"/>
      <c r="F32" s="54"/>
      <c r="G32" s="219"/>
      <c r="H32" s="196"/>
      <c r="I32" s="220"/>
      <c r="J32" s="55"/>
      <c r="K32" s="55"/>
      <c r="L32" s="55"/>
      <c r="M32" s="207"/>
      <c r="N32" s="200">
        <f>ROUND(SUM(Site_Detail_2[[#This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ROUND(SUM(Site_Detail_2[[#This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ROUND(SUM(Site_Detail_2[[#This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ROUND(SUM(Site_Detail_2[[#This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ROUND(SUM(Site_Detail_2[[#This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ROUND(SUM(Site_Detail_2[[#This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ROUND(SUM(Site_Detail_2[[#This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ROUND(SUM(Site_Detail_2[[#This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ROUND(SUM(Site_Detail_2[[#This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ROUND(SUM(Site_Detail_2[[#This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ROUND(SUM(Site_Detail_2[[#This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ROUND(SUM(Site_Detail_2[[#This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ROUND(SUM(Site_Detail_2[[#This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ROUND(SUM(Site_Detail_2[[#This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ROUND(SUM(Site_Detail_2[[#This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ROUND(SUM(Site_Detail_2[[#This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ROUND(SUM(Site_Detail_2[[#This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ROUND(SUM(Site_Detail_2[[#This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ROUND(SUM(Site_Detail_2[[#This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ROUND(SUM(Site_Detail_2[[#This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ROUND(SUM(Site_Detail_2[[#This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ROUND(SUM(Site_Detail_2[[#This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ROUND(SUM(Site_Detail_2[[#This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ROUND(SUM(Site_Detail_2[[#This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ROUND(SUM(Site_Detail_2[[#This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ROUND(SUM(Site_Detail_2[[#This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ROUND(SUM(Site_Detail_2[[#This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ROUND(SUM(Site_Detail_2[[#This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ROUND(SUM(Site_Detail_2[[#This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ROUND(SUM(Site_Detail_2[[#This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ROUND(SUM(Site_Detail_2[[#This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ROUND(SUM(Site_Detail_2[[#This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ROUND(SUM(Site_Detail_2[[#This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ROUND(SUM(Site_Detail_2[[#This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ROUND(SUM(Site_Detail_2[[#This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ROUND(SUM(Site_Detail_2[[#This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ROUND(SUM(Site_Detail_2[[#This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ROUND(SUM(Site_Detail_2[[#This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ROUND(SUM(Site_Detail_2[[#This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ROUND(SUM(Site_Detail_2[[#This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ROUND(SUM(Site_Detail_2[[#This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ROUND(SUM(Site_Detail_2[[#This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ROUND(SUM(Site_Detail_2[[#This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ROUND(SUM(Site_Detail_2[[#This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ROUND(SUM(Site_Detail_2[[#This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ROUND(SUM(Site_Detail_2[[#This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ROUND(SUM(Site_Detail_2[[#This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ROUND(SUM(Site_Detail_2[[#This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ROUND(SUM(Site_Detail_2[[#This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ROUND(SUM(Site_Detail_2[[#This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ROUND(SUM(Site_Detail_2[[#This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ROUND(SUM(Site_Detail_2[[#This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ROUND(SUM(Site_Detail_2[[#This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ROUND(SUM(Site_Detail_2[[#This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ROUND(SUM(Site_Detail_2[[#This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ROUND(SUM(Site_Detail_2[[#This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173" priority="6" operator="equal">
      <formula>"(select)"</formula>
    </cfRule>
  </conditionalFormatting>
  <conditionalFormatting sqref="B13:G87">
    <cfRule type="expression" dxfId="172" priority="7">
      <formula>AND(SUM($H13:$M13)&gt;0,B13="")</formula>
    </cfRule>
  </conditionalFormatting>
  <conditionalFormatting sqref="C4:C5 C7">
    <cfRule type="cellIs" dxfId="171" priority="1" operator="equal">
      <formula>"(autofill)"</formula>
    </cfRule>
    <cfRule type="expression" dxfId="170" priority="2">
      <formula>$C$5="Invalid Entity ID"</formula>
    </cfRule>
  </conditionalFormatting>
  <conditionalFormatting sqref="C6">
    <cfRule type="cellIs" dxfId="169" priority="3" operator="equal">
      <formula>"(enter center/site name)"</formula>
    </cfRule>
  </conditionalFormatting>
  <conditionalFormatting sqref="C8">
    <cfRule type="cellIs" dxfId="168" priority="4" operator="equal">
      <formula>"(enter #)"</formula>
    </cfRule>
  </conditionalFormatting>
  <conditionalFormatting sqref="C13:C87">
    <cfRule type="cellIs" dxfId="167" priority="8" operator="equal">
      <formula>"Yes"</formula>
    </cfRule>
  </conditionalFormatting>
  <conditionalFormatting sqref="E13">
    <cfRule type="cellIs" dxfId="166" priority="9" operator="equal">
      <formula>"(fx code)"</formula>
    </cfRule>
  </conditionalFormatting>
  <conditionalFormatting sqref="F13">
    <cfRule type="cellIs" dxfId="165" priority="10" operator="equal">
      <formula>"(obj)"</formula>
    </cfRule>
  </conditionalFormatting>
  <conditionalFormatting sqref="G13">
    <cfRule type="cellIs" dxfId="164" priority="11" operator="equal">
      <formula>"(enter description)"</formula>
    </cfRule>
  </conditionalFormatting>
  <conditionalFormatting sqref="H13:M13">
    <cfRule type="cellIs" dxfId="163" priority="12" operator="equal">
      <formula>"(enter $)"</formula>
    </cfRule>
  </conditionalFormatting>
  <conditionalFormatting sqref="I7:M7 I12:M12 S12:W12">
    <cfRule type="containsText" dxfId="162" priority="5" operator="containsText" text="(addt'l. fund source">
      <formula>NOT(ISERROR(SEARCH("(addt'l. fund source",I7)))</formula>
    </cfRule>
  </conditionalFormatting>
  <conditionalFormatting sqref="O13">
    <cfRule type="cellIs" dxfId="161" priority="13" operator="equal">
      <formula>"(enter note)"</formula>
    </cfRule>
  </conditionalFormatting>
  <dataValidations count="4">
    <dataValidation allowBlank="1" showInputMessage="1" showErrorMessage="1" prompt="Each line item for salaries MUST indicate: _x000a__x000a_1) Amount of FTE, and _x000a__x000a_2) Type of position (see Budget Guidance tab for examples)." sqref="G13:G15" xr:uid="{A09B7CE5-07CC-4DCC-B52C-DAB4D68830BD}"/>
    <dataValidation type="list" allowBlank="1" showErrorMessage="1" sqref="B13:B87" xr:uid="{1B7612F1-271F-4924-9323-59F03A486239}">
      <formula1>Program_List</formula1>
    </dataValidation>
    <dataValidation type="list" allowBlank="1" showErrorMessage="1" sqref="D13:D87" xr:uid="{E466FEEF-EA53-4F64-B72E-C71ACE7ABBEC}">
      <formula1>Categories_List</formula1>
    </dataValidation>
    <dataValidation type="list" allowBlank="1" showErrorMessage="1" sqref="C13:C87" xr:uid="{7EE3822B-B26F-4C79-8B2A-3D96E6974B95}">
      <formula1>Contracted_List</formula1>
    </dataValidation>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F80AA-6A72-4B7A-9ED5-9F49E4D1FF80}">
  <sheetPr>
    <tabColor rgb="FFAAD4F4"/>
    <pageSetUpPr autoPageBreaks="0" fitToPage="1"/>
  </sheetPr>
  <dimension ref="A1:Z87"/>
  <sheetViews>
    <sheetView showGridLines="0" showRowColHeaders="0" zoomScaleNormal="100" workbookViewId="0">
      <pane ySplit="12" topLeftCell="A13" activePane="bottomLeft" state="frozen"/>
      <selection activeCell="C4" sqref="C4"/>
      <selection pane="bottomLeft" activeCell="C6" sqref="C6:E6"/>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615</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ROUND(SUMIF(Site_Detail_3[[Program Type]:[Program Type]],"Before/Afterschool",Site_Detail_3[21st CCLC,  Title IV-B]),2)</f>
        <v>0</v>
      </c>
      <c r="I8" s="150">
        <f>ROUND(SUMIF(Site_Detail_3[[Program Type]:[Program Type]],"Before/Afterschool",Site_Detail_3[(enter addt''l. fund source 1)]),2)</f>
        <v>0</v>
      </c>
      <c r="J8" s="150">
        <f>ROUND(SUMIF(Site_Detail_3[[Program Type]:[Program Type]],"Before/Afterschool",Site_Detail_3[(enter addt''l. fund source 2)]),2)</f>
        <v>0</v>
      </c>
      <c r="K8" s="150">
        <f>ROUND(SUMIF(Site_Detail_3[[Program Type]:[Program Type]],"Before/Afterschool",Site_Detail_3[(enter addt''l. fund source 3)]),2)</f>
        <v>0</v>
      </c>
      <c r="L8" s="150">
        <f>ROUND(SUMIF(Site_Detail_3[[Program Type]:[Program Type]],"Before/Afterschool",Site_Detail_3[(enter addt''l. fund source 4)]),2)</f>
        <v>0</v>
      </c>
      <c r="M8" s="203">
        <f>ROUND(SUMIF(Site_Detail_3[[Program Type]:[Program Type]],"Before/Afterschool",Site_Detail_3[(enter addt''l. fund source 5)]),2)</f>
        <v>0</v>
      </c>
      <c r="N8" s="198">
        <f>SUM(Site_Summary_3[[#This Row],[Column3]:[Column8]])</f>
        <v>0</v>
      </c>
    </row>
    <row r="9" spans="1:26" customFormat="1" x14ac:dyDescent="0.25">
      <c r="A9" s="1" t="s">
        <v>0</v>
      </c>
      <c r="B9" s="408"/>
      <c r="C9" s="410"/>
      <c r="G9" s="149" t="s">
        <v>609</v>
      </c>
      <c r="H9" s="151">
        <f>ROUND(SUMIF(Site_Detail_3[[Program Type]:[Program Type]],"Summer",Site_Detail_3[21st CCLC,  Title IV-B]),2)</f>
        <v>0</v>
      </c>
      <c r="I9" s="150">
        <f>ROUND(SUMIF(Site_Detail_3[[Program Type]:[Program Type]],"Summer",Site_Detail_3[(enter addt''l. fund source 1)]),2)</f>
        <v>0</v>
      </c>
      <c r="J9" s="150">
        <f>ROUND(SUMIF(Site_Detail_3[[Program Type]:[Program Type]],"Summer",Site_Detail_3[(enter addt''l. fund source 2)]),2)</f>
        <v>0</v>
      </c>
      <c r="K9" s="150">
        <f>ROUND(SUMIF(Site_Detail_3[[Program Type]:[Program Type]],"Summer",Site_Detail_3[(enter addt''l. fund source 3)]),2)</f>
        <v>0</v>
      </c>
      <c r="L9" s="150">
        <f>ROUND(SUMIF(Site_Detail_3[[Program Type]:[Program Type]],"Summer",Site_Detail_3[(enter addt''l. fund source 4)]),2)</f>
        <v>0</v>
      </c>
      <c r="M9" s="204">
        <f>ROUND(SUMIF(Site_Detail_3[[Program Type]:[Program Type]],"Summer",Site_Detail_3[(enter addt''l. fund source 5)]),2)</f>
        <v>0</v>
      </c>
      <c r="N9" s="199">
        <f>SUM(Site_Summary_3[[#This Row],[Column3]:[Column8]])</f>
        <v>0</v>
      </c>
    </row>
    <row r="10" spans="1:26" customFormat="1" x14ac:dyDescent="0.25">
      <c r="A10" s="1" t="s">
        <v>0</v>
      </c>
      <c r="G10" s="152" t="s">
        <v>616</v>
      </c>
      <c r="H10" s="247">
        <f>ROUND(SUM(Site_Detail_3[21st CCLC,  Title IV-B]),2)</f>
        <v>0</v>
      </c>
      <c r="I10" s="248">
        <f>ROUND(SUM(Site_Detail_3[(enter addt''l. fund source 1)]),2)</f>
        <v>0</v>
      </c>
      <c r="J10" s="109">
        <f>ROUND(SUM(Site_Detail_3[(enter addt''l. fund source 2)]),2)</f>
        <v>0</v>
      </c>
      <c r="K10" s="109">
        <f>ROUND(SUM(Site_Detail_3[(enter addt''l. fund source 3)]),2)</f>
        <v>0</v>
      </c>
      <c r="L10" s="109">
        <f>ROUND(SUM(Site_Detail_3[(enter addt''l. fund source 4)]),2)</f>
        <v>0</v>
      </c>
      <c r="M10" s="110">
        <f>ROUND(SUM(Site_Detail_3[(enter addt''l. fund source 5)]),2)</f>
        <v>0</v>
      </c>
      <c r="N10" s="238">
        <f>SUM(Site_Summary_3[[#This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ROUND(SUM(Site_Detail_3[[#This Row],[21st CCLC,  Title IV-B]:[(enter addt''l. fund source 5)]]),2)</f>
        <v>0</v>
      </c>
      <c r="O13" s="225" t="s">
        <v>28</v>
      </c>
      <c r="Q13" s="101" t="s">
        <v>545</v>
      </c>
      <c r="R13" s="230" cm="1">
        <f t="array" ref="R13">SUMIF(Site_Detail_3[[Category]:[Category]],Site_Category_Sum_3[[#This Row],[Column1]:[Column1]],Site_Detail_3[21st CCLC,  Title IV-B])</f>
        <v>0</v>
      </c>
      <c r="S13" s="124" cm="1">
        <f t="array" ref="S13">SUMIF(Site_Detail_3[[Category]:[Category]],Site_Category_Sum_3[[#This Row],[Column1]:[Column1]],Site_Detail_3[(enter addt''l. fund source 1)])</f>
        <v>0</v>
      </c>
      <c r="T13" s="124" cm="1">
        <f t="array" ref="T13">SUMIF(Site_Detail_3[[Category]:[Category]],Site_Category_Sum_3[[#This Row],[Column1]:[Column1]],Site_Detail_3[(enter addt''l. fund source 2)])</f>
        <v>0</v>
      </c>
      <c r="U13" s="124" cm="1">
        <f t="array" ref="U13">SUMIF(Site_Detail_3[[Category]:[Category]],Site_Category_Sum_3[[#This Row],[Column1]:[Column1]],Site_Detail_3[(enter addt''l. fund source 3)])</f>
        <v>0</v>
      </c>
      <c r="V13" s="124" cm="1">
        <f t="array" ref="V13">SUMIF(Site_Detail_3[[Category]:[Category]],Site_Category_Sum_3[[#This Row],[Column1]:[Column1]],Site_Detail_3[(enter addt''l. fund source 4)])</f>
        <v>0</v>
      </c>
      <c r="W13" s="124" cm="1">
        <f t="array" ref="W13">SUMIF(Site_Detail_3[[Category]:[Category]],Site_Category_Sum_3[[#This Row],[Column1]:[Column1]],Site_Detail_3[(enter addt''l. fund source 5)])</f>
        <v>0</v>
      </c>
      <c r="X13" s="233">
        <f>ROUND(SUM(Site_Category_Sum_3[[#This Row],[Column2]:[Column7]]),2)</f>
        <v>0</v>
      </c>
      <c r="Z13" s="178" t="s">
        <v>0</v>
      </c>
    </row>
    <row r="14" spans="1:26" x14ac:dyDescent="0.25">
      <c r="B14" s="53"/>
      <c r="C14" s="54"/>
      <c r="D14" s="53"/>
      <c r="E14" s="54"/>
      <c r="F14" s="54"/>
      <c r="G14" s="219"/>
      <c r="H14" s="196"/>
      <c r="I14" s="220"/>
      <c r="J14" s="55"/>
      <c r="K14" s="55"/>
      <c r="L14" s="55"/>
      <c r="M14" s="207"/>
      <c r="N14" s="200">
        <f>ROUND(SUM(Site_Detail_3[[#This Row],[21st CCLC,  Title IV-B]:[(enter addt''l. fund source 5)]]),2)</f>
        <v>0</v>
      </c>
      <c r="O14" s="208"/>
      <c r="Q14" s="103" t="s">
        <v>546</v>
      </c>
      <c r="R14" s="230" cm="1">
        <f t="array" ref="R14">SUMIF(Site_Detail_3[[Category]:[Category]],Site_Category_Sum_3[[#This Row],[Column1]:[Column1]],Site_Detail_3[21st CCLC,  Title IV-B])</f>
        <v>0</v>
      </c>
      <c r="S14" s="124" cm="1">
        <f t="array" ref="S14">SUMIF(Site_Detail_3[[Category]:[Category]],Site_Category_Sum_3[[#This Row],[Column1]:[Column1]],Site_Detail_3[(enter addt''l. fund source 1)])</f>
        <v>0</v>
      </c>
      <c r="T14" s="102" cm="1">
        <f t="array" ref="T14">SUMIF(Site_Detail_3[[Category]:[Category]],Site_Category_Sum_3[[#This Row],[Column1]:[Column1]],Site_Detail_3[(enter addt''l. fund source 2)])</f>
        <v>0</v>
      </c>
      <c r="U14" s="102" cm="1">
        <f t="array" ref="U14">SUMIF(Site_Detail_3[[Category]:[Category]],Site_Category_Sum_3[[#This Row],[Column1]:[Column1]],Site_Detail_3[(enter addt''l. fund source 3)])</f>
        <v>0</v>
      </c>
      <c r="V14" s="102" cm="1">
        <f t="array" ref="V14">SUMIF(Site_Detail_3[[Category]:[Category]],Site_Category_Sum_3[[#This Row],[Column1]:[Column1]],Site_Detail_3[(enter addt''l. fund source 4)])</f>
        <v>0</v>
      </c>
      <c r="W14" s="102" cm="1">
        <f t="array" ref="W14">SUMIF(Site_Detail_3[[Category]:[Category]],Site_Category_Sum_3[[#This Row],[Column1]:[Column1]],Site_Detail_3[(enter addt''l. fund source 5)])</f>
        <v>0</v>
      </c>
      <c r="X14" s="233">
        <f>ROUND(SUM(Site_Category_Sum_3[[#This Row],[Column2]:[Column7]]),2)</f>
        <v>0</v>
      </c>
      <c r="Z14" s="178" t="s">
        <v>0</v>
      </c>
    </row>
    <row r="15" spans="1:26" x14ac:dyDescent="0.25">
      <c r="B15" s="50"/>
      <c r="C15" s="51"/>
      <c r="D15" s="50"/>
      <c r="E15" s="51"/>
      <c r="F15" s="51"/>
      <c r="G15" s="221"/>
      <c r="H15" s="196"/>
      <c r="I15" s="222"/>
      <c r="J15" s="52"/>
      <c r="K15" s="52"/>
      <c r="L15" s="52"/>
      <c r="M15" s="205"/>
      <c r="N15" s="200">
        <f>ROUND(SUM(Site_Detail_3[[#This Row],[21st CCLC,  Title IV-B]:[(enter addt''l. fund source 5)]]),2)</f>
        <v>0</v>
      </c>
      <c r="O15" s="206"/>
      <c r="Q15" s="103" t="s">
        <v>161</v>
      </c>
      <c r="R15" s="230" cm="1">
        <f t="array" ref="R15">SUMIF(Site_Detail_3[[Category]:[Category]],Site_Category_Sum_3[[#This Row],[Column1]:[Column1]],Site_Detail_3[21st CCLC,  Title IV-B])</f>
        <v>0</v>
      </c>
      <c r="S15" s="124" cm="1">
        <f t="array" ref="S15">SUMIF(Site_Detail_3[[Category]:[Category]],Site_Category_Sum_3[[#This Row],[Column1]:[Column1]],Site_Detail_3[(enter addt''l. fund source 1)])</f>
        <v>0</v>
      </c>
      <c r="T15" s="102" cm="1">
        <f t="array" ref="T15">SUMIF(Site_Detail_3[[Category]:[Category]],Site_Category_Sum_3[[#This Row],[Column1]:[Column1]],Site_Detail_3[(enter addt''l. fund source 2)])</f>
        <v>0</v>
      </c>
      <c r="U15" s="102" cm="1">
        <f t="array" ref="U15">SUMIF(Site_Detail_3[[Category]:[Category]],Site_Category_Sum_3[[#This Row],[Column1]:[Column1]],Site_Detail_3[(enter addt''l. fund source 3)])</f>
        <v>0</v>
      </c>
      <c r="V15" s="102" cm="1">
        <f t="array" ref="V15">SUMIF(Site_Detail_3[[Category]:[Category]],Site_Category_Sum_3[[#This Row],[Column1]:[Column1]],Site_Detail_3[(enter addt''l. fund source 4)])</f>
        <v>0</v>
      </c>
      <c r="W15" s="102" cm="1">
        <f t="array" ref="W15">SUMIF(Site_Detail_3[[Category]:[Category]],Site_Category_Sum_3[[#This Row],[Column1]:[Column1]],Site_Detail_3[(enter addt''l. fund source 5)])</f>
        <v>0</v>
      </c>
      <c r="X15" s="233">
        <f>ROUND(SUM(Site_Category_Sum_3[[#This Row],[Column2]:[Column7]]),2)</f>
        <v>0</v>
      </c>
      <c r="Z15" s="178" t="s">
        <v>0</v>
      </c>
    </row>
    <row r="16" spans="1:26" x14ac:dyDescent="0.25">
      <c r="B16" s="53"/>
      <c r="C16" s="54"/>
      <c r="D16" s="53"/>
      <c r="E16" s="54"/>
      <c r="F16" s="54"/>
      <c r="G16" s="219"/>
      <c r="H16" s="196"/>
      <c r="I16" s="220"/>
      <c r="J16" s="55"/>
      <c r="K16" s="55"/>
      <c r="L16" s="55"/>
      <c r="M16" s="207"/>
      <c r="N16" s="200">
        <f>ROUND(SUM(Site_Detail_3[[#This Row],[21st CCLC,  Title IV-B]:[(enter addt''l. fund source 5)]]),2)</f>
        <v>0</v>
      </c>
      <c r="O16" s="208"/>
      <c r="Q16" s="103" t="s">
        <v>162</v>
      </c>
      <c r="R16" s="230" cm="1">
        <f t="array" ref="R16">SUMIF(Site_Detail_3[[Category]:[Category]],Site_Category_Sum_3[[#This Row],[Column1]:[Column1]],Site_Detail_3[21st CCLC,  Title IV-B])</f>
        <v>0</v>
      </c>
      <c r="S16" s="124" cm="1">
        <f t="array" ref="S16">SUMIF(Site_Detail_3[[Category]:[Category]],Site_Category_Sum_3[[#This Row],[Column1]:[Column1]],Site_Detail_3[(enter addt''l. fund source 1)])</f>
        <v>0</v>
      </c>
      <c r="T16" s="102" cm="1">
        <f t="array" ref="T16">SUMIF(Site_Detail_3[[Category]:[Category]],Site_Category_Sum_3[[#This Row],[Column1]:[Column1]],Site_Detail_3[(enter addt''l. fund source 2)])</f>
        <v>0</v>
      </c>
      <c r="U16" s="102" cm="1">
        <f t="array" ref="U16">SUMIF(Site_Detail_3[[Category]:[Category]],Site_Category_Sum_3[[#This Row],[Column1]:[Column1]],Site_Detail_3[(enter addt''l. fund source 3)])</f>
        <v>0</v>
      </c>
      <c r="V16" s="102" cm="1">
        <f t="array" ref="V16">SUMIF(Site_Detail_3[[Category]:[Category]],Site_Category_Sum_3[[#This Row],[Column1]:[Column1]],Site_Detail_3[(enter addt''l. fund source 4)])</f>
        <v>0</v>
      </c>
      <c r="W16" s="102" cm="1">
        <f t="array" ref="W16">SUMIF(Site_Detail_3[[Category]:[Category]],Site_Category_Sum_3[[#This Row],[Column1]:[Column1]],Site_Detail_3[(enter addt''l. fund source 5)])</f>
        <v>0</v>
      </c>
      <c r="X16" s="233">
        <f>ROUND(SUM(Site_Category_Sum_3[[#This Row],[Column2]:[Column7]]),2)</f>
        <v>0</v>
      </c>
      <c r="Z16" s="178" t="s">
        <v>0</v>
      </c>
    </row>
    <row r="17" spans="2:26" x14ac:dyDescent="0.25">
      <c r="B17" s="53"/>
      <c r="C17" s="54"/>
      <c r="D17" s="53"/>
      <c r="E17" s="54"/>
      <c r="F17" s="54"/>
      <c r="G17" s="219"/>
      <c r="H17" s="196"/>
      <c r="I17" s="220"/>
      <c r="J17" s="55"/>
      <c r="K17" s="55"/>
      <c r="L17" s="55"/>
      <c r="M17" s="207"/>
      <c r="N17" s="200">
        <f>ROUND(SUM(Site_Detail_3[[#This Row],[21st CCLC,  Title IV-B]:[(enter addt''l. fund source 5)]]),2)</f>
        <v>0</v>
      </c>
      <c r="O17" s="208"/>
      <c r="Q17" s="103" t="s">
        <v>596</v>
      </c>
      <c r="R17" s="230" cm="1">
        <f t="array" ref="R17">SUMIF(Site_Detail_3[[Category]:[Category]],Site_Category_Sum_3[[#This Row],[Column1]:[Column1]],Site_Detail_3[21st CCLC,  Title IV-B])</f>
        <v>0</v>
      </c>
      <c r="S17" s="124" cm="1">
        <f t="array" ref="S17">SUMIF(Site_Detail_3[[Category]:[Category]],Site_Category_Sum_3[[#This Row],[Column1]:[Column1]],Site_Detail_3[(enter addt''l. fund source 1)])</f>
        <v>0</v>
      </c>
      <c r="T17" s="102" cm="1">
        <f t="array" ref="T17">SUMIF(Site_Detail_3[[Category]:[Category]],Site_Category_Sum_3[[#This Row],[Column1]:[Column1]],Site_Detail_3[(enter addt''l. fund source 2)])</f>
        <v>0</v>
      </c>
      <c r="U17" s="102" cm="1">
        <f t="array" ref="U17">SUMIF(Site_Detail_3[[Category]:[Category]],Site_Category_Sum_3[[#This Row],[Column1]:[Column1]],Site_Detail_3[(enter addt''l. fund source 3)])</f>
        <v>0</v>
      </c>
      <c r="V17" s="102" cm="1">
        <f t="array" ref="V17">SUMIF(Site_Detail_3[[Category]:[Category]],Site_Category_Sum_3[[#This Row],[Column1]:[Column1]],Site_Detail_3[(enter addt''l. fund source 4)])</f>
        <v>0</v>
      </c>
      <c r="W17" s="102" cm="1">
        <f t="array" ref="W17">SUMIF(Site_Detail_3[[Category]:[Category]],Site_Category_Sum_3[[#This Row],[Column1]:[Column1]],Site_Detail_3[(enter addt''l. fund source 5)])</f>
        <v>0</v>
      </c>
      <c r="X17" s="233">
        <f>ROUND(SUM(Site_Category_Sum_3[[#This Row],[Column2]:[Column7]]),2)</f>
        <v>0</v>
      </c>
      <c r="Z17" s="178" t="s">
        <v>0</v>
      </c>
    </row>
    <row r="18" spans="2:26" x14ac:dyDescent="0.25">
      <c r="B18" s="53"/>
      <c r="C18" s="54"/>
      <c r="D18" s="53"/>
      <c r="E18" s="54"/>
      <c r="F18" s="54"/>
      <c r="G18" s="219"/>
      <c r="H18" s="196"/>
      <c r="I18" s="220"/>
      <c r="J18" s="55"/>
      <c r="K18" s="55"/>
      <c r="L18" s="55"/>
      <c r="M18" s="207"/>
      <c r="N18" s="200">
        <f>ROUND(SUM(Site_Detail_3[[#This Row],[21st CCLC,  Title IV-B]:[(enter addt''l. fund source 5)]]),2)</f>
        <v>0</v>
      </c>
      <c r="O18" s="208"/>
      <c r="Q18" s="103" t="s">
        <v>160</v>
      </c>
      <c r="R18" s="230" cm="1">
        <f t="array" ref="R18">SUMIF(Site_Detail_3[[Category]:[Category]],Site_Category_Sum_3[[#This Row],[Column1]:[Column1]],Site_Detail_3[21st CCLC,  Title IV-B])</f>
        <v>0</v>
      </c>
      <c r="S18" s="124" cm="1">
        <f t="array" ref="S18">SUMIF(Site_Detail_3[[Category]:[Category]],Site_Category_Sum_3[[#This Row],[Column1]:[Column1]],Site_Detail_3[(enter addt''l. fund source 1)])</f>
        <v>0</v>
      </c>
      <c r="T18" s="102" cm="1">
        <f t="array" ref="T18">SUMIF(Site_Detail_3[[Category]:[Category]],Site_Category_Sum_3[[#This Row],[Column1]:[Column1]],Site_Detail_3[(enter addt''l. fund source 2)])</f>
        <v>0</v>
      </c>
      <c r="U18" s="102" cm="1">
        <f t="array" ref="U18">SUMIF(Site_Detail_3[[Category]:[Category]],Site_Category_Sum_3[[#This Row],[Column1]:[Column1]],Site_Detail_3[(enter addt''l. fund source 3)])</f>
        <v>0</v>
      </c>
      <c r="V18" s="102" cm="1">
        <f t="array" ref="V18">SUMIF(Site_Detail_3[[Category]:[Category]],Site_Category_Sum_3[[#This Row],[Column1]:[Column1]],Site_Detail_3[(enter addt''l. fund source 4)])</f>
        <v>0</v>
      </c>
      <c r="W18" s="102" cm="1">
        <f t="array" ref="W18">SUMIF(Site_Detail_3[[Category]:[Category]],Site_Category_Sum_3[[#This Row],[Column1]:[Column1]],Site_Detail_3[(enter addt''l. fund source 5)])</f>
        <v>0</v>
      </c>
      <c r="X18" s="233">
        <f>ROUND(SUM(Site_Category_Sum_3[[#This Row],[Column2]:[Column7]]),2)</f>
        <v>0</v>
      </c>
      <c r="Z18" s="178" t="s">
        <v>0</v>
      </c>
    </row>
    <row r="19" spans="2:26" x14ac:dyDescent="0.25">
      <c r="B19" s="53"/>
      <c r="C19" s="54"/>
      <c r="D19" s="53"/>
      <c r="E19" s="54"/>
      <c r="F19" s="54"/>
      <c r="G19" s="219"/>
      <c r="H19" s="196"/>
      <c r="I19" s="220"/>
      <c r="J19" s="55"/>
      <c r="K19" s="55"/>
      <c r="L19" s="55"/>
      <c r="M19" s="207"/>
      <c r="N19" s="200">
        <f>ROUND(SUM(Site_Detail_3[[#This Row],[21st CCLC,  Title IV-B]:[(enter addt''l. fund source 5)]]),2)</f>
        <v>0</v>
      </c>
      <c r="O19" s="208"/>
      <c r="Q19" s="103" t="s">
        <v>566</v>
      </c>
      <c r="R19" s="230" cm="1">
        <f t="array" ref="R19">SUMIF(Site_Detail_3[[Category]:[Category]],Site_Category_Sum_3[[#This Row],[Column1]:[Column1]],Site_Detail_3[21st CCLC,  Title IV-B])</f>
        <v>0</v>
      </c>
      <c r="S19" s="124" cm="1">
        <f t="array" ref="S19">SUMIF(Site_Detail_3[[Category]:[Category]],Site_Category_Sum_3[[#This Row],[Column1]:[Column1]],Site_Detail_3[(enter addt''l. fund source 1)])</f>
        <v>0</v>
      </c>
      <c r="T19" s="102" cm="1">
        <f t="array" ref="T19">SUMIF(Site_Detail_3[[Category]:[Category]],Site_Category_Sum_3[[#This Row],[Column1]:[Column1]],Site_Detail_3[(enter addt''l. fund source 2)])</f>
        <v>0</v>
      </c>
      <c r="U19" s="102" cm="1">
        <f t="array" ref="U19">SUMIF(Site_Detail_3[[Category]:[Category]],Site_Category_Sum_3[[#This Row],[Column1]:[Column1]],Site_Detail_3[(enter addt''l. fund source 3)])</f>
        <v>0</v>
      </c>
      <c r="V19" s="102" cm="1">
        <f t="array" ref="V19">SUMIF(Site_Detail_3[[Category]:[Category]],Site_Category_Sum_3[[#This Row],[Column1]:[Column1]],Site_Detail_3[(enter addt''l. fund source 4)])</f>
        <v>0</v>
      </c>
      <c r="W19" s="102" cm="1">
        <f t="array" ref="W19">SUMIF(Site_Detail_3[[Category]:[Category]],Site_Category_Sum_3[[#This Row],[Column1]:[Column1]],Site_Detail_3[(enter addt''l. fund source 5)])</f>
        <v>0</v>
      </c>
      <c r="X19" s="233">
        <f>ROUND(SUM(Site_Category_Sum_3[[#This Row],[Column2]:[Column7]]),2)</f>
        <v>0</v>
      </c>
      <c r="Z19" s="178" t="s">
        <v>0</v>
      </c>
    </row>
    <row r="20" spans="2:26" x14ac:dyDescent="0.25">
      <c r="B20" s="53"/>
      <c r="C20" s="54"/>
      <c r="D20" s="53"/>
      <c r="E20" s="54"/>
      <c r="F20" s="54"/>
      <c r="G20" s="219"/>
      <c r="H20" s="196"/>
      <c r="I20" s="220"/>
      <c r="J20" s="55"/>
      <c r="K20" s="55"/>
      <c r="L20" s="55"/>
      <c r="M20" s="207"/>
      <c r="N20" s="200">
        <f>ROUND(SUM(Site_Detail_3[[#This Row],[21st CCLC,  Title IV-B]:[(enter addt''l. fund source 5)]]),2)</f>
        <v>0</v>
      </c>
      <c r="O20" s="208"/>
      <c r="Q20" s="103" t="s">
        <v>75</v>
      </c>
      <c r="R20" s="230" cm="1">
        <f t="array" ref="R20">SUMIF(Site_Detail_3[[Category]:[Category]],Site_Category_Sum_3[[#This Row],[Column1]:[Column1]],Site_Detail_3[21st CCLC,  Title IV-B])</f>
        <v>0</v>
      </c>
      <c r="S20" s="124" cm="1">
        <f t="array" ref="S20">SUMIF(Site_Detail_3[[Category]:[Category]],Site_Category_Sum_3[[#This Row],[Column1]:[Column1]],Site_Detail_3[(enter addt''l. fund source 1)])</f>
        <v>0</v>
      </c>
      <c r="T20" s="102" cm="1">
        <f t="array" ref="T20">SUMIF(Site_Detail_3[[Category]:[Category]],Site_Category_Sum_3[[#This Row],[Column1]:[Column1]],Site_Detail_3[(enter addt''l. fund source 2)])</f>
        <v>0</v>
      </c>
      <c r="U20" s="102" cm="1">
        <f t="array" ref="U20">SUMIF(Site_Detail_3[[Category]:[Category]],Site_Category_Sum_3[[#This Row],[Column1]:[Column1]],Site_Detail_3[(enter addt''l. fund source 3)])</f>
        <v>0</v>
      </c>
      <c r="V20" s="102" cm="1">
        <f t="array" ref="V20">SUMIF(Site_Detail_3[[Category]:[Category]],Site_Category_Sum_3[[#This Row],[Column1]:[Column1]],Site_Detail_3[(enter addt''l. fund source 4)])</f>
        <v>0</v>
      </c>
      <c r="W20" s="102" cm="1">
        <f t="array" ref="W20">SUMIF(Site_Detail_3[[Category]:[Category]],Site_Category_Sum_3[[#This Row],[Column1]:[Column1]],Site_Detail_3[(enter addt''l. fund source 5)])</f>
        <v>0</v>
      </c>
      <c r="X20" s="233">
        <f>ROUND(SUM(Site_Category_Sum_3[[#This Row],[Column2]:[Column7]]),2)</f>
        <v>0</v>
      </c>
      <c r="Z20" s="178" t="s">
        <v>0</v>
      </c>
    </row>
    <row r="21" spans="2:26" x14ac:dyDescent="0.25">
      <c r="B21" s="53"/>
      <c r="C21" s="54"/>
      <c r="D21" s="53"/>
      <c r="E21" s="54"/>
      <c r="F21" s="54"/>
      <c r="G21" s="219"/>
      <c r="H21" s="196"/>
      <c r="I21" s="220"/>
      <c r="J21" s="55"/>
      <c r="K21" s="55"/>
      <c r="L21" s="55"/>
      <c r="M21" s="207"/>
      <c r="N21" s="200">
        <f>ROUND(SUM(Site_Detail_3[[#This Row],[21st CCLC,  Title IV-B]:[(enter addt''l. fund source 5)]]),2)</f>
        <v>0</v>
      </c>
      <c r="O21" s="208"/>
      <c r="Q21" s="103" t="s">
        <v>603</v>
      </c>
      <c r="R21" s="230" cm="1">
        <f t="array" ref="R21">SUMIF(Site_Detail_3[[Category]:[Category]],Site_Category_Sum_3[[#This Row],[Column1]:[Column1]],Site_Detail_3[21st CCLC,  Title IV-B])</f>
        <v>0</v>
      </c>
      <c r="S21" s="124" cm="1">
        <f t="array" ref="S21">SUMIF(Site_Detail_3[[Category]:[Category]],Site_Category_Sum_3[[#This Row],[Column1]:[Column1]],Site_Detail_3[(enter addt''l. fund source 1)])</f>
        <v>0</v>
      </c>
      <c r="T21" s="102" cm="1">
        <f t="array" ref="T21">SUMIF(Site_Detail_3[[Category]:[Category]],Site_Category_Sum_3[[#This Row],[Column1]:[Column1]],Site_Detail_3[(enter addt''l. fund source 2)])</f>
        <v>0</v>
      </c>
      <c r="U21" s="102" cm="1">
        <f t="array" ref="U21">SUMIF(Site_Detail_3[[Category]:[Category]],Site_Category_Sum_3[[#This Row],[Column1]:[Column1]],Site_Detail_3[(enter addt''l. fund source 3)])</f>
        <v>0</v>
      </c>
      <c r="V21" s="102" cm="1">
        <f t="array" ref="V21">SUMIF(Site_Detail_3[[Category]:[Category]],Site_Category_Sum_3[[#This Row],[Column1]:[Column1]],Site_Detail_3[(enter addt''l. fund source 4)])</f>
        <v>0</v>
      </c>
      <c r="W21" s="102" cm="1">
        <f t="array" ref="W21">SUMIF(Site_Detail_3[[Category]:[Category]],Site_Category_Sum_3[[#This Row],[Column1]:[Column1]],Site_Detail_3[(enter addt''l. fund source 5)])</f>
        <v>0</v>
      </c>
      <c r="X21" s="233">
        <f>ROUND(SUM(Site_Category_Sum_3[[#This Row],[Column2]:[Column7]]),2)</f>
        <v>0</v>
      </c>
      <c r="Z21" s="178" t="s">
        <v>0</v>
      </c>
    </row>
    <row r="22" spans="2:26" x14ac:dyDescent="0.25">
      <c r="B22" s="53"/>
      <c r="C22" s="54"/>
      <c r="D22" s="53"/>
      <c r="E22" s="54"/>
      <c r="F22" s="54"/>
      <c r="G22" s="219"/>
      <c r="H22" s="196"/>
      <c r="I22" s="220"/>
      <c r="J22" s="55"/>
      <c r="K22" s="55"/>
      <c r="L22" s="55"/>
      <c r="M22" s="207"/>
      <c r="N22" s="200">
        <f>ROUND(SUM(Site_Detail_3[[#This Row],[21st CCLC,  Title IV-B]:[(enter addt''l. fund source 5)]]),2)</f>
        <v>0</v>
      </c>
      <c r="O22" s="208"/>
      <c r="Q22" s="103" t="s">
        <v>604</v>
      </c>
      <c r="R22" s="230" cm="1">
        <f t="array" ref="R22">SUMIF(Site_Detail_3[[Category]:[Category]],Site_Category_Sum_3[[#This Row],[Column1]:[Column1]],Site_Detail_3[21st CCLC,  Title IV-B])</f>
        <v>0</v>
      </c>
      <c r="S22" s="124" cm="1">
        <f t="array" ref="S22">SUMIF(Site_Detail_3[[Category]:[Category]],Site_Category_Sum_3[[#This Row],[Column1]:[Column1]],Site_Detail_3[(enter addt''l. fund source 1)])</f>
        <v>0</v>
      </c>
      <c r="T22" s="102" cm="1">
        <f t="array" ref="T22">SUMIF(Site_Detail_3[[Category]:[Category]],Site_Category_Sum_3[[#This Row],[Column1]:[Column1]],Site_Detail_3[(enter addt''l. fund source 2)])</f>
        <v>0</v>
      </c>
      <c r="U22" s="102" cm="1">
        <f t="array" ref="U22">SUMIF(Site_Detail_3[[Category]:[Category]],Site_Category_Sum_3[[#This Row],[Column1]:[Column1]],Site_Detail_3[(enter addt''l. fund source 3)])</f>
        <v>0</v>
      </c>
      <c r="V22" s="102" cm="1">
        <f t="array" ref="V22">SUMIF(Site_Detail_3[[Category]:[Category]],Site_Category_Sum_3[[#This Row],[Column1]:[Column1]],Site_Detail_3[(enter addt''l. fund source 4)])</f>
        <v>0</v>
      </c>
      <c r="W22" s="102" cm="1">
        <f t="array" ref="W22">SUMIF(Site_Detail_3[[Category]:[Category]],Site_Category_Sum_3[[#This Row],[Column1]:[Column1]],Site_Detail_3[(enter addt''l. fund source 5)])</f>
        <v>0</v>
      </c>
      <c r="X22" s="233">
        <f>ROUND(SUM(Site_Category_Sum_3[[#This Row],[Column2]:[Column7]]),2)</f>
        <v>0</v>
      </c>
      <c r="Z22" s="178" t="s">
        <v>0</v>
      </c>
    </row>
    <row r="23" spans="2:26" x14ac:dyDescent="0.25">
      <c r="B23" s="53"/>
      <c r="C23" s="54"/>
      <c r="D23" s="53"/>
      <c r="E23" s="54"/>
      <c r="F23" s="54"/>
      <c r="G23" s="219"/>
      <c r="H23" s="196"/>
      <c r="I23" s="220"/>
      <c r="J23" s="55"/>
      <c r="K23" s="55"/>
      <c r="L23" s="55"/>
      <c r="M23" s="207"/>
      <c r="N23" s="200">
        <f>ROUND(SUM(Site_Detail_3[[#This Row],[21st CCLC,  Title IV-B]:[(enter addt''l. fund source 5)]]),2)</f>
        <v>0</v>
      </c>
      <c r="O23" s="208"/>
      <c r="Q23" s="103" t="s">
        <v>567</v>
      </c>
      <c r="R23" s="230" cm="1">
        <f t="array" ref="R23">SUMIF(Site_Detail_3[[Category]:[Category]],Site_Category_Sum_3[[#This Row],[Column1]:[Column1]],Site_Detail_3[21st CCLC,  Title IV-B])</f>
        <v>0</v>
      </c>
      <c r="S23" s="124" cm="1">
        <f t="array" ref="S23">SUMIF(Site_Detail_3[[Category]:[Category]],Site_Category_Sum_3[[#This Row],[Column1]:[Column1]],Site_Detail_3[(enter addt''l. fund source 1)])</f>
        <v>0</v>
      </c>
      <c r="T23" s="102" cm="1">
        <f t="array" ref="T23">SUMIF(Site_Detail_3[[Category]:[Category]],Site_Category_Sum_3[[#This Row],[Column1]:[Column1]],Site_Detail_3[(enter addt''l. fund source 2)])</f>
        <v>0</v>
      </c>
      <c r="U23" s="102" cm="1">
        <f t="array" ref="U23">SUMIF(Site_Detail_3[[Category]:[Category]],Site_Category_Sum_3[[#This Row],[Column1]:[Column1]],Site_Detail_3[(enter addt''l. fund source 3)])</f>
        <v>0</v>
      </c>
      <c r="V23" s="102" cm="1">
        <f t="array" ref="V23">SUMIF(Site_Detail_3[[Category]:[Category]],Site_Category_Sum_3[[#This Row],[Column1]:[Column1]],Site_Detail_3[(enter addt''l. fund source 4)])</f>
        <v>0</v>
      </c>
      <c r="W23" s="102" cm="1">
        <f t="array" ref="W23">SUMIF(Site_Detail_3[[Category]:[Category]],Site_Category_Sum_3[[#This Row],[Column1]:[Column1]],Site_Detail_3[(enter addt''l. fund source 5)])</f>
        <v>0</v>
      </c>
      <c r="X23" s="233">
        <f>ROUND(SUM(Site_Category_Sum_3[[#This Row],[Column2]:[Column7]]),2)</f>
        <v>0</v>
      </c>
      <c r="Z23" s="178" t="s">
        <v>0</v>
      </c>
    </row>
    <row r="24" spans="2:26" x14ac:dyDescent="0.25">
      <c r="B24" s="53"/>
      <c r="C24" s="54"/>
      <c r="D24" s="53"/>
      <c r="E24" s="54"/>
      <c r="F24" s="54"/>
      <c r="G24" s="219"/>
      <c r="H24" s="196"/>
      <c r="I24" s="220"/>
      <c r="J24" s="55"/>
      <c r="K24" s="55"/>
      <c r="L24" s="55"/>
      <c r="M24" s="207"/>
      <c r="N24" s="200">
        <f>ROUND(SUM(Site_Detail_3[[#This Row],[21st CCLC,  Title IV-B]:[(enter addt''l. fund source 5)]]),2)</f>
        <v>0</v>
      </c>
      <c r="O24" s="208"/>
      <c r="Q24" s="103" t="s">
        <v>192</v>
      </c>
      <c r="R24" s="230">
        <f>ROUND(SUMIFS(Site_Detail_3[21st CCLC,  Title IV-B],Site_Detail_3[[Category]:[Category]],"Indirect",Site_Detail_3[[Contracted Service?]:[Contracted Service?]],"&lt;&gt;Yes"),2)</f>
        <v>0</v>
      </c>
      <c r="S24" s="124">
        <f>ROUND(SUMIFS(Site_Detail_3[(enter addt''l. fund source 1)],Site_Detail_3[[Category]:[Category]],"Indirect",Site_Detail_3[[Contracted Service?]:[Contracted Service?]],"&lt;&gt;Yes"),2)</f>
        <v>0</v>
      </c>
      <c r="T24" s="102">
        <f>ROUND(SUMIFS(Site_Detail_3[(enter addt''l. fund source 2)],Site_Detail_3[[Category]:[Category]],"Indirect",Site_Detail_3[[Contracted Service?]:[Contracted Service?]],"&lt;&gt;Yes"),2)</f>
        <v>0</v>
      </c>
      <c r="U24" s="102">
        <f>ROUND(SUMIFS(Site_Detail_3[(enter addt''l. fund source 3)],Site_Detail_3[[Category]:[Category]],"Indirect",Site_Detail_3[[Contracted Service?]:[Contracted Service?]],"&lt;&gt;Yes"),2)</f>
        <v>0</v>
      </c>
      <c r="V24" s="102">
        <f>ROUND(SUMIFS(Site_Detail_3[(enter addt''l. fund source 4)],Site_Detail_3[[Category]:[Category]],"Indirect",Site_Detail_3[[Contracted Service?]:[Contracted Service?]],"&lt;&gt;Yes"),2)</f>
        <v>0</v>
      </c>
      <c r="W24" s="102">
        <f>ROUND(SUMIFS(Site_Detail_3[(enter addt''l. fund source 5)],Site_Detail_3[[Category]:[Category]],"Indirect",Site_Detail_3[[Contracted Service?]:[Contracted Service?]],"&lt;&gt;Yes"),2)</f>
        <v>0</v>
      </c>
      <c r="X24" s="233">
        <f>ROUND(SUM(Site_Category_Sum_3[[#This Row],[Column2]:[Column7]]),2)</f>
        <v>0</v>
      </c>
      <c r="Z24" s="178" t="s">
        <v>0</v>
      </c>
    </row>
    <row r="25" spans="2:26" x14ac:dyDescent="0.25">
      <c r="B25" s="53"/>
      <c r="C25" s="54"/>
      <c r="D25" s="53"/>
      <c r="E25" s="54"/>
      <c r="F25" s="54"/>
      <c r="G25" s="219"/>
      <c r="H25" s="196"/>
      <c r="I25" s="220"/>
      <c r="J25" s="55"/>
      <c r="K25" s="55"/>
      <c r="L25" s="55"/>
      <c r="M25" s="207"/>
      <c r="N25" s="200">
        <f>ROUND(SUM(Site_Detail_3[[#This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ROUND(SUM(Site_Category_Sum_3[[#This Row],[Column2]:[Column7]]),2)</f>
        <v>0</v>
      </c>
      <c r="Z25" s="178" t="s">
        <v>0</v>
      </c>
    </row>
    <row r="26" spans="2:26" x14ac:dyDescent="0.25">
      <c r="B26" s="53"/>
      <c r="C26" s="54"/>
      <c r="D26" s="53"/>
      <c r="E26" s="54"/>
      <c r="F26" s="54"/>
      <c r="G26" s="219"/>
      <c r="H26" s="196"/>
      <c r="I26" s="220"/>
      <c r="J26" s="55"/>
      <c r="K26" s="55"/>
      <c r="L26" s="55"/>
      <c r="M26" s="207"/>
      <c r="N26" s="200">
        <f>ROUND(SUM(Site_Detail_3[[#This Row],[21st CCLC,  Title IV-B]:[(enter addt''l. fund source 5)]]),2)</f>
        <v>0</v>
      </c>
      <c r="O26" s="208"/>
      <c r="Q26" s="103" t="s">
        <v>291</v>
      </c>
      <c r="R26" s="230" cm="1">
        <f t="array" ref="R26">SUMIF(Site_Detail_3[[Program Type]:[Program Type]],Site_Category_Sum_3[[#This Row],[Column1]:[Column1]],Site_Detail_3[21st CCLC,  Title IV-B])</f>
        <v>0</v>
      </c>
      <c r="S26" s="124" cm="1">
        <f t="array" ref="S26">SUMIF(Site_Detail_3[[Program Type]:[Program Type]],Site_Category_Sum_3[[#This Row],[Column1]:[Column1]],Site_Detail_3[(enter addt''l. fund source 1)])</f>
        <v>0</v>
      </c>
      <c r="T26" s="102" cm="1">
        <f t="array" ref="T26">SUMIF(Site_Detail_3[[Program Type]:[Program Type]],Site_Category_Sum_3[[#This Row],[Column1]:[Column1]],Site_Detail_3[(enter addt''l. fund source 2)])</f>
        <v>0</v>
      </c>
      <c r="U26" s="102" cm="1">
        <f t="array" ref="U26">SUMIF(Site_Detail_3[[Program Type]:[Program Type]],Site_Category_Sum_3[[#This Row],[Column1]:[Column1]],Site_Detail_3[(enter addt''l. fund source 3)])</f>
        <v>0</v>
      </c>
      <c r="V26" s="102" cm="1">
        <f t="array" ref="V26">SUMIF(Site_Detail_3[[Program Type]:[Program Type]],Site_Category_Sum_3[[#This Row],[Column1]:[Column1]],Site_Detail_3[(enter addt''l. fund source 4)])</f>
        <v>0</v>
      </c>
      <c r="W26" s="102" cm="1">
        <f t="array" ref="W26">SUMIF(Site_Detail_3[[Program Type]:[Program Type]],Site_Category_Sum_3[[#This Row],[Column1]:[Column1]],Site_Detail_3[(enter addt''l. fund source 5)])</f>
        <v>0</v>
      </c>
      <c r="X26" s="233">
        <f>ROUND(SUM(Site_Category_Sum_3[[#This Row],[Column2]:[Column7]]),2)</f>
        <v>0</v>
      </c>
      <c r="Z26" s="178" t="s">
        <v>0</v>
      </c>
    </row>
    <row r="27" spans="2:26" x14ac:dyDescent="0.25">
      <c r="B27" s="53"/>
      <c r="C27" s="54"/>
      <c r="D27" s="53"/>
      <c r="E27" s="54"/>
      <c r="F27" s="54"/>
      <c r="G27" s="219"/>
      <c r="H27" s="196"/>
      <c r="I27" s="220"/>
      <c r="J27" s="55"/>
      <c r="K27" s="55"/>
      <c r="L27" s="55"/>
      <c r="M27" s="207"/>
      <c r="N27" s="200">
        <f>ROUND(SUM(Site_Detail_3[[#This Row],[21st CCLC,  Title IV-B]:[(enter addt''l. fund source 5)]]),2)</f>
        <v>0</v>
      </c>
      <c r="O27" s="208"/>
      <c r="Q27" s="103" t="s">
        <v>292</v>
      </c>
      <c r="R27" s="230" cm="1">
        <f t="array" ref="R27">SUMIF(Site_Detail_3[[Program Type]:[Program Type]],Site_Category_Sum_3[[#This Row],[Column1]:[Column1]],Site_Detail_3[21st CCLC,  Title IV-B])</f>
        <v>0</v>
      </c>
      <c r="S27" s="124" cm="1">
        <f t="array" ref="S27">SUMIF(Site_Detail_3[[Program Type]:[Program Type]],Site_Category_Sum_3[[#This Row],[Column1]:[Column1]],Site_Detail_3[(enter addt''l. fund source 1)])</f>
        <v>0</v>
      </c>
      <c r="T27" s="102" cm="1">
        <f t="array" ref="T27">SUMIF(Site_Detail_3[[Program Type]:[Program Type]],Site_Category_Sum_3[[#This Row],[Column1]:[Column1]],Site_Detail_3[(enter addt''l. fund source 2)])</f>
        <v>0</v>
      </c>
      <c r="U27" s="102" cm="1">
        <f t="array" ref="U27">SUMIF(Site_Detail_3[[Program Type]:[Program Type]],Site_Category_Sum_3[[#This Row],[Column1]:[Column1]],Site_Detail_3[(enter addt''l. fund source 3)])</f>
        <v>0</v>
      </c>
      <c r="V27" s="102" cm="1">
        <f t="array" ref="V27">SUMIF(Site_Detail_3[[Program Type]:[Program Type]],Site_Category_Sum_3[[#This Row],[Column1]:[Column1]],Site_Detail_3[(enter addt''l. fund source 4)])</f>
        <v>0</v>
      </c>
      <c r="W27" s="102" cm="1">
        <f t="array" ref="W27">SUMIF(Site_Detail_3[[Program Type]:[Program Type]],Site_Category_Sum_3[[#This Row],[Column1]:[Column1]],Site_Detail_3[(enter addt''l. fund source 5)])</f>
        <v>0</v>
      </c>
      <c r="X27" s="233">
        <f>ROUND(SUM(Site_Category_Sum_3[[#This Row],[Column2]:[Column7]]),2)</f>
        <v>0</v>
      </c>
    </row>
    <row r="28" spans="2:26" x14ac:dyDescent="0.25">
      <c r="B28" s="53"/>
      <c r="C28" s="54"/>
      <c r="D28" s="53"/>
      <c r="E28" s="54"/>
      <c r="F28" s="54"/>
      <c r="G28" s="219"/>
      <c r="H28" s="196"/>
      <c r="I28" s="220"/>
      <c r="J28" s="55"/>
      <c r="K28" s="55"/>
      <c r="L28" s="55"/>
      <c r="M28" s="207"/>
      <c r="N28" s="200">
        <f>ROUND(SUM(Site_Detail_3[[#This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ROUND(SUM(Site_Category_Sum_3[[#This Row],[Column2]:[Column7]]),2)</f>
        <v>0</v>
      </c>
    </row>
    <row r="29" spans="2:26" x14ac:dyDescent="0.25">
      <c r="B29" s="53"/>
      <c r="C29" s="54"/>
      <c r="D29" s="53"/>
      <c r="E29" s="54"/>
      <c r="F29" s="54"/>
      <c r="G29" s="219"/>
      <c r="H29" s="196"/>
      <c r="I29" s="220"/>
      <c r="J29" s="55"/>
      <c r="K29" s="55"/>
      <c r="L29" s="55"/>
      <c r="M29" s="207"/>
      <c r="N29" s="200">
        <f>ROUND(SUM(Site_Detail_3[[#This Row],[21st CCLC,  Title IV-B]:[(enter addt''l. fund source 5)]]),2)</f>
        <v>0</v>
      </c>
      <c r="O29" s="208"/>
      <c r="Q29" s="103" t="s">
        <v>591</v>
      </c>
      <c r="R29" s="230">
        <f>ROUND(SUMIF(Site_Detail_3[[Contracted Service?]:[Contracted Service?]],"Yes",Site_Detail_3[21st CCLC,  Title IV-B]),2)</f>
        <v>0</v>
      </c>
      <c r="S29" s="124">
        <f>ROUND(SUMIF(Site_Detail_3[[Contracted Service?]:[Contracted Service?]],"Yes",Site_Detail_3[(enter addt''l. fund source 1)]),2)</f>
        <v>0</v>
      </c>
      <c r="T29" s="102">
        <f>ROUND(SUMIF(Site_Detail_3[[Contracted Service?]:[Contracted Service?]],"Yes",Site_Detail_3[(enter addt''l. fund source 2)]),2)</f>
        <v>0</v>
      </c>
      <c r="U29" s="102">
        <f>ROUND(SUMIF(Site_Detail_3[[Contracted Service?]:[Contracted Service?]],"Yes",Site_Detail_3[(enter addt''l. fund source 3)]),2)</f>
        <v>0</v>
      </c>
      <c r="V29" s="102">
        <f>ROUND(SUMIF(Site_Detail_3[[Contracted Service?]:[Contracted Service?]],"Yes",Site_Detail_3[(enter addt''l. fund source 4)]),2)</f>
        <v>0</v>
      </c>
      <c r="W29" s="102">
        <f>ROUND(SUMIF(Site_Detail_3[[Contracted Service?]:[Contracted Service?]],"Yes",Site_Detail_3[(enter addt''l. fund source 5)]),2)</f>
        <v>0</v>
      </c>
      <c r="X29" s="233">
        <f>ROUND(SUM(Site_Category_Sum_3[[#This Row],[Column2]:[Column7]]),2)</f>
        <v>0</v>
      </c>
    </row>
    <row r="30" spans="2:26" x14ac:dyDescent="0.25">
      <c r="B30" s="53"/>
      <c r="C30" s="54"/>
      <c r="D30" s="53"/>
      <c r="E30" s="54"/>
      <c r="F30" s="54"/>
      <c r="G30" s="219"/>
      <c r="H30" s="196"/>
      <c r="I30" s="220"/>
      <c r="J30" s="55"/>
      <c r="K30" s="55"/>
      <c r="L30" s="55"/>
      <c r="M30" s="207"/>
      <c r="N30" s="200">
        <f>ROUND(SUM(Site_Detail_3[[#This Row],[21st CCLC,  Title IV-B]:[(enter addt''l. fund source 5)]]),2)</f>
        <v>0</v>
      </c>
      <c r="O30" s="208"/>
      <c r="Q30" s="103" t="s">
        <v>597</v>
      </c>
      <c r="R30" s="230">
        <f>ROUND(SUMIF(Site_Detail_3[[Contracted Service?]:[Contracted Service?]],"&lt;&gt;Yes",Site_Detail_3[21st CCLC,  Title IV-B]),2)</f>
        <v>0</v>
      </c>
      <c r="S30" s="124">
        <f>ROUND(SUMIF(Site_Detail_3[[Contracted Service?]:[Contracted Service?]],"&lt;&gt;Yes",Site_Detail_3[(enter addt''l. fund source 1)]),2)</f>
        <v>0</v>
      </c>
      <c r="T30" s="102">
        <f>ROUND(SUMIF(Site_Detail_3[[Contracted Service?]:[Contracted Service?]],"&lt;&gt;Yes",Site_Detail_3[(enter addt''l. fund source 2)]),2)</f>
        <v>0</v>
      </c>
      <c r="U30" s="102">
        <f>ROUND(SUMIF(Site_Detail_3[[Contracted Service?]:[Contracted Service?]],"&lt;&gt;Yes",Site_Detail_3[(enter addt''l. fund source 3)]),2)</f>
        <v>0</v>
      </c>
      <c r="V30" s="102">
        <f>ROUND(SUMIF(Site_Detail_3[[Contracted Service?]:[Contracted Service?]],"&lt;&gt;Yes",Site_Detail_3[(enter addt''l. fund source 4)]),2)</f>
        <v>0</v>
      </c>
      <c r="W30" s="102">
        <f>ROUND(SUMIF(Site_Detail_3[[Contracted Service?]:[Contracted Service?]],"&lt;&gt;Yes",Site_Detail_3[(enter addt''l. fund source 5)]),2)</f>
        <v>0</v>
      </c>
      <c r="X30" s="233">
        <f>ROUND(SUM(Site_Category_Sum_3[[#This Row],[Column2]:[Column7]]),2)</f>
        <v>0</v>
      </c>
    </row>
    <row r="31" spans="2:26" x14ac:dyDescent="0.25">
      <c r="B31" s="53"/>
      <c r="C31" s="54"/>
      <c r="D31" s="53"/>
      <c r="E31" s="54"/>
      <c r="F31" s="54"/>
      <c r="G31" s="219"/>
      <c r="H31" s="196"/>
      <c r="I31" s="220"/>
      <c r="J31" s="55"/>
      <c r="K31" s="55"/>
      <c r="L31" s="55"/>
      <c r="M31" s="207"/>
      <c r="N31" s="200">
        <f>ROUND(SUM(Site_Detail_3[[#This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ROUND(SUM(Site_Category_Sum_3[[#This Row],[Column2]:[Column7]]),2)</f>
        <v>0</v>
      </c>
    </row>
    <row r="32" spans="2:26" x14ac:dyDescent="0.25">
      <c r="B32" s="53"/>
      <c r="C32" s="54"/>
      <c r="D32" s="53"/>
      <c r="E32" s="54"/>
      <c r="F32" s="54"/>
      <c r="G32" s="219"/>
      <c r="H32" s="196"/>
      <c r="I32" s="220"/>
      <c r="J32" s="55"/>
      <c r="K32" s="55"/>
      <c r="L32" s="55"/>
      <c r="M32" s="207"/>
      <c r="N32" s="200">
        <f>ROUND(SUM(Site_Detail_3[[#This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ROUND(SUM(Site_Detail_3[[#This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ROUND(SUM(Site_Detail_3[[#This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ROUND(SUM(Site_Detail_3[[#This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ROUND(SUM(Site_Detail_3[[#This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ROUND(SUM(Site_Detail_3[[#This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ROUND(SUM(Site_Detail_3[[#This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ROUND(SUM(Site_Detail_3[[#This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ROUND(SUM(Site_Detail_3[[#This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ROUND(SUM(Site_Detail_3[[#This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ROUND(SUM(Site_Detail_3[[#This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ROUND(SUM(Site_Detail_3[[#This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ROUND(SUM(Site_Detail_3[[#This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ROUND(SUM(Site_Detail_3[[#This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ROUND(SUM(Site_Detail_3[[#This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ROUND(SUM(Site_Detail_3[[#This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ROUND(SUM(Site_Detail_3[[#This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ROUND(SUM(Site_Detail_3[[#This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ROUND(SUM(Site_Detail_3[[#This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ROUND(SUM(Site_Detail_3[[#This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ROUND(SUM(Site_Detail_3[[#This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ROUND(SUM(Site_Detail_3[[#This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ROUND(SUM(Site_Detail_3[[#This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ROUND(SUM(Site_Detail_3[[#This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ROUND(SUM(Site_Detail_3[[#This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ROUND(SUM(Site_Detail_3[[#This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ROUND(SUM(Site_Detail_3[[#This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ROUND(SUM(Site_Detail_3[[#This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ROUND(SUM(Site_Detail_3[[#This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ROUND(SUM(Site_Detail_3[[#This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ROUND(SUM(Site_Detail_3[[#This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ROUND(SUM(Site_Detail_3[[#This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ROUND(SUM(Site_Detail_3[[#This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ROUND(SUM(Site_Detail_3[[#This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ROUND(SUM(Site_Detail_3[[#This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ROUND(SUM(Site_Detail_3[[#This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ROUND(SUM(Site_Detail_3[[#This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ROUND(SUM(Site_Detail_3[[#This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ROUND(SUM(Site_Detail_3[[#This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ROUND(SUM(Site_Detail_3[[#This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ROUND(SUM(Site_Detail_3[[#This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ROUND(SUM(Site_Detail_3[[#This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ROUND(SUM(Site_Detail_3[[#This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ROUND(SUM(Site_Detail_3[[#This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ROUND(SUM(Site_Detail_3[[#This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ROUND(SUM(Site_Detail_3[[#This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ROUND(SUM(Site_Detail_3[[#This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ROUND(SUM(Site_Detail_3[[#This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ROUND(SUM(Site_Detail_3[[#This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ROUND(SUM(Site_Detail_3[[#This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ROUND(SUM(Site_Detail_3[[#This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ROUND(SUM(Site_Detail_3[[#This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ROUND(SUM(Site_Detail_3[[#This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ROUND(SUM(Site_Detail_3[[#This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ROUND(SUM(Site_Detail_3[[#This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ROUND(SUM(Site_Detail_3[[#This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160" priority="6" operator="equal">
      <formula>"(select)"</formula>
    </cfRule>
  </conditionalFormatting>
  <conditionalFormatting sqref="B13:G87">
    <cfRule type="expression" dxfId="159" priority="7">
      <formula>AND(SUM($H13:$M13)&gt;0,B13="")</formula>
    </cfRule>
  </conditionalFormatting>
  <conditionalFormatting sqref="C4:C5 C7">
    <cfRule type="cellIs" dxfId="158" priority="1" operator="equal">
      <formula>"(autofill)"</formula>
    </cfRule>
    <cfRule type="expression" dxfId="157" priority="2">
      <formula>$C$5="Invalid Entity ID"</formula>
    </cfRule>
  </conditionalFormatting>
  <conditionalFormatting sqref="C6">
    <cfRule type="cellIs" dxfId="156" priority="3" operator="equal">
      <formula>"(enter center/site name)"</formula>
    </cfRule>
  </conditionalFormatting>
  <conditionalFormatting sqref="C8">
    <cfRule type="cellIs" dxfId="155" priority="4" operator="equal">
      <formula>"(enter #)"</formula>
    </cfRule>
  </conditionalFormatting>
  <conditionalFormatting sqref="C13:C87">
    <cfRule type="cellIs" dxfId="154" priority="8" operator="equal">
      <formula>"Yes"</formula>
    </cfRule>
  </conditionalFormatting>
  <conditionalFormatting sqref="E13">
    <cfRule type="cellIs" dxfId="153" priority="9" operator="equal">
      <formula>"(fx code)"</formula>
    </cfRule>
  </conditionalFormatting>
  <conditionalFormatting sqref="F13">
    <cfRule type="cellIs" dxfId="152" priority="10" operator="equal">
      <formula>"(obj)"</formula>
    </cfRule>
  </conditionalFormatting>
  <conditionalFormatting sqref="G13">
    <cfRule type="cellIs" dxfId="151" priority="11" operator="equal">
      <formula>"(enter description)"</formula>
    </cfRule>
  </conditionalFormatting>
  <conditionalFormatting sqref="H13:M13">
    <cfRule type="cellIs" dxfId="150" priority="12" operator="equal">
      <formula>"(enter $)"</formula>
    </cfRule>
  </conditionalFormatting>
  <conditionalFormatting sqref="I7:M7 I12:M12 S12:W12">
    <cfRule type="containsText" dxfId="149" priority="5" operator="containsText" text="(addt'l. fund source">
      <formula>NOT(ISERROR(SEARCH("(addt'l. fund source",I7)))</formula>
    </cfRule>
  </conditionalFormatting>
  <conditionalFormatting sqref="O13">
    <cfRule type="cellIs" dxfId="148" priority="13" operator="equal">
      <formula>"(enter note)"</formula>
    </cfRule>
  </conditionalFormatting>
  <dataValidations count="4">
    <dataValidation type="list" allowBlank="1" showErrorMessage="1" sqref="C13:C87" xr:uid="{F1EADD63-7ABE-4798-99F6-5A51D36DEBAB}">
      <formula1>Contracted_List</formula1>
    </dataValidation>
    <dataValidation type="list" allowBlank="1" showErrorMessage="1" sqref="D13:D87" xr:uid="{F3079BE0-357C-429C-A27C-36D6CB138DD5}">
      <formula1>Categories_List</formula1>
    </dataValidation>
    <dataValidation type="list" allowBlank="1" showErrorMessage="1" sqref="B13:B87" xr:uid="{3B6A4EE0-FFEC-4553-8868-6F22F6ECDAB9}">
      <formula1>Program_List</formula1>
    </dataValidation>
    <dataValidation allowBlank="1" showInputMessage="1" showErrorMessage="1" prompt="Each line item for salaries MUST indicate: _x000a__x000a_1) Amount of FTE, and _x000a__x000a_2) Type of position (see Budget Guidance tab for examples)." sqref="G13:G15" xr:uid="{10E55691-3E14-40B5-9C3A-7D06D608C749}"/>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063E5-AD7F-43FA-AD19-4A7D02279ACD}">
  <sheetPr>
    <tabColor rgb="FFAAD4F4"/>
    <pageSetUpPr autoPageBreaks="0" fitToPage="1"/>
  </sheetPr>
  <dimension ref="A1:Z87"/>
  <sheetViews>
    <sheetView showGridLines="0" showRowColHeaders="0" zoomScaleNormal="100" workbookViewId="0">
      <pane ySplit="12" topLeftCell="A13" activePane="bottomLeft" state="frozen"/>
      <selection activeCell="C4" sqref="C4"/>
      <selection pane="bottomLeft" activeCell="C6" sqref="C6:E6"/>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617</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ROUND(SUMIF(Site_Detail_4[[Program Type]:[Program Type]],"Before/Afterschool",Site_Detail_4[21st CCLC,  Title IV-B]),2)</f>
        <v>0</v>
      </c>
      <c r="I8" s="150">
        <f>ROUND(SUMIF(Site_Detail_4[[Program Type]:[Program Type]],"Before/Afterschool",Site_Detail_4[(enter addt''l. fund source 1)]),2)</f>
        <v>0</v>
      </c>
      <c r="J8" s="150">
        <f>ROUND(SUMIF(Site_Detail_4[[Program Type]:[Program Type]],"Before/Afterschool",Site_Detail_4[(enter addt''l. fund source 2)]),2)</f>
        <v>0</v>
      </c>
      <c r="K8" s="150">
        <f>ROUND(SUMIF(Site_Detail_4[[Program Type]:[Program Type]],"Before/Afterschool",Site_Detail_4[(enter addt''l. fund source 3)]),2)</f>
        <v>0</v>
      </c>
      <c r="L8" s="150">
        <f>ROUND(SUMIF(Site_Detail_4[[Program Type]:[Program Type]],"Before/Afterschool",Site_Detail_4[(enter addt''l. fund source 4)]),2)</f>
        <v>0</v>
      </c>
      <c r="M8" s="203">
        <f>ROUND(SUMIF(Site_Detail_4[[Program Type]:[Program Type]],"Before/Afterschool",Site_Detail_4[(enter addt''l. fund source 5)]),2)</f>
        <v>0</v>
      </c>
      <c r="N8" s="198">
        <f>SUM(Site_Summary_4[[#This Row],[Column3]:[Column8]])</f>
        <v>0</v>
      </c>
    </row>
    <row r="9" spans="1:26" customFormat="1" x14ac:dyDescent="0.25">
      <c r="A9" s="1" t="s">
        <v>0</v>
      </c>
      <c r="B9" s="408"/>
      <c r="C9" s="410"/>
      <c r="G9" s="149" t="s">
        <v>609</v>
      </c>
      <c r="H9" s="151">
        <f>ROUND(SUMIF(Site_Detail_4[[Program Type]:[Program Type]],"Summer",Site_Detail_4[21st CCLC,  Title IV-B]),2)</f>
        <v>0</v>
      </c>
      <c r="I9" s="150">
        <f>ROUND(SUMIF(Site_Detail_4[[Program Type]:[Program Type]],"Summer",Site_Detail_4[(enter addt''l. fund source 1)]),2)</f>
        <v>0</v>
      </c>
      <c r="J9" s="150">
        <f>ROUND(SUMIF(Site_Detail_4[[Program Type]:[Program Type]],"Summer",Site_Detail_4[(enter addt''l. fund source 2)]),2)</f>
        <v>0</v>
      </c>
      <c r="K9" s="150">
        <f>ROUND(SUMIF(Site_Detail_4[[Program Type]:[Program Type]],"Summer",Site_Detail_4[(enter addt''l. fund source 3)]),2)</f>
        <v>0</v>
      </c>
      <c r="L9" s="150">
        <f>ROUND(SUMIF(Site_Detail_4[[Program Type]:[Program Type]],"Summer",Site_Detail_4[(enter addt''l. fund source 4)]),2)</f>
        <v>0</v>
      </c>
      <c r="M9" s="204">
        <f>ROUND(SUMIF(Site_Detail_4[[Program Type]:[Program Type]],"Summer",Site_Detail_4[(enter addt''l. fund source 5)]),2)</f>
        <v>0</v>
      </c>
      <c r="N9" s="199">
        <f>SUM(Site_Summary_4[[#This Row],[Column3]:[Column8]])</f>
        <v>0</v>
      </c>
    </row>
    <row r="10" spans="1:26" customFormat="1" x14ac:dyDescent="0.25">
      <c r="A10" s="1" t="s">
        <v>0</v>
      </c>
      <c r="G10" s="152" t="s">
        <v>618</v>
      </c>
      <c r="H10" s="247">
        <f>ROUND(SUM(Site_Detail_4[21st CCLC,  Title IV-B]),2)</f>
        <v>0</v>
      </c>
      <c r="I10" s="248">
        <f>ROUND(SUM(Site_Detail_4[(enter addt''l. fund source 1)]),2)</f>
        <v>0</v>
      </c>
      <c r="J10" s="109">
        <f>ROUND(SUM(Site_Detail_4[(enter addt''l. fund source 2)]),2)</f>
        <v>0</v>
      </c>
      <c r="K10" s="109">
        <f>ROUND(SUM(Site_Detail_4[(enter addt''l. fund source 3)]),2)</f>
        <v>0</v>
      </c>
      <c r="L10" s="109">
        <f>ROUND(SUM(Site_Detail_4[(enter addt''l. fund source 4)]),2)</f>
        <v>0</v>
      </c>
      <c r="M10" s="110">
        <f>ROUND(SUM(Site_Detail_4[(enter addt''l. fund source 5)]),2)</f>
        <v>0</v>
      </c>
      <c r="N10" s="238">
        <f>SUM(Site_Summary_4[[#This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ROUND(SUM(Site_Detail_4[[#This Row],[21st CCLC,  Title IV-B]:[(enter addt''l. fund source 5)]]),2)</f>
        <v>0</v>
      </c>
      <c r="O13" s="225" t="s">
        <v>28</v>
      </c>
      <c r="Q13" s="101" t="s">
        <v>545</v>
      </c>
      <c r="R13" s="230" cm="1">
        <f t="array" ref="R13">SUMIF(Site_Detail_4[[Category]:[Category]],Site_Category_Sum_4[[#This Row],[Column1]:[Column1]],Site_Detail_4[21st CCLC,  Title IV-B])</f>
        <v>0</v>
      </c>
      <c r="S13" s="124" cm="1">
        <f t="array" ref="S13">SUMIF(Site_Detail_4[[Category]:[Category]],Site_Category_Sum_4[[#This Row],[Column1]:[Column1]],Site_Detail_4[(enter addt''l. fund source 1)])</f>
        <v>0</v>
      </c>
      <c r="T13" s="124" cm="1">
        <f t="array" ref="T13">SUMIF(Site_Detail_4[[Category]:[Category]],Site_Category_Sum_4[[#This Row],[Column1]:[Column1]],Site_Detail_4[(enter addt''l. fund source 2)])</f>
        <v>0</v>
      </c>
      <c r="U13" s="124" cm="1">
        <f t="array" ref="U13">SUMIF(Site_Detail_4[[Category]:[Category]],Site_Category_Sum_4[[#This Row],[Column1]:[Column1]],Site_Detail_4[(enter addt''l. fund source 3)])</f>
        <v>0</v>
      </c>
      <c r="V13" s="124" cm="1">
        <f t="array" ref="V13">SUMIF(Site_Detail_4[[Category]:[Category]],Site_Category_Sum_4[[#This Row],[Column1]:[Column1]],Site_Detail_4[(enter addt''l. fund source 4)])</f>
        <v>0</v>
      </c>
      <c r="W13" s="124" cm="1">
        <f t="array" ref="W13">SUMIF(Site_Detail_4[[Category]:[Category]],Site_Category_Sum_4[[#This Row],[Column1]:[Column1]],Site_Detail_4[(enter addt''l. fund source 5)])</f>
        <v>0</v>
      </c>
      <c r="X13" s="233">
        <f>ROUND(SUM(Site_Category_Sum_4[[#This Row],[Column2]:[Column7]]),2)</f>
        <v>0</v>
      </c>
      <c r="Z13" s="178" t="s">
        <v>0</v>
      </c>
    </row>
    <row r="14" spans="1:26" x14ac:dyDescent="0.25">
      <c r="B14" s="53"/>
      <c r="C14" s="54"/>
      <c r="D14" s="53"/>
      <c r="E14" s="54"/>
      <c r="F14" s="54"/>
      <c r="G14" s="219"/>
      <c r="H14" s="196"/>
      <c r="I14" s="220"/>
      <c r="J14" s="55"/>
      <c r="K14" s="55"/>
      <c r="L14" s="55"/>
      <c r="M14" s="207"/>
      <c r="N14" s="200">
        <f>ROUND(SUM(Site_Detail_4[[#This Row],[21st CCLC,  Title IV-B]:[(enter addt''l. fund source 5)]]),2)</f>
        <v>0</v>
      </c>
      <c r="O14" s="208"/>
      <c r="Q14" s="103" t="s">
        <v>546</v>
      </c>
      <c r="R14" s="230" cm="1">
        <f t="array" ref="R14">SUMIF(Site_Detail_4[[Category]:[Category]],Site_Category_Sum_4[[#This Row],[Column1]:[Column1]],Site_Detail_4[21st CCLC,  Title IV-B])</f>
        <v>0</v>
      </c>
      <c r="S14" s="124" cm="1">
        <f t="array" ref="S14">SUMIF(Site_Detail_4[[Category]:[Category]],Site_Category_Sum_4[[#This Row],[Column1]:[Column1]],Site_Detail_4[(enter addt''l. fund source 1)])</f>
        <v>0</v>
      </c>
      <c r="T14" s="102" cm="1">
        <f t="array" ref="T14">SUMIF(Site_Detail_4[[Category]:[Category]],Site_Category_Sum_4[[#This Row],[Column1]:[Column1]],Site_Detail_4[(enter addt''l. fund source 2)])</f>
        <v>0</v>
      </c>
      <c r="U14" s="102" cm="1">
        <f t="array" ref="U14">SUMIF(Site_Detail_4[[Category]:[Category]],Site_Category_Sum_4[[#This Row],[Column1]:[Column1]],Site_Detail_4[(enter addt''l. fund source 3)])</f>
        <v>0</v>
      </c>
      <c r="V14" s="102" cm="1">
        <f t="array" ref="V14">SUMIF(Site_Detail_4[[Category]:[Category]],Site_Category_Sum_4[[#This Row],[Column1]:[Column1]],Site_Detail_4[(enter addt''l. fund source 4)])</f>
        <v>0</v>
      </c>
      <c r="W14" s="102" cm="1">
        <f t="array" ref="W14">SUMIF(Site_Detail_4[[Category]:[Category]],Site_Category_Sum_4[[#This Row],[Column1]:[Column1]],Site_Detail_4[(enter addt''l. fund source 5)])</f>
        <v>0</v>
      </c>
      <c r="X14" s="233">
        <f>ROUND(SUM(Site_Category_Sum_4[[#This Row],[Column2]:[Column7]]),2)</f>
        <v>0</v>
      </c>
      <c r="Z14" s="178" t="s">
        <v>0</v>
      </c>
    </row>
    <row r="15" spans="1:26" x14ac:dyDescent="0.25">
      <c r="B15" s="50"/>
      <c r="C15" s="51"/>
      <c r="D15" s="50"/>
      <c r="E15" s="51"/>
      <c r="F15" s="51"/>
      <c r="G15" s="221"/>
      <c r="H15" s="196"/>
      <c r="I15" s="222"/>
      <c r="J15" s="52"/>
      <c r="K15" s="52"/>
      <c r="L15" s="52"/>
      <c r="M15" s="205"/>
      <c r="N15" s="200">
        <f>ROUND(SUM(Site_Detail_4[[#This Row],[21st CCLC,  Title IV-B]:[(enter addt''l. fund source 5)]]),2)</f>
        <v>0</v>
      </c>
      <c r="O15" s="206"/>
      <c r="Q15" s="103" t="s">
        <v>161</v>
      </c>
      <c r="R15" s="230" cm="1">
        <f t="array" ref="R15">SUMIF(Site_Detail_4[[Category]:[Category]],Site_Category_Sum_4[[#This Row],[Column1]:[Column1]],Site_Detail_4[21st CCLC,  Title IV-B])</f>
        <v>0</v>
      </c>
      <c r="S15" s="124" cm="1">
        <f t="array" ref="S15">SUMIF(Site_Detail_4[[Category]:[Category]],Site_Category_Sum_4[[#This Row],[Column1]:[Column1]],Site_Detail_4[(enter addt''l. fund source 1)])</f>
        <v>0</v>
      </c>
      <c r="T15" s="102" cm="1">
        <f t="array" ref="T15">SUMIF(Site_Detail_4[[Category]:[Category]],Site_Category_Sum_4[[#This Row],[Column1]:[Column1]],Site_Detail_4[(enter addt''l. fund source 2)])</f>
        <v>0</v>
      </c>
      <c r="U15" s="102" cm="1">
        <f t="array" ref="U15">SUMIF(Site_Detail_4[[Category]:[Category]],Site_Category_Sum_4[[#This Row],[Column1]:[Column1]],Site_Detail_4[(enter addt''l. fund source 3)])</f>
        <v>0</v>
      </c>
      <c r="V15" s="102" cm="1">
        <f t="array" ref="V15">SUMIF(Site_Detail_4[[Category]:[Category]],Site_Category_Sum_4[[#This Row],[Column1]:[Column1]],Site_Detail_4[(enter addt''l. fund source 4)])</f>
        <v>0</v>
      </c>
      <c r="W15" s="102" cm="1">
        <f t="array" ref="W15">SUMIF(Site_Detail_4[[Category]:[Category]],Site_Category_Sum_4[[#This Row],[Column1]:[Column1]],Site_Detail_4[(enter addt''l. fund source 5)])</f>
        <v>0</v>
      </c>
      <c r="X15" s="233">
        <f>ROUND(SUM(Site_Category_Sum_4[[#This Row],[Column2]:[Column7]]),2)</f>
        <v>0</v>
      </c>
      <c r="Z15" s="178" t="s">
        <v>0</v>
      </c>
    </row>
    <row r="16" spans="1:26" x14ac:dyDescent="0.25">
      <c r="B16" s="53"/>
      <c r="C16" s="54"/>
      <c r="D16" s="53"/>
      <c r="E16" s="54"/>
      <c r="F16" s="54"/>
      <c r="G16" s="219"/>
      <c r="H16" s="196"/>
      <c r="I16" s="220"/>
      <c r="J16" s="55"/>
      <c r="K16" s="55"/>
      <c r="L16" s="55"/>
      <c r="M16" s="207"/>
      <c r="N16" s="200">
        <f>ROUND(SUM(Site_Detail_4[[#This Row],[21st CCLC,  Title IV-B]:[(enter addt''l. fund source 5)]]),2)</f>
        <v>0</v>
      </c>
      <c r="O16" s="208"/>
      <c r="Q16" s="103" t="s">
        <v>162</v>
      </c>
      <c r="R16" s="230" cm="1">
        <f t="array" ref="R16">SUMIF(Site_Detail_4[[Category]:[Category]],Site_Category_Sum_4[[#This Row],[Column1]:[Column1]],Site_Detail_4[21st CCLC,  Title IV-B])</f>
        <v>0</v>
      </c>
      <c r="S16" s="124" cm="1">
        <f t="array" ref="S16">SUMIF(Site_Detail_4[[Category]:[Category]],Site_Category_Sum_4[[#This Row],[Column1]:[Column1]],Site_Detail_4[(enter addt''l. fund source 1)])</f>
        <v>0</v>
      </c>
      <c r="T16" s="102" cm="1">
        <f t="array" ref="T16">SUMIF(Site_Detail_4[[Category]:[Category]],Site_Category_Sum_4[[#This Row],[Column1]:[Column1]],Site_Detail_4[(enter addt''l. fund source 2)])</f>
        <v>0</v>
      </c>
      <c r="U16" s="102" cm="1">
        <f t="array" ref="U16">SUMIF(Site_Detail_4[[Category]:[Category]],Site_Category_Sum_4[[#This Row],[Column1]:[Column1]],Site_Detail_4[(enter addt''l. fund source 3)])</f>
        <v>0</v>
      </c>
      <c r="V16" s="102" cm="1">
        <f t="array" ref="V16">SUMIF(Site_Detail_4[[Category]:[Category]],Site_Category_Sum_4[[#This Row],[Column1]:[Column1]],Site_Detail_4[(enter addt''l. fund source 4)])</f>
        <v>0</v>
      </c>
      <c r="W16" s="102" cm="1">
        <f t="array" ref="W16">SUMIF(Site_Detail_4[[Category]:[Category]],Site_Category_Sum_4[[#This Row],[Column1]:[Column1]],Site_Detail_4[(enter addt''l. fund source 5)])</f>
        <v>0</v>
      </c>
      <c r="X16" s="233">
        <f>ROUND(SUM(Site_Category_Sum_4[[#This Row],[Column2]:[Column7]]),2)</f>
        <v>0</v>
      </c>
      <c r="Z16" s="178" t="s">
        <v>0</v>
      </c>
    </row>
    <row r="17" spans="2:26" x14ac:dyDescent="0.25">
      <c r="B17" s="53"/>
      <c r="C17" s="54"/>
      <c r="D17" s="53"/>
      <c r="E17" s="54"/>
      <c r="F17" s="54"/>
      <c r="G17" s="219"/>
      <c r="H17" s="196"/>
      <c r="I17" s="220"/>
      <c r="J17" s="55"/>
      <c r="K17" s="55"/>
      <c r="L17" s="55"/>
      <c r="M17" s="207"/>
      <c r="N17" s="200">
        <f>ROUND(SUM(Site_Detail_4[[#This Row],[21st CCLC,  Title IV-B]:[(enter addt''l. fund source 5)]]),2)</f>
        <v>0</v>
      </c>
      <c r="O17" s="208"/>
      <c r="Q17" s="103" t="s">
        <v>596</v>
      </c>
      <c r="R17" s="230" cm="1">
        <f t="array" ref="R17">SUMIF(Site_Detail_4[[Category]:[Category]],Site_Category_Sum_4[[#This Row],[Column1]:[Column1]],Site_Detail_4[21st CCLC,  Title IV-B])</f>
        <v>0</v>
      </c>
      <c r="S17" s="124" cm="1">
        <f t="array" ref="S17">SUMIF(Site_Detail_4[[Category]:[Category]],Site_Category_Sum_4[[#This Row],[Column1]:[Column1]],Site_Detail_4[(enter addt''l. fund source 1)])</f>
        <v>0</v>
      </c>
      <c r="T17" s="102" cm="1">
        <f t="array" ref="T17">SUMIF(Site_Detail_4[[Category]:[Category]],Site_Category_Sum_4[[#This Row],[Column1]:[Column1]],Site_Detail_4[(enter addt''l. fund source 2)])</f>
        <v>0</v>
      </c>
      <c r="U17" s="102" cm="1">
        <f t="array" ref="U17">SUMIF(Site_Detail_4[[Category]:[Category]],Site_Category_Sum_4[[#This Row],[Column1]:[Column1]],Site_Detail_4[(enter addt''l. fund source 3)])</f>
        <v>0</v>
      </c>
      <c r="V17" s="102" cm="1">
        <f t="array" ref="V17">SUMIF(Site_Detail_4[[Category]:[Category]],Site_Category_Sum_4[[#This Row],[Column1]:[Column1]],Site_Detail_4[(enter addt''l. fund source 4)])</f>
        <v>0</v>
      </c>
      <c r="W17" s="102" cm="1">
        <f t="array" ref="W17">SUMIF(Site_Detail_4[[Category]:[Category]],Site_Category_Sum_4[[#This Row],[Column1]:[Column1]],Site_Detail_4[(enter addt''l. fund source 5)])</f>
        <v>0</v>
      </c>
      <c r="X17" s="233">
        <f>ROUND(SUM(Site_Category_Sum_4[[#This Row],[Column2]:[Column7]]),2)</f>
        <v>0</v>
      </c>
      <c r="Z17" s="178" t="s">
        <v>0</v>
      </c>
    </row>
    <row r="18" spans="2:26" x14ac:dyDescent="0.25">
      <c r="B18" s="53"/>
      <c r="C18" s="54"/>
      <c r="D18" s="53"/>
      <c r="E18" s="54"/>
      <c r="F18" s="54"/>
      <c r="G18" s="219"/>
      <c r="H18" s="196"/>
      <c r="I18" s="220"/>
      <c r="J18" s="55"/>
      <c r="K18" s="55"/>
      <c r="L18" s="55"/>
      <c r="M18" s="207"/>
      <c r="N18" s="200">
        <f>ROUND(SUM(Site_Detail_4[[#This Row],[21st CCLC,  Title IV-B]:[(enter addt''l. fund source 5)]]),2)</f>
        <v>0</v>
      </c>
      <c r="O18" s="208"/>
      <c r="Q18" s="103" t="s">
        <v>160</v>
      </c>
      <c r="R18" s="230" cm="1">
        <f t="array" ref="R18">SUMIF(Site_Detail_4[[Category]:[Category]],Site_Category_Sum_4[[#This Row],[Column1]:[Column1]],Site_Detail_4[21st CCLC,  Title IV-B])</f>
        <v>0</v>
      </c>
      <c r="S18" s="124" cm="1">
        <f t="array" ref="S18">SUMIF(Site_Detail_4[[Category]:[Category]],Site_Category_Sum_4[[#This Row],[Column1]:[Column1]],Site_Detail_4[(enter addt''l. fund source 1)])</f>
        <v>0</v>
      </c>
      <c r="T18" s="102" cm="1">
        <f t="array" ref="T18">SUMIF(Site_Detail_4[[Category]:[Category]],Site_Category_Sum_4[[#This Row],[Column1]:[Column1]],Site_Detail_4[(enter addt''l. fund source 2)])</f>
        <v>0</v>
      </c>
      <c r="U18" s="102" cm="1">
        <f t="array" ref="U18">SUMIF(Site_Detail_4[[Category]:[Category]],Site_Category_Sum_4[[#This Row],[Column1]:[Column1]],Site_Detail_4[(enter addt''l. fund source 3)])</f>
        <v>0</v>
      </c>
      <c r="V18" s="102" cm="1">
        <f t="array" ref="V18">SUMIF(Site_Detail_4[[Category]:[Category]],Site_Category_Sum_4[[#This Row],[Column1]:[Column1]],Site_Detail_4[(enter addt''l. fund source 4)])</f>
        <v>0</v>
      </c>
      <c r="W18" s="102" cm="1">
        <f t="array" ref="W18">SUMIF(Site_Detail_4[[Category]:[Category]],Site_Category_Sum_4[[#This Row],[Column1]:[Column1]],Site_Detail_4[(enter addt''l. fund source 5)])</f>
        <v>0</v>
      </c>
      <c r="X18" s="233">
        <f>ROUND(SUM(Site_Category_Sum_4[[#This Row],[Column2]:[Column7]]),2)</f>
        <v>0</v>
      </c>
      <c r="Z18" s="178" t="s">
        <v>0</v>
      </c>
    </row>
    <row r="19" spans="2:26" x14ac:dyDescent="0.25">
      <c r="B19" s="53"/>
      <c r="C19" s="54"/>
      <c r="D19" s="53"/>
      <c r="E19" s="54"/>
      <c r="F19" s="54"/>
      <c r="G19" s="219"/>
      <c r="H19" s="196"/>
      <c r="I19" s="220"/>
      <c r="J19" s="55"/>
      <c r="K19" s="55"/>
      <c r="L19" s="55"/>
      <c r="M19" s="207"/>
      <c r="N19" s="200">
        <f>ROUND(SUM(Site_Detail_4[[#This Row],[21st CCLC,  Title IV-B]:[(enter addt''l. fund source 5)]]),2)</f>
        <v>0</v>
      </c>
      <c r="O19" s="208"/>
      <c r="Q19" s="103" t="s">
        <v>566</v>
      </c>
      <c r="R19" s="230" cm="1">
        <f t="array" ref="R19">SUMIF(Site_Detail_4[[Category]:[Category]],Site_Category_Sum_4[[#This Row],[Column1]:[Column1]],Site_Detail_4[21st CCLC,  Title IV-B])</f>
        <v>0</v>
      </c>
      <c r="S19" s="124" cm="1">
        <f t="array" ref="S19">SUMIF(Site_Detail_4[[Category]:[Category]],Site_Category_Sum_4[[#This Row],[Column1]:[Column1]],Site_Detail_4[(enter addt''l. fund source 1)])</f>
        <v>0</v>
      </c>
      <c r="T19" s="102" cm="1">
        <f t="array" ref="T19">SUMIF(Site_Detail_4[[Category]:[Category]],Site_Category_Sum_4[[#This Row],[Column1]:[Column1]],Site_Detail_4[(enter addt''l. fund source 2)])</f>
        <v>0</v>
      </c>
      <c r="U19" s="102" cm="1">
        <f t="array" ref="U19">SUMIF(Site_Detail_4[[Category]:[Category]],Site_Category_Sum_4[[#This Row],[Column1]:[Column1]],Site_Detail_4[(enter addt''l. fund source 3)])</f>
        <v>0</v>
      </c>
      <c r="V19" s="102" cm="1">
        <f t="array" ref="V19">SUMIF(Site_Detail_4[[Category]:[Category]],Site_Category_Sum_4[[#This Row],[Column1]:[Column1]],Site_Detail_4[(enter addt''l. fund source 4)])</f>
        <v>0</v>
      </c>
      <c r="W19" s="102" cm="1">
        <f t="array" ref="W19">SUMIF(Site_Detail_4[[Category]:[Category]],Site_Category_Sum_4[[#This Row],[Column1]:[Column1]],Site_Detail_4[(enter addt''l. fund source 5)])</f>
        <v>0</v>
      </c>
      <c r="X19" s="233">
        <f>ROUND(SUM(Site_Category_Sum_4[[#This Row],[Column2]:[Column7]]),2)</f>
        <v>0</v>
      </c>
      <c r="Z19" s="178" t="s">
        <v>0</v>
      </c>
    </row>
    <row r="20" spans="2:26" x14ac:dyDescent="0.25">
      <c r="B20" s="53"/>
      <c r="C20" s="54"/>
      <c r="D20" s="53"/>
      <c r="E20" s="54"/>
      <c r="F20" s="54"/>
      <c r="G20" s="219"/>
      <c r="H20" s="196"/>
      <c r="I20" s="220"/>
      <c r="J20" s="55"/>
      <c r="K20" s="55"/>
      <c r="L20" s="55"/>
      <c r="M20" s="207"/>
      <c r="N20" s="200">
        <f>ROUND(SUM(Site_Detail_4[[#This Row],[21st CCLC,  Title IV-B]:[(enter addt''l. fund source 5)]]),2)</f>
        <v>0</v>
      </c>
      <c r="O20" s="208"/>
      <c r="Q20" s="103" t="s">
        <v>75</v>
      </c>
      <c r="R20" s="230" cm="1">
        <f t="array" ref="R20">SUMIF(Site_Detail_4[[Category]:[Category]],Site_Category_Sum_4[[#This Row],[Column1]:[Column1]],Site_Detail_4[21st CCLC,  Title IV-B])</f>
        <v>0</v>
      </c>
      <c r="S20" s="124" cm="1">
        <f t="array" ref="S20">SUMIF(Site_Detail_4[[Category]:[Category]],Site_Category_Sum_4[[#This Row],[Column1]:[Column1]],Site_Detail_4[(enter addt''l. fund source 1)])</f>
        <v>0</v>
      </c>
      <c r="T20" s="102" cm="1">
        <f t="array" ref="T20">SUMIF(Site_Detail_4[[Category]:[Category]],Site_Category_Sum_4[[#This Row],[Column1]:[Column1]],Site_Detail_4[(enter addt''l. fund source 2)])</f>
        <v>0</v>
      </c>
      <c r="U20" s="102" cm="1">
        <f t="array" ref="U20">SUMIF(Site_Detail_4[[Category]:[Category]],Site_Category_Sum_4[[#This Row],[Column1]:[Column1]],Site_Detail_4[(enter addt''l. fund source 3)])</f>
        <v>0</v>
      </c>
      <c r="V20" s="102" cm="1">
        <f t="array" ref="V20">SUMIF(Site_Detail_4[[Category]:[Category]],Site_Category_Sum_4[[#This Row],[Column1]:[Column1]],Site_Detail_4[(enter addt''l. fund source 4)])</f>
        <v>0</v>
      </c>
      <c r="W20" s="102" cm="1">
        <f t="array" ref="W20">SUMIF(Site_Detail_4[[Category]:[Category]],Site_Category_Sum_4[[#This Row],[Column1]:[Column1]],Site_Detail_4[(enter addt''l. fund source 5)])</f>
        <v>0</v>
      </c>
      <c r="X20" s="233">
        <f>ROUND(SUM(Site_Category_Sum_4[[#This Row],[Column2]:[Column7]]),2)</f>
        <v>0</v>
      </c>
      <c r="Z20" s="178" t="s">
        <v>0</v>
      </c>
    </row>
    <row r="21" spans="2:26" x14ac:dyDescent="0.25">
      <c r="B21" s="53"/>
      <c r="C21" s="54"/>
      <c r="D21" s="53"/>
      <c r="E21" s="54"/>
      <c r="F21" s="54"/>
      <c r="G21" s="219"/>
      <c r="H21" s="196"/>
      <c r="I21" s="220"/>
      <c r="J21" s="55"/>
      <c r="K21" s="55"/>
      <c r="L21" s="55"/>
      <c r="M21" s="207"/>
      <c r="N21" s="200">
        <f>ROUND(SUM(Site_Detail_4[[#This Row],[21st CCLC,  Title IV-B]:[(enter addt''l. fund source 5)]]),2)</f>
        <v>0</v>
      </c>
      <c r="O21" s="208"/>
      <c r="Q21" s="103" t="s">
        <v>603</v>
      </c>
      <c r="R21" s="230" cm="1">
        <f t="array" ref="R21">SUMIF(Site_Detail_4[[Category]:[Category]],Site_Category_Sum_4[[#This Row],[Column1]:[Column1]],Site_Detail_4[21st CCLC,  Title IV-B])</f>
        <v>0</v>
      </c>
      <c r="S21" s="124" cm="1">
        <f t="array" ref="S21">SUMIF(Site_Detail_4[[Category]:[Category]],Site_Category_Sum_4[[#This Row],[Column1]:[Column1]],Site_Detail_4[(enter addt''l. fund source 1)])</f>
        <v>0</v>
      </c>
      <c r="T21" s="102" cm="1">
        <f t="array" ref="T21">SUMIF(Site_Detail_4[[Category]:[Category]],Site_Category_Sum_4[[#This Row],[Column1]:[Column1]],Site_Detail_4[(enter addt''l. fund source 2)])</f>
        <v>0</v>
      </c>
      <c r="U21" s="102" cm="1">
        <f t="array" ref="U21">SUMIF(Site_Detail_4[[Category]:[Category]],Site_Category_Sum_4[[#This Row],[Column1]:[Column1]],Site_Detail_4[(enter addt''l. fund source 3)])</f>
        <v>0</v>
      </c>
      <c r="V21" s="102" cm="1">
        <f t="array" ref="V21">SUMIF(Site_Detail_4[[Category]:[Category]],Site_Category_Sum_4[[#This Row],[Column1]:[Column1]],Site_Detail_4[(enter addt''l. fund source 4)])</f>
        <v>0</v>
      </c>
      <c r="W21" s="102" cm="1">
        <f t="array" ref="W21">SUMIF(Site_Detail_4[[Category]:[Category]],Site_Category_Sum_4[[#This Row],[Column1]:[Column1]],Site_Detail_4[(enter addt''l. fund source 5)])</f>
        <v>0</v>
      </c>
      <c r="X21" s="233">
        <f>ROUND(SUM(Site_Category_Sum_4[[#This Row],[Column2]:[Column7]]),2)</f>
        <v>0</v>
      </c>
      <c r="Z21" s="178" t="s">
        <v>0</v>
      </c>
    </row>
    <row r="22" spans="2:26" x14ac:dyDescent="0.25">
      <c r="B22" s="53"/>
      <c r="C22" s="54"/>
      <c r="D22" s="53"/>
      <c r="E22" s="54"/>
      <c r="F22" s="54"/>
      <c r="G22" s="219"/>
      <c r="H22" s="196"/>
      <c r="I22" s="220"/>
      <c r="J22" s="55"/>
      <c r="K22" s="55"/>
      <c r="L22" s="55"/>
      <c r="M22" s="207"/>
      <c r="N22" s="200">
        <f>ROUND(SUM(Site_Detail_4[[#This Row],[21st CCLC,  Title IV-B]:[(enter addt''l. fund source 5)]]),2)</f>
        <v>0</v>
      </c>
      <c r="O22" s="208"/>
      <c r="Q22" s="103" t="s">
        <v>604</v>
      </c>
      <c r="R22" s="230" cm="1">
        <f t="array" ref="R22">SUMIF(Site_Detail_4[[Category]:[Category]],Site_Category_Sum_4[[#This Row],[Column1]:[Column1]],Site_Detail_4[21st CCLC,  Title IV-B])</f>
        <v>0</v>
      </c>
      <c r="S22" s="124" cm="1">
        <f t="array" ref="S22">SUMIF(Site_Detail_4[[Category]:[Category]],Site_Category_Sum_4[[#This Row],[Column1]:[Column1]],Site_Detail_4[(enter addt''l. fund source 1)])</f>
        <v>0</v>
      </c>
      <c r="T22" s="102" cm="1">
        <f t="array" ref="T22">SUMIF(Site_Detail_4[[Category]:[Category]],Site_Category_Sum_4[[#This Row],[Column1]:[Column1]],Site_Detail_4[(enter addt''l. fund source 2)])</f>
        <v>0</v>
      </c>
      <c r="U22" s="102" cm="1">
        <f t="array" ref="U22">SUMIF(Site_Detail_4[[Category]:[Category]],Site_Category_Sum_4[[#This Row],[Column1]:[Column1]],Site_Detail_4[(enter addt''l. fund source 3)])</f>
        <v>0</v>
      </c>
      <c r="V22" s="102" cm="1">
        <f t="array" ref="V22">SUMIF(Site_Detail_4[[Category]:[Category]],Site_Category_Sum_4[[#This Row],[Column1]:[Column1]],Site_Detail_4[(enter addt''l. fund source 4)])</f>
        <v>0</v>
      </c>
      <c r="W22" s="102" cm="1">
        <f t="array" ref="W22">SUMIF(Site_Detail_4[[Category]:[Category]],Site_Category_Sum_4[[#This Row],[Column1]:[Column1]],Site_Detail_4[(enter addt''l. fund source 5)])</f>
        <v>0</v>
      </c>
      <c r="X22" s="233">
        <f>ROUND(SUM(Site_Category_Sum_4[[#This Row],[Column2]:[Column7]]),2)</f>
        <v>0</v>
      </c>
      <c r="Z22" s="178" t="s">
        <v>0</v>
      </c>
    </row>
    <row r="23" spans="2:26" x14ac:dyDescent="0.25">
      <c r="B23" s="53"/>
      <c r="C23" s="54"/>
      <c r="D23" s="53"/>
      <c r="E23" s="54"/>
      <c r="F23" s="54"/>
      <c r="G23" s="219"/>
      <c r="H23" s="196"/>
      <c r="I23" s="220"/>
      <c r="J23" s="55"/>
      <c r="K23" s="55"/>
      <c r="L23" s="55"/>
      <c r="M23" s="207"/>
      <c r="N23" s="200">
        <f>ROUND(SUM(Site_Detail_4[[#This Row],[21st CCLC,  Title IV-B]:[(enter addt''l. fund source 5)]]),2)</f>
        <v>0</v>
      </c>
      <c r="O23" s="208"/>
      <c r="Q23" s="103" t="s">
        <v>567</v>
      </c>
      <c r="R23" s="230" cm="1">
        <f t="array" ref="R23">SUMIF(Site_Detail_4[[Category]:[Category]],Site_Category_Sum_4[[#This Row],[Column1]:[Column1]],Site_Detail_4[21st CCLC,  Title IV-B])</f>
        <v>0</v>
      </c>
      <c r="S23" s="124" cm="1">
        <f t="array" ref="S23">SUMIF(Site_Detail_4[[Category]:[Category]],Site_Category_Sum_4[[#This Row],[Column1]:[Column1]],Site_Detail_4[(enter addt''l. fund source 1)])</f>
        <v>0</v>
      </c>
      <c r="T23" s="102" cm="1">
        <f t="array" ref="T23">SUMIF(Site_Detail_4[[Category]:[Category]],Site_Category_Sum_4[[#This Row],[Column1]:[Column1]],Site_Detail_4[(enter addt''l. fund source 2)])</f>
        <v>0</v>
      </c>
      <c r="U23" s="102" cm="1">
        <f t="array" ref="U23">SUMIF(Site_Detail_4[[Category]:[Category]],Site_Category_Sum_4[[#This Row],[Column1]:[Column1]],Site_Detail_4[(enter addt''l. fund source 3)])</f>
        <v>0</v>
      </c>
      <c r="V23" s="102" cm="1">
        <f t="array" ref="V23">SUMIF(Site_Detail_4[[Category]:[Category]],Site_Category_Sum_4[[#This Row],[Column1]:[Column1]],Site_Detail_4[(enter addt''l. fund source 4)])</f>
        <v>0</v>
      </c>
      <c r="W23" s="102" cm="1">
        <f t="array" ref="W23">SUMIF(Site_Detail_4[[Category]:[Category]],Site_Category_Sum_4[[#This Row],[Column1]:[Column1]],Site_Detail_4[(enter addt''l. fund source 5)])</f>
        <v>0</v>
      </c>
      <c r="X23" s="233">
        <f>ROUND(SUM(Site_Category_Sum_4[[#This Row],[Column2]:[Column7]]),2)</f>
        <v>0</v>
      </c>
      <c r="Z23" s="178" t="s">
        <v>0</v>
      </c>
    </row>
    <row r="24" spans="2:26" x14ac:dyDescent="0.25">
      <c r="B24" s="53"/>
      <c r="C24" s="54"/>
      <c r="D24" s="53"/>
      <c r="E24" s="54"/>
      <c r="F24" s="54"/>
      <c r="G24" s="219"/>
      <c r="H24" s="196"/>
      <c r="I24" s="220"/>
      <c r="J24" s="55"/>
      <c r="K24" s="55"/>
      <c r="L24" s="55"/>
      <c r="M24" s="207"/>
      <c r="N24" s="200">
        <f>ROUND(SUM(Site_Detail_4[[#This Row],[21st CCLC,  Title IV-B]:[(enter addt''l. fund source 5)]]),2)</f>
        <v>0</v>
      </c>
      <c r="O24" s="208"/>
      <c r="Q24" s="103" t="s">
        <v>192</v>
      </c>
      <c r="R24" s="230">
        <f>ROUND(SUMIFS(Site_Detail_4[21st CCLC,  Title IV-B],Site_Detail_4[[Category]:[Category]],"Indirect",Site_Detail_4[[Contracted Service?]:[Contracted Service?]],"&lt;&gt;Yes"),2)</f>
        <v>0</v>
      </c>
      <c r="S24" s="124">
        <f>ROUND(SUMIFS(Site_Detail_4[(enter addt''l. fund source 1)],Site_Detail_4[[Category]:[Category]],"Indirect",Site_Detail_4[[Contracted Service?]:[Contracted Service?]],"&lt;&gt;Yes"),2)</f>
        <v>0</v>
      </c>
      <c r="T24" s="102">
        <f>ROUND(SUMIFS(Site_Detail_4[(enter addt''l. fund source 2)],Site_Detail_4[[Category]:[Category]],"Indirect",Site_Detail_4[[Contracted Service?]:[Contracted Service?]],"&lt;&gt;Yes"),2)</f>
        <v>0</v>
      </c>
      <c r="U24" s="102">
        <f>ROUND(SUMIFS(Site_Detail_4[(enter addt''l. fund source 3)],Site_Detail_4[[Category]:[Category]],"Indirect",Site_Detail_4[[Contracted Service?]:[Contracted Service?]],"&lt;&gt;Yes"),2)</f>
        <v>0</v>
      </c>
      <c r="V24" s="102">
        <f>ROUND(SUMIFS(Site_Detail_4[(enter addt''l. fund source 4)],Site_Detail_4[[Category]:[Category]],"Indirect",Site_Detail_4[[Contracted Service?]:[Contracted Service?]],"&lt;&gt;Yes"),2)</f>
        <v>0</v>
      </c>
      <c r="W24" s="102">
        <f>ROUND(SUMIFS(Site_Detail_4[(enter addt''l. fund source 5)],Site_Detail_4[[Category]:[Category]],"Indirect",Site_Detail_4[[Contracted Service?]:[Contracted Service?]],"&lt;&gt;Yes"),2)</f>
        <v>0</v>
      </c>
      <c r="X24" s="233">
        <f>ROUND(SUM(Site_Category_Sum_4[[#This Row],[Column2]:[Column7]]),2)</f>
        <v>0</v>
      </c>
      <c r="Z24" s="178" t="s">
        <v>0</v>
      </c>
    </row>
    <row r="25" spans="2:26" x14ac:dyDescent="0.25">
      <c r="B25" s="53"/>
      <c r="C25" s="54"/>
      <c r="D25" s="53"/>
      <c r="E25" s="54"/>
      <c r="F25" s="54"/>
      <c r="G25" s="219"/>
      <c r="H25" s="196"/>
      <c r="I25" s="220"/>
      <c r="J25" s="55"/>
      <c r="K25" s="55"/>
      <c r="L25" s="55"/>
      <c r="M25" s="207"/>
      <c r="N25" s="200">
        <f>ROUND(SUM(Site_Detail_4[[#This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ROUND(SUM(Site_Category_Sum_4[[#This Row],[Column2]:[Column7]]),2)</f>
        <v>0</v>
      </c>
      <c r="Z25" s="178" t="s">
        <v>0</v>
      </c>
    </row>
    <row r="26" spans="2:26" x14ac:dyDescent="0.25">
      <c r="B26" s="53"/>
      <c r="C26" s="54"/>
      <c r="D26" s="53"/>
      <c r="E26" s="54"/>
      <c r="F26" s="54"/>
      <c r="G26" s="219"/>
      <c r="H26" s="196"/>
      <c r="I26" s="220"/>
      <c r="J26" s="55"/>
      <c r="K26" s="55"/>
      <c r="L26" s="55"/>
      <c r="M26" s="207"/>
      <c r="N26" s="200">
        <f>ROUND(SUM(Site_Detail_4[[#This Row],[21st CCLC,  Title IV-B]:[(enter addt''l. fund source 5)]]),2)</f>
        <v>0</v>
      </c>
      <c r="O26" s="208"/>
      <c r="Q26" s="103" t="s">
        <v>291</v>
      </c>
      <c r="R26" s="230" cm="1">
        <f t="array" ref="R26">SUMIF(Site_Detail_4[[Program Type]:[Program Type]],Site_Category_Sum_4[[#This Row],[Column1]:[Column1]],Site_Detail_4[21st CCLC,  Title IV-B])</f>
        <v>0</v>
      </c>
      <c r="S26" s="124" cm="1">
        <f t="array" ref="S26">SUMIF(Site_Detail_4[[Program Type]:[Program Type]],Site_Category_Sum_4[[#This Row],[Column1]:[Column1]],Site_Detail_4[(enter addt''l. fund source 1)])</f>
        <v>0</v>
      </c>
      <c r="T26" s="102" cm="1">
        <f t="array" ref="T26">SUMIF(Site_Detail_4[[Program Type]:[Program Type]],Site_Category_Sum_4[[#This Row],[Column1]:[Column1]],Site_Detail_4[(enter addt''l. fund source 2)])</f>
        <v>0</v>
      </c>
      <c r="U26" s="102" cm="1">
        <f t="array" ref="U26">SUMIF(Site_Detail_4[[Program Type]:[Program Type]],Site_Category_Sum_4[[#This Row],[Column1]:[Column1]],Site_Detail_4[(enter addt''l. fund source 3)])</f>
        <v>0</v>
      </c>
      <c r="V26" s="102" cm="1">
        <f t="array" ref="V26">SUMIF(Site_Detail_4[[Program Type]:[Program Type]],Site_Category_Sum_4[[#This Row],[Column1]:[Column1]],Site_Detail_4[(enter addt''l. fund source 4)])</f>
        <v>0</v>
      </c>
      <c r="W26" s="102" cm="1">
        <f t="array" ref="W26">SUMIF(Site_Detail_4[[Program Type]:[Program Type]],Site_Category_Sum_4[[#This Row],[Column1]:[Column1]],Site_Detail_4[(enter addt''l. fund source 5)])</f>
        <v>0</v>
      </c>
      <c r="X26" s="233">
        <f>ROUND(SUM(Site_Category_Sum_4[[#This Row],[Column2]:[Column7]]),2)</f>
        <v>0</v>
      </c>
      <c r="Z26" s="178" t="s">
        <v>0</v>
      </c>
    </row>
    <row r="27" spans="2:26" x14ac:dyDescent="0.25">
      <c r="B27" s="53"/>
      <c r="C27" s="54"/>
      <c r="D27" s="53"/>
      <c r="E27" s="54"/>
      <c r="F27" s="54"/>
      <c r="G27" s="219"/>
      <c r="H27" s="196"/>
      <c r="I27" s="220"/>
      <c r="J27" s="55"/>
      <c r="K27" s="55"/>
      <c r="L27" s="55"/>
      <c r="M27" s="207"/>
      <c r="N27" s="200">
        <f>ROUND(SUM(Site_Detail_4[[#This Row],[21st CCLC,  Title IV-B]:[(enter addt''l. fund source 5)]]),2)</f>
        <v>0</v>
      </c>
      <c r="O27" s="208"/>
      <c r="Q27" s="103" t="s">
        <v>292</v>
      </c>
      <c r="R27" s="230" cm="1">
        <f t="array" ref="R27">SUMIF(Site_Detail_4[[Program Type]:[Program Type]],Site_Category_Sum_4[[#This Row],[Column1]:[Column1]],Site_Detail_4[21st CCLC,  Title IV-B])</f>
        <v>0</v>
      </c>
      <c r="S27" s="124" cm="1">
        <f t="array" ref="S27">SUMIF(Site_Detail_4[[Program Type]:[Program Type]],Site_Category_Sum_4[[#This Row],[Column1]:[Column1]],Site_Detail_4[(enter addt''l. fund source 1)])</f>
        <v>0</v>
      </c>
      <c r="T27" s="102" cm="1">
        <f t="array" ref="T27">SUMIF(Site_Detail_4[[Program Type]:[Program Type]],Site_Category_Sum_4[[#This Row],[Column1]:[Column1]],Site_Detail_4[(enter addt''l. fund source 2)])</f>
        <v>0</v>
      </c>
      <c r="U27" s="102" cm="1">
        <f t="array" ref="U27">SUMIF(Site_Detail_4[[Program Type]:[Program Type]],Site_Category_Sum_4[[#This Row],[Column1]:[Column1]],Site_Detail_4[(enter addt''l. fund source 3)])</f>
        <v>0</v>
      </c>
      <c r="V27" s="102" cm="1">
        <f t="array" ref="V27">SUMIF(Site_Detail_4[[Program Type]:[Program Type]],Site_Category_Sum_4[[#This Row],[Column1]:[Column1]],Site_Detail_4[(enter addt''l. fund source 4)])</f>
        <v>0</v>
      </c>
      <c r="W27" s="102" cm="1">
        <f t="array" ref="W27">SUMIF(Site_Detail_4[[Program Type]:[Program Type]],Site_Category_Sum_4[[#This Row],[Column1]:[Column1]],Site_Detail_4[(enter addt''l. fund source 5)])</f>
        <v>0</v>
      </c>
      <c r="X27" s="233">
        <f>ROUND(SUM(Site_Category_Sum_4[[#This Row],[Column2]:[Column7]]),2)</f>
        <v>0</v>
      </c>
    </row>
    <row r="28" spans="2:26" x14ac:dyDescent="0.25">
      <c r="B28" s="53"/>
      <c r="C28" s="54"/>
      <c r="D28" s="53"/>
      <c r="E28" s="54"/>
      <c r="F28" s="54"/>
      <c r="G28" s="219"/>
      <c r="H28" s="196"/>
      <c r="I28" s="220"/>
      <c r="J28" s="55"/>
      <c r="K28" s="55"/>
      <c r="L28" s="55"/>
      <c r="M28" s="207"/>
      <c r="N28" s="200">
        <f>ROUND(SUM(Site_Detail_4[[#This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ROUND(SUM(Site_Category_Sum_4[[#This Row],[Column2]:[Column7]]),2)</f>
        <v>0</v>
      </c>
    </row>
    <row r="29" spans="2:26" x14ac:dyDescent="0.25">
      <c r="B29" s="53"/>
      <c r="C29" s="54"/>
      <c r="D29" s="53"/>
      <c r="E29" s="54"/>
      <c r="F29" s="54"/>
      <c r="G29" s="219"/>
      <c r="H29" s="196"/>
      <c r="I29" s="220"/>
      <c r="J29" s="55"/>
      <c r="K29" s="55"/>
      <c r="L29" s="55"/>
      <c r="M29" s="207"/>
      <c r="N29" s="200">
        <f>ROUND(SUM(Site_Detail_4[[#This Row],[21st CCLC,  Title IV-B]:[(enter addt''l. fund source 5)]]),2)</f>
        <v>0</v>
      </c>
      <c r="O29" s="208"/>
      <c r="Q29" s="103" t="s">
        <v>591</v>
      </c>
      <c r="R29" s="230">
        <f>ROUND(SUMIF(Site_Detail_4[[Contracted Service?]:[Contracted Service?]],"Yes",Site_Detail_4[21st CCLC,  Title IV-B]),2)</f>
        <v>0</v>
      </c>
      <c r="S29" s="124">
        <f>ROUND(SUMIF(Site_Detail_4[[Contracted Service?]:[Contracted Service?]],"Yes",Site_Detail_4[(enter addt''l. fund source 1)]),2)</f>
        <v>0</v>
      </c>
      <c r="T29" s="102">
        <f>ROUND(SUMIF(Site_Detail_4[[Contracted Service?]:[Contracted Service?]],"Yes",Site_Detail_4[(enter addt''l. fund source 2)]),2)</f>
        <v>0</v>
      </c>
      <c r="U29" s="102">
        <f>ROUND(SUMIF(Site_Detail_4[[Contracted Service?]:[Contracted Service?]],"Yes",Site_Detail_4[(enter addt''l. fund source 3)]),2)</f>
        <v>0</v>
      </c>
      <c r="V29" s="102">
        <f>ROUND(SUMIF(Site_Detail_4[[Contracted Service?]:[Contracted Service?]],"Yes",Site_Detail_4[(enter addt''l. fund source 4)]),2)</f>
        <v>0</v>
      </c>
      <c r="W29" s="102">
        <f>ROUND(SUMIF(Site_Detail_4[[Contracted Service?]:[Contracted Service?]],"Yes",Site_Detail_4[(enter addt''l. fund source 5)]),2)</f>
        <v>0</v>
      </c>
      <c r="X29" s="233">
        <f>ROUND(SUM(Site_Category_Sum_4[[#This Row],[Column2]:[Column7]]),2)</f>
        <v>0</v>
      </c>
    </row>
    <row r="30" spans="2:26" x14ac:dyDescent="0.25">
      <c r="B30" s="53"/>
      <c r="C30" s="54"/>
      <c r="D30" s="53"/>
      <c r="E30" s="54"/>
      <c r="F30" s="54"/>
      <c r="G30" s="219"/>
      <c r="H30" s="196"/>
      <c r="I30" s="220"/>
      <c r="J30" s="55"/>
      <c r="K30" s="55"/>
      <c r="L30" s="55"/>
      <c r="M30" s="207"/>
      <c r="N30" s="200">
        <f>ROUND(SUM(Site_Detail_4[[#This Row],[21st CCLC,  Title IV-B]:[(enter addt''l. fund source 5)]]),2)</f>
        <v>0</v>
      </c>
      <c r="O30" s="208"/>
      <c r="Q30" s="103" t="s">
        <v>597</v>
      </c>
      <c r="R30" s="230">
        <f>ROUND(SUMIF(Site_Detail_4[[Contracted Service?]:[Contracted Service?]],"&lt;&gt;Yes",Site_Detail_4[21st CCLC,  Title IV-B]),2)</f>
        <v>0</v>
      </c>
      <c r="S30" s="124">
        <f>ROUND(SUMIF(Site_Detail_4[[Contracted Service?]:[Contracted Service?]],"&lt;&gt;Yes",Site_Detail_4[(enter addt''l. fund source 1)]),2)</f>
        <v>0</v>
      </c>
      <c r="T30" s="102">
        <f>ROUND(SUMIF(Site_Detail_4[[Contracted Service?]:[Contracted Service?]],"&lt;&gt;Yes",Site_Detail_4[(enter addt''l. fund source 2)]),2)</f>
        <v>0</v>
      </c>
      <c r="U30" s="102">
        <f>ROUND(SUMIF(Site_Detail_4[[Contracted Service?]:[Contracted Service?]],"&lt;&gt;Yes",Site_Detail_4[(enter addt''l. fund source 3)]),2)</f>
        <v>0</v>
      </c>
      <c r="V30" s="102">
        <f>ROUND(SUMIF(Site_Detail_4[[Contracted Service?]:[Contracted Service?]],"&lt;&gt;Yes",Site_Detail_4[(enter addt''l. fund source 4)]),2)</f>
        <v>0</v>
      </c>
      <c r="W30" s="102">
        <f>ROUND(SUMIF(Site_Detail_4[[Contracted Service?]:[Contracted Service?]],"&lt;&gt;Yes",Site_Detail_4[(enter addt''l. fund source 5)]),2)</f>
        <v>0</v>
      </c>
      <c r="X30" s="233">
        <f>ROUND(SUM(Site_Category_Sum_4[[#This Row],[Column2]:[Column7]]),2)</f>
        <v>0</v>
      </c>
    </row>
    <row r="31" spans="2:26" x14ac:dyDescent="0.25">
      <c r="B31" s="53"/>
      <c r="C31" s="54"/>
      <c r="D31" s="53"/>
      <c r="E31" s="54"/>
      <c r="F31" s="54"/>
      <c r="G31" s="219"/>
      <c r="H31" s="196"/>
      <c r="I31" s="220"/>
      <c r="J31" s="55"/>
      <c r="K31" s="55"/>
      <c r="L31" s="55"/>
      <c r="M31" s="207"/>
      <c r="N31" s="200">
        <f>ROUND(SUM(Site_Detail_4[[#This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ROUND(SUM(Site_Category_Sum_4[[#This Row],[Column2]:[Column7]]),2)</f>
        <v>0</v>
      </c>
    </row>
    <row r="32" spans="2:26" x14ac:dyDescent="0.25">
      <c r="B32" s="53"/>
      <c r="C32" s="54"/>
      <c r="D32" s="53"/>
      <c r="E32" s="54"/>
      <c r="F32" s="54"/>
      <c r="G32" s="219"/>
      <c r="H32" s="196"/>
      <c r="I32" s="220"/>
      <c r="J32" s="55"/>
      <c r="K32" s="55"/>
      <c r="L32" s="55"/>
      <c r="M32" s="207"/>
      <c r="N32" s="200">
        <f>ROUND(SUM(Site_Detail_4[[#This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ROUND(SUM(Site_Detail_4[[#This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ROUND(SUM(Site_Detail_4[[#This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ROUND(SUM(Site_Detail_4[[#This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ROUND(SUM(Site_Detail_4[[#This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ROUND(SUM(Site_Detail_4[[#This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ROUND(SUM(Site_Detail_4[[#This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ROUND(SUM(Site_Detail_4[[#This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ROUND(SUM(Site_Detail_4[[#This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ROUND(SUM(Site_Detail_4[[#This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ROUND(SUM(Site_Detail_4[[#This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ROUND(SUM(Site_Detail_4[[#This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ROUND(SUM(Site_Detail_4[[#This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ROUND(SUM(Site_Detail_4[[#This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ROUND(SUM(Site_Detail_4[[#This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ROUND(SUM(Site_Detail_4[[#This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ROUND(SUM(Site_Detail_4[[#This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ROUND(SUM(Site_Detail_4[[#This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ROUND(SUM(Site_Detail_4[[#This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ROUND(SUM(Site_Detail_4[[#This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ROUND(SUM(Site_Detail_4[[#This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ROUND(SUM(Site_Detail_4[[#This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ROUND(SUM(Site_Detail_4[[#This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ROUND(SUM(Site_Detail_4[[#This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ROUND(SUM(Site_Detail_4[[#This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ROUND(SUM(Site_Detail_4[[#This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ROUND(SUM(Site_Detail_4[[#This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ROUND(SUM(Site_Detail_4[[#This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ROUND(SUM(Site_Detail_4[[#This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ROUND(SUM(Site_Detail_4[[#This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ROUND(SUM(Site_Detail_4[[#This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ROUND(SUM(Site_Detail_4[[#This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ROUND(SUM(Site_Detail_4[[#This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ROUND(SUM(Site_Detail_4[[#This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ROUND(SUM(Site_Detail_4[[#This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ROUND(SUM(Site_Detail_4[[#This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ROUND(SUM(Site_Detail_4[[#This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ROUND(SUM(Site_Detail_4[[#This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ROUND(SUM(Site_Detail_4[[#This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ROUND(SUM(Site_Detail_4[[#This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ROUND(SUM(Site_Detail_4[[#This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ROUND(SUM(Site_Detail_4[[#This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ROUND(SUM(Site_Detail_4[[#This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ROUND(SUM(Site_Detail_4[[#This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ROUND(SUM(Site_Detail_4[[#This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ROUND(SUM(Site_Detail_4[[#This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ROUND(SUM(Site_Detail_4[[#This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ROUND(SUM(Site_Detail_4[[#This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ROUND(SUM(Site_Detail_4[[#This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ROUND(SUM(Site_Detail_4[[#This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ROUND(SUM(Site_Detail_4[[#This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ROUND(SUM(Site_Detail_4[[#This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ROUND(SUM(Site_Detail_4[[#This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ROUND(SUM(Site_Detail_4[[#This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ROUND(SUM(Site_Detail_4[[#This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ROUND(SUM(Site_Detail_4[[#This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147" priority="6" operator="equal">
      <formula>"(select)"</formula>
    </cfRule>
  </conditionalFormatting>
  <conditionalFormatting sqref="B13:G87">
    <cfRule type="expression" dxfId="146" priority="7">
      <formula>AND(SUM($H13:$M13)&gt;0,B13="")</formula>
    </cfRule>
  </conditionalFormatting>
  <conditionalFormatting sqref="C4:C5 C7">
    <cfRule type="cellIs" dxfId="145" priority="1" operator="equal">
      <formula>"(autofill)"</formula>
    </cfRule>
    <cfRule type="expression" dxfId="144" priority="2">
      <formula>$C$5="Invalid Entity ID"</formula>
    </cfRule>
  </conditionalFormatting>
  <conditionalFormatting sqref="C6">
    <cfRule type="cellIs" dxfId="143" priority="3" operator="equal">
      <formula>"(enter center/site name)"</formula>
    </cfRule>
  </conditionalFormatting>
  <conditionalFormatting sqref="C8">
    <cfRule type="cellIs" dxfId="142" priority="4" operator="equal">
      <formula>"(enter #)"</formula>
    </cfRule>
  </conditionalFormatting>
  <conditionalFormatting sqref="C13:C87">
    <cfRule type="cellIs" dxfId="141" priority="8" operator="equal">
      <formula>"Yes"</formula>
    </cfRule>
  </conditionalFormatting>
  <conditionalFormatting sqref="E13">
    <cfRule type="cellIs" dxfId="140" priority="9" operator="equal">
      <formula>"(fx code)"</formula>
    </cfRule>
  </conditionalFormatting>
  <conditionalFormatting sqref="F13">
    <cfRule type="cellIs" dxfId="139" priority="10" operator="equal">
      <formula>"(obj)"</formula>
    </cfRule>
  </conditionalFormatting>
  <conditionalFormatting sqref="G13">
    <cfRule type="cellIs" dxfId="138" priority="11" operator="equal">
      <formula>"(enter description)"</formula>
    </cfRule>
  </conditionalFormatting>
  <conditionalFormatting sqref="H13:M13">
    <cfRule type="cellIs" dxfId="137" priority="12" operator="equal">
      <formula>"(enter $)"</formula>
    </cfRule>
  </conditionalFormatting>
  <conditionalFormatting sqref="I7:M7 I12:M12 S12:W12">
    <cfRule type="containsText" dxfId="136" priority="5" operator="containsText" text="(addt'l. fund source">
      <formula>NOT(ISERROR(SEARCH("(addt'l. fund source",I7)))</formula>
    </cfRule>
  </conditionalFormatting>
  <conditionalFormatting sqref="O13">
    <cfRule type="cellIs" dxfId="135" priority="13" operator="equal">
      <formula>"(enter note)"</formula>
    </cfRule>
  </conditionalFormatting>
  <dataValidations count="4">
    <dataValidation allowBlank="1" showInputMessage="1" showErrorMessage="1" prompt="Each line item for salaries MUST indicate: _x000a__x000a_1) Amount of FTE, and _x000a__x000a_2) Type of position (see Budget Guidance tab for examples)." sqref="G13:G15" xr:uid="{B0AB1F79-0832-4C67-A635-250B5E63B984}"/>
    <dataValidation type="list" allowBlank="1" showErrorMessage="1" sqref="B13:B87" xr:uid="{4E144834-7446-4DC1-ABB5-39745E8EABF3}">
      <formula1>Program_List</formula1>
    </dataValidation>
    <dataValidation type="list" allowBlank="1" showErrorMessage="1" sqref="D13:D87" xr:uid="{D2F9BE6D-80C8-4CB9-8331-DD3D7A890759}">
      <formula1>Categories_List</formula1>
    </dataValidation>
    <dataValidation type="list" allowBlank="1" showErrorMessage="1" sqref="C13:C87" xr:uid="{7B904448-99DC-4C16-A167-580E985F4EEC}">
      <formula1>Contracted_List</formula1>
    </dataValidation>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B381F-DB82-4770-AA87-7DFAC748A29D}">
  <sheetPr>
    <tabColor rgb="FFAAD4F4"/>
    <pageSetUpPr autoPageBreaks="0" fitToPage="1"/>
  </sheetPr>
  <dimension ref="A1:Z87"/>
  <sheetViews>
    <sheetView showGridLines="0" showRowColHeaders="0" zoomScaleNormal="100" workbookViewId="0">
      <pane ySplit="12" topLeftCell="A13" activePane="bottomLeft" state="frozen"/>
      <selection activeCell="C4" sqref="C4"/>
      <selection pane="bottomLeft" activeCell="C6" sqref="C6:E6"/>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619</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ROUND(SUMIF(Site_Detail_5[[Program Type]:[Program Type]],"Before/Afterschool",Site_Detail_5[21st CCLC,  Title IV-B]),2)</f>
        <v>0</v>
      </c>
      <c r="I8" s="150">
        <f>ROUND(SUMIF(Site_Detail_5[[Program Type]:[Program Type]],"Before/Afterschool",Site_Detail_5[(enter addt''l. fund source 1)]),2)</f>
        <v>0</v>
      </c>
      <c r="J8" s="150">
        <f>ROUND(SUMIF(Site_Detail_5[[Program Type]:[Program Type]],"Before/Afterschool",Site_Detail_5[(enter addt''l. fund source 2)]),2)</f>
        <v>0</v>
      </c>
      <c r="K8" s="150">
        <f>ROUND(SUMIF(Site_Detail_5[[Program Type]:[Program Type]],"Before/Afterschool",Site_Detail_5[(enter addt''l. fund source 3)]),2)</f>
        <v>0</v>
      </c>
      <c r="L8" s="150">
        <f>ROUND(SUMIF(Site_Detail_5[[Program Type]:[Program Type]],"Before/Afterschool",Site_Detail_5[(enter addt''l. fund source 4)]),2)</f>
        <v>0</v>
      </c>
      <c r="M8" s="203">
        <f>ROUND(SUMIF(Site_Detail_5[[Program Type]:[Program Type]],"Before/Afterschool",Site_Detail_5[(enter addt''l. fund source 5)]),2)</f>
        <v>0</v>
      </c>
      <c r="N8" s="198">
        <f>SUM(Site_Summary_5[[#This Row],[Column3]:[Column8]])</f>
        <v>0</v>
      </c>
    </row>
    <row r="9" spans="1:26" customFormat="1" x14ac:dyDescent="0.25">
      <c r="A9" s="1" t="s">
        <v>0</v>
      </c>
      <c r="B9" s="408"/>
      <c r="C9" s="410"/>
      <c r="G9" s="149" t="s">
        <v>609</v>
      </c>
      <c r="H9" s="151">
        <f>ROUND(SUMIF(Site_Detail_5[[Program Type]:[Program Type]],"Summer",Site_Detail_5[21st CCLC,  Title IV-B]),2)</f>
        <v>0</v>
      </c>
      <c r="I9" s="150">
        <f>ROUND(SUMIF(Site_Detail_5[[Program Type]:[Program Type]],"Summer",Site_Detail_5[(enter addt''l. fund source 1)]),2)</f>
        <v>0</v>
      </c>
      <c r="J9" s="150">
        <f>ROUND(SUMIF(Site_Detail_5[[Program Type]:[Program Type]],"Summer",Site_Detail_5[(enter addt''l. fund source 2)]),2)</f>
        <v>0</v>
      </c>
      <c r="K9" s="150">
        <f>ROUND(SUMIF(Site_Detail_5[[Program Type]:[Program Type]],"Summer",Site_Detail_5[(enter addt''l. fund source 3)]),2)</f>
        <v>0</v>
      </c>
      <c r="L9" s="150">
        <f>ROUND(SUMIF(Site_Detail_5[[Program Type]:[Program Type]],"Summer",Site_Detail_5[(enter addt''l. fund source 4)]),2)</f>
        <v>0</v>
      </c>
      <c r="M9" s="204">
        <f>ROUND(SUMIF(Site_Detail_5[[Program Type]:[Program Type]],"Summer",Site_Detail_5[(enter addt''l. fund source 5)]),2)</f>
        <v>0</v>
      </c>
      <c r="N9" s="199">
        <f>SUM(Site_Summary_5[[#This Row],[Column3]:[Column8]])</f>
        <v>0</v>
      </c>
    </row>
    <row r="10" spans="1:26" customFormat="1" x14ac:dyDescent="0.25">
      <c r="A10" s="1" t="s">
        <v>0</v>
      </c>
      <c r="G10" s="152" t="s">
        <v>620</v>
      </c>
      <c r="H10" s="247">
        <f>ROUND(SUM(Site_Detail_5[21st CCLC,  Title IV-B]),2)</f>
        <v>0</v>
      </c>
      <c r="I10" s="248">
        <f>ROUND(SUM(Site_Detail_5[(enter addt''l. fund source 1)]),2)</f>
        <v>0</v>
      </c>
      <c r="J10" s="109">
        <f>ROUND(SUM(Site_Detail_5[(enter addt''l. fund source 2)]),2)</f>
        <v>0</v>
      </c>
      <c r="K10" s="109">
        <f>ROUND(SUM(Site_Detail_5[(enter addt''l. fund source 3)]),2)</f>
        <v>0</v>
      </c>
      <c r="L10" s="109">
        <f>ROUND(SUM(Site_Detail_5[(enter addt''l. fund source 4)]),2)</f>
        <v>0</v>
      </c>
      <c r="M10" s="110">
        <f>ROUND(SUM(Site_Detail_5[(enter addt''l. fund source 5)]),2)</f>
        <v>0</v>
      </c>
      <c r="N10" s="238">
        <f>SUM(Site_Summary_5[[#This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ROUND(SUM(Site_Detail_5[[#This Row],[21st CCLC,  Title IV-B]:[(enter addt''l. fund source 5)]]),2)</f>
        <v>0</v>
      </c>
      <c r="O13" s="225" t="s">
        <v>28</v>
      </c>
      <c r="Q13" s="101" t="s">
        <v>545</v>
      </c>
      <c r="R13" s="230" cm="1">
        <f t="array" ref="R13">SUMIF(Site_Detail_5[[Category]:[Category]],Site_Category_Sum_5[[#This Row],[Column1]:[Column1]],Site_Detail_5[21st CCLC,  Title IV-B])</f>
        <v>0</v>
      </c>
      <c r="S13" s="124" cm="1">
        <f t="array" ref="S13">SUMIF(Site_Detail_5[[Category]:[Category]],Site_Category_Sum_5[[#This Row],[Column1]:[Column1]],Site_Detail_5[(enter addt''l. fund source 1)])</f>
        <v>0</v>
      </c>
      <c r="T13" s="124" cm="1">
        <f t="array" ref="T13">SUMIF(Site_Detail_5[[Category]:[Category]],Site_Category_Sum_5[[#This Row],[Column1]:[Column1]],Site_Detail_5[(enter addt''l. fund source 2)])</f>
        <v>0</v>
      </c>
      <c r="U13" s="124" cm="1">
        <f t="array" ref="U13">SUMIF(Site_Detail_5[[Category]:[Category]],Site_Category_Sum_5[[#This Row],[Column1]:[Column1]],Site_Detail_5[(enter addt''l. fund source 3)])</f>
        <v>0</v>
      </c>
      <c r="V13" s="124" cm="1">
        <f t="array" ref="V13">SUMIF(Site_Detail_5[[Category]:[Category]],Site_Category_Sum_5[[#This Row],[Column1]:[Column1]],Site_Detail_5[(enter addt''l. fund source 4)])</f>
        <v>0</v>
      </c>
      <c r="W13" s="124" cm="1">
        <f t="array" ref="W13">SUMIF(Site_Detail_5[[Category]:[Category]],Site_Category_Sum_5[[#This Row],[Column1]:[Column1]],Site_Detail_5[(enter addt''l. fund source 5)])</f>
        <v>0</v>
      </c>
      <c r="X13" s="233">
        <f>ROUND(SUM(Site_Category_Sum_5[[#This Row],[Column2]:[Column7]]),2)</f>
        <v>0</v>
      </c>
      <c r="Z13" s="178" t="s">
        <v>0</v>
      </c>
    </row>
    <row r="14" spans="1:26" x14ac:dyDescent="0.25">
      <c r="B14" s="53"/>
      <c r="C14" s="54"/>
      <c r="D14" s="53"/>
      <c r="E14" s="54"/>
      <c r="F14" s="54"/>
      <c r="G14" s="219"/>
      <c r="H14" s="196"/>
      <c r="I14" s="220"/>
      <c r="J14" s="55"/>
      <c r="K14" s="55"/>
      <c r="L14" s="55"/>
      <c r="M14" s="207"/>
      <c r="N14" s="200">
        <f>ROUND(SUM(Site_Detail_5[[#This Row],[21st CCLC,  Title IV-B]:[(enter addt''l. fund source 5)]]),2)</f>
        <v>0</v>
      </c>
      <c r="O14" s="208"/>
      <c r="Q14" s="103" t="s">
        <v>546</v>
      </c>
      <c r="R14" s="230" cm="1">
        <f t="array" ref="R14">SUMIF(Site_Detail_5[[Category]:[Category]],Site_Category_Sum_5[[#This Row],[Column1]:[Column1]],Site_Detail_5[21st CCLC,  Title IV-B])</f>
        <v>0</v>
      </c>
      <c r="S14" s="124" cm="1">
        <f t="array" ref="S14">SUMIF(Site_Detail_5[[Category]:[Category]],Site_Category_Sum_5[[#This Row],[Column1]:[Column1]],Site_Detail_5[(enter addt''l. fund source 1)])</f>
        <v>0</v>
      </c>
      <c r="T14" s="102" cm="1">
        <f t="array" ref="T14">SUMIF(Site_Detail_5[[Category]:[Category]],Site_Category_Sum_5[[#This Row],[Column1]:[Column1]],Site_Detail_5[(enter addt''l. fund source 2)])</f>
        <v>0</v>
      </c>
      <c r="U14" s="102" cm="1">
        <f t="array" ref="U14">SUMIF(Site_Detail_5[[Category]:[Category]],Site_Category_Sum_5[[#This Row],[Column1]:[Column1]],Site_Detail_5[(enter addt''l. fund source 3)])</f>
        <v>0</v>
      </c>
      <c r="V14" s="102" cm="1">
        <f t="array" ref="V14">SUMIF(Site_Detail_5[[Category]:[Category]],Site_Category_Sum_5[[#This Row],[Column1]:[Column1]],Site_Detail_5[(enter addt''l. fund source 4)])</f>
        <v>0</v>
      </c>
      <c r="W14" s="102" cm="1">
        <f t="array" ref="W14">SUMIF(Site_Detail_5[[Category]:[Category]],Site_Category_Sum_5[[#This Row],[Column1]:[Column1]],Site_Detail_5[(enter addt''l. fund source 5)])</f>
        <v>0</v>
      </c>
      <c r="X14" s="233">
        <f>ROUND(SUM(Site_Category_Sum_5[[#This Row],[Column2]:[Column7]]),2)</f>
        <v>0</v>
      </c>
      <c r="Z14" s="178" t="s">
        <v>0</v>
      </c>
    </row>
    <row r="15" spans="1:26" x14ac:dyDescent="0.25">
      <c r="B15" s="50"/>
      <c r="C15" s="51"/>
      <c r="D15" s="50"/>
      <c r="E15" s="51"/>
      <c r="F15" s="51"/>
      <c r="G15" s="221"/>
      <c r="H15" s="196"/>
      <c r="I15" s="222"/>
      <c r="J15" s="52"/>
      <c r="K15" s="52"/>
      <c r="L15" s="52"/>
      <c r="M15" s="205"/>
      <c r="N15" s="200">
        <f>ROUND(SUM(Site_Detail_5[[#This Row],[21st CCLC,  Title IV-B]:[(enter addt''l. fund source 5)]]),2)</f>
        <v>0</v>
      </c>
      <c r="O15" s="206"/>
      <c r="Q15" s="103" t="s">
        <v>161</v>
      </c>
      <c r="R15" s="230" cm="1">
        <f t="array" ref="R15">SUMIF(Site_Detail_5[[Category]:[Category]],Site_Category_Sum_5[[#This Row],[Column1]:[Column1]],Site_Detail_5[21st CCLC,  Title IV-B])</f>
        <v>0</v>
      </c>
      <c r="S15" s="124" cm="1">
        <f t="array" ref="S15">SUMIF(Site_Detail_5[[Category]:[Category]],Site_Category_Sum_5[[#This Row],[Column1]:[Column1]],Site_Detail_5[(enter addt''l. fund source 1)])</f>
        <v>0</v>
      </c>
      <c r="T15" s="102" cm="1">
        <f t="array" ref="T15">SUMIF(Site_Detail_5[[Category]:[Category]],Site_Category_Sum_5[[#This Row],[Column1]:[Column1]],Site_Detail_5[(enter addt''l. fund source 2)])</f>
        <v>0</v>
      </c>
      <c r="U15" s="102" cm="1">
        <f t="array" ref="U15">SUMIF(Site_Detail_5[[Category]:[Category]],Site_Category_Sum_5[[#This Row],[Column1]:[Column1]],Site_Detail_5[(enter addt''l. fund source 3)])</f>
        <v>0</v>
      </c>
      <c r="V15" s="102" cm="1">
        <f t="array" ref="V15">SUMIF(Site_Detail_5[[Category]:[Category]],Site_Category_Sum_5[[#This Row],[Column1]:[Column1]],Site_Detail_5[(enter addt''l. fund source 4)])</f>
        <v>0</v>
      </c>
      <c r="W15" s="102" cm="1">
        <f t="array" ref="W15">SUMIF(Site_Detail_5[[Category]:[Category]],Site_Category_Sum_5[[#This Row],[Column1]:[Column1]],Site_Detail_5[(enter addt''l. fund source 5)])</f>
        <v>0</v>
      </c>
      <c r="X15" s="233">
        <f>ROUND(SUM(Site_Category_Sum_5[[#This Row],[Column2]:[Column7]]),2)</f>
        <v>0</v>
      </c>
      <c r="Z15" s="178" t="s">
        <v>0</v>
      </c>
    </row>
    <row r="16" spans="1:26" x14ac:dyDescent="0.25">
      <c r="B16" s="53"/>
      <c r="C16" s="54"/>
      <c r="D16" s="53"/>
      <c r="E16" s="54"/>
      <c r="F16" s="54"/>
      <c r="G16" s="219"/>
      <c r="H16" s="196"/>
      <c r="I16" s="220"/>
      <c r="J16" s="55"/>
      <c r="K16" s="55"/>
      <c r="L16" s="55"/>
      <c r="M16" s="207"/>
      <c r="N16" s="200">
        <f>ROUND(SUM(Site_Detail_5[[#This Row],[21st CCLC,  Title IV-B]:[(enter addt''l. fund source 5)]]),2)</f>
        <v>0</v>
      </c>
      <c r="O16" s="208"/>
      <c r="Q16" s="103" t="s">
        <v>162</v>
      </c>
      <c r="R16" s="230" cm="1">
        <f t="array" ref="R16">SUMIF(Site_Detail_5[[Category]:[Category]],Site_Category_Sum_5[[#This Row],[Column1]:[Column1]],Site_Detail_5[21st CCLC,  Title IV-B])</f>
        <v>0</v>
      </c>
      <c r="S16" s="124" cm="1">
        <f t="array" ref="S16">SUMIF(Site_Detail_5[[Category]:[Category]],Site_Category_Sum_5[[#This Row],[Column1]:[Column1]],Site_Detail_5[(enter addt''l. fund source 1)])</f>
        <v>0</v>
      </c>
      <c r="T16" s="102" cm="1">
        <f t="array" ref="T16">SUMIF(Site_Detail_5[[Category]:[Category]],Site_Category_Sum_5[[#This Row],[Column1]:[Column1]],Site_Detail_5[(enter addt''l. fund source 2)])</f>
        <v>0</v>
      </c>
      <c r="U16" s="102" cm="1">
        <f t="array" ref="U16">SUMIF(Site_Detail_5[[Category]:[Category]],Site_Category_Sum_5[[#This Row],[Column1]:[Column1]],Site_Detail_5[(enter addt''l. fund source 3)])</f>
        <v>0</v>
      </c>
      <c r="V16" s="102" cm="1">
        <f t="array" ref="V16">SUMIF(Site_Detail_5[[Category]:[Category]],Site_Category_Sum_5[[#This Row],[Column1]:[Column1]],Site_Detail_5[(enter addt''l. fund source 4)])</f>
        <v>0</v>
      </c>
      <c r="W16" s="102" cm="1">
        <f t="array" ref="W16">SUMIF(Site_Detail_5[[Category]:[Category]],Site_Category_Sum_5[[#This Row],[Column1]:[Column1]],Site_Detail_5[(enter addt''l. fund source 5)])</f>
        <v>0</v>
      </c>
      <c r="X16" s="233">
        <f>ROUND(SUM(Site_Category_Sum_5[[#This Row],[Column2]:[Column7]]),2)</f>
        <v>0</v>
      </c>
      <c r="Z16" s="178" t="s">
        <v>0</v>
      </c>
    </row>
    <row r="17" spans="2:26" x14ac:dyDescent="0.25">
      <c r="B17" s="53"/>
      <c r="C17" s="54"/>
      <c r="D17" s="53"/>
      <c r="E17" s="54"/>
      <c r="F17" s="54"/>
      <c r="G17" s="219"/>
      <c r="H17" s="196"/>
      <c r="I17" s="220"/>
      <c r="J17" s="55"/>
      <c r="K17" s="55"/>
      <c r="L17" s="55"/>
      <c r="M17" s="207"/>
      <c r="N17" s="200">
        <f>ROUND(SUM(Site_Detail_5[[#This Row],[21st CCLC,  Title IV-B]:[(enter addt''l. fund source 5)]]),2)</f>
        <v>0</v>
      </c>
      <c r="O17" s="208"/>
      <c r="Q17" s="103" t="s">
        <v>596</v>
      </c>
      <c r="R17" s="230" cm="1">
        <f t="array" ref="R17">SUMIF(Site_Detail_5[[Category]:[Category]],Site_Category_Sum_5[[#This Row],[Column1]:[Column1]],Site_Detail_5[21st CCLC,  Title IV-B])</f>
        <v>0</v>
      </c>
      <c r="S17" s="124" cm="1">
        <f t="array" ref="S17">SUMIF(Site_Detail_5[[Category]:[Category]],Site_Category_Sum_5[[#This Row],[Column1]:[Column1]],Site_Detail_5[(enter addt''l. fund source 1)])</f>
        <v>0</v>
      </c>
      <c r="T17" s="102" cm="1">
        <f t="array" ref="T17">SUMIF(Site_Detail_5[[Category]:[Category]],Site_Category_Sum_5[[#This Row],[Column1]:[Column1]],Site_Detail_5[(enter addt''l. fund source 2)])</f>
        <v>0</v>
      </c>
      <c r="U17" s="102" cm="1">
        <f t="array" ref="U17">SUMIF(Site_Detail_5[[Category]:[Category]],Site_Category_Sum_5[[#This Row],[Column1]:[Column1]],Site_Detail_5[(enter addt''l. fund source 3)])</f>
        <v>0</v>
      </c>
      <c r="V17" s="102" cm="1">
        <f t="array" ref="V17">SUMIF(Site_Detail_5[[Category]:[Category]],Site_Category_Sum_5[[#This Row],[Column1]:[Column1]],Site_Detail_5[(enter addt''l. fund source 4)])</f>
        <v>0</v>
      </c>
      <c r="W17" s="102" cm="1">
        <f t="array" ref="W17">SUMIF(Site_Detail_5[[Category]:[Category]],Site_Category_Sum_5[[#This Row],[Column1]:[Column1]],Site_Detail_5[(enter addt''l. fund source 5)])</f>
        <v>0</v>
      </c>
      <c r="X17" s="233">
        <f>ROUND(SUM(Site_Category_Sum_5[[#This Row],[Column2]:[Column7]]),2)</f>
        <v>0</v>
      </c>
      <c r="Z17" s="178" t="s">
        <v>0</v>
      </c>
    </row>
    <row r="18" spans="2:26" x14ac:dyDescent="0.25">
      <c r="B18" s="53"/>
      <c r="C18" s="54"/>
      <c r="D18" s="53"/>
      <c r="E18" s="54"/>
      <c r="F18" s="54"/>
      <c r="G18" s="219"/>
      <c r="H18" s="196"/>
      <c r="I18" s="220"/>
      <c r="J18" s="55"/>
      <c r="K18" s="55"/>
      <c r="L18" s="55"/>
      <c r="M18" s="207"/>
      <c r="N18" s="200">
        <f>ROUND(SUM(Site_Detail_5[[#This Row],[21st CCLC,  Title IV-B]:[(enter addt''l. fund source 5)]]),2)</f>
        <v>0</v>
      </c>
      <c r="O18" s="208"/>
      <c r="Q18" s="103" t="s">
        <v>160</v>
      </c>
      <c r="R18" s="230" cm="1">
        <f t="array" ref="R18">SUMIF(Site_Detail_5[[Category]:[Category]],Site_Category_Sum_5[[#This Row],[Column1]:[Column1]],Site_Detail_5[21st CCLC,  Title IV-B])</f>
        <v>0</v>
      </c>
      <c r="S18" s="124" cm="1">
        <f t="array" ref="S18">SUMIF(Site_Detail_5[[Category]:[Category]],Site_Category_Sum_5[[#This Row],[Column1]:[Column1]],Site_Detail_5[(enter addt''l. fund source 1)])</f>
        <v>0</v>
      </c>
      <c r="T18" s="102" cm="1">
        <f t="array" ref="T18">SUMIF(Site_Detail_5[[Category]:[Category]],Site_Category_Sum_5[[#This Row],[Column1]:[Column1]],Site_Detail_5[(enter addt''l. fund source 2)])</f>
        <v>0</v>
      </c>
      <c r="U18" s="102" cm="1">
        <f t="array" ref="U18">SUMIF(Site_Detail_5[[Category]:[Category]],Site_Category_Sum_5[[#This Row],[Column1]:[Column1]],Site_Detail_5[(enter addt''l. fund source 3)])</f>
        <v>0</v>
      </c>
      <c r="V18" s="102" cm="1">
        <f t="array" ref="V18">SUMIF(Site_Detail_5[[Category]:[Category]],Site_Category_Sum_5[[#This Row],[Column1]:[Column1]],Site_Detail_5[(enter addt''l. fund source 4)])</f>
        <v>0</v>
      </c>
      <c r="W18" s="102" cm="1">
        <f t="array" ref="W18">SUMIF(Site_Detail_5[[Category]:[Category]],Site_Category_Sum_5[[#This Row],[Column1]:[Column1]],Site_Detail_5[(enter addt''l. fund source 5)])</f>
        <v>0</v>
      </c>
      <c r="X18" s="233">
        <f>ROUND(SUM(Site_Category_Sum_5[[#This Row],[Column2]:[Column7]]),2)</f>
        <v>0</v>
      </c>
      <c r="Z18" s="178" t="s">
        <v>0</v>
      </c>
    </row>
    <row r="19" spans="2:26" x14ac:dyDescent="0.25">
      <c r="B19" s="53"/>
      <c r="C19" s="54"/>
      <c r="D19" s="53"/>
      <c r="E19" s="54"/>
      <c r="F19" s="54"/>
      <c r="G19" s="219"/>
      <c r="H19" s="196"/>
      <c r="I19" s="220"/>
      <c r="J19" s="55"/>
      <c r="K19" s="55"/>
      <c r="L19" s="55"/>
      <c r="M19" s="207"/>
      <c r="N19" s="200">
        <f>ROUND(SUM(Site_Detail_5[[#This Row],[21st CCLC,  Title IV-B]:[(enter addt''l. fund source 5)]]),2)</f>
        <v>0</v>
      </c>
      <c r="O19" s="208"/>
      <c r="Q19" s="103" t="s">
        <v>566</v>
      </c>
      <c r="R19" s="230" cm="1">
        <f t="array" ref="R19">SUMIF(Site_Detail_5[[Category]:[Category]],Site_Category_Sum_5[[#This Row],[Column1]:[Column1]],Site_Detail_5[21st CCLC,  Title IV-B])</f>
        <v>0</v>
      </c>
      <c r="S19" s="124" cm="1">
        <f t="array" ref="S19">SUMIF(Site_Detail_5[[Category]:[Category]],Site_Category_Sum_5[[#This Row],[Column1]:[Column1]],Site_Detail_5[(enter addt''l. fund source 1)])</f>
        <v>0</v>
      </c>
      <c r="T19" s="102" cm="1">
        <f t="array" ref="T19">SUMIF(Site_Detail_5[[Category]:[Category]],Site_Category_Sum_5[[#This Row],[Column1]:[Column1]],Site_Detail_5[(enter addt''l. fund source 2)])</f>
        <v>0</v>
      </c>
      <c r="U19" s="102" cm="1">
        <f t="array" ref="U19">SUMIF(Site_Detail_5[[Category]:[Category]],Site_Category_Sum_5[[#This Row],[Column1]:[Column1]],Site_Detail_5[(enter addt''l. fund source 3)])</f>
        <v>0</v>
      </c>
      <c r="V19" s="102" cm="1">
        <f t="array" ref="V19">SUMIF(Site_Detail_5[[Category]:[Category]],Site_Category_Sum_5[[#This Row],[Column1]:[Column1]],Site_Detail_5[(enter addt''l. fund source 4)])</f>
        <v>0</v>
      </c>
      <c r="W19" s="102" cm="1">
        <f t="array" ref="W19">SUMIF(Site_Detail_5[[Category]:[Category]],Site_Category_Sum_5[[#This Row],[Column1]:[Column1]],Site_Detail_5[(enter addt''l. fund source 5)])</f>
        <v>0</v>
      </c>
      <c r="X19" s="233">
        <f>ROUND(SUM(Site_Category_Sum_5[[#This Row],[Column2]:[Column7]]),2)</f>
        <v>0</v>
      </c>
      <c r="Z19" s="178" t="s">
        <v>0</v>
      </c>
    </row>
    <row r="20" spans="2:26" x14ac:dyDescent="0.25">
      <c r="B20" s="53"/>
      <c r="C20" s="54"/>
      <c r="D20" s="53"/>
      <c r="E20" s="54"/>
      <c r="F20" s="54"/>
      <c r="G20" s="219"/>
      <c r="H20" s="196"/>
      <c r="I20" s="220"/>
      <c r="J20" s="55"/>
      <c r="K20" s="55"/>
      <c r="L20" s="55"/>
      <c r="M20" s="207"/>
      <c r="N20" s="200">
        <f>ROUND(SUM(Site_Detail_5[[#This Row],[21st CCLC,  Title IV-B]:[(enter addt''l. fund source 5)]]),2)</f>
        <v>0</v>
      </c>
      <c r="O20" s="208"/>
      <c r="Q20" s="103" t="s">
        <v>75</v>
      </c>
      <c r="R20" s="230" cm="1">
        <f t="array" ref="R20">SUMIF(Site_Detail_5[[Category]:[Category]],Site_Category_Sum_5[[#This Row],[Column1]:[Column1]],Site_Detail_5[21st CCLC,  Title IV-B])</f>
        <v>0</v>
      </c>
      <c r="S20" s="124" cm="1">
        <f t="array" ref="S20">SUMIF(Site_Detail_5[[Category]:[Category]],Site_Category_Sum_5[[#This Row],[Column1]:[Column1]],Site_Detail_5[(enter addt''l. fund source 1)])</f>
        <v>0</v>
      </c>
      <c r="T20" s="102" cm="1">
        <f t="array" ref="T20">SUMIF(Site_Detail_5[[Category]:[Category]],Site_Category_Sum_5[[#This Row],[Column1]:[Column1]],Site_Detail_5[(enter addt''l. fund source 2)])</f>
        <v>0</v>
      </c>
      <c r="U20" s="102" cm="1">
        <f t="array" ref="U20">SUMIF(Site_Detail_5[[Category]:[Category]],Site_Category_Sum_5[[#This Row],[Column1]:[Column1]],Site_Detail_5[(enter addt''l. fund source 3)])</f>
        <v>0</v>
      </c>
      <c r="V20" s="102" cm="1">
        <f t="array" ref="V20">SUMIF(Site_Detail_5[[Category]:[Category]],Site_Category_Sum_5[[#This Row],[Column1]:[Column1]],Site_Detail_5[(enter addt''l. fund source 4)])</f>
        <v>0</v>
      </c>
      <c r="W20" s="102" cm="1">
        <f t="array" ref="W20">SUMIF(Site_Detail_5[[Category]:[Category]],Site_Category_Sum_5[[#This Row],[Column1]:[Column1]],Site_Detail_5[(enter addt''l. fund source 5)])</f>
        <v>0</v>
      </c>
      <c r="X20" s="233">
        <f>ROUND(SUM(Site_Category_Sum_5[[#This Row],[Column2]:[Column7]]),2)</f>
        <v>0</v>
      </c>
      <c r="Z20" s="178" t="s">
        <v>0</v>
      </c>
    </row>
    <row r="21" spans="2:26" x14ac:dyDescent="0.25">
      <c r="B21" s="53"/>
      <c r="C21" s="54"/>
      <c r="D21" s="53"/>
      <c r="E21" s="54"/>
      <c r="F21" s="54"/>
      <c r="G21" s="219"/>
      <c r="H21" s="196"/>
      <c r="I21" s="220"/>
      <c r="J21" s="55"/>
      <c r="K21" s="55"/>
      <c r="L21" s="55"/>
      <c r="M21" s="207"/>
      <c r="N21" s="200">
        <f>ROUND(SUM(Site_Detail_5[[#This Row],[21st CCLC,  Title IV-B]:[(enter addt''l. fund source 5)]]),2)</f>
        <v>0</v>
      </c>
      <c r="O21" s="208"/>
      <c r="Q21" s="103" t="s">
        <v>603</v>
      </c>
      <c r="R21" s="230" cm="1">
        <f t="array" ref="R21">SUMIF(Site_Detail_5[[Category]:[Category]],Site_Category_Sum_5[[#This Row],[Column1]:[Column1]],Site_Detail_5[21st CCLC,  Title IV-B])</f>
        <v>0</v>
      </c>
      <c r="S21" s="124" cm="1">
        <f t="array" ref="S21">SUMIF(Site_Detail_5[[Category]:[Category]],Site_Category_Sum_5[[#This Row],[Column1]:[Column1]],Site_Detail_5[(enter addt''l. fund source 1)])</f>
        <v>0</v>
      </c>
      <c r="T21" s="102" cm="1">
        <f t="array" ref="T21">SUMIF(Site_Detail_5[[Category]:[Category]],Site_Category_Sum_5[[#This Row],[Column1]:[Column1]],Site_Detail_5[(enter addt''l. fund source 2)])</f>
        <v>0</v>
      </c>
      <c r="U21" s="102" cm="1">
        <f t="array" ref="U21">SUMIF(Site_Detail_5[[Category]:[Category]],Site_Category_Sum_5[[#This Row],[Column1]:[Column1]],Site_Detail_5[(enter addt''l. fund source 3)])</f>
        <v>0</v>
      </c>
      <c r="V21" s="102" cm="1">
        <f t="array" ref="V21">SUMIF(Site_Detail_5[[Category]:[Category]],Site_Category_Sum_5[[#This Row],[Column1]:[Column1]],Site_Detail_5[(enter addt''l. fund source 4)])</f>
        <v>0</v>
      </c>
      <c r="W21" s="102" cm="1">
        <f t="array" ref="W21">SUMIF(Site_Detail_5[[Category]:[Category]],Site_Category_Sum_5[[#This Row],[Column1]:[Column1]],Site_Detail_5[(enter addt''l. fund source 5)])</f>
        <v>0</v>
      </c>
      <c r="X21" s="233">
        <f>ROUND(SUM(Site_Category_Sum_5[[#This Row],[Column2]:[Column7]]),2)</f>
        <v>0</v>
      </c>
      <c r="Z21" s="178" t="s">
        <v>0</v>
      </c>
    </row>
    <row r="22" spans="2:26" x14ac:dyDescent="0.25">
      <c r="B22" s="53"/>
      <c r="C22" s="54"/>
      <c r="D22" s="53"/>
      <c r="E22" s="54"/>
      <c r="F22" s="54"/>
      <c r="G22" s="219"/>
      <c r="H22" s="196"/>
      <c r="I22" s="220"/>
      <c r="J22" s="55"/>
      <c r="K22" s="55"/>
      <c r="L22" s="55"/>
      <c r="M22" s="207"/>
      <c r="N22" s="200">
        <f>ROUND(SUM(Site_Detail_5[[#This Row],[21st CCLC,  Title IV-B]:[(enter addt''l. fund source 5)]]),2)</f>
        <v>0</v>
      </c>
      <c r="O22" s="208"/>
      <c r="Q22" s="103" t="s">
        <v>604</v>
      </c>
      <c r="R22" s="230" cm="1">
        <f t="array" ref="R22">SUMIF(Site_Detail_5[[Category]:[Category]],Site_Category_Sum_5[[#This Row],[Column1]:[Column1]],Site_Detail_5[21st CCLC,  Title IV-B])</f>
        <v>0</v>
      </c>
      <c r="S22" s="124" cm="1">
        <f t="array" ref="S22">SUMIF(Site_Detail_5[[Category]:[Category]],Site_Category_Sum_5[[#This Row],[Column1]:[Column1]],Site_Detail_5[(enter addt''l. fund source 1)])</f>
        <v>0</v>
      </c>
      <c r="T22" s="102" cm="1">
        <f t="array" ref="T22">SUMIF(Site_Detail_5[[Category]:[Category]],Site_Category_Sum_5[[#This Row],[Column1]:[Column1]],Site_Detail_5[(enter addt''l. fund source 2)])</f>
        <v>0</v>
      </c>
      <c r="U22" s="102" cm="1">
        <f t="array" ref="U22">SUMIF(Site_Detail_5[[Category]:[Category]],Site_Category_Sum_5[[#This Row],[Column1]:[Column1]],Site_Detail_5[(enter addt''l. fund source 3)])</f>
        <v>0</v>
      </c>
      <c r="V22" s="102" cm="1">
        <f t="array" ref="V22">SUMIF(Site_Detail_5[[Category]:[Category]],Site_Category_Sum_5[[#This Row],[Column1]:[Column1]],Site_Detail_5[(enter addt''l. fund source 4)])</f>
        <v>0</v>
      </c>
      <c r="W22" s="102" cm="1">
        <f t="array" ref="W22">SUMIF(Site_Detail_5[[Category]:[Category]],Site_Category_Sum_5[[#This Row],[Column1]:[Column1]],Site_Detail_5[(enter addt''l. fund source 5)])</f>
        <v>0</v>
      </c>
      <c r="X22" s="233">
        <f>ROUND(SUM(Site_Category_Sum_5[[#This Row],[Column2]:[Column7]]),2)</f>
        <v>0</v>
      </c>
      <c r="Z22" s="178" t="s">
        <v>0</v>
      </c>
    </row>
    <row r="23" spans="2:26" x14ac:dyDescent="0.25">
      <c r="B23" s="53"/>
      <c r="C23" s="54"/>
      <c r="D23" s="53"/>
      <c r="E23" s="54"/>
      <c r="F23" s="54"/>
      <c r="G23" s="219"/>
      <c r="H23" s="196"/>
      <c r="I23" s="220"/>
      <c r="J23" s="55"/>
      <c r="K23" s="55"/>
      <c r="L23" s="55"/>
      <c r="M23" s="207"/>
      <c r="N23" s="200">
        <f>ROUND(SUM(Site_Detail_5[[#This Row],[21st CCLC,  Title IV-B]:[(enter addt''l. fund source 5)]]),2)</f>
        <v>0</v>
      </c>
      <c r="O23" s="208"/>
      <c r="Q23" s="103" t="s">
        <v>567</v>
      </c>
      <c r="R23" s="230" cm="1">
        <f t="array" ref="R23">SUMIF(Site_Detail_5[[Category]:[Category]],Site_Category_Sum_5[[#This Row],[Column1]:[Column1]],Site_Detail_5[21st CCLC,  Title IV-B])</f>
        <v>0</v>
      </c>
      <c r="S23" s="124" cm="1">
        <f t="array" ref="S23">SUMIF(Site_Detail_5[[Category]:[Category]],Site_Category_Sum_5[[#This Row],[Column1]:[Column1]],Site_Detail_5[(enter addt''l. fund source 1)])</f>
        <v>0</v>
      </c>
      <c r="T23" s="102" cm="1">
        <f t="array" ref="T23">SUMIF(Site_Detail_5[[Category]:[Category]],Site_Category_Sum_5[[#This Row],[Column1]:[Column1]],Site_Detail_5[(enter addt''l. fund source 2)])</f>
        <v>0</v>
      </c>
      <c r="U23" s="102" cm="1">
        <f t="array" ref="U23">SUMIF(Site_Detail_5[[Category]:[Category]],Site_Category_Sum_5[[#This Row],[Column1]:[Column1]],Site_Detail_5[(enter addt''l. fund source 3)])</f>
        <v>0</v>
      </c>
      <c r="V23" s="102" cm="1">
        <f t="array" ref="V23">SUMIF(Site_Detail_5[[Category]:[Category]],Site_Category_Sum_5[[#This Row],[Column1]:[Column1]],Site_Detail_5[(enter addt''l. fund source 4)])</f>
        <v>0</v>
      </c>
      <c r="W23" s="102" cm="1">
        <f t="array" ref="W23">SUMIF(Site_Detail_5[[Category]:[Category]],Site_Category_Sum_5[[#This Row],[Column1]:[Column1]],Site_Detail_5[(enter addt''l. fund source 5)])</f>
        <v>0</v>
      </c>
      <c r="X23" s="233">
        <f>ROUND(SUM(Site_Category_Sum_5[[#This Row],[Column2]:[Column7]]),2)</f>
        <v>0</v>
      </c>
      <c r="Z23" s="178" t="s">
        <v>0</v>
      </c>
    </row>
    <row r="24" spans="2:26" x14ac:dyDescent="0.25">
      <c r="B24" s="53"/>
      <c r="C24" s="54"/>
      <c r="D24" s="53"/>
      <c r="E24" s="54"/>
      <c r="F24" s="54"/>
      <c r="G24" s="219"/>
      <c r="H24" s="196"/>
      <c r="I24" s="220"/>
      <c r="J24" s="55"/>
      <c r="K24" s="55"/>
      <c r="L24" s="55"/>
      <c r="M24" s="207"/>
      <c r="N24" s="200">
        <f>ROUND(SUM(Site_Detail_5[[#This Row],[21st CCLC,  Title IV-B]:[(enter addt''l. fund source 5)]]),2)</f>
        <v>0</v>
      </c>
      <c r="O24" s="208"/>
      <c r="Q24" s="103" t="s">
        <v>192</v>
      </c>
      <c r="R24" s="230">
        <f>ROUND(SUMIFS(Site_Detail_5[21st CCLC,  Title IV-B],Site_Detail_5[[Category]:[Category]],"Indirect",Site_Detail_5[[Contracted Service?]:[Contracted Service?]],"&lt;&gt;Yes"),2)</f>
        <v>0</v>
      </c>
      <c r="S24" s="124">
        <f>ROUND(SUMIFS(Site_Detail_5[(enter addt''l. fund source 1)],Site_Detail_5[[Category]:[Category]],"Indirect",Site_Detail_5[[Contracted Service?]:[Contracted Service?]],"&lt;&gt;Yes"),2)</f>
        <v>0</v>
      </c>
      <c r="T24" s="102">
        <f>ROUND(SUMIFS(Site_Detail_5[(enter addt''l. fund source 2)],Site_Detail_5[[Category]:[Category]],"Indirect",Site_Detail_5[[Contracted Service?]:[Contracted Service?]],"&lt;&gt;Yes"),2)</f>
        <v>0</v>
      </c>
      <c r="U24" s="102">
        <f>ROUND(SUMIFS(Site_Detail_5[(enter addt''l. fund source 3)],Site_Detail_5[[Category]:[Category]],"Indirect",Site_Detail_5[[Contracted Service?]:[Contracted Service?]],"&lt;&gt;Yes"),2)</f>
        <v>0</v>
      </c>
      <c r="V24" s="102">
        <f>ROUND(SUMIFS(Site_Detail_5[(enter addt''l. fund source 4)],Site_Detail_5[[Category]:[Category]],"Indirect",Site_Detail_5[[Contracted Service?]:[Contracted Service?]],"&lt;&gt;Yes"),2)</f>
        <v>0</v>
      </c>
      <c r="W24" s="102">
        <f>ROUND(SUMIFS(Site_Detail_5[(enter addt''l. fund source 5)],Site_Detail_5[[Category]:[Category]],"Indirect",Site_Detail_5[[Contracted Service?]:[Contracted Service?]],"&lt;&gt;Yes"),2)</f>
        <v>0</v>
      </c>
      <c r="X24" s="233">
        <f>ROUND(SUM(Site_Category_Sum_5[[#This Row],[Column2]:[Column7]]),2)</f>
        <v>0</v>
      </c>
      <c r="Z24" s="178" t="s">
        <v>0</v>
      </c>
    </row>
    <row r="25" spans="2:26" x14ac:dyDescent="0.25">
      <c r="B25" s="53"/>
      <c r="C25" s="54"/>
      <c r="D25" s="53"/>
      <c r="E25" s="54"/>
      <c r="F25" s="54"/>
      <c r="G25" s="219"/>
      <c r="H25" s="196"/>
      <c r="I25" s="220"/>
      <c r="J25" s="55"/>
      <c r="K25" s="55"/>
      <c r="L25" s="55"/>
      <c r="M25" s="207"/>
      <c r="N25" s="200">
        <f>ROUND(SUM(Site_Detail_5[[#This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ROUND(SUM(Site_Category_Sum_5[[#This Row],[Column2]:[Column7]]),2)</f>
        <v>0</v>
      </c>
      <c r="Z25" s="178" t="s">
        <v>0</v>
      </c>
    </row>
    <row r="26" spans="2:26" x14ac:dyDescent="0.25">
      <c r="B26" s="53"/>
      <c r="C26" s="54"/>
      <c r="D26" s="53"/>
      <c r="E26" s="54"/>
      <c r="F26" s="54"/>
      <c r="G26" s="219"/>
      <c r="H26" s="196"/>
      <c r="I26" s="220"/>
      <c r="J26" s="55"/>
      <c r="K26" s="55"/>
      <c r="L26" s="55"/>
      <c r="M26" s="207"/>
      <c r="N26" s="200">
        <f>ROUND(SUM(Site_Detail_5[[#This Row],[21st CCLC,  Title IV-B]:[(enter addt''l. fund source 5)]]),2)</f>
        <v>0</v>
      </c>
      <c r="O26" s="208"/>
      <c r="Q26" s="103" t="s">
        <v>291</v>
      </c>
      <c r="R26" s="230" cm="1">
        <f t="array" ref="R26">SUMIF(Site_Detail_5[[Program Type]:[Program Type]],Site_Category_Sum_5[[#This Row],[Column1]:[Column1]],Site_Detail_5[21st CCLC,  Title IV-B])</f>
        <v>0</v>
      </c>
      <c r="S26" s="124" cm="1">
        <f t="array" ref="S26">SUMIF(Site_Detail_5[[Program Type]:[Program Type]],Site_Category_Sum_5[[#This Row],[Column1]:[Column1]],Site_Detail_5[(enter addt''l. fund source 1)])</f>
        <v>0</v>
      </c>
      <c r="T26" s="102" cm="1">
        <f t="array" ref="T26">SUMIF(Site_Detail_5[[Program Type]:[Program Type]],Site_Category_Sum_5[[#This Row],[Column1]:[Column1]],Site_Detail_5[(enter addt''l. fund source 2)])</f>
        <v>0</v>
      </c>
      <c r="U26" s="102" cm="1">
        <f t="array" ref="U26">SUMIF(Site_Detail_5[[Program Type]:[Program Type]],Site_Category_Sum_5[[#This Row],[Column1]:[Column1]],Site_Detail_5[(enter addt''l. fund source 3)])</f>
        <v>0</v>
      </c>
      <c r="V26" s="102" cm="1">
        <f t="array" ref="V26">SUMIF(Site_Detail_5[[Program Type]:[Program Type]],Site_Category_Sum_5[[#This Row],[Column1]:[Column1]],Site_Detail_5[(enter addt''l. fund source 4)])</f>
        <v>0</v>
      </c>
      <c r="W26" s="102" cm="1">
        <f t="array" ref="W26">SUMIF(Site_Detail_5[[Program Type]:[Program Type]],Site_Category_Sum_5[[#This Row],[Column1]:[Column1]],Site_Detail_5[(enter addt''l. fund source 5)])</f>
        <v>0</v>
      </c>
      <c r="X26" s="233">
        <f>ROUND(SUM(Site_Category_Sum_5[[#This Row],[Column2]:[Column7]]),2)</f>
        <v>0</v>
      </c>
      <c r="Z26" s="178" t="s">
        <v>0</v>
      </c>
    </row>
    <row r="27" spans="2:26" x14ac:dyDescent="0.25">
      <c r="B27" s="53"/>
      <c r="C27" s="54"/>
      <c r="D27" s="53"/>
      <c r="E27" s="54"/>
      <c r="F27" s="54"/>
      <c r="G27" s="219"/>
      <c r="H27" s="196"/>
      <c r="I27" s="220"/>
      <c r="J27" s="55"/>
      <c r="K27" s="55"/>
      <c r="L27" s="55"/>
      <c r="M27" s="207"/>
      <c r="N27" s="200">
        <f>ROUND(SUM(Site_Detail_5[[#This Row],[21st CCLC,  Title IV-B]:[(enter addt''l. fund source 5)]]),2)</f>
        <v>0</v>
      </c>
      <c r="O27" s="208"/>
      <c r="Q27" s="103" t="s">
        <v>292</v>
      </c>
      <c r="R27" s="230" cm="1">
        <f t="array" ref="R27">SUMIF(Site_Detail_5[[Program Type]:[Program Type]],Site_Category_Sum_5[[#This Row],[Column1]:[Column1]],Site_Detail_5[21st CCLC,  Title IV-B])</f>
        <v>0</v>
      </c>
      <c r="S27" s="124" cm="1">
        <f t="array" ref="S27">SUMIF(Site_Detail_5[[Program Type]:[Program Type]],Site_Category_Sum_5[[#This Row],[Column1]:[Column1]],Site_Detail_5[(enter addt''l. fund source 1)])</f>
        <v>0</v>
      </c>
      <c r="T27" s="102" cm="1">
        <f t="array" ref="T27">SUMIF(Site_Detail_5[[Program Type]:[Program Type]],Site_Category_Sum_5[[#This Row],[Column1]:[Column1]],Site_Detail_5[(enter addt''l. fund source 2)])</f>
        <v>0</v>
      </c>
      <c r="U27" s="102" cm="1">
        <f t="array" ref="U27">SUMIF(Site_Detail_5[[Program Type]:[Program Type]],Site_Category_Sum_5[[#This Row],[Column1]:[Column1]],Site_Detail_5[(enter addt''l. fund source 3)])</f>
        <v>0</v>
      </c>
      <c r="V27" s="102" cm="1">
        <f t="array" ref="V27">SUMIF(Site_Detail_5[[Program Type]:[Program Type]],Site_Category_Sum_5[[#This Row],[Column1]:[Column1]],Site_Detail_5[(enter addt''l. fund source 4)])</f>
        <v>0</v>
      </c>
      <c r="W27" s="102" cm="1">
        <f t="array" ref="W27">SUMIF(Site_Detail_5[[Program Type]:[Program Type]],Site_Category_Sum_5[[#This Row],[Column1]:[Column1]],Site_Detail_5[(enter addt''l. fund source 5)])</f>
        <v>0</v>
      </c>
      <c r="X27" s="233">
        <f>ROUND(SUM(Site_Category_Sum_5[[#This Row],[Column2]:[Column7]]),2)</f>
        <v>0</v>
      </c>
    </row>
    <row r="28" spans="2:26" x14ac:dyDescent="0.25">
      <c r="B28" s="53"/>
      <c r="C28" s="54"/>
      <c r="D28" s="53"/>
      <c r="E28" s="54"/>
      <c r="F28" s="54"/>
      <c r="G28" s="219"/>
      <c r="H28" s="196"/>
      <c r="I28" s="220"/>
      <c r="J28" s="55"/>
      <c r="K28" s="55"/>
      <c r="L28" s="55"/>
      <c r="M28" s="207"/>
      <c r="N28" s="200">
        <f>ROUND(SUM(Site_Detail_5[[#This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ROUND(SUM(Site_Category_Sum_5[[#This Row],[Column2]:[Column7]]),2)</f>
        <v>0</v>
      </c>
    </row>
    <row r="29" spans="2:26" x14ac:dyDescent="0.25">
      <c r="B29" s="53"/>
      <c r="C29" s="54"/>
      <c r="D29" s="53"/>
      <c r="E29" s="54"/>
      <c r="F29" s="54"/>
      <c r="G29" s="219"/>
      <c r="H29" s="196"/>
      <c r="I29" s="220"/>
      <c r="J29" s="55"/>
      <c r="K29" s="55"/>
      <c r="L29" s="55"/>
      <c r="M29" s="207"/>
      <c r="N29" s="200">
        <f>ROUND(SUM(Site_Detail_5[[#This Row],[21st CCLC,  Title IV-B]:[(enter addt''l. fund source 5)]]),2)</f>
        <v>0</v>
      </c>
      <c r="O29" s="208"/>
      <c r="Q29" s="103" t="s">
        <v>591</v>
      </c>
      <c r="R29" s="230">
        <f>ROUND(SUMIF(Site_Detail_5[[Contracted Service?]:[Contracted Service?]],"Yes",Site_Detail_5[21st CCLC,  Title IV-B]),2)</f>
        <v>0</v>
      </c>
      <c r="S29" s="124">
        <f>ROUND(SUMIF(Site_Detail_5[[Contracted Service?]:[Contracted Service?]],"Yes",Site_Detail_5[(enter addt''l. fund source 1)]),2)</f>
        <v>0</v>
      </c>
      <c r="T29" s="102">
        <f>ROUND(SUMIF(Site_Detail_5[[Contracted Service?]:[Contracted Service?]],"Yes",Site_Detail_5[(enter addt''l. fund source 2)]),2)</f>
        <v>0</v>
      </c>
      <c r="U29" s="102">
        <f>ROUND(SUMIF(Site_Detail_5[[Contracted Service?]:[Contracted Service?]],"Yes",Site_Detail_5[(enter addt''l. fund source 3)]),2)</f>
        <v>0</v>
      </c>
      <c r="V29" s="102">
        <f>ROUND(SUMIF(Site_Detail_5[[Contracted Service?]:[Contracted Service?]],"Yes",Site_Detail_5[(enter addt''l. fund source 4)]),2)</f>
        <v>0</v>
      </c>
      <c r="W29" s="102">
        <f>ROUND(SUMIF(Site_Detail_5[[Contracted Service?]:[Contracted Service?]],"Yes",Site_Detail_5[(enter addt''l. fund source 5)]),2)</f>
        <v>0</v>
      </c>
      <c r="X29" s="233">
        <f>ROUND(SUM(Site_Category_Sum_5[[#This Row],[Column2]:[Column7]]),2)</f>
        <v>0</v>
      </c>
    </row>
    <row r="30" spans="2:26" x14ac:dyDescent="0.25">
      <c r="B30" s="53"/>
      <c r="C30" s="54"/>
      <c r="D30" s="53"/>
      <c r="E30" s="54"/>
      <c r="F30" s="54"/>
      <c r="G30" s="219"/>
      <c r="H30" s="196"/>
      <c r="I30" s="220"/>
      <c r="J30" s="55"/>
      <c r="K30" s="55"/>
      <c r="L30" s="55"/>
      <c r="M30" s="207"/>
      <c r="N30" s="200">
        <f>ROUND(SUM(Site_Detail_5[[#This Row],[21st CCLC,  Title IV-B]:[(enter addt''l. fund source 5)]]),2)</f>
        <v>0</v>
      </c>
      <c r="O30" s="208"/>
      <c r="Q30" s="103" t="s">
        <v>597</v>
      </c>
      <c r="R30" s="230">
        <f>ROUND(SUMIF(Site_Detail_5[[Contracted Service?]:[Contracted Service?]],"&lt;&gt;Yes",Site_Detail_5[21st CCLC,  Title IV-B]),2)</f>
        <v>0</v>
      </c>
      <c r="S30" s="124">
        <f>ROUND(SUMIF(Site_Detail_5[[Contracted Service?]:[Contracted Service?]],"&lt;&gt;Yes",Site_Detail_5[(enter addt''l. fund source 1)]),2)</f>
        <v>0</v>
      </c>
      <c r="T30" s="102">
        <f>ROUND(SUMIF(Site_Detail_5[[Contracted Service?]:[Contracted Service?]],"&lt;&gt;Yes",Site_Detail_5[(enter addt''l. fund source 2)]),2)</f>
        <v>0</v>
      </c>
      <c r="U30" s="102">
        <f>ROUND(SUMIF(Site_Detail_5[[Contracted Service?]:[Contracted Service?]],"&lt;&gt;Yes",Site_Detail_5[(enter addt''l. fund source 3)]),2)</f>
        <v>0</v>
      </c>
      <c r="V30" s="102">
        <f>ROUND(SUMIF(Site_Detail_5[[Contracted Service?]:[Contracted Service?]],"&lt;&gt;Yes",Site_Detail_5[(enter addt''l. fund source 4)]),2)</f>
        <v>0</v>
      </c>
      <c r="W30" s="102">
        <f>ROUND(SUMIF(Site_Detail_5[[Contracted Service?]:[Contracted Service?]],"&lt;&gt;Yes",Site_Detail_5[(enter addt''l. fund source 5)]),2)</f>
        <v>0</v>
      </c>
      <c r="X30" s="233">
        <f>ROUND(SUM(Site_Category_Sum_5[[#This Row],[Column2]:[Column7]]),2)</f>
        <v>0</v>
      </c>
    </row>
    <row r="31" spans="2:26" x14ac:dyDescent="0.25">
      <c r="B31" s="53"/>
      <c r="C31" s="54"/>
      <c r="D31" s="53"/>
      <c r="E31" s="54"/>
      <c r="F31" s="54"/>
      <c r="G31" s="219"/>
      <c r="H31" s="196"/>
      <c r="I31" s="220"/>
      <c r="J31" s="55"/>
      <c r="K31" s="55"/>
      <c r="L31" s="55"/>
      <c r="M31" s="207"/>
      <c r="N31" s="200">
        <f>ROUND(SUM(Site_Detail_5[[#This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ROUND(SUM(Site_Category_Sum_5[[#This Row],[Column2]:[Column7]]),2)</f>
        <v>0</v>
      </c>
    </row>
    <row r="32" spans="2:26" x14ac:dyDescent="0.25">
      <c r="B32" s="53"/>
      <c r="C32" s="54"/>
      <c r="D32" s="53"/>
      <c r="E32" s="54"/>
      <c r="F32" s="54"/>
      <c r="G32" s="219"/>
      <c r="H32" s="196"/>
      <c r="I32" s="220"/>
      <c r="J32" s="55"/>
      <c r="K32" s="55"/>
      <c r="L32" s="55"/>
      <c r="M32" s="207"/>
      <c r="N32" s="200">
        <f>ROUND(SUM(Site_Detail_5[[#This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ROUND(SUM(Site_Detail_5[[#This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ROUND(SUM(Site_Detail_5[[#This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ROUND(SUM(Site_Detail_5[[#This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ROUND(SUM(Site_Detail_5[[#This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ROUND(SUM(Site_Detail_5[[#This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ROUND(SUM(Site_Detail_5[[#This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ROUND(SUM(Site_Detail_5[[#This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ROUND(SUM(Site_Detail_5[[#This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ROUND(SUM(Site_Detail_5[[#This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ROUND(SUM(Site_Detail_5[[#This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ROUND(SUM(Site_Detail_5[[#This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ROUND(SUM(Site_Detail_5[[#This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ROUND(SUM(Site_Detail_5[[#This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ROUND(SUM(Site_Detail_5[[#This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ROUND(SUM(Site_Detail_5[[#This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ROUND(SUM(Site_Detail_5[[#This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ROUND(SUM(Site_Detail_5[[#This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ROUND(SUM(Site_Detail_5[[#This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ROUND(SUM(Site_Detail_5[[#This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ROUND(SUM(Site_Detail_5[[#This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ROUND(SUM(Site_Detail_5[[#This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ROUND(SUM(Site_Detail_5[[#This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ROUND(SUM(Site_Detail_5[[#This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ROUND(SUM(Site_Detail_5[[#This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ROUND(SUM(Site_Detail_5[[#This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ROUND(SUM(Site_Detail_5[[#This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ROUND(SUM(Site_Detail_5[[#This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ROUND(SUM(Site_Detail_5[[#This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ROUND(SUM(Site_Detail_5[[#This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ROUND(SUM(Site_Detail_5[[#This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ROUND(SUM(Site_Detail_5[[#This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ROUND(SUM(Site_Detail_5[[#This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ROUND(SUM(Site_Detail_5[[#This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ROUND(SUM(Site_Detail_5[[#This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ROUND(SUM(Site_Detail_5[[#This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ROUND(SUM(Site_Detail_5[[#This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ROUND(SUM(Site_Detail_5[[#This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ROUND(SUM(Site_Detail_5[[#This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ROUND(SUM(Site_Detail_5[[#This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ROUND(SUM(Site_Detail_5[[#This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ROUND(SUM(Site_Detail_5[[#This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ROUND(SUM(Site_Detail_5[[#This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ROUND(SUM(Site_Detail_5[[#This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ROUND(SUM(Site_Detail_5[[#This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ROUND(SUM(Site_Detail_5[[#This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ROUND(SUM(Site_Detail_5[[#This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ROUND(SUM(Site_Detail_5[[#This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ROUND(SUM(Site_Detail_5[[#This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ROUND(SUM(Site_Detail_5[[#This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ROUND(SUM(Site_Detail_5[[#This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ROUND(SUM(Site_Detail_5[[#This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ROUND(SUM(Site_Detail_5[[#This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ROUND(SUM(Site_Detail_5[[#This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ROUND(SUM(Site_Detail_5[[#This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ROUND(SUM(Site_Detail_5[[#This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134" priority="6" operator="equal">
      <formula>"(select)"</formula>
    </cfRule>
  </conditionalFormatting>
  <conditionalFormatting sqref="B13:G87">
    <cfRule type="expression" dxfId="133" priority="7">
      <formula>AND(SUM($H13:$M13)&gt;0,B13="")</formula>
    </cfRule>
  </conditionalFormatting>
  <conditionalFormatting sqref="C4:C5 C7">
    <cfRule type="cellIs" dxfId="132" priority="1" operator="equal">
      <formula>"(autofill)"</formula>
    </cfRule>
    <cfRule type="expression" dxfId="131" priority="2">
      <formula>$C$5="Invalid Entity ID"</formula>
    </cfRule>
  </conditionalFormatting>
  <conditionalFormatting sqref="C6">
    <cfRule type="cellIs" dxfId="130" priority="3" operator="equal">
      <formula>"(enter center/site name)"</formula>
    </cfRule>
  </conditionalFormatting>
  <conditionalFormatting sqref="C8">
    <cfRule type="cellIs" dxfId="129" priority="4" operator="equal">
      <formula>"(enter #)"</formula>
    </cfRule>
  </conditionalFormatting>
  <conditionalFormatting sqref="C13:C87">
    <cfRule type="cellIs" dxfId="128" priority="8" operator="equal">
      <formula>"Yes"</formula>
    </cfRule>
  </conditionalFormatting>
  <conditionalFormatting sqref="E13">
    <cfRule type="cellIs" dxfId="127" priority="9" operator="equal">
      <formula>"(fx code)"</formula>
    </cfRule>
  </conditionalFormatting>
  <conditionalFormatting sqref="F13">
    <cfRule type="cellIs" dxfId="126" priority="10" operator="equal">
      <formula>"(obj)"</formula>
    </cfRule>
  </conditionalFormatting>
  <conditionalFormatting sqref="G13">
    <cfRule type="cellIs" dxfId="125" priority="11" operator="equal">
      <formula>"(enter description)"</formula>
    </cfRule>
  </conditionalFormatting>
  <conditionalFormatting sqref="H13:M13">
    <cfRule type="cellIs" dxfId="124" priority="12" operator="equal">
      <formula>"(enter $)"</formula>
    </cfRule>
  </conditionalFormatting>
  <conditionalFormatting sqref="I7:M7 I12:M12 S12:W12">
    <cfRule type="containsText" dxfId="123" priority="5" operator="containsText" text="(addt'l. fund source">
      <formula>NOT(ISERROR(SEARCH("(addt'l. fund source",I7)))</formula>
    </cfRule>
  </conditionalFormatting>
  <conditionalFormatting sqref="O13">
    <cfRule type="cellIs" dxfId="122" priority="13" operator="equal">
      <formula>"(enter note)"</formula>
    </cfRule>
  </conditionalFormatting>
  <dataValidations count="4">
    <dataValidation type="list" allowBlank="1" showErrorMessage="1" sqref="C13:C87" xr:uid="{273BB071-BD75-47DE-BA41-084256C6E83F}">
      <formula1>Contracted_List</formula1>
    </dataValidation>
    <dataValidation type="list" allowBlank="1" showErrorMessage="1" sqref="D13:D87" xr:uid="{BBF01938-7171-4BB9-AB41-93E62A4E5884}">
      <formula1>Categories_List</formula1>
    </dataValidation>
    <dataValidation type="list" allowBlank="1" showErrorMessage="1" sqref="B13:B87" xr:uid="{573B443A-7E60-447B-8B64-F3EB12337E5E}">
      <formula1>Program_List</formula1>
    </dataValidation>
    <dataValidation allowBlank="1" showInputMessage="1" showErrorMessage="1" prompt="Each line item for salaries MUST indicate: _x000a__x000a_1) Amount of FTE, and _x000a__x000a_2) Type of position (see Budget Guidance tab for examples)." sqref="G13:G15" xr:uid="{B4009DED-2AFF-4F2E-94C5-B778C652CD75}"/>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1141A-5BF5-4739-AF12-D51AB86115E5}">
  <sheetPr>
    <tabColor rgb="FFAAD4F4"/>
    <pageSetUpPr autoPageBreaks="0" fitToPage="1"/>
  </sheetPr>
  <dimension ref="A1:Z87"/>
  <sheetViews>
    <sheetView showGridLines="0" showRowColHeaders="0" zoomScaleNormal="100" workbookViewId="0">
      <pane ySplit="12" topLeftCell="A13" activePane="bottomLeft" state="frozen"/>
      <selection activeCell="B2" sqref="B2:H2"/>
      <selection pane="bottomLeft" activeCell="B2" sqref="B2:H2"/>
    </sheetView>
  </sheetViews>
  <sheetFormatPr defaultRowHeight="15" x14ac:dyDescent="0.25"/>
  <cols>
    <col min="1" max="1" width="2.7109375" style="3" customWidth="1"/>
    <col min="2" max="2" width="19.140625" style="2" bestFit="1" customWidth="1"/>
    <col min="3" max="3" width="12.5703125" style="2" bestFit="1" customWidth="1"/>
    <col min="4" max="4" width="20.85546875" style="2" bestFit="1" customWidth="1"/>
    <col min="5" max="5" width="8.85546875" style="2" customWidth="1"/>
    <col min="6" max="6" width="6.85546875" style="2" bestFit="1" customWidth="1"/>
    <col min="7" max="7" width="55.5703125" style="2" customWidth="1"/>
    <col min="8" max="14" width="14.28515625" style="2" bestFit="1" customWidth="1"/>
    <col min="15" max="15" width="45.7109375" style="2" customWidth="1"/>
    <col min="16" max="16" width="10.7109375" style="2" customWidth="1"/>
    <col min="17" max="17" width="24.85546875" style="2" bestFit="1" customWidth="1"/>
    <col min="18" max="24" width="14.28515625" style="2" bestFit="1" customWidth="1"/>
    <col min="25" max="16384" width="9.140625" style="2"/>
  </cols>
  <sheetData>
    <row r="1" spans="1:26" customFormat="1" x14ac:dyDescent="0.25">
      <c r="A1" s="1" t="s">
        <v>0</v>
      </c>
    </row>
    <row r="2" spans="1:26" customFormat="1" ht="24.75" customHeight="1" x14ac:dyDescent="0.25">
      <c r="A2" s="1" t="s">
        <v>0</v>
      </c>
      <c r="B2" s="395" t="s">
        <v>621</v>
      </c>
      <c r="C2" s="396"/>
      <c r="D2" s="396"/>
      <c r="E2" s="396"/>
      <c r="F2" s="396"/>
      <c r="G2" s="397"/>
    </row>
    <row r="3" spans="1:26" customFormat="1" x14ac:dyDescent="0.25">
      <c r="A3" s="1" t="s">
        <v>0</v>
      </c>
    </row>
    <row r="4" spans="1:26" customFormat="1" x14ac:dyDescent="0.25">
      <c r="A4" s="1" t="s">
        <v>0</v>
      </c>
      <c r="B4" s="134" t="s">
        <v>536</v>
      </c>
      <c r="C4" s="135" t="str">
        <f>IF('Program Budget'!$C$4="(enter ID)","(autofill)",'Program Budget'!$C$4)</f>
        <v>(autofill)</v>
      </c>
      <c r="D4" s="136"/>
      <c r="E4" s="137"/>
      <c r="H4" s="138"/>
      <c r="I4" s="138"/>
      <c r="J4" s="2"/>
    </row>
    <row r="5" spans="1:26" customFormat="1" ht="16.5" customHeight="1" x14ac:dyDescent="0.25">
      <c r="A5" s="1" t="s">
        <v>0</v>
      </c>
      <c r="B5" s="139" t="s">
        <v>537</v>
      </c>
      <c r="C5" s="398" t="str">
        <f>'Program Budget'!$C$5</f>
        <v>(autofill)</v>
      </c>
      <c r="D5" s="399"/>
      <c r="E5" s="400"/>
    </row>
    <row r="6" spans="1:26" customFormat="1" ht="16.5" customHeight="1" x14ac:dyDescent="0.25">
      <c r="A6" s="1" t="s">
        <v>0</v>
      </c>
      <c r="B6" s="140" t="s">
        <v>538</v>
      </c>
      <c r="C6" s="404" t="s">
        <v>535</v>
      </c>
      <c r="D6" s="405"/>
      <c r="E6" s="406"/>
    </row>
    <row r="7" spans="1:26" s="146" customFormat="1" ht="30" customHeight="1" thickBot="1" x14ac:dyDescent="0.3">
      <c r="A7" s="1" t="s">
        <v>0</v>
      </c>
      <c r="B7" s="174" t="s">
        <v>539</v>
      </c>
      <c r="C7" s="175" t="str">
        <f>'Program Budget'!$C$7</f>
        <v>(autofill)</v>
      </c>
      <c r="D7" s="144"/>
      <c r="E7" s="145"/>
      <c r="G7"/>
      <c r="H7" s="197" t="s">
        <v>289</v>
      </c>
      <c r="I7" s="209" t="str">
        <f>IF(IFERROR(FIND("enter",Program_Detail[[#Headers],[(enter addt''l. fund source 1)]]),0)&gt;0,"(addt'l. fund source 1)",Program_Detail[[#Headers],[(enter addt''l. fund source 1)]])</f>
        <v>(addt'l. fund source 1)</v>
      </c>
      <c r="J7" s="148" t="str">
        <f>IF(IFERROR(FIND("enter",Program_Detail[[#Headers],[(enter addt''l. fund source 2)]]),0)&gt;0,"(addt'l. fund source 2)",Program_Detail[[#Headers],[(enter addt''l. fund source 2)]])</f>
        <v>(addt'l. fund source 2)</v>
      </c>
      <c r="K7" s="148" t="str">
        <f>IF(IFERROR(FIND("enter",Program_Detail[[#Headers],[(enter addt''l. fund source 3)]]),0)&gt;0,"(addt'l. fund source 3)",Program_Detail[[#Headers],[(enter addt''l. fund source 3)]])</f>
        <v>(addt'l. fund source 3)</v>
      </c>
      <c r="L7" s="148" t="str">
        <f>IF(IFERROR(FIND("enter",Program_Detail[[#Headers],[(enter addt''l. fund source 4)]]),0)&gt;0,"(addt'l. fund source 4)",Program_Detail[[#Headers],[(enter addt''l. fund source 4)]])</f>
        <v>(addt'l. fund source 4)</v>
      </c>
      <c r="M7" s="201" t="str">
        <f>IF(IFERROR(FIND("enter",Program_Detail[[#Headers],[(enter addt''l. fund source 5)]]),0)&gt;0,"(addt'l. fund source 5)",Program_Detail[[#Headers],[(enter addt''l. fund source 5)]])</f>
        <v>(addt'l. fund source 5)</v>
      </c>
      <c r="N7" s="202" t="s">
        <v>607</v>
      </c>
    </row>
    <row r="8" spans="1:26" customFormat="1" ht="15" customHeight="1" x14ac:dyDescent="0.25">
      <c r="A8" s="1" t="s">
        <v>0</v>
      </c>
      <c r="B8" s="407" t="s">
        <v>590</v>
      </c>
      <c r="C8" s="409" t="s">
        <v>589</v>
      </c>
      <c r="G8" s="149" t="s">
        <v>608</v>
      </c>
      <c r="H8" s="151">
        <f>ROUND(SUMIF(Site_Detail_6[[Program Type]:[Program Type]],"Before/Afterschool",Site_Detail_6[21st CCLC,  Title IV-B]),2)</f>
        <v>0</v>
      </c>
      <c r="I8" s="150">
        <f>ROUND(SUMIF(Site_Detail_6[[Program Type]:[Program Type]],"Before/Afterschool",Site_Detail_6[(enter addt''l. fund source 1)]),2)</f>
        <v>0</v>
      </c>
      <c r="J8" s="150">
        <f>ROUND(SUMIF(Site_Detail_6[[Program Type]:[Program Type]],"Before/Afterschool",Site_Detail_6[(enter addt''l. fund source 2)]),2)</f>
        <v>0</v>
      </c>
      <c r="K8" s="150">
        <f>ROUND(SUMIF(Site_Detail_6[[Program Type]:[Program Type]],"Before/Afterschool",Site_Detail_6[(enter addt''l. fund source 3)]),2)</f>
        <v>0</v>
      </c>
      <c r="L8" s="150">
        <f>ROUND(SUMIF(Site_Detail_6[[Program Type]:[Program Type]],"Before/Afterschool",Site_Detail_6[(enter addt''l. fund source 4)]),2)</f>
        <v>0</v>
      </c>
      <c r="M8" s="203">
        <f>ROUND(SUMIF(Site_Detail_6[[Program Type]:[Program Type]],"Before/Afterschool",Site_Detail_6[(enter addt''l. fund source 5)]),2)</f>
        <v>0</v>
      </c>
      <c r="N8" s="198">
        <f>SUM(Site_Summary_6[[#This Row],[Column3]:[Column8]])</f>
        <v>0</v>
      </c>
    </row>
    <row r="9" spans="1:26" customFormat="1" x14ac:dyDescent="0.25">
      <c r="A9" s="1" t="s">
        <v>0</v>
      </c>
      <c r="B9" s="408"/>
      <c r="C9" s="410"/>
      <c r="G9" s="149" t="s">
        <v>609</v>
      </c>
      <c r="H9" s="151">
        <f>ROUND(SUMIF(Site_Detail_6[[Program Type]:[Program Type]],"Summer",Site_Detail_6[21st CCLC,  Title IV-B]),2)</f>
        <v>0</v>
      </c>
      <c r="I9" s="150">
        <f>ROUND(SUMIF(Site_Detail_6[[Program Type]:[Program Type]],"Summer",Site_Detail_6[(enter addt''l. fund source 1)]),2)</f>
        <v>0</v>
      </c>
      <c r="J9" s="150">
        <f>ROUND(SUMIF(Site_Detail_6[[Program Type]:[Program Type]],"Summer",Site_Detail_6[(enter addt''l. fund source 2)]),2)</f>
        <v>0</v>
      </c>
      <c r="K9" s="150">
        <f>ROUND(SUMIF(Site_Detail_6[[Program Type]:[Program Type]],"Summer",Site_Detail_6[(enter addt''l. fund source 3)]),2)</f>
        <v>0</v>
      </c>
      <c r="L9" s="150">
        <f>ROUND(SUMIF(Site_Detail_6[[Program Type]:[Program Type]],"Summer",Site_Detail_6[(enter addt''l. fund source 4)]),2)</f>
        <v>0</v>
      </c>
      <c r="M9" s="204">
        <f>ROUND(SUMIF(Site_Detail_6[[Program Type]:[Program Type]],"Summer",Site_Detail_6[(enter addt''l. fund source 5)]),2)</f>
        <v>0</v>
      </c>
      <c r="N9" s="199">
        <f>SUM(Site_Summary_6[[#This Row],[Column3]:[Column8]])</f>
        <v>0</v>
      </c>
    </row>
    <row r="10" spans="1:26" customFormat="1" x14ac:dyDescent="0.25">
      <c r="A10" s="1" t="s">
        <v>0</v>
      </c>
      <c r="G10" s="152" t="s">
        <v>622</v>
      </c>
      <c r="H10" s="247">
        <f>ROUND(SUM(Site_Detail_6[21st CCLC,  Title IV-B]),2)</f>
        <v>0</v>
      </c>
      <c r="I10" s="248">
        <f>ROUND(SUM(Site_Detail_6[(enter addt''l. fund source 1)]),2)</f>
        <v>0</v>
      </c>
      <c r="J10" s="109">
        <f>ROUND(SUM(Site_Detail_6[(enter addt''l. fund source 2)]),2)</f>
        <v>0</v>
      </c>
      <c r="K10" s="109">
        <f>ROUND(SUM(Site_Detail_6[(enter addt''l. fund source 3)]),2)</f>
        <v>0</v>
      </c>
      <c r="L10" s="109">
        <f>ROUND(SUM(Site_Detail_6[(enter addt''l. fund source 4)]),2)</f>
        <v>0</v>
      </c>
      <c r="M10" s="110">
        <f>ROUND(SUM(Site_Detail_6[(enter addt''l. fund source 5)]),2)</f>
        <v>0</v>
      </c>
      <c r="N10" s="238">
        <f>SUM(Site_Summary_6[[#This Row],[Column3]:[Column8]])</f>
        <v>0</v>
      </c>
    </row>
    <row r="11" spans="1:26" customFormat="1" x14ac:dyDescent="0.25">
      <c r="A11" s="1" t="s">
        <v>0</v>
      </c>
      <c r="B11" s="155" t="s">
        <v>540</v>
      </c>
      <c r="H11" s="141" t="s">
        <v>8</v>
      </c>
      <c r="I11" s="142" t="s">
        <v>9</v>
      </c>
      <c r="J11" s="142" t="s">
        <v>9</v>
      </c>
      <c r="K11" s="142" t="s">
        <v>9</v>
      </c>
      <c r="L11" s="142" t="s">
        <v>9</v>
      </c>
      <c r="M11" s="142" t="s">
        <v>9</v>
      </c>
      <c r="N11" s="195" t="s">
        <v>595</v>
      </c>
      <c r="O11" s="194" t="s">
        <v>9</v>
      </c>
    </row>
    <row r="12" spans="1:26" s="146" customFormat="1" ht="30.75" customHeight="1" thickBot="1" x14ac:dyDescent="0.3">
      <c r="A12" s="1" t="s">
        <v>0</v>
      </c>
      <c r="B12" s="156" t="s">
        <v>290</v>
      </c>
      <c r="C12" s="157" t="s">
        <v>541</v>
      </c>
      <c r="D12" s="158" t="s">
        <v>19</v>
      </c>
      <c r="E12" s="157" t="s">
        <v>20</v>
      </c>
      <c r="F12" s="157" t="s">
        <v>21</v>
      </c>
      <c r="G12" s="210" t="s">
        <v>22</v>
      </c>
      <c r="H12" s="211" t="s">
        <v>289</v>
      </c>
      <c r="I12" s="212" t="str">
        <f>IF(IFERROR(FIND("enter",Program_Detail[[#Headers],[(enter addt''l. fund source 1)]]),0)&gt;0,"(addt'l. fund source 1)",Program_Detail[[#Headers],[(enter addt''l. fund source 1)]])</f>
        <v>(addt'l. fund source 1)</v>
      </c>
      <c r="J12" s="157" t="str">
        <f>IF(IFERROR(FIND("enter",Program_Detail[[#Headers],[(enter addt''l. fund source 2)]]),0)&gt;0,"(addt'l. fund source 2)",Program_Detail[[#Headers],[(enter addt''l. fund source 2)]])</f>
        <v>(addt'l. fund source 2)</v>
      </c>
      <c r="K12" s="157" t="str">
        <f>IF(IFERROR(FIND("enter",Program_Detail[[#Headers],[(enter addt''l. fund source 3)]]),0)&gt;0,"(addt'l. fund source 3)",Program_Detail[[#Headers],[(enter addt''l. fund source 3)]])</f>
        <v>(addt'l. fund source 3)</v>
      </c>
      <c r="L12" s="157" t="str">
        <f>IF(IFERROR(FIND("enter",Program_Detail[[#Headers],[(enter addt''l. fund source 4)]]),0)&gt;0,"(addt'l. fund source 4)",Program_Detail[[#Headers],[(enter addt''l. fund source 4)]])</f>
        <v>(addt'l. fund source 4)</v>
      </c>
      <c r="M12" s="213" t="str">
        <f>IF(IFERROR(FIND("enter",Program_Detail[[#Headers],[(enter addt''l. fund source 5)]]),0)&gt;0,"(addt'l. fund source 5)",Program_Detail[[#Headers],[(enter addt''l. fund source 5)]])</f>
        <v>(addt'l. fund source 5)</v>
      </c>
      <c r="N12" s="214" t="s">
        <v>607</v>
      </c>
      <c r="O12" s="215" t="s">
        <v>23</v>
      </c>
      <c r="P12"/>
      <c r="Q12" s="226" t="s">
        <v>544</v>
      </c>
      <c r="R12" s="227" t="s">
        <v>289</v>
      </c>
      <c r="S12" s="228" t="str">
        <f>IF(IFERROR(FIND("enter",Program_Detail[[#Headers],[(enter addt''l. fund source 1)]]),0)&gt;0,"(addt'l. fund source 1)",Program_Detail[[#Headers],[(enter addt''l. fund source 1)]])</f>
        <v>(addt'l. fund source 1)</v>
      </c>
      <c r="T12" s="106" t="str">
        <f>IF(IFERROR(FIND("enter",Program_Detail[[#Headers],[(enter addt''l. fund source 2)]]),0)&gt;0,"(addt'l. fund source 2)",Program_Detail[[#Headers],[(enter addt''l. fund source 2)]])</f>
        <v>(addt'l. fund source 2)</v>
      </c>
      <c r="U12" s="106" t="str">
        <f>IF(IFERROR(FIND("enter",Program_Detail[[#Headers],[(enter addt''l. fund source 3)]]),0)&gt;0,"(addt'l. fund source 3)",Program_Detail[[#Headers],[(enter addt''l. fund source 3)]])</f>
        <v>(addt'l. fund source 3)</v>
      </c>
      <c r="V12" s="106" t="str">
        <f>IF(IFERROR(FIND("enter",Program_Detail[[#Headers],[(enter addt''l. fund source 4)]]),0)&gt;0,"(addt'l. fund source 4)",Program_Detail[[#Headers],[(enter addt''l. fund source 4)]])</f>
        <v>(addt'l. fund source 4)</v>
      </c>
      <c r="W12" s="107" t="str">
        <f>IF(IFERROR(FIND("enter",Program_Detail[[#Headers],[(enter addt''l. fund source 5)]]),0)&gt;0,"(addt'l. fund source 5)",Program_Detail[[#Headers],[(enter addt''l. fund source 5)]])</f>
        <v>(addt'l. fund source 5)</v>
      </c>
      <c r="X12" s="108" t="s">
        <v>607</v>
      </c>
      <c r="Z12" s="178" t="s">
        <v>0</v>
      </c>
    </row>
    <row r="13" spans="1:26" x14ac:dyDescent="0.25">
      <c r="A13" s="270" t="s">
        <v>534</v>
      </c>
      <c r="B13" s="50" t="s">
        <v>24</v>
      </c>
      <c r="C13" s="51" t="s">
        <v>24</v>
      </c>
      <c r="D13" s="50" t="s">
        <v>24</v>
      </c>
      <c r="E13" s="51" t="s">
        <v>25</v>
      </c>
      <c r="F13" s="51" t="s">
        <v>26</v>
      </c>
      <c r="G13" s="216" t="s">
        <v>27</v>
      </c>
      <c r="H13" s="217" t="s">
        <v>15</v>
      </c>
      <c r="I13" s="218" t="s">
        <v>15</v>
      </c>
      <c r="J13" s="52" t="s">
        <v>15</v>
      </c>
      <c r="K13" s="52" t="s">
        <v>15</v>
      </c>
      <c r="L13" s="52" t="s">
        <v>15</v>
      </c>
      <c r="M13" s="223" t="s">
        <v>15</v>
      </c>
      <c r="N13" s="224">
        <f>ROUND(SUM(Site_Detail_6[[#This Row],[21st CCLC,  Title IV-B]:[(enter addt''l. fund source 5)]]),2)</f>
        <v>0</v>
      </c>
      <c r="O13" s="225" t="s">
        <v>28</v>
      </c>
      <c r="Q13" s="101" t="s">
        <v>545</v>
      </c>
      <c r="R13" s="230" cm="1">
        <f t="array" ref="R13">SUMIF(Site_Detail_6[[Category]:[Category]],Site_Category_Sum_6[[#This Row],[Column1]:[Column1]],Site_Detail_6[21st CCLC,  Title IV-B])</f>
        <v>0</v>
      </c>
      <c r="S13" s="124" cm="1">
        <f t="array" ref="S13">SUMIF(Site_Detail_6[[Category]:[Category]],Site_Category_Sum_6[[#This Row],[Column1]:[Column1]],Site_Detail_6[(enter addt''l. fund source 1)])</f>
        <v>0</v>
      </c>
      <c r="T13" s="124" cm="1">
        <f t="array" ref="T13">SUMIF(Site_Detail_6[[Category]:[Category]],Site_Category_Sum_6[[#This Row],[Column1]:[Column1]],Site_Detail_6[(enter addt''l. fund source 2)])</f>
        <v>0</v>
      </c>
      <c r="U13" s="124" cm="1">
        <f t="array" ref="U13">SUMIF(Site_Detail_6[[Category]:[Category]],Site_Category_Sum_6[[#This Row],[Column1]:[Column1]],Site_Detail_6[(enter addt''l. fund source 3)])</f>
        <v>0</v>
      </c>
      <c r="V13" s="124" cm="1">
        <f t="array" ref="V13">SUMIF(Site_Detail_6[[Category]:[Category]],Site_Category_Sum_6[[#This Row],[Column1]:[Column1]],Site_Detail_6[(enter addt''l. fund source 4)])</f>
        <v>0</v>
      </c>
      <c r="W13" s="124" cm="1">
        <f t="array" ref="W13">SUMIF(Site_Detail_6[[Category]:[Category]],Site_Category_Sum_6[[#This Row],[Column1]:[Column1]],Site_Detail_6[(enter addt''l. fund source 5)])</f>
        <v>0</v>
      </c>
      <c r="X13" s="233">
        <f>ROUND(SUM(Site_Category_Sum_6[[#This Row],[Column2]:[Column7]]),2)</f>
        <v>0</v>
      </c>
      <c r="Z13" s="178" t="s">
        <v>0</v>
      </c>
    </row>
    <row r="14" spans="1:26" x14ac:dyDescent="0.25">
      <c r="B14" s="53"/>
      <c r="C14" s="54"/>
      <c r="D14" s="53"/>
      <c r="E14" s="54"/>
      <c r="F14" s="54"/>
      <c r="G14" s="219"/>
      <c r="H14" s="196"/>
      <c r="I14" s="220"/>
      <c r="J14" s="55"/>
      <c r="K14" s="55"/>
      <c r="L14" s="55"/>
      <c r="M14" s="207"/>
      <c r="N14" s="200">
        <f>ROUND(SUM(Site_Detail_6[[#This Row],[21st CCLC,  Title IV-B]:[(enter addt''l. fund source 5)]]),2)</f>
        <v>0</v>
      </c>
      <c r="O14" s="208"/>
      <c r="Q14" s="103" t="s">
        <v>546</v>
      </c>
      <c r="R14" s="230" cm="1">
        <f t="array" ref="R14">SUMIF(Site_Detail_6[[Category]:[Category]],Site_Category_Sum_6[[#This Row],[Column1]:[Column1]],Site_Detail_6[21st CCLC,  Title IV-B])</f>
        <v>0</v>
      </c>
      <c r="S14" s="124" cm="1">
        <f t="array" ref="S14">SUMIF(Site_Detail_6[[Category]:[Category]],Site_Category_Sum_6[[#This Row],[Column1]:[Column1]],Site_Detail_6[(enter addt''l. fund source 1)])</f>
        <v>0</v>
      </c>
      <c r="T14" s="102" cm="1">
        <f t="array" ref="T14">SUMIF(Site_Detail_6[[Category]:[Category]],Site_Category_Sum_6[[#This Row],[Column1]:[Column1]],Site_Detail_6[(enter addt''l. fund source 2)])</f>
        <v>0</v>
      </c>
      <c r="U14" s="102" cm="1">
        <f t="array" ref="U14">SUMIF(Site_Detail_6[[Category]:[Category]],Site_Category_Sum_6[[#This Row],[Column1]:[Column1]],Site_Detail_6[(enter addt''l. fund source 3)])</f>
        <v>0</v>
      </c>
      <c r="V14" s="102" cm="1">
        <f t="array" ref="V14">SUMIF(Site_Detail_6[[Category]:[Category]],Site_Category_Sum_6[[#This Row],[Column1]:[Column1]],Site_Detail_6[(enter addt''l. fund source 4)])</f>
        <v>0</v>
      </c>
      <c r="W14" s="102" cm="1">
        <f t="array" ref="W14">SUMIF(Site_Detail_6[[Category]:[Category]],Site_Category_Sum_6[[#This Row],[Column1]:[Column1]],Site_Detail_6[(enter addt''l. fund source 5)])</f>
        <v>0</v>
      </c>
      <c r="X14" s="233">
        <f>ROUND(SUM(Site_Category_Sum_6[[#This Row],[Column2]:[Column7]]),2)</f>
        <v>0</v>
      </c>
      <c r="Z14" s="178" t="s">
        <v>0</v>
      </c>
    </row>
    <row r="15" spans="1:26" x14ac:dyDescent="0.25">
      <c r="B15" s="50"/>
      <c r="C15" s="51"/>
      <c r="D15" s="50"/>
      <c r="E15" s="51"/>
      <c r="F15" s="51"/>
      <c r="G15" s="221"/>
      <c r="H15" s="196"/>
      <c r="I15" s="222"/>
      <c r="J15" s="52"/>
      <c r="K15" s="52"/>
      <c r="L15" s="52"/>
      <c r="M15" s="205"/>
      <c r="N15" s="200">
        <f>ROUND(SUM(Site_Detail_6[[#This Row],[21st CCLC,  Title IV-B]:[(enter addt''l. fund source 5)]]),2)</f>
        <v>0</v>
      </c>
      <c r="O15" s="206"/>
      <c r="Q15" s="103" t="s">
        <v>161</v>
      </c>
      <c r="R15" s="230" cm="1">
        <f t="array" ref="R15">SUMIF(Site_Detail_6[[Category]:[Category]],Site_Category_Sum_6[[#This Row],[Column1]:[Column1]],Site_Detail_6[21st CCLC,  Title IV-B])</f>
        <v>0</v>
      </c>
      <c r="S15" s="124" cm="1">
        <f t="array" ref="S15">SUMIF(Site_Detail_6[[Category]:[Category]],Site_Category_Sum_6[[#This Row],[Column1]:[Column1]],Site_Detail_6[(enter addt''l. fund source 1)])</f>
        <v>0</v>
      </c>
      <c r="T15" s="102" cm="1">
        <f t="array" ref="T15">SUMIF(Site_Detail_6[[Category]:[Category]],Site_Category_Sum_6[[#This Row],[Column1]:[Column1]],Site_Detail_6[(enter addt''l. fund source 2)])</f>
        <v>0</v>
      </c>
      <c r="U15" s="102" cm="1">
        <f t="array" ref="U15">SUMIF(Site_Detail_6[[Category]:[Category]],Site_Category_Sum_6[[#This Row],[Column1]:[Column1]],Site_Detail_6[(enter addt''l. fund source 3)])</f>
        <v>0</v>
      </c>
      <c r="V15" s="102" cm="1">
        <f t="array" ref="V15">SUMIF(Site_Detail_6[[Category]:[Category]],Site_Category_Sum_6[[#This Row],[Column1]:[Column1]],Site_Detail_6[(enter addt''l. fund source 4)])</f>
        <v>0</v>
      </c>
      <c r="W15" s="102" cm="1">
        <f t="array" ref="W15">SUMIF(Site_Detail_6[[Category]:[Category]],Site_Category_Sum_6[[#This Row],[Column1]:[Column1]],Site_Detail_6[(enter addt''l. fund source 5)])</f>
        <v>0</v>
      </c>
      <c r="X15" s="233">
        <f>ROUND(SUM(Site_Category_Sum_6[[#This Row],[Column2]:[Column7]]),2)</f>
        <v>0</v>
      </c>
      <c r="Z15" s="178" t="s">
        <v>0</v>
      </c>
    </row>
    <row r="16" spans="1:26" x14ac:dyDescent="0.25">
      <c r="B16" s="53"/>
      <c r="C16" s="54"/>
      <c r="D16" s="53"/>
      <c r="E16" s="54"/>
      <c r="F16" s="54"/>
      <c r="G16" s="219"/>
      <c r="H16" s="196"/>
      <c r="I16" s="220"/>
      <c r="J16" s="55"/>
      <c r="K16" s="55"/>
      <c r="L16" s="55"/>
      <c r="M16" s="207"/>
      <c r="N16" s="200">
        <f>ROUND(SUM(Site_Detail_6[[#This Row],[21st CCLC,  Title IV-B]:[(enter addt''l. fund source 5)]]),2)</f>
        <v>0</v>
      </c>
      <c r="O16" s="208"/>
      <c r="Q16" s="103" t="s">
        <v>162</v>
      </c>
      <c r="R16" s="230" cm="1">
        <f t="array" ref="R16">SUMIF(Site_Detail_6[[Category]:[Category]],Site_Category_Sum_6[[#This Row],[Column1]:[Column1]],Site_Detail_6[21st CCLC,  Title IV-B])</f>
        <v>0</v>
      </c>
      <c r="S16" s="124" cm="1">
        <f t="array" ref="S16">SUMIF(Site_Detail_6[[Category]:[Category]],Site_Category_Sum_6[[#This Row],[Column1]:[Column1]],Site_Detail_6[(enter addt''l. fund source 1)])</f>
        <v>0</v>
      </c>
      <c r="T16" s="102" cm="1">
        <f t="array" ref="T16">SUMIF(Site_Detail_6[[Category]:[Category]],Site_Category_Sum_6[[#This Row],[Column1]:[Column1]],Site_Detail_6[(enter addt''l. fund source 2)])</f>
        <v>0</v>
      </c>
      <c r="U16" s="102" cm="1">
        <f t="array" ref="U16">SUMIF(Site_Detail_6[[Category]:[Category]],Site_Category_Sum_6[[#This Row],[Column1]:[Column1]],Site_Detail_6[(enter addt''l. fund source 3)])</f>
        <v>0</v>
      </c>
      <c r="V16" s="102" cm="1">
        <f t="array" ref="V16">SUMIF(Site_Detail_6[[Category]:[Category]],Site_Category_Sum_6[[#This Row],[Column1]:[Column1]],Site_Detail_6[(enter addt''l. fund source 4)])</f>
        <v>0</v>
      </c>
      <c r="W16" s="102" cm="1">
        <f t="array" ref="W16">SUMIF(Site_Detail_6[[Category]:[Category]],Site_Category_Sum_6[[#This Row],[Column1]:[Column1]],Site_Detail_6[(enter addt''l. fund source 5)])</f>
        <v>0</v>
      </c>
      <c r="X16" s="233">
        <f>ROUND(SUM(Site_Category_Sum_6[[#This Row],[Column2]:[Column7]]),2)</f>
        <v>0</v>
      </c>
      <c r="Z16" s="178" t="s">
        <v>0</v>
      </c>
    </row>
    <row r="17" spans="2:26" x14ac:dyDescent="0.25">
      <c r="B17" s="53"/>
      <c r="C17" s="54"/>
      <c r="D17" s="53"/>
      <c r="E17" s="54"/>
      <c r="F17" s="54"/>
      <c r="G17" s="219"/>
      <c r="H17" s="196"/>
      <c r="I17" s="220"/>
      <c r="J17" s="55"/>
      <c r="K17" s="55"/>
      <c r="L17" s="55"/>
      <c r="M17" s="207"/>
      <c r="N17" s="200">
        <f>ROUND(SUM(Site_Detail_6[[#This Row],[21st CCLC,  Title IV-B]:[(enter addt''l. fund source 5)]]),2)</f>
        <v>0</v>
      </c>
      <c r="O17" s="208"/>
      <c r="Q17" s="103" t="s">
        <v>596</v>
      </c>
      <c r="R17" s="230" cm="1">
        <f t="array" ref="R17">SUMIF(Site_Detail_6[[Category]:[Category]],Site_Category_Sum_6[[#This Row],[Column1]:[Column1]],Site_Detail_6[21st CCLC,  Title IV-B])</f>
        <v>0</v>
      </c>
      <c r="S17" s="124" cm="1">
        <f t="array" ref="S17">SUMIF(Site_Detail_6[[Category]:[Category]],Site_Category_Sum_6[[#This Row],[Column1]:[Column1]],Site_Detail_6[(enter addt''l. fund source 1)])</f>
        <v>0</v>
      </c>
      <c r="T17" s="102" cm="1">
        <f t="array" ref="T17">SUMIF(Site_Detail_6[[Category]:[Category]],Site_Category_Sum_6[[#This Row],[Column1]:[Column1]],Site_Detail_6[(enter addt''l. fund source 2)])</f>
        <v>0</v>
      </c>
      <c r="U17" s="102" cm="1">
        <f t="array" ref="U17">SUMIF(Site_Detail_6[[Category]:[Category]],Site_Category_Sum_6[[#This Row],[Column1]:[Column1]],Site_Detail_6[(enter addt''l. fund source 3)])</f>
        <v>0</v>
      </c>
      <c r="V17" s="102" cm="1">
        <f t="array" ref="V17">SUMIF(Site_Detail_6[[Category]:[Category]],Site_Category_Sum_6[[#This Row],[Column1]:[Column1]],Site_Detail_6[(enter addt''l. fund source 4)])</f>
        <v>0</v>
      </c>
      <c r="W17" s="102" cm="1">
        <f t="array" ref="W17">SUMIF(Site_Detail_6[[Category]:[Category]],Site_Category_Sum_6[[#This Row],[Column1]:[Column1]],Site_Detail_6[(enter addt''l. fund source 5)])</f>
        <v>0</v>
      </c>
      <c r="X17" s="233">
        <f>ROUND(SUM(Site_Category_Sum_6[[#This Row],[Column2]:[Column7]]),2)</f>
        <v>0</v>
      </c>
      <c r="Z17" s="178" t="s">
        <v>0</v>
      </c>
    </row>
    <row r="18" spans="2:26" x14ac:dyDescent="0.25">
      <c r="B18" s="53"/>
      <c r="C18" s="54"/>
      <c r="D18" s="53"/>
      <c r="E18" s="54"/>
      <c r="F18" s="54"/>
      <c r="G18" s="219"/>
      <c r="H18" s="196"/>
      <c r="I18" s="220"/>
      <c r="J18" s="55"/>
      <c r="K18" s="55"/>
      <c r="L18" s="55"/>
      <c r="M18" s="207"/>
      <c r="N18" s="200">
        <f>ROUND(SUM(Site_Detail_6[[#This Row],[21st CCLC,  Title IV-B]:[(enter addt''l. fund source 5)]]),2)</f>
        <v>0</v>
      </c>
      <c r="O18" s="208"/>
      <c r="Q18" s="103" t="s">
        <v>160</v>
      </c>
      <c r="R18" s="230" cm="1">
        <f t="array" ref="R18">SUMIF(Site_Detail_6[[Category]:[Category]],Site_Category_Sum_6[[#This Row],[Column1]:[Column1]],Site_Detail_6[21st CCLC,  Title IV-B])</f>
        <v>0</v>
      </c>
      <c r="S18" s="124" cm="1">
        <f t="array" ref="S18">SUMIF(Site_Detail_6[[Category]:[Category]],Site_Category_Sum_6[[#This Row],[Column1]:[Column1]],Site_Detail_6[(enter addt''l. fund source 1)])</f>
        <v>0</v>
      </c>
      <c r="T18" s="102" cm="1">
        <f t="array" ref="T18">SUMIF(Site_Detail_6[[Category]:[Category]],Site_Category_Sum_6[[#This Row],[Column1]:[Column1]],Site_Detail_6[(enter addt''l. fund source 2)])</f>
        <v>0</v>
      </c>
      <c r="U18" s="102" cm="1">
        <f t="array" ref="U18">SUMIF(Site_Detail_6[[Category]:[Category]],Site_Category_Sum_6[[#This Row],[Column1]:[Column1]],Site_Detail_6[(enter addt''l. fund source 3)])</f>
        <v>0</v>
      </c>
      <c r="V18" s="102" cm="1">
        <f t="array" ref="V18">SUMIF(Site_Detail_6[[Category]:[Category]],Site_Category_Sum_6[[#This Row],[Column1]:[Column1]],Site_Detail_6[(enter addt''l. fund source 4)])</f>
        <v>0</v>
      </c>
      <c r="W18" s="102" cm="1">
        <f t="array" ref="W18">SUMIF(Site_Detail_6[[Category]:[Category]],Site_Category_Sum_6[[#This Row],[Column1]:[Column1]],Site_Detail_6[(enter addt''l. fund source 5)])</f>
        <v>0</v>
      </c>
      <c r="X18" s="233">
        <f>ROUND(SUM(Site_Category_Sum_6[[#This Row],[Column2]:[Column7]]),2)</f>
        <v>0</v>
      </c>
      <c r="Z18" s="178" t="s">
        <v>0</v>
      </c>
    </row>
    <row r="19" spans="2:26" x14ac:dyDescent="0.25">
      <c r="B19" s="53"/>
      <c r="C19" s="54"/>
      <c r="D19" s="53"/>
      <c r="E19" s="54"/>
      <c r="F19" s="54"/>
      <c r="G19" s="219"/>
      <c r="H19" s="196"/>
      <c r="I19" s="220"/>
      <c r="J19" s="55"/>
      <c r="K19" s="55"/>
      <c r="L19" s="55"/>
      <c r="M19" s="207"/>
      <c r="N19" s="200">
        <f>ROUND(SUM(Site_Detail_6[[#This Row],[21st CCLC,  Title IV-B]:[(enter addt''l. fund source 5)]]),2)</f>
        <v>0</v>
      </c>
      <c r="O19" s="208"/>
      <c r="Q19" s="103" t="s">
        <v>566</v>
      </c>
      <c r="R19" s="230" cm="1">
        <f t="array" ref="R19">SUMIF(Site_Detail_6[[Category]:[Category]],Site_Category_Sum_6[[#This Row],[Column1]:[Column1]],Site_Detail_6[21st CCLC,  Title IV-B])</f>
        <v>0</v>
      </c>
      <c r="S19" s="124" cm="1">
        <f t="array" ref="S19">SUMIF(Site_Detail_6[[Category]:[Category]],Site_Category_Sum_6[[#This Row],[Column1]:[Column1]],Site_Detail_6[(enter addt''l. fund source 1)])</f>
        <v>0</v>
      </c>
      <c r="T19" s="102" cm="1">
        <f t="array" ref="T19">SUMIF(Site_Detail_6[[Category]:[Category]],Site_Category_Sum_6[[#This Row],[Column1]:[Column1]],Site_Detail_6[(enter addt''l. fund source 2)])</f>
        <v>0</v>
      </c>
      <c r="U19" s="102" cm="1">
        <f t="array" ref="U19">SUMIF(Site_Detail_6[[Category]:[Category]],Site_Category_Sum_6[[#This Row],[Column1]:[Column1]],Site_Detail_6[(enter addt''l. fund source 3)])</f>
        <v>0</v>
      </c>
      <c r="V19" s="102" cm="1">
        <f t="array" ref="V19">SUMIF(Site_Detail_6[[Category]:[Category]],Site_Category_Sum_6[[#This Row],[Column1]:[Column1]],Site_Detail_6[(enter addt''l. fund source 4)])</f>
        <v>0</v>
      </c>
      <c r="W19" s="102" cm="1">
        <f t="array" ref="W19">SUMIF(Site_Detail_6[[Category]:[Category]],Site_Category_Sum_6[[#This Row],[Column1]:[Column1]],Site_Detail_6[(enter addt''l. fund source 5)])</f>
        <v>0</v>
      </c>
      <c r="X19" s="233">
        <f>ROUND(SUM(Site_Category_Sum_6[[#This Row],[Column2]:[Column7]]),2)</f>
        <v>0</v>
      </c>
      <c r="Z19" s="178" t="s">
        <v>0</v>
      </c>
    </row>
    <row r="20" spans="2:26" x14ac:dyDescent="0.25">
      <c r="B20" s="53"/>
      <c r="C20" s="54"/>
      <c r="D20" s="53"/>
      <c r="E20" s="54"/>
      <c r="F20" s="54"/>
      <c r="G20" s="219"/>
      <c r="H20" s="196"/>
      <c r="I20" s="220"/>
      <c r="J20" s="55"/>
      <c r="K20" s="55"/>
      <c r="L20" s="55"/>
      <c r="M20" s="207"/>
      <c r="N20" s="200">
        <f>ROUND(SUM(Site_Detail_6[[#This Row],[21st CCLC,  Title IV-B]:[(enter addt''l. fund source 5)]]),2)</f>
        <v>0</v>
      </c>
      <c r="O20" s="208"/>
      <c r="Q20" s="103" t="s">
        <v>75</v>
      </c>
      <c r="R20" s="230" cm="1">
        <f t="array" ref="R20">SUMIF(Site_Detail_6[[Category]:[Category]],Site_Category_Sum_6[[#This Row],[Column1]:[Column1]],Site_Detail_6[21st CCLC,  Title IV-B])</f>
        <v>0</v>
      </c>
      <c r="S20" s="124" cm="1">
        <f t="array" ref="S20">SUMIF(Site_Detail_6[[Category]:[Category]],Site_Category_Sum_6[[#This Row],[Column1]:[Column1]],Site_Detail_6[(enter addt''l. fund source 1)])</f>
        <v>0</v>
      </c>
      <c r="T20" s="102" cm="1">
        <f t="array" ref="T20">SUMIF(Site_Detail_6[[Category]:[Category]],Site_Category_Sum_6[[#This Row],[Column1]:[Column1]],Site_Detail_6[(enter addt''l. fund source 2)])</f>
        <v>0</v>
      </c>
      <c r="U20" s="102" cm="1">
        <f t="array" ref="U20">SUMIF(Site_Detail_6[[Category]:[Category]],Site_Category_Sum_6[[#This Row],[Column1]:[Column1]],Site_Detail_6[(enter addt''l. fund source 3)])</f>
        <v>0</v>
      </c>
      <c r="V20" s="102" cm="1">
        <f t="array" ref="V20">SUMIF(Site_Detail_6[[Category]:[Category]],Site_Category_Sum_6[[#This Row],[Column1]:[Column1]],Site_Detail_6[(enter addt''l. fund source 4)])</f>
        <v>0</v>
      </c>
      <c r="W20" s="102" cm="1">
        <f t="array" ref="W20">SUMIF(Site_Detail_6[[Category]:[Category]],Site_Category_Sum_6[[#This Row],[Column1]:[Column1]],Site_Detail_6[(enter addt''l. fund source 5)])</f>
        <v>0</v>
      </c>
      <c r="X20" s="233">
        <f>ROUND(SUM(Site_Category_Sum_6[[#This Row],[Column2]:[Column7]]),2)</f>
        <v>0</v>
      </c>
      <c r="Z20" s="178" t="s">
        <v>0</v>
      </c>
    </row>
    <row r="21" spans="2:26" x14ac:dyDescent="0.25">
      <c r="B21" s="53"/>
      <c r="C21" s="54"/>
      <c r="D21" s="53"/>
      <c r="E21" s="54"/>
      <c r="F21" s="54"/>
      <c r="G21" s="219"/>
      <c r="H21" s="196"/>
      <c r="I21" s="220"/>
      <c r="J21" s="55"/>
      <c r="K21" s="55"/>
      <c r="L21" s="55"/>
      <c r="M21" s="207"/>
      <c r="N21" s="200">
        <f>ROUND(SUM(Site_Detail_6[[#This Row],[21st CCLC,  Title IV-B]:[(enter addt''l. fund source 5)]]),2)</f>
        <v>0</v>
      </c>
      <c r="O21" s="208"/>
      <c r="Q21" s="103" t="s">
        <v>603</v>
      </c>
      <c r="R21" s="230" cm="1">
        <f t="array" ref="R21">SUMIF(Site_Detail_6[[Category]:[Category]],Site_Category_Sum_6[[#This Row],[Column1]:[Column1]],Site_Detail_6[21st CCLC,  Title IV-B])</f>
        <v>0</v>
      </c>
      <c r="S21" s="124" cm="1">
        <f t="array" ref="S21">SUMIF(Site_Detail_6[[Category]:[Category]],Site_Category_Sum_6[[#This Row],[Column1]:[Column1]],Site_Detail_6[(enter addt''l. fund source 1)])</f>
        <v>0</v>
      </c>
      <c r="T21" s="102" cm="1">
        <f t="array" ref="T21">SUMIF(Site_Detail_6[[Category]:[Category]],Site_Category_Sum_6[[#This Row],[Column1]:[Column1]],Site_Detail_6[(enter addt''l. fund source 2)])</f>
        <v>0</v>
      </c>
      <c r="U21" s="102" cm="1">
        <f t="array" ref="U21">SUMIF(Site_Detail_6[[Category]:[Category]],Site_Category_Sum_6[[#This Row],[Column1]:[Column1]],Site_Detail_6[(enter addt''l. fund source 3)])</f>
        <v>0</v>
      </c>
      <c r="V21" s="102" cm="1">
        <f t="array" ref="V21">SUMIF(Site_Detail_6[[Category]:[Category]],Site_Category_Sum_6[[#This Row],[Column1]:[Column1]],Site_Detail_6[(enter addt''l. fund source 4)])</f>
        <v>0</v>
      </c>
      <c r="W21" s="102" cm="1">
        <f t="array" ref="W21">SUMIF(Site_Detail_6[[Category]:[Category]],Site_Category_Sum_6[[#This Row],[Column1]:[Column1]],Site_Detail_6[(enter addt''l. fund source 5)])</f>
        <v>0</v>
      </c>
      <c r="X21" s="233">
        <f>ROUND(SUM(Site_Category_Sum_6[[#This Row],[Column2]:[Column7]]),2)</f>
        <v>0</v>
      </c>
      <c r="Z21" s="178" t="s">
        <v>0</v>
      </c>
    </row>
    <row r="22" spans="2:26" x14ac:dyDescent="0.25">
      <c r="B22" s="53"/>
      <c r="C22" s="54"/>
      <c r="D22" s="53"/>
      <c r="E22" s="54"/>
      <c r="F22" s="54"/>
      <c r="G22" s="219"/>
      <c r="H22" s="196"/>
      <c r="I22" s="220"/>
      <c r="J22" s="55"/>
      <c r="K22" s="55"/>
      <c r="L22" s="55"/>
      <c r="M22" s="207"/>
      <c r="N22" s="200">
        <f>ROUND(SUM(Site_Detail_6[[#This Row],[21st CCLC,  Title IV-B]:[(enter addt''l. fund source 5)]]),2)</f>
        <v>0</v>
      </c>
      <c r="O22" s="208"/>
      <c r="Q22" s="103" t="s">
        <v>604</v>
      </c>
      <c r="R22" s="230" cm="1">
        <f t="array" ref="R22">SUMIF(Site_Detail_6[[Category]:[Category]],Site_Category_Sum_6[[#This Row],[Column1]:[Column1]],Site_Detail_6[21st CCLC,  Title IV-B])</f>
        <v>0</v>
      </c>
      <c r="S22" s="124" cm="1">
        <f t="array" ref="S22">SUMIF(Site_Detail_6[[Category]:[Category]],Site_Category_Sum_6[[#This Row],[Column1]:[Column1]],Site_Detail_6[(enter addt''l. fund source 1)])</f>
        <v>0</v>
      </c>
      <c r="T22" s="102" cm="1">
        <f t="array" ref="T22">SUMIF(Site_Detail_6[[Category]:[Category]],Site_Category_Sum_6[[#This Row],[Column1]:[Column1]],Site_Detail_6[(enter addt''l. fund source 2)])</f>
        <v>0</v>
      </c>
      <c r="U22" s="102" cm="1">
        <f t="array" ref="U22">SUMIF(Site_Detail_6[[Category]:[Category]],Site_Category_Sum_6[[#This Row],[Column1]:[Column1]],Site_Detail_6[(enter addt''l. fund source 3)])</f>
        <v>0</v>
      </c>
      <c r="V22" s="102" cm="1">
        <f t="array" ref="V22">SUMIF(Site_Detail_6[[Category]:[Category]],Site_Category_Sum_6[[#This Row],[Column1]:[Column1]],Site_Detail_6[(enter addt''l. fund source 4)])</f>
        <v>0</v>
      </c>
      <c r="W22" s="102" cm="1">
        <f t="array" ref="W22">SUMIF(Site_Detail_6[[Category]:[Category]],Site_Category_Sum_6[[#This Row],[Column1]:[Column1]],Site_Detail_6[(enter addt''l. fund source 5)])</f>
        <v>0</v>
      </c>
      <c r="X22" s="233">
        <f>ROUND(SUM(Site_Category_Sum_6[[#This Row],[Column2]:[Column7]]),2)</f>
        <v>0</v>
      </c>
      <c r="Z22" s="178" t="s">
        <v>0</v>
      </c>
    </row>
    <row r="23" spans="2:26" x14ac:dyDescent="0.25">
      <c r="B23" s="53"/>
      <c r="C23" s="54"/>
      <c r="D23" s="53"/>
      <c r="E23" s="54"/>
      <c r="F23" s="54"/>
      <c r="G23" s="219"/>
      <c r="H23" s="196"/>
      <c r="I23" s="220"/>
      <c r="J23" s="55"/>
      <c r="K23" s="55"/>
      <c r="L23" s="55"/>
      <c r="M23" s="207"/>
      <c r="N23" s="200">
        <f>ROUND(SUM(Site_Detail_6[[#This Row],[21st CCLC,  Title IV-B]:[(enter addt''l. fund source 5)]]),2)</f>
        <v>0</v>
      </c>
      <c r="O23" s="208"/>
      <c r="Q23" s="103" t="s">
        <v>567</v>
      </c>
      <c r="R23" s="230" cm="1">
        <f t="array" ref="R23">SUMIF(Site_Detail_6[[Category]:[Category]],Site_Category_Sum_6[[#This Row],[Column1]:[Column1]],Site_Detail_6[21st CCLC,  Title IV-B])</f>
        <v>0</v>
      </c>
      <c r="S23" s="124" cm="1">
        <f t="array" ref="S23">SUMIF(Site_Detail_6[[Category]:[Category]],Site_Category_Sum_6[[#This Row],[Column1]:[Column1]],Site_Detail_6[(enter addt''l. fund source 1)])</f>
        <v>0</v>
      </c>
      <c r="T23" s="102" cm="1">
        <f t="array" ref="T23">SUMIF(Site_Detail_6[[Category]:[Category]],Site_Category_Sum_6[[#This Row],[Column1]:[Column1]],Site_Detail_6[(enter addt''l. fund source 2)])</f>
        <v>0</v>
      </c>
      <c r="U23" s="102" cm="1">
        <f t="array" ref="U23">SUMIF(Site_Detail_6[[Category]:[Category]],Site_Category_Sum_6[[#This Row],[Column1]:[Column1]],Site_Detail_6[(enter addt''l. fund source 3)])</f>
        <v>0</v>
      </c>
      <c r="V23" s="102" cm="1">
        <f t="array" ref="V23">SUMIF(Site_Detail_6[[Category]:[Category]],Site_Category_Sum_6[[#This Row],[Column1]:[Column1]],Site_Detail_6[(enter addt''l. fund source 4)])</f>
        <v>0</v>
      </c>
      <c r="W23" s="102" cm="1">
        <f t="array" ref="W23">SUMIF(Site_Detail_6[[Category]:[Category]],Site_Category_Sum_6[[#This Row],[Column1]:[Column1]],Site_Detail_6[(enter addt''l. fund source 5)])</f>
        <v>0</v>
      </c>
      <c r="X23" s="233">
        <f>ROUND(SUM(Site_Category_Sum_6[[#This Row],[Column2]:[Column7]]),2)</f>
        <v>0</v>
      </c>
      <c r="Z23" s="178" t="s">
        <v>0</v>
      </c>
    </row>
    <row r="24" spans="2:26" x14ac:dyDescent="0.25">
      <c r="B24" s="53"/>
      <c r="C24" s="54"/>
      <c r="D24" s="53"/>
      <c r="E24" s="54"/>
      <c r="F24" s="54"/>
      <c r="G24" s="219"/>
      <c r="H24" s="196"/>
      <c r="I24" s="220"/>
      <c r="J24" s="55"/>
      <c r="K24" s="55"/>
      <c r="L24" s="55"/>
      <c r="M24" s="207"/>
      <c r="N24" s="200">
        <f>ROUND(SUM(Site_Detail_6[[#This Row],[21st CCLC,  Title IV-B]:[(enter addt''l. fund source 5)]]),2)</f>
        <v>0</v>
      </c>
      <c r="O24" s="208"/>
      <c r="Q24" s="103" t="s">
        <v>192</v>
      </c>
      <c r="R24" s="230">
        <f>ROUND(SUMIFS(Site_Detail_6[21st CCLC,  Title IV-B],Site_Detail_6[[Category]:[Category]],"Indirect",Site_Detail_6[[Contracted Service?]:[Contracted Service?]],"&lt;&gt;Yes"),2)</f>
        <v>0</v>
      </c>
      <c r="S24" s="124">
        <f>ROUND(SUMIFS(Site_Detail_6[(enter addt''l. fund source 1)],Site_Detail_6[[Category]:[Category]],"Indirect",Site_Detail_6[[Contracted Service?]:[Contracted Service?]],"&lt;&gt;Yes"),2)</f>
        <v>0</v>
      </c>
      <c r="T24" s="102">
        <f>ROUND(SUMIFS(Site_Detail_6[(enter addt''l. fund source 2)],Site_Detail_6[[Category]:[Category]],"Indirect",Site_Detail_6[[Contracted Service?]:[Contracted Service?]],"&lt;&gt;Yes"),2)</f>
        <v>0</v>
      </c>
      <c r="U24" s="102">
        <f>ROUND(SUMIFS(Site_Detail_6[(enter addt''l. fund source 3)],Site_Detail_6[[Category]:[Category]],"Indirect",Site_Detail_6[[Contracted Service?]:[Contracted Service?]],"&lt;&gt;Yes"),2)</f>
        <v>0</v>
      </c>
      <c r="V24" s="102">
        <f>ROUND(SUMIFS(Site_Detail_6[(enter addt''l. fund source 4)],Site_Detail_6[[Category]:[Category]],"Indirect",Site_Detail_6[[Contracted Service?]:[Contracted Service?]],"&lt;&gt;Yes"),2)</f>
        <v>0</v>
      </c>
      <c r="W24" s="102">
        <f>ROUND(SUMIFS(Site_Detail_6[(enter addt''l. fund source 5)],Site_Detail_6[[Category]:[Category]],"Indirect",Site_Detail_6[[Contracted Service?]:[Contracted Service?]],"&lt;&gt;Yes"),2)</f>
        <v>0</v>
      </c>
      <c r="X24" s="233">
        <f>ROUND(SUM(Site_Category_Sum_6[[#This Row],[Column2]:[Column7]]),2)</f>
        <v>0</v>
      </c>
      <c r="Z24" s="178" t="s">
        <v>0</v>
      </c>
    </row>
    <row r="25" spans="2:26" x14ac:dyDescent="0.25">
      <c r="B25" s="53"/>
      <c r="C25" s="54"/>
      <c r="D25" s="53"/>
      <c r="E25" s="54"/>
      <c r="F25" s="54"/>
      <c r="G25" s="219"/>
      <c r="H25" s="196"/>
      <c r="I25" s="220"/>
      <c r="J25" s="55"/>
      <c r="K25" s="55"/>
      <c r="L25" s="55"/>
      <c r="M25" s="207"/>
      <c r="N25" s="200">
        <f>ROUND(SUM(Site_Detail_6[[#This Row],[21st CCLC,  Title IV-B]:[(enter addt''l. fund source 5)]]),2)</f>
        <v>0</v>
      </c>
      <c r="O25" s="208"/>
      <c r="Q25" s="229" t="s">
        <v>29</v>
      </c>
      <c r="R25" s="231">
        <f t="shared" ref="R25:W25" si="0">ROUND(SUM(R$13:R$24),2)</f>
        <v>0</v>
      </c>
      <c r="S25" s="176">
        <f t="shared" si="0"/>
        <v>0</v>
      </c>
      <c r="T25" s="177">
        <f t="shared" si="0"/>
        <v>0</v>
      </c>
      <c r="U25" s="177">
        <f t="shared" si="0"/>
        <v>0</v>
      </c>
      <c r="V25" s="177">
        <f t="shared" si="0"/>
        <v>0</v>
      </c>
      <c r="W25" s="232">
        <f t="shared" si="0"/>
        <v>0</v>
      </c>
      <c r="X25" s="234">
        <f>ROUND(SUM(Site_Category_Sum_6[[#This Row],[Column2]:[Column7]]),2)</f>
        <v>0</v>
      </c>
      <c r="Z25" s="178" t="s">
        <v>0</v>
      </c>
    </row>
    <row r="26" spans="2:26" x14ac:dyDescent="0.25">
      <c r="B26" s="53"/>
      <c r="C26" s="54"/>
      <c r="D26" s="53"/>
      <c r="E26" s="54"/>
      <c r="F26" s="54"/>
      <c r="G26" s="219"/>
      <c r="H26" s="196"/>
      <c r="I26" s="220"/>
      <c r="J26" s="55"/>
      <c r="K26" s="55"/>
      <c r="L26" s="55"/>
      <c r="M26" s="207"/>
      <c r="N26" s="200">
        <f>ROUND(SUM(Site_Detail_6[[#This Row],[21st CCLC,  Title IV-B]:[(enter addt''l. fund source 5)]]),2)</f>
        <v>0</v>
      </c>
      <c r="O26" s="208"/>
      <c r="Q26" s="103" t="s">
        <v>291</v>
      </c>
      <c r="R26" s="230" cm="1">
        <f t="array" ref="R26">SUMIF(Site_Detail_6[[Program Type]:[Program Type]],Site_Category_Sum_6[[#This Row],[Column1]:[Column1]],Site_Detail_6[21st CCLC,  Title IV-B])</f>
        <v>0</v>
      </c>
      <c r="S26" s="124" cm="1">
        <f t="array" ref="S26">SUMIF(Site_Detail_6[[Program Type]:[Program Type]],Site_Category_Sum_6[[#This Row],[Column1]:[Column1]],Site_Detail_6[(enter addt''l. fund source 1)])</f>
        <v>0</v>
      </c>
      <c r="T26" s="102" cm="1">
        <f t="array" ref="T26">SUMIF(Site_Detail_6[[Program Type]:[Program Type]],Site_Category_Sum_6[[#This Row],[Column1]:[Column1]],Site_Detail_6[(enter addt''l. fund source 2)])</f>
        <v>0</v>
      </c>
      <c r="U26" s="102" cm="1">
        <f t="array" ref="U26">SUMIF(Site_Detail_6[[Program Type]:[Program Type]],Site_Category_Sum_6[[#This Row],[Column1]:[Column1]],Site_Detail_6[(enter addt''l. fund source 3)])</f>
        <v>0</v>
      </c>
      <c r="V26" s="102" cm="1">
        <f t="array" ref="V26">SUMIF(Site_Detail_6[[Program Type]:[Program Type]],Site_Category_Sum_6[[#This Row],[Column1]:[Column1]],Site_Detail_6[(enter addt''l. fund source 4)])</f>
        <v>0</v>
      </c>
      <c r="W26" s="102" cm="1">
        <f t="array" ref="W26">SUMIF(Site_Detail_6[[Program Type]:[Program Type]],Site_Category_Sum_6[[#This Row],[Column1]:[Column1]],Site_Detail_6[(enter addt''l. fund source 5)])</f>
        <v>0</v>
      </c>
      <c r="X26" s="233">
        <f>ROUND(SUM(Site_Category_Sum_6[[#This Row],[Column2]:[Column7]]),2)</f>
        <v>0</v>
      </c>
      <c r="Z26" s="178" t="s">
        <v>0</v>
      </c>
    </row>
    <row r="27" spans="2:26" x14ac:dyDescent="0.25">
      <c r="B27" s="53"/>
      <c r="C27" s="54"/>
      <c r="D27" s="53"/>
      <c r="E27" s="54"/>
      <c r="F27" s="54"/>
      <c r="G27" s="219"/>
      <c r="H27" s="196"/>
      <c r="I27" s="220"/>
      <c r="J27" s="55"/>
      <c r="K27" s="55"/>
      <c r="L27" s="55"/>
      <c r="M27" s="207"/>
      <c r="N27" s="200">
        <f>ROUND(SUM(Site_Detail_6[[#This Row],[21st CCLC,  Title IV-B]:[(enter addt''l. fund source 5)]]),2)</f>
        <v>0</v>
      </c>
      <c r="O27" s="208"/>
      <c r="Q27" s="103" t="s">
        <v>292</v>
      </c>
      <c r="R27" s="230" cm="1">
        <f t="array" ref="R27">SUMIF(Site_Detail_6[[Program Type]:[Program Type]],Site_Category_Sum_6[[#This Row],[Column1]:[Column1]],Site_Detail_6[21st CCLC,  Title IV-B])</f>
        <v>0</v>
      </c>
      <c r="S27" s="124" cm="1">
        <f t="array" ref="S27">SUMIF(Site_Detail_6[[Program Type]:[Program Type]],Site_Category_Sum_6[[#This Row],[Column1]:[Column1]],Site_Detail_6[(enter addt''l. fund source 1)])</f>
        <v>0</v>
      </c>
      <c r="T27" s="102" cm="1">
        <f t="array" ref="T27">SUMIF(Site_Detail_6[[Program Type]:[Program Type]],Site_Category_Sum_6[[#This Row],[Column1]:[Column1]],Site_Detail_6[(enter addt''l. fund source 2)])</f>
        <v>0</v>
      </c>
      <c r="U27" s="102" cm="1">
        <f t="array" ref="U27">SUMIF(Site_Detail_6[[Program Type]:[Program Type]],Site_Category_Sum_6[[#This Row],[Column1]:[Column1]],Site_Detail_6[(enter addt''l. fund source 3)])</f>
        <v>0</v>
      </c>
      <c r="V27" s="102" cm="1">
        <f t="array" ref="V27">SUMIF(Site_Detail_6[[Program Type]:[Program Type]],Site_Category_Sum_6[[#This Row],[Column1]:[Column1]],Site_Detail_6[(enter addt''l. fund source 4)])</f>
        <v>0</v>
      </c>
      <c r="W27" s="102" cm="1">
        <f t="array" ref="W27">SUMIF(Site_Detail_6[[Program Type]:[Program Type]],Site_Category_Sum_6[[#This Row],[Column1]:[Column1]],Site_Detail_6[(enter addt''l. fund source 5)])</f>
        <v>0</v>
      </c>
      <c r="X27" s="233">
        <f>ROUND(SUM(Site_Category_Sum_6[[#This Row],[Column2]:[Column7]]),2)</f>
        <v>0</v>
      </c>
    </row>
    <row r="28" spans="2:26" x14ac:dyDescent="0.25">
      <c r="B28" s="53"/>
      <c r="C28" s="54"/>
      <c r="D28" s="53"/>
      <c r="E28" s="54"/>
      <c r="F28" s="54"/>
      <c r="G28" s="219"/>
      <c r="H28" s="196"/>
      <c r="I28" s="220"/>
      <c r="J28" s="55"/>
      <c r="K28" s="55"/>
      <c r="L28" s="55"/>
      <c r="M28" s="207"/>
      <c r="N28" s="200">
        <f>ROUND(SUM(Site_Detail_6[[#This Row],[21st CCLC,  Title IV-B]:[(enter addt''l. fund source 5)]]),2)</f>
        <v>0</v>
      </c>
      <c r="O28" s="208"/>
      <c r="Q28" s="229" t="s">
        <v>29</v>
      </c>
      <c r="R28" s="231">
        <f>ROUND(SUM(R$26:R$27),2)</f>
        <v>0</v>
      </c>
      <c r="S28" s="176">
        <f t="shared" ref="S28:W28" si="1">ROUND(SUM(S$26:S$27),2)</f>
        <v>0</v>
      </c>
      <c r="T28" s="177">
        <f t="shared" si="1"/>
        <v>0</v>
      </c>
      <c r="U28" s="177">
        <f t="shared" si="1"/>
        <v>0</v>
      </c>
      <c r="V28" s="177">
        <f t="shared" si="1"/>
        <v>0</v>
      </c>
      <c r="W28" s="232">
        <f t="shared" si="1"/>
        <v>0</v>
      </c>
      <c r="X28" s="234">
        <f>ROUND(SUM(Site_Category_Sum_6[[#This Row],[Column2]:[Column7]]),2)</f>
        <v>0</v>
      </c>
    </row>
    <row r="29" spans="2:26" x14ac:dyDescent="0.25">
      <c r="B29" s="53"/>
      <c r="C29" s="54"/>
      <c r="D29" s="53"/>
      <c r="E29" s="54"/>
      <c r="F29" s="54"/>
      <c r="G29" s="219"/>
      <c r="H29" s="196"/>
      <c r="I29" s="220"/>
      <c r="J29" s="55"/>
      <c r="K29" s="55"/>
      <c r="L29" s="55"/>
      <c r="M29" s="207"/>
      <c r="N29" s="200">
        <f>ROUND(SUM(Site_Detail_6[[#This Row],[21st CCLC,  Title IV-B]:[(enter addt''l. fund source 5)]]),2)</f>
        <v>0</v>
      </c>
      <c r="O29" s="208"/>
      <c r="Q29" s="103" t="s">
        <v>591</v>
      </c>
      <c r="R29" s="230">
        <f>ROUND(SUMIF(Site_Detail_6[[Contracted Service?]:[Contracted Service?]],"Yes",Site_Detail_6[21st CCLC,  Title IV-B]),2)</f>
        <v>0</v>
      </c>
      <c r="S29" s="124">
        <f>ROUND(SUMIF(Site_Detail_6[[Contracted Service?]:[Contracted Service?]],"Yes",Site_Detail_6[(enter addt''l. fund source 1)]),2)</f>
        <v>0</v>
      </c>
      <c r="T29" s="102">
        <f>ROUND(SUMIF(Site_Detail_6[[Contracted Service?]:[Contracted Service?]],"Yes",Site_Detail_6[(enter addt''l. fund source 2)]),2)</f>
        <v>0</v>
      </c>
      <c r="U29" s="102">
        <f>ROUND(SUMIF(Site_Detail_6[[Contracted Service?]:[Contracted Service?]],"Yes",Site_Detail_6[(enter addt''l. fund source 3)]),2)</f>
        <v>0</v>
      </c>
      <c r="V29" s="102">
        <f>ROUND(SUMIF(Site_Detail_6[[Contracted Service?]:[Contracted Service?]],"Yes",Site_Detail_6[(enter addt''l. fund source 4)]),2)</f>
        <v>0</v>
      </c>
      <c r="W29" s="102">
        <f>ROUND(SUMIF(Site_Detail_6[[Contracted Service?]:[Contracted Service?]],"Yes",Site_Detail_6[(enter addt''l. fund source 5)]),2)</f>
        <v>0</v>
      </c>
      <c r="X29" s="233">
        <f>ROUND(SUM(Site_Category_Sum_6[[#This Row],[Column2]:[Column7]]),2)</f>
        <v>0</v>
      </c>
    </row>
    <row r="30" spans="2:26" x14ac:dyDescent="0.25">
      <c r="B30" s="53"/>
      <c r="C30" s="54"/>
      <c r="D30" s="53"/>
      <c r="E30" s="54"/>
      <c r="F30" s="54"/>
      <c r="G30" s="219"/>
      <c r="H30" s="196"/>
      <c r="I30" s="220"/>
      <c r="J30" s="55"/>
      <c r="K30" s="55"/>
      <c r="L30" s="55"/>
      <c r="M30" s="207"/>
      <c r="N30" s="200">
        <f>ROUND(SUM(Site_Detail_6[[#This Row],[21st CCLC,  Title IV-B]:[(enter addt''l. fund source 5)]]),2)</f>
        <v>0</v>
      </c>
      <c r="O30" s="208"/>
      <c r="Q30" s="103" t="s">
        <v>597</v>
      </c>
      <c r="R30" s="230">
        <f>ROUND(SUMIF(Site_Detail_6[[Contracted Service?]:[Contracted Service?]],"&lt;&gt;Yes",Site_Detail_6[21st CCLC,  Title IV-B]),2)</f>
        <v>0</v>
      </c>
      <c r="S30" s="124">
        <f>ROUND(SUMIF(Site_Detail_6[[Contracted Service?]:[Contracted Service?]],"&lt;&gt;Yes",Site_Detail_6[(enter addt''l. fund source 1)]),2)</f>
        <v>0</v>
      </c>
      <c r="T30" s="102">
        <f>ROUND(SUMIF(Site_Detail_6[[Contracted Service?]:[Contracted Service?]],"&lt;&gt;Yes",Site_Detail_6[(enter addt''l. fund source 2)]),2)</f>
        <v>0</v>
      </c>
      <c r="U30" s="102">
        <f>ROUND(SUMIF(Site_Detail_6[[Contracted Service?]:[Contracted Service?]],"&lt;&gt;Yes",Site_Detail_6[(enter addt''l. fund source 3)]),2)</f>
        <v>0</v>
      </c>
      <c r="V30" s="102">
        <f>ROUND(SUMIF(Site_Detail_6[[Contracted Service?]:[Contracted Service?]],"&lt;&gt;Yes",Site_Detail_6[(enter addt''l. fund source 4)]),2)</f>
        <v>0</v>
      </c>
      <c r="W30" s="102">
        <f>ROUND(SUMIF(Site_Detail_6[[Contracted Service?]:[Contracted Service?]],"&lt;&gt;Yes",Site_Detail_6[(enter addt''l. fund source 5)]),2)</f>
        <v>0</v>
      </c>
      <c r="X30" s="233">
        <f>ROUND(SUM(Site_Category_Sum_6[[#This Row],[Column2]:[Column7]]),2)</f>
        <v>0</v>
      </c>
    </row>
    <row r="31" spans="2:26" x14ac:dyDescent="0.25">
      <c r="B31" s="53"/>
      <c r="C31" s="54"/>
      <c r="D31" s="53"/>
      <c r="E31" s="54"/>
      <c r="F31" s="54"/>
      <c r="G31" s="219"/>
      <c r="H31" s="196"/>
      <c r="I31" s="220"/>
      <c r="J31" s="55"/>
      <c r="K31" s="55"/>
      <c r="L31" s="55"/>
      <c r="M31" s="207"/>
      <c r="N31" s="200">
        <f>ROUND(SUM(Site_Detail_6[[#This Row],[21st CCLC,  Title IV-B]:[(enter addt''l. fund source 5)]]),2)</f>
        <v>0</v>
      </c>
      <c r="O31" s="208"/>
      <c r="Q31" s="229" t="s">
        <v>29</v>
      </c>
      <c r="R31" s="231">
        <f>ROUND(SUM(R$29:R$30),2)</f>
        <v>0</v>
      </c>
      <c r="S31" s="176">
        <f t="shared" ref="S31:W31" si="2">ROUND(SUM(S$29:S$30),2)</f>
        <v>0</v>
      </c>
      <c r="T31" s="177">
        <f t="shared" si="2"/>
        <v>0</v>
      </c>
      <c r="U31" s="177">
        <f t="shared" si="2"/>
        <v>0</v>
      </c>
      <c r="V31" s="177">
        <f t="shared" si="2"/>
        <v>0</v>
      </c>
      <c r="W31" s="232">
        <f t="shared" si="2"/>
        <v>0</v>
      </c>
      <c r="X31" s="234">
        <f>ROUND(SUM(Site_Category_Sum_6[[#This Row],[Column2]:[Column7]]),2)</f>
        <v>0</v>
      </c>
    </row>
    <row r="32" spans="2:26" x14ac:dyDescent="0.25">
      <c r="B32" s="53"/>
      <c r="C32" s="54"/>
      <c r="D32" s="53"/>
      <c r="E32" s="54"/>
      <c r="F32" s="54"/>
      <c r="G32" s="219"/>
      <c r="H32" s="196"/>
      <c r="I32" s="220"/>
      <c r="J32" s="55"/>
      <c r="K32" s="55"/>
      <c r="L32" s="55"/>
      <c r="M32" s="207"/>
      <c r="N32" s="200">
        <f>ROUND(SUM(Site_Detail_6[[#This Row],[21st CCLC,  Title IV-B]:[(enter addt''l. fund source 5)]]),2)</f>
        <v>0</v>
      </c>
      <c r="O32" s="208"/>
    </row>
    <row r="33" spans="2:15" x14ac:dyDescent="0.25">
      <c r="B33" s="53"/>
      <c r="C33" s="54"/>
      <c r="D33" s="53"/>
      <c r="E33" s="54"/>
      <c r="F33" s="54"/>
      <c r="G33" s="219"/>
      <c r="H33" s="196"/>
      <c r="I33" s="220"/>
      <c r="J33" s="55"/>
      <c r="K33" s="55"/>
      <c r="L33" s="55"/>
      <c r="M33" s="207"/>
      <c r="N33" s="200">
        <f>ROUND(SUM(Site_Detail_6[[#This Row],[21st CCLC,  Title IV-B]:[(enter addt''l. fund source 5)]]),2)</f>
        <v>0</v>
      </c>
      <c r="O33" s="208"/>
    </row>
    <row r="34" spans="2:15" x14ac:dyDescent="0.25">
      <c r="B34" s="53"/>
      <c r="C34" s="54"/>
      <c r="D34" s="53"/>
      <c r="E34" s="54"/>
      <c r="F34" s="54"/>
      <c r="G34" s="219"/>
      <c r="H34" s="196"/>
      <c r="I34" s="220"/>
      <c r="J34" s="55"/>
      <c r="K34" s="55"/>
      <c r="L34" s="55"/>
      <c r="M34" s="207"/>
      <c r="N34" s="200">
        <f>ROUND(SUM(Site_Detail_6[[#This Row],[21st CCLC,  Title IV-B]:[(enter addt''l. fund source 5)]]),2)</f>
        <v>0</v>
      </c>
      <c r="O34" s="208"/>
    </row>
    <row r="35" spans="2:15" x14ac:dyDescent="0.25">
      <c r="B35" s="53"/>
      <c r="C35" s="54"/>
      <c r="D35" s="53"/>
      <c r="E35" s="54"/>
      <c r="F35" s="54"/>
      <c r="G35" s="219"/>
      <c r="H35" s="196"/>
      <c r="I35" s="220"/>
      <c r="J35" s="55"/>
      <c r="K35" s="55"/>
      <c r="L35" s="55"/>
      <c r="M35" s="207"/>
      <c r="N35" s="200">
        <f>ROUND(SUM(Site_Detail_6[[#This Row],[21st CCLC,  Title IV-B]:[(enter addt''l. fund source 5)]]),2)</f>
        <v>0</v>
      </c>
      <c r="O35" s="208"/>
    </row>
    <row r="36" spans="2:15" x14ac:dyDescent="0.25">
      <c r="B36" s="53"/>
      <c r="C36" s="54"/>
      <c r="D36" s="53"/>
      <c r="E36" s="54"/>
      <c r="F36" s="54"/>
      <c r="G36" s="219"/>
      <c r="H36" s="196"/>
      <c r="I36" s="220"/>
      <c r="J36" s="55"/>
      <c r="K36" s="55"/>
      <c r="L36" s="55"/>
      <c r="M36" s="207"/>
      <c r="N36" s="200">
        <f>ROUND(SUM(Site_Detail_6[[#This Row],[21st CCLC,  Title IV-B]:[(enter addt''l. fund source 5)]]),2)</f>
        <v>0</v>
      </c>
      <c r="O36" s="208"/>
    </row>
    <row r="37" spans="2:15" x14ac:dyDescent="0.25">
      <c r="B37" s="53"/>
      <c r="C37" s="54"/>
      <c r="D37" s="53"/>
      <c r="E37" s="54"/>
      <c r="F37" s="54"/>
      <c r="G37" s="219"/>
      <c r="H37" s="196"/>
      <c r="I37" s="220"/>
      <c r="J37" s="55"/>
      <c r="K37" s="55"/>
      <c r="L37" s="55"/>
      <c r="M37" s="207"/>
      <c r="N37" s="200">
        <f>ROUND(SUM(Site_Detail_6[[#This Row],[21st CCLC,  Title IV-B]:[(enter addt''l. fund source 5)]]),2)</f>
        <v>0</v>
      </c>
      <c r="O37" s="208"/>
    </row>
    <row r="38" spans="2:15" x14ac:dyDescent="0.25">
      <c r="B38" s="53"/>
      <c r="C38" s="54"/>
      <c r="D38" s="53"/>
      <c r="E38" s="54"/>
      <c r="F38" s="54"/>
      <c r="G38" s="219"/>
      <c r="H38" s="196"/>
      <c r="I38" s="220"/>
      <c r="J38" s="55"/>
      <c r="K38" s="55"/>
      <c r="L38" s="55"/>
      <c r="M38" s="207"/>
      <c r="N38" s="200">
        <f>ROUND(SUM(Site_Detail_6[[#This Row],[21st CCLC,  Title IV-B]:[(enter addt''l. fund source 5)]]),2)</f>
        <v>0</v>
      </c>
      <c r="O38" s="208"/>
    </row>
    <row r="39" spans="2:15" x14ac:dyDescent="0.25">
      <c r="B39" s="53"/>
      <c r="C39" s="54"/>
      <c r="D39" s="53"/>
      <c r="E39" s="54"/>
      <c r="F39" s="54"/>
      <c r="G39" s="219"/>
      <c r="H39" s="196"/>
      <c r="I39" s="220"/>
      <c r="J39" s="55"/>
      <c r="K39" s="55"/>
      <c r="L39" s="55"/>
      <c r="M39" s="207"/>
      <c r="N39" s="200">
        <f>ROUND(SUM(Site_Detail_6[[#This Row],[21st CCLC,  Title IV-B]:[(enter addt''l. fund source 5)]]),2)</f>
        <v>0</v>
      </c>
      <c r="O39" s="208"/>
    </row>
    <row r="40" spans="2:15" x14ac:dyDescent="0.25">
      <c r="B40" s="53"/>
      <c r="C40" s="54"/>
      <c r="D40" s="53"/>
      <c r="E40" s="54"/>
      <c r="F40" s="54"/>
      <c r="G40" s="219"/>
      <c r="H40" s="196"/>
      <c r="I40" s="220"/>
      <c r="J40" s="55"/>
      <c r="K40" s="55"/>
      <c r="L40" s="55"/>
      <c r="M40" s="207"/>
      <c r="N40" s="200">
        <f>ROUND(SUM(Site_Detail_6[[#This Row],[21st CCLC,  Title IV-B]:[(enter addt''l. fund source 5)]]),2)</f>
        <v>0</v>
      </c>
      <c r="O40" s="208"/>
    </row>
    <row r="41" spans="2:15" x14ac:dyDescent="0.25">
      <c r="B41" s="53"/>
      <c r="C41" s="54"/>
      <c r="D41" s="53"/>
      <c r="E41" s="54"/>
      <c r="F41" s="54"/>
      <c r="G41" s="219"/>
      <c r="H41" s="196"/>
      <c r="I41" s="220"/>
      <c r="J41" s="55"/>
      <c r="K41" s="55"/>
      <c r="L41" s="55"/>
      <c r="M41" s="207"/>
      <c r="N41" s="200">
        <f>ROUND(SUM(Site_Detail_6[[#This Row],[21st CCLC,  Title IV-B]:[(enter addt''l. fund source 5)]]),2)</f>
        <v>0</v>
      </c>
      <c r="O41" s="208"/>
    </row>
    <row r="42" spans="2:15" x14ac:dyDescent="0.25">
      <c r="B42" s="53"/>
      <c r="C42" s="54"/>
      <c r="D42" s="53"/>
      <c r="E42" s="54"/>
      <c r="F42" s="54"/>
      <c r="G42" s="219"/>
      <c r="H42" s="196"/>
      <c r="I42" s="220"/>
      <c r="J42" s="55"/>
      <c r="K42" s="55"/>
      <c r="L42" s="55"/>
      <c r="M42" s="207"/>
      <c r="N42" s="200">
        <f>ROUND(SUM(Site_Detail_6[[#This Row],[21st CCLC,  Title IV-B]:[(enter addt''l. fund source 5)]]),2)</f>
        <v>0</v>
      </c>
      <c r="O42" s="208"/>
    </row>
    <row r="43" spans="2:15" x14ac:dyDescent="0.25">
      <c r="B43" s="53"/>
      <c r="C43" s="54"/>
      <c r="D43" s="53"/>
      <c r="E43" s="54"/>
      <c r="F43" s="54"/>
      <c r="G43" s="219"/>
      <c r="H43" s="196"/>
      <c r="I43" s="220"/>
      <c r="J43" s="55"/>
      <c r="K43" s="55"/>
      <c r="L43" s="55"/>
      <c r="M43" s="207"/>
      <c r="N43" s="200">
        <f>ROUND(SUM(Site_Detail_6[[#This Row],[21st CCLC,  Title IV-B]:[(enter addt''l. fund source 5)]]),2)</f>
        <v>0</v>
      </c>
      <c r="O43" s="208"/>
    </row>
    <row r="44" spans="2:15" x14ac:dyDescent="0.25">
      <c r="B44" s="53"/>
      <c r="C44" s="54"/>
      <c r="D44" s="53"/>
      <c r="E44" s="54"/>
      <c r="F44" s="54"/>
      <c r="G44" s="219"/>
      <c r="H44" s="196"/>
      <c r="I44" s="220"/>
      <c r="J44" s="55"/>
      <c r="K44" s="55"/>
      <c r="L44" s="55"/>
      <c r="M44" s="207"/>
      <c r="N44" s="200">
        <f>ROUND(SUM(Site_Detail_6[[#This Row],[21st CCLC,  Title IV-B]:[(enter addt''l. fund source 5)]]),2)</f>
        <v>0</v>
      </c>
      <c r="O44" s="208"/>
    </row>
    <row r="45" spans="2:15" x14ac:dyDescent="0.25">
      <c r="B45" s="53"/>
      <c r="C45" s="54"/>
      <c r="D45" s="53"/>
      <c r="E45" s="54"/>
      <c r="F45" s="54"/>
      <c r="G45" s="219"/>
      <c r="H45" s="196"/>
      <c r="I45" s="220"/>
      <c r="J45" s="55"/>
      <c r="K45" s="55"/>
      <c r="L45" s="55"/>
      <c r="M45" s="207"/>
      <c r="N45" s="200">
        <f>ROUND(SUM(Site_Detail_6[[#This Row],[21st CCLC,  Title IV-B]:[(enter addt''l. fund source 5)]]),2)</f>
        <v>0</v>
      </c>
      <c r="O45" s="208"/>
    </row>
    <row r="46" spans="2:15" x14ac:dyDescent="0.25">
      <c r="B46" s="53"/>
      <c r="C46" s="54"/>
      <c r="D46" s="53"/>
      <c r="E46" s="54"/>
      <c r="F46" s="54"/>
      <c r="G46" s="219"/>
      <c r="H46" s="196"/>
      <c r="I46" s="220"/>
      <c r="J46" s="55"/>
      <c r="K46" s="55"/>
      <c r="L46" s="55"/>
      <c r="M46" s="207"/>
      <c r="N46" s="200">
        <f>ROUND(SUM(Site_Detail_6[[#This Row],[21st CCLC,  Title IV-B]:[(enter addt''l. fund source 5)]]),2)</f>
        <v>0</v>
      </c>
      <c r="O46" s="208"/>
    </row>
    <row r="47" spans="2:15" x14ac:dyDescent="0.25">
      <c r="B47" s="53"/>
      <c r="C47" s="54"/>
      <c r="D47" s="53"/>
      <c r="E47" s="54"/>
      <c r="F47" s="54"/>
      <c r="G47" s="219"/>
      <c r="H47" s="196"/>
      <c r="I47" s="220"/>
      <c r="J47" s="55"/>
      <c r="K47" s="55"/>
      <c r="L47" s="55"/>
      <c r="M47" s="207"/>
      <c r="N47" s="200">
        <f>ROUND(SUM(Site_Detail_6[[#This Row],[21st CCLC,  Title IV-B]:[(enter addt''l. fund source 5)]]),2)</f>
        <v>0</v>
      </c>
      <c r="O47" s="208"/>
    </row>
    <row r="48" spans="2:15" x14ac:dyDescent="0.25">
      <c r="B48" s="53"/>
      <c r="C48" s="54"/>
      <c r="D48" s="53"/>
      <c r="E48" s="54"/>
      <c r="F48" s="54"/>
      <c r="G48" s="219"/>
      <c r="H48" s="196"/>
      <c r="I48" s="220"/>
      <c r="J48" s="55"/>
      <c r="K48" s="55"/>
      <c r="L48" s="55"/>
      <c r="M48" s="207"/>
      <c r="N48" s="200">
        <f>ROUND(SUM(Site_Detail_6[[#This Row],[21st CCLC,  Title IV-B]:[(enter addt''l. fund source 5)]]),2)</f>
        <v>0</v>
      </c>
      <c r="O48" s="208"/>
    </row>
    <row r="49" spans="2:15" x14ac:dyDescent="0.25">
      <c r="B49" s="53"/>
      <c r="C49" s="54"/>
      <c r="D49" s="53"/>
      <c r="E49" s="54"/>
      <c r="F49" s="54"/>
      <c r="G49" s="219"/>
      <c r="H49" s="196"/>
      <c r="I49" s="220"/>
      <c r="J49" s="55"/>
      <c r="K49" s="55"/>
      <c r="L49" s="55"/>
      <c r="M49" s="207"/>
      <c r="N49" s="200">
        <f>ROUND(SUM(Site_Detail_6[[#This Row],[21st CCLC,  Title IV-B]:[(enter addt''l. fund source 5)]]),2)</f>
        <v>0</v>
      </c>
      <c r="O49" s="208"/>
    </row>
    <row r="50" spans="2:15" x14ac:dyDescent="0.25">
      <c r="B50" s="53"/>
      <c r="C50" s="54"/>
      <c r="D50" s="53"/>
      <c r="E50" s="54"/>
      <c r="F50" s="54"/>
      <c r="G50" s="219"/>
      <c r="H50" s="196"/>
      <c r="I50" s="220"/>
      <c r="J50" s="55"/>
      <c r="K50" s="55"/>
      <c r="L50" s="55"/>
      <c r="M50" s="207"/>
      <c r="N50" s="200">
        <f>ROUND(SUM(Site_Detail_6[[#This Row],[21st CCLC,  Title IV-B]:[(enter addt''l. fund source 5)]]),2)</f>
        <v>0</v>
      </c>
      <c r="O50" s="208"/>
    </row>
    <row r="51" spans="2:15" x14ac:dyDescent="0.25">
      <c r="B51" s="53"/>
      <c r="C51" s="54"/>
      <c r="D51" s="53"/>
      <c r="E51" s="54"/>
      <c r="F51" s="54"/>
      <c r="G51" s="219"/>
      <c r="H51" s="196"/>
      <c r="I51" s="220"/>
      <c r="J51" s="55"/>
      <c r="K51" s="55"/>
      <c r="L51" s="55"/>
      <c r="M51" s="207"/>
      <c r="N51" s="200">
        <f>ROUND(SUM(Site_Detail_6[[#This Row],[21st CCLC,  Title IV-B]:[(enter addt''l. fund source 5)]]),2)</f>
        <v>0</v>
      </c>
      <c r="O51" s="208"/>
    </row>
    <row r="52" spans="2:15" x14ac:dyDescent="0.25">
      <c r="B52" s="53"/>
      <c r="C52" s="54"/>
      <c r="D52" s="53"/>
      <c r="E52" s="54"/>
      <c r="F52" s="54"/>
      <c r="G52" s="219"/>
      <c r="H52" s="196"/>
      <c r="I52" s="220"/>
      <c r="J52" s="55"/>
      <c r="K52" s="55"/>
      <c r="L52" s="55"/>
      <c r="M52" s="207"/>
      <c r="N52" s="200">
        <f>ROUND(SUM(Site_Detail_6[[#This Row],[21st CCLC,  Title IV-B]:[(enter addt''l. fund source 5)]]),2)</f>
        <v>0</v>
      </c>
      <c r="O52" s="208"/>
    </row>
    <row r="53" spans="2:15" x14ac:dyDescent="0.25">
      <c r="B53" s="53"/>
      <c r="C53" s="54"/>
      <c r="D53" s="53"/>
      <c r="E53" s="54"/>
      <c r="F53" s="54"/>
      <c r="G53" s="219"/>
      <c r="H53" s="196"/>
      <c r="I53" s="220"/>
      <c r="J53" s="55"/>
      <c r="K53" s="55"/>
      <c r="L53" s="55"/>
      <c r="M53" s="207"/>
      <c r="N53" s="200">
        <f>ROUND(SUM(Site_Detail_6[[#This Row],[21st CCLC,  Title IV-B]:[(enter addt''l. fund source 5)]]),2)</f>
        <v>0</v>
      </c>
      <c r="O53" s="208"/>
    </row>
    <row r="54" spans="2:15" x14ac:dyDescent="0.25">
      <c r="B54" s="53"/>
      <c r="C54" s="54"/>
      <c r="D54" s="53"/>
      <c r="E54" s="54"/>
      <c r="F54" s="54"/>
      <c r="G54" s="219"/>
      <c r="H54" s="196"/>
      <c r="I54" s="220"/>
      <c r="J54" s="55"/>
      <c r="K54" s="55"/>
      <c r="L54" s="55"/>
      <c r="M54" s="207"/>
      <c r="N54" s="200">
        <f>ROUND(SUM(Site_Detail_6[[#This Row],[21st CCLC,  Title IV-B]:[(enter addt''l. fund source 5)]]),2)</f>
        <v>0</v>
      </c>
      <c r="O54" s="208"/>
    </row>
    <row r="55" spans="2:15" x14ac:dyDescent="0.25">
      <c r="B55" s="53"/>
      <c r="C55" s="54"/>
      <c r="D55" s="53"/>
      <c r="E55" s="54"/>
      <c r="F55" s="54"/>
      <c r="G55" s="219"/>
      <c r="H55" s="196"/>
      <c r="I55" s="220"/>
      <c r="J55" s="55"/>
      <c r="K55" s="55"/>
      <c r="L55" s="55"/>
      <c r="M55" s="207"/>
      <c r="N55" s="200">
        <f>ROUND(SUM(Site_Detail_6[[#This Row],[21st CCLC,  Title IV-B]:[(enter addt''l. fund source 5)]]),2)</f>
        <v>0</v>
      </c>
      <c r="O55" s="208"/>
    </row>
    <row r="56" spans="2:15" x14ac:dyDescent="0.25">
      <c r="B56" s="53"/>
      <c r="C56" s="54"/>
      <c r="D56" s="53"/>
      <c r="E56" s="54"/>
      <c r="F56" s="54"/>
      <c r="G56" s="219"/>
      <c r="H56" s="196"/>
      <c r="I56" s="220"/>
      <c r="J56" s="55"/>
      <c r="K56" s="55"/>
      <c r="L56" s="55"/>
      <c r="M56" s="207"/>
      <c r="N56" s="200">
        <f>ROUND(SUM(Site_Detail_6[[#This Row],[21st CCLC,  Title IV-B]:[(enter addt''l. fund source 5)]]),2)</f>
        <v>0</v>
      </c>
      <c r="O56" s="208"/>
    </row>
    <row r="57" spans="2:15" x14ac:dyDescent="0.25">
      <c r="B57" s="53"/>
      <c r="C57" s="54"/>
      <c r="D57" s="53"/>
      <c r="E57" s="54"/>
      <c r="F57" s="54"/>
      <c r="G57" s="219"/>
      <c r="H57" s="196"/>
      <c r="I57" s="220"/>
      <c r="J57" s="55"/>
      <c r="K57" s="55"/>
      <c r="L57" s="55"/>
      <c r="M57" s="207"/>
      <c r="N57" s="200">
        <f>ROUND(SUM(Site_Detail_6[[#This Row],[21st CCLC,  Title IV-B]:[(enter addt''l. fund source 5)]]),2)</f>
        <v>0</v>
      </c>
      <c r="O57" s="208"/>
    </row>
    <row r="58" spans="2:15" x14ac:dyDescent="0.25">
      <c r="B58" s="53"/>
      <c r="C58" s="54"/>
      <c r="D58" s="53"/>
      <c r="E58" s="54"/>
      <c r="F58" s="54"/>
      <c r="G58" s="219"/>
      <c r="H58" s="196"/>
      <c r="I58" s="220"/>
      <c r="J58" s="55"/>
      <c r="K58" s="55"/>
      <c r="L58" s="55"/>
      <c r="M58" s="207"/>
      <c r="N58" s="200">
        <f>ROUND(SUM(Site_Detail_6[[#This Row],[21st CCLC,  Title IV-B]:[(enter addt''l. fund source 5)]]),2)</f>
        <v>0</v>
      </c>
      <c r="O58" s="208"/>
    </row>
    <row r="59" spans="2:15" x14ac:dyDescent="0.25">
      <c r="B59" s="53"/>
      <c r="C59" s="54"/>
      <c r="D59" s="53"/>
      <c r="E59" s="54"/>
      <c r="F59" s="54"/>
      <c r="G59" s="219"/>
      <c r="H59" s="196"/>
      <c r="I59" s="220"/>
      <c r="J59" s="55"/>
      <c r="K59" s="55"/>
      <c r="L59" s="55"/>
      <c r="M59" s="207"/>
      <c r="N59" s="200">
        <f>ROUND(SUM(Site_Detail_6[[#This Row],[21st CCLC,  Title IV-B]:[(enter addt''l. fund source 5)]]),2)</f>
        <v>0</v>
      </c>
      <c r="O59" s="208"/>
    </row>
    <row r="60" spans="2:15" x14ac:dyDescent="0.25">
      <c r="B60" s="53"/>
      <c r="C60" s="54"/>
      <c r="D60" s="53"/>
      <c r="E60" s="54"/>
      <c r="F60" s="54"/>
      <c r="G60" s="219"/>
      <c r="H60" s="196"/>
      <c r="I60" s="220"/>
      <c r="J60" s="55"/>
      <c r="K60" s="55"/>
      <c r="L60" s="55"/>
      <c r="M60" s="207"/>
      <c r="N60" s="200">
        <f>ROUND(SUM(Site_Detail_6[[#This Row],[21st CCLC,  Title IV-B]:[(enter addt''l. fund source 5)]]),2)</f>
        <v>0</v>
      </c>
      <c r="O60" s="208"/>
    </row>
    <row r="61" spans="2:15" x14ac:dyDescent="0.25">
      <c r="B61" s="53"/>
      <c r="C61" s="54"/>
      <c r="D61" s="53"/>
      <c r="E61" s="54"/>
      <c r="F61" s="54"/>
      <c r="G61" s="219"/>
      <c r="H61" s="196"/>
      <c r="I61" s="220"/>
      <c r="J61" s="55"/>
      <c r="K61" s="55"/>
      <c r="L61" s="55"/>
      <c r="M61" s="207"/>
      <c r="N61" s="200">
        <f>ROUND(SUM(Site_Detail_6[[#This Row],[21st CCLC,  Title IV-B]:[(enter addt''l. fund source 5)]]),2)</f>
        <v>0</v>
      </c>
      <c r="O61" s="208"/>
    </row>
    <row r="62" spans="2:15" x14ac:dyDescent="0.25">
      <c r="B62" s="53"/>
      <c r="C62" s="54"/>
      <c r="D62" s="53"/>
      <c r="E62" s="54"/>
      <c r="F62" s="54"/>
      <c r="G62" s="219"/>
      <c r="H62" s="196"/>
      <c r="I62" s="220"/>
      <c r="J62" s="55"/>
      <c r="K62" s="55"/>
      <c r="L62" s="55"/>
      <c r="M62" s="207"/>
      <c r="N62" s="200">
        <f>ROUND(SUM(Site_Detail_6[[#This Row],[21st CCLC,  Title IV-B]:[(enter addt''l. fund source 5)]]),2)</f>
        <v>0</v>
      </c>
      <c r="O62" s="208"/>
    </row>
    <row r="63" spans="2:15" x14ac:dyDescent="0.25">
      <c r="B63" s="53"/>
      <c r="C63" s="54"/>
      <c r="D63" s="53"/>
      <c r="E63" s="54"/>
      <c r="F63" s="54"/>
      <c r="G63" s="219"/>
      <c r="H63" s="196"/>
      <c r="I63" s="220"/>
      <c r="J63" s="55"/>
      <c r="K63" s="55"/>
      <c r="L63" s="55"/>
      <c r="M63" s="207"/>
      <c r="N63" s="200">
        <f>ROUND(SUM(Site_Detail_6[[#This Row],[21st CCLC,  Title IV-B]:[(enter addt''l. fund source 5)]]),2)</f>
        <v>0</v>
      </c>
      <c r="O63" s="208"/>
    </row>
    <row r="64" spans="2:15" x14ac:dyDescent="0.25">
      <c r="B64" s="53"/>
      <c r="C64" s="54"/>
      <c r="D64" s="53"/>
      <c r="E64" s="54"/>
      <c r="F64" s="54"/>
      <c r="G64" s="219"/>
      <c r="H64" s="196"/>
      <c r="I64" s="220"/>
      <c r="J64" s="55"/>
      <c r="K64" s="55"/>
      <c r="L64" s="55"/>
      <c r="M64" s="207"/>
      <c r="N64" s="200">
        <f>ROUND(SUM(Site_Detail_6[[#This Row],[21st CCLC,  Title IV-B]:[(enter addt''l. fund source 5)]]),2)</f>
        <v>0</v>
      </c>
      <c r="O64" s="208"/>
    </row>
    <row r="65" spans="2:15" x14ac:dyDescent="0.25">
      <c r="B65" s="53"/>
      <c r="C65" s="54"/>
      <c r="D65" s="53"/>
      <c r="E65" s="54"/>
      <c r="F65" s="54"/>
      <c r="G65" s="219"/>
      <c r="H65" s="196"/>
      <c r="I65" s="220"/>
      <c r="J65" s="55"/>
      <c r="K65" s="55"/>
      <c r="L65" s="55"/>
      <c r="M65" s="207"/>
      <c r="N65" s="200">
        <f>ROUND(SUM(Site_Detail_6[[#This Row],[21st CCLC,  Title IV-B]:[(enter addt''l. fund source 5)]]),2)</f>
        <v>0</v>
      </c>
      <c r="O65" s="208"/>
    </row>
    <row r="66" spans="2:15" x14ac:dyDescent="0.25">
      <c r="B66" s="53"/>
      <c r="C66" s="54"/>
      <c r="D66" s="53"/>
      <c r="E66" s="54"/>
      <c r="F66" s="54"/>
      <c r="G66" s="219"/>
      <c r="H66" s="196"/>
      <c r="I66" s="220"/>
      <c r="J66" s="55"/>
      <c r="K66" s="55"/>
      <c r="L66" s="55"/>
      <c r="M66" s="207"/>
      <c r="N66" s="200">
        <f>ROUND(SUM(Site_Detail_6[[#This Row],[21st CCLC,  Title IV-B]:[(enter addt''l. fund source 5)]]),2)</f>
        <v>0</v>
      </c>
      <c r="O66" s="208"/>
    </row>
    <row r="67" spans="2:15" x14ac:dyDescent="0.25">
      <c r="B67" s="53"/>
      <c r="C67" s="54"/>
      <c r="D67" s="53"/>
      <c r="E67" s="54"/>
      <c r="F67" s="54"/>
      <c r="G67" s="219"/>
      <c r="H67" s="196"/>
      <c r="I67" s="220"/>
      <c r="J67" s="55"/>
      <c r="K67" s="55"/>
      <c r="L67" s="55"/>
      <c r="M67" s="207"/>
      <c r="N67" s="200">
        <f>ROUND(SUM(Site_Detail_6[[#This Row],[21st CCLC,  Title IV-B]:[(enter addt''l. fund source 5)]]),2)</f>
        <v>0</v>
      </c>
      <c r="O67" s="208"/>
    </row>
    <row r="68" spans="2:15" x14ac:dyDescent="0.25">
      <c r="B68" s="53"/>
      <c r="C68" s="54"/>
      <c r="D68" s="53"/>
      <c r="E68" s="54"/>
      <c r="F68" s="54"/>
      <c r="G68" s="219"/>
      <c r="H68" s="196"/>
      <c r="I68" s="220"/>
      <c r="J68" s="55"/>
      <c r="K68" s="55"/>
      <c r="L68" s="55"/>
      <c r="M68" s="207"/>
      <c r="N68" s="200">
        <f>ROUND(SUM(Site_Detail_6[[#This Row],[21st CCLC,  Title IV-B]:[(enter addt''l. fund source 5)]]),2)</f>
        <v>0</v>
      </c>
      <c r="O68" s="208"/>
    </row>
    <row r="69" spans="2:15" x14ac:dyDescent="0.25">
      <c r="B69" s="53"/>
      <c r="C69" s="54"/>
      <c r="D69" s="53"/>
      <c r="E69" s="54"/>
      <c r="F69" s="54"/>
      <c r="G69" s="219"/>
      <c r="H69" s="196"/>
      <c r="I69" s="220"/>
      <c r="J69" s="55"/>
      <c r="K69" s="55"/>
      <c r="L69" s="55"/>
      <c r="M69" s="207"/>
      <c r="N69" s="200">
        <f>ROUND(SUM(Site_Detail_6[[#This Row],[21st CCLC,  Title IV-B]:[(enter addt''l. fund source 5)]]),2)</f>
        <v>0</v>
      </c>
      <c r="O69" s="208"/>
    </row>
    <row r="70" spans="2:15" x14ac:dyDescent="0.25">
      <c r="B70" s="53"/>
      <c r="C70" s="54"/>
      <c r="D70" s="53"/>
      <c r="E70" s="54"/>
      <c r="F70" s="54"/>
      <c r="G70" s="219"/>
      <c r="H70" s="196"/>
      <c r="I70" s="220"/>
      <c r="J70" s="55"/>
      <c r="K70" s="55"/>
      <c r="L70" s="55"/>
      <c r="M70" s="207"/>
      <c r="N70" s="200">
        <f>ROUND(SUM(Site_Detail_6[[#This Row],[21st CCLC,  Title IV-B]:[(enter addt''l. fund source 5)]]),2)</f>
        <v>0</v>
      </c>
      <c r="O70" s="208"/>
    </row>
    <row r="71" spans="2:15" x14ac:dyDescent="0.25">
      <c r="B71" s="53"/>
      <c r="C71" s="54"/>
      <c r="D71" s="53"/>
      <c r="E71" s="54"/>
      <c r="F71" s="54"/>
      <c r="G71" s="219"/>
      <c r="H71" s="196"/>
      <c r="I71" s="220"/>
      <c r="J71" s="55"/>
      <c r="K71" s="55"/>
      <c r="L71" s="55"/>
      <c r="M71" s="207"/>
      <c r="N71" s="200">
        <f>ROUND(SUM(Site_Detail_6[[#This Row],[21st CCLC,  Title IV-B]:[(enter addt''l. fund source 5)]]),2)</f>
        <v>0</v>
      </c>
      <c r="O71" s="208"/>
    </row>
    <row r="72" spans="2:15" x14ac:dyDescent="0.25">
      <c r="B72" s="53"/>
      <c r="C72" s="54"/>
      <c r="D72" s="53"/>
      <c r="E72" s="54"/>
      <c r="F72" s="54"/>
      <c r="G72" s="219"/>
      <c r="H72" s="196"/>
      <c r="I72" s="220"/>
      <c r="J72" s="55"/>
      <c r="K72" s="55"/>
      <c r="L72" s="55"/>
      <c r="M72" s="207"/>
      <c r="N72" s="200">
        <f>ROUND(SUM(Site_Detail_6[[#This Row],[21st CCLC,  Title IV-B]:[(enter addt''l. fund source 5)]]),2)</f>
        <v>0</v>
      </c>
      <c r="O72" s="208"/>
    </row>
    <row r="73" spans="2:15" x14ac:dyDescent="0.25">
      <c r="B73" s="53"/>
      <c r="C73" s="54"/>
      <c r="D73" s="53"/>
      <c r="E73" s="54"/>
      <c r="F73" s="54"/>
      <c r="G73" s="219"/>
      <c r="H73" s="196"/>
      <c r="I73" s="220"/>
      <c r="J73" s="55"/>
      <c r="K73" s="55"/>
      <c r="L73" s="55"/>
      <c r="M73" s="207"/>
      <c r="N73" s="200">
        <f>ROUND(SUM(Site_Detail_6[[#This Row],[21st CCLC,  Title IV-B]:[(enter addt''l. fund source 5)]]),2)</f>
        <v>0</v>
      </c>
      <c r="O73" s="208"/>
    </row>
    <row r="74" spans="2:15" x14ac:dyDescent="0.25">
      <c r="B74" s="53"/>
      <c r="C74" s="54"/>
      <c r="D74" s="53"/>
      <c r="E74" s="54"/>
      <c r="F74" s="54"/>
      <c r="G74" s="219"/>
      <c r="H74" s="196"/>
      <c r="I74" s="220"/>
      <c r="J74" s="55"/>
      <c r="K74" s="55"/>
      <c r="L74" s="55"/>
      <c r="M74" s="207"/>
      <c r="N74" s="200">
        <f>ROUND(SUM(Site_Detail_6[[#This Row],[21st CCLC,  Title IV-B]:[(enter addt''l. fund source 5)]]),2)</f>
        <v>0</v>
      </c>
      <c r="O74" s="208"/>
    </row>
    <row r="75" spans="2:15" x14ac:dyDescent="0.25">
      <c r="B75" s="53"/>
      <c r="C75" s="54"/>
      <c r="D75" s="53"/>
      <c r="E75" s="54"/>
      <c r="F75" s="54"/>
      <c r="G75" s="219"/>
      <c r="H75" s="196"/>
      <c r="I75" s="220"/>
      <c r="J75" s="55"/>
      <c r="K75" s="55"/>
      <c r="L75" s="55"/>
      <c r="M75" s="207"/>
      <c r="N75" s="200">
        <f>ROUND(SUM(Site_Detail_6[[#This Row],[21st CCLC,  Title IV-B]:[(enter addt''l. fund source 5)]]),2)</f>
        <v>0</v>
      </c>
      <c r="O75" s="208"/>
    </row>
    <row r="76" spans="2:15" x14ac:dyDescent="0.25">
      <c r="B76" s="53"/>
      <c r="C76" s="54"/>
      <c r="D76" s="53"/>
      <c r="E76" s="54"/>
      <c r="F76" s="54"/>
      <c r="G76" s="219"/>
      <c r="H76" s="196"/>
      <c r="I76" s="220"/>
      <c r="J76" s="55"/>
      <c r="K76" s="55"/>
      <c r="L76" s="55"/>
      <c r="M76" s="207"/>
      <c r="N76" s="200">
        <f>ROUND(SUM(Site_Detail_6[[#This Row],[21st CCLC,  Title IV-B]:[(enter addt''l. fund source 5)]]),2)</f>
        <v>0</v>
      </c>
      <c r="O76" s="208"/>
    </row>
    <row r="77" spans="2:15" x14ac:dyDescent="0.25">
      <c r="B77" s="53"/>
      <c r="C77" s="54"/>
      <c r="D77" s="53"/>
      <c r="E77" s="54"/>
      <c r="F77" s="54"/>
      <c r="G77" s="219"/>
      <c r="H77" s="196"/>
      <c r="I77" s="220"/>
      <c r="J77" s="55"/>
      <c r="K77" s="55"/>
      <c r="L77" s="55"/>
      <c r="M77" s="207"/>
      <c r="N77" s="200">
        <f>ROUND(SUM(Site_Detail_6[[#This Row],[21st CCLC,  Title IV-B]:[(enter addt''l. fund source 5)]]),2)</f>
        <v>0</v>
      </c>
      <c r="O77" s="208"/>
    </row>
    <row r="78" spans="2:15" x14ac:dyDescent="0.25">
      <c r="B78" s="53"/>
      <c r="C78" s="54"/>
      <c r="D78" s="53"/>
      <c r="E78" s="54"/>
      <c r="F78" s="54"/>
      <c r="G78" s="219"/>
      <c r="H78" s="196"/>
      <c r="I78" s="220"/>
      <c r="J78" s="55"/>
      <c r="K78" s="55"/>
      <c r="L78" s="55"/>
      <c r="M78" s="207"/>
      <c r="N78" s="200">
        <f>ROUND(SUM(Site_Detail_6[[#This Row],[21st CCLC,  Title IV-B]:[(enter addt''l. fund source 5)]]),2)</f>
        <v>0</v>
      </c>
      <c r="O78" s="208"/>
    </row>
    <row r="79" spans="2:15" x14ac:dyDescent="0.25">
      <c r="B79" s="53"/>
      <c r="C79" s="54"/>
      <c r="D79" s="53"/>
      <c r="E79" s="54"/>
      <c r="F79" s="54"/>
      <c r="G79" s="219"/>
      <c r="H79" s="196"/>
      <c r="I79" s="220"/>
      <c r="J79" s="55"/>
      <c r="K79" s="55"/>
      <c r="L79" s="55"/>
      <c r="M79" s="207"/>
      <c r="N79" s="200">
        <f>ROUND(SUM(Site_Detail_6[[#This Row],[21st CCLC,  Title IV-B]:[(enter addt''l. fund source 5)]]),2)</f>
        <v>0</v>
      </c>
      <c r="O79" s="208"/>
    </row>
    <row r="80" spans="2:15" x14ac:dyDescent="0.25">
      <c r="B80" s="53"/>
      <c r="C80" s="54"/>
      <c r="D80" s="53"/>
      <c r="E80" s="54"/>
      <c r="F80" s="54"/>
      <c r="G80" s="219"/>
      <c r="H80" s="196"/>
      <c r="I80" s="220"/>
      <c r="J80" s="55"/>
      <c r="K80" s="55"/>
      <c r="L80" s="55"/>
      <c r="M80" s="207"/>
      <c r="N80" s="200">
        <f>ROUND(SUM(Site_Detail_6[[#This Row],[21st CCLC,  Title IV-B]:[(enter addt''l. fund source 5)]]),2)</f>
        <v>0</v>
      </c>
      <c r="O80" s="208"/>
    </row>
    <row r="81" spans="2:15" x14ac:dyDescent="0.25">
      <c r="B81" s="53"/>
      <c r="C81" s="54"/>
      <c r="D81" s="53"/>
      <c r="E81" s="54"/>
      <c r="F81" s="54"/>
      <c r="G81" s="219"/>
      <c r="H81" s="196"/>
      <c r="I81" s="220"/>
      <c r="J81" s="55"/>
      <c r="K81" s="55"/>
      <c r="L81" s="55"/>
      <c r="M81" s="207"/>
      <c r="N81" s="200">
        <f>ROUND(SUM(Site_Detail_6[[#This Row],[21st CCLC,  Title IV-B]:[(enter addt''l. fund source 5)]]),2)</f>
        <v>0</v>
      </c>
      <c r="O81" s="208"/>
    </row>
    <row r="82" spans="2:15" x14ac:dyDescent="0.25">
      <c r="B82" s="53"/>
      <c r="C82" s="54"/>
      <c r="D82" s="53"/>
      <c r="E82" s="54"/>
      <c r="F82" s="54"/>
      <c r="G82" s="219"/>
      <c r="H82" s="196"/>
      <c r="I82" s="220"/>
      <c r="J82" s="55"/>
      <c r="K82" s="55"/>
      <c r="L82" s="55"/>
      <c r="M82" s="207"/>
      <c r="N82" s="200">
        <f>ROUND(SUM(Site_Detail_6[[#This Row],[21st CCLC,  Title IV-B]:[(enter addt''l. fund source 5)]]),2)</f>
        <v>0</v>
      </c>
      <c r="O82" s="208"/>
    </row>
    <row r="83" spans="2:15" x14ac:dyDescent="0.25">
      <c r="B83" s="53"/>
      <c r="C83" s="54"/>
      <c r="D83" s="53"/>
      <c r="E83" s="54"/>
      <c r="F83" s="54"/>
      <c r="G83" s="219"/>
      <c r="H83" s="196"/>
      <c r="I83" s="220"/>
      <c r="J83" s="55"/>
      <c r="K83" s="55"/>
      <c r="L83" s="55"/>
      <c r="M83" s="207"/>
      <c r="N83" s="200">
        <f>ROUND(SUM(Site_Detail_6[[#This Row],[21st CCLC,  Title IV-B]:[(enter addt''l. fund source 5)]]),2)</f>
        <v>0</v>
      </c>
      <c r="O83" s="208"/>
    </row>
    <row r="84" spans="2:15" x14ac:dyDescent="0.25">
      <c r="B84" s="53"/>
      <c r="C84" s="54"/>
      <c r="D84" s="53"/>
      <c r="E84" s="54"/>
      <c r="F84" s="54"/>
      <c r="G84" s="219"/>
      <c r="H84" s="196"/>
      <c r="I84" s="220"/>
      <c r="J84" s="55"/>
      <c r="K84" s="55"/>
      <c r="L84" s="55"/>
      <c r="M84" s="207"/>
      <c r="N84" s="200">
        <f>ROUND(SUM(Site_Detail_6[[#This Row],[21st CCLC,  Title IV-B]:[(enter addt''l. fund source 5)]]),2)</f>
        <v>0</v>
      </c>
      <c r="O84" s="208"/>
    </row>
    <row r="85" spans="2:15" x14ac:dyDescent="0.25">
      <c r="B85" s="53"/>
      <c r="C85" s="54"/>
      <c r="D85" s="53"/>
      <c r="E85" s="54"/>
      <c r="F85" s="54"/>
      <c r="G85" s="219"/>
      <c r="H85" s="196"/>
      <c r="I85" s="220"/>
      <c r="J85" s="55"/>
      <c r="K85" s="55"/>
      <c r="L85" s="55"/>
      <c r="M85" s="207"/>
      <c r="N85" s="200">
        <f>ROUND(SUM(Site_Detail_6[[#This Row],[21st CCLC,  Title IV-B]:[(enter addt''l. fund source 5)]]),2)</f>
        <v>0</v>
      </c>
      <c r="O85" s="208"/>
    </row>
    <row r="86" spans="2:15" x14ac:dyDescent="0.25">
      <c r="B86" s="53"/>
      <c r="C86" s="54"/>
      <c r="D86" s="53"/>
      <c r="E86" s="54"/>
      <c r="F86" s="54"/>
      <c r="G86" s="219"/>
      <c r="H86" s="196"/>
      <c r="I86" s="220"/>
      <c r="J86" s="55"/>
      <c r="K86" s="55"/>
      <c r="L86" s="55"/>
      <c r="M86" s="207"/>
      <c r="N86" s="200">
        <f>ROUND(SUM(Site_Detail_6[[#This Row],[21st CCLC,  Title IV-B]:[(enter addt''l. fund source 5)]]),2)</f>
        <v>0</v>
      </c>
      <c r="O86" s="208"/>
    </row>
    <row r="87" spans="2:15" x14ac:dyDescent="0.25">
      <c r="B87" s="53"/>
      <c r="C87" s="54"/>
      <c r="D87" s="53"/>
      <c r="E87" s="54"/>
      <c r="F87" s="54"/>
      <c r="G87" s="219"/>
      <c r="H87" s="196"/>
      <c r="I87" s="220"/>
      <c r="J87" s="55"/>
      <c r="K87" s="55"/>
      <c r="L87" s="55"/>
      <c r="M87" s="207"/>
      <c r="N87" s="200">
        <f>ROUND(SUM(Site_Detail_6[[#This Row],[21st CCLC,  Title IV-B]:[(enter addt''l. fund source 5)]]),2)</f>
        <v>0</v>
      </c>
      <c r="O87" s="208"/>
    </row>
  </sheetData>
  <sheetProtection sheet="1" objects="1" scenarios="1" sort="0" autoFilter="0"/>
  <mergeCells count="5">
    <mergeCell ref="B2:G2"/>
    <mergeCell ref="C5:E5"/>
    <mergeCell ref="C6:E6"/>
    <mergeCell ref="B8:B9"/>
    <mergeCell ref="C8:C9"/>
  </mergeCells>
  <conditionalFormatting sqref="B13:D13">
    <cfRule type="cellIs" dxfId="121" priority="6" operator="equal">
      <formula>"(select)"</formula>
    </cfRule>
  </conditionalFormatting>
  <conditionalFormatting sqref="B13:G87">
    <cfRule type="expression" dxfId="120" priority="7">
      <formula>AND(SUM($H13:$M13)&gt;0,B13="")</formula>
    </cfRule>
  </conditionalFormatting>
  <conditionalFormatting sqref="C4:C5 C7">
    <cfRule type="cellIs" dxfId="119" priority="1" operator="equal">
      <formula>"(autofill)"</formula>
    </cfRule>
    <cfRule type="expression" dxfId="118" priority="2">
      <formula>$C$5="Invalid Entity ID"</formula>
    </cfRule>
  </conditionalFormatting>
  <conditionalFormatting sqref="C6">
    <cfRule type="cellIs" dxfId="117" priority="3" operator="equal">
      <formula>"(enter center/site name)"</formula>
    </cfRule>
  </conditionalFormatting>
  <conditionalFormatting sqref="C8">
    <cfRule type="cellIs" dxfId="116" priority="4" operator="equal">
      <formula>"(enter #)"</formula>
    </cfRule>
  </conditionalFormatting>
  <conditionalFormatting sqref="C13:C87">
    <cfRule type="cellIs" dxfId="115" priority="8" operator="equal">
      <formula>"Yes"</formula>
    </cfRule>
  </conditionalFormatting>
  <conditionalFormatting sqref="E13">
    <cfRule type="cellIs" dxfId="114" priority="9" operator="equal">
      <formula>"(fx code)"</formula>
    </cfRule>
  </conditionalFormatting>
  <conditionalFormatting sqref="F13">
    <cfRule type="cellIs" dxfId="113" priority="10" operator="equal">
      <formula>"(obj)"</formula>
    </cfRule>
  </conditionalFormatting>
  <conditionalFormatting sqref="G13">
    <cfRule type="cellIs" dxfId="112" priority="11" operator="equal">
      <formula>"(enter description)"</formula>
    </cfRule>
  </conditionalFormatting>
  <conditionalFormatting sqref="H13:M13">
    <cfRule type="cellIs" dxfId="111" priority="12" operator="equal">
      <formula>"(enter $)"</formula>
    </cfRule>
  </conditionalFormatting>
  <conditionalFormatting sqref="I7:M7 I12:M12 S12:W12">
    <cfRule type="containsText" dxfId="110" priority="5" operator="containsText" text="(addt'l. fund source">
      <formula>NOT(ISERROR(SEARCH("(addt'l. fund source",I7)))</formula>
    </cfRule>
  </conditionalFormatting>
  <conditionalFormatting sqref="O13">
    <cfRule type="cellIs" dxfId="109" priority="13" operator="equal">
      <formula>"(enter note)"</formula>
    </cfRule>
  </conditionalFormatting>
  <dataValidations count="4">
    <dataValidation allowBlank="1" showInputMessage="1" showErrorMessage="1" prompt="Each line item for salaries MUST indicate: _x000a__x000a_1) Amount of FTE, and _x000a__x000a_2) Type of position (see Budget Guidance tab for examples)." sqref="G13:G15" xr:uid="{5328EE0A-42FB-4F6F-8EF8-42DAE0AC411A}"/>
    <dataValidation type="list" allowBlank="1" showErrorMessage="1" sqref="B13:B87" xr:uid="{C5CE5AB6-9978-4E4D-8638-4D922A24AADF}">
      <formula1>Program_List</formula1>
    </dataValidation>
    <dataValidation type="list" allowBlank="1" showErrorMessage="1" sqref="D13:D87" xr:uid="{5DFE0EC4-EE13-4AF7-8327-0EE2823F2D9E}">
      <formula1>Categories_List</formula1>
    </dataValidation>
    <dataValidation type="list" allowBlank="1" showErrorMessage="1" sqref="C13:C87" xr:uid="{42D8A92D-2806-4914-B9A0-41F2365FDDD9}">
      <formula1>Contracted_List</formula1>
    </dataValidation>
  </dataValidations>
  <printOptions horizontalCentered="1"/>
  <pageMargins left="0.25" right="0.25" top="0.25" bottom="0.25" header="0.3" footer="0.3"/>
  <pageSetup scale="49" fitToHeight="0" orientation="landscape" horizontalDpi="300" verticalDpi="300" r:id="rId1"/>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D04F43759CC7049ADC64DAB284B6313" ma:contentTypeVersion="8" ma:contentTypeDescription="Create a new document." ma:contentTypeScope="" ma:versionID="be83a4506582e519e0e0b782fd447510">
  <xsd:schema xmlns:xsd="http://www.w3.org/2001/XMLSchema" xmlns:xs="http://www.w3.org/2001/XMLSchema" xmlns:p="http://schemas.microsoft.com/office/2006/metadata/properties" xmlns:ns1="http://schemas.microsoft.com/sharepoint/v3" xmlns:ns2="2345d184-27b8-437f-8d85-a5954c579939" xmlns:ns3="54031767-dd6d-417c-ab73-583408f47564" targetNamespace="http://schemas.microsoft.com/office/2006/metadata/properties" ma:root="true" ma:fieldsID="fd6a4ce988fc35fe6159268e32b8a8b1" ns1:_="" ns2:_="" ns3:_="">
    <xsd:import namespace="http://schemas.microsoft.com/sharepoint/v3"/>
    <xsd:import namespace="2345d184-27b8-437f-8d85-a5954c579939"/>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345d184-27b8-437f-8d85-a5954c579939"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stimated_x0020_Creation_x0020_Date xmlns="2345d184-27b8-437f-8d85-a5954c579939" xsi:nil="true"/>
    <PublishingExpirationDate xmlns="http://schemas.microsoft.com/sharepoint/v3" xsi:nil="true"/>
    <Priority xmlns="2345d184-27b8-437f-8d85-a5954c579939">New</Priority>
    <PublishingStartDate xmlns="http://schemas.microsoft.com/sharepoint/v3" xsi:nil="true"/>
    <Remediation_x0020_Date xmlns="2345d184-27b8-437f-8d85-a5954c579939">2024-01-08T08:00:00+00:00</Remediation_x0020_Date>
  </documentManagement>
</p:properties>
</file>

<file path=customXml/itemProps1.xml><?xml version="1.0" encoding="utf-8"?>
<ds:datastoreItem xmlns:ds="http://schemas.openxmlformats.org/officeDocument/2006/customXml" ds:itemID="{14CF7D24-D49C-40AD-88F6-C8F275BE9E51}"/>
</file>

<file path=customXml/itemProps2.xml><?xml version="1.0" encoding="utf-8"?>
<ds:datastoreItem xmlns:ds="http://schemas.openxmlformats.org/officeDocument/2006/customXml" ds:itemID="{5FAC19B5-28A0-4EED-A213-FD5A776F4ABD}"/>
</file>

<file path=customXml/itemProps3.xml><?xml version="1.0" encoding="utf-8"?>
<ds:datastoreItem xmlns:ds="http://schemas.openxmlformats.org/officeDocument/2006/customXml" ds:itemID="{243C8A7D-99CB-4491-826E-8F4C7AE2631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27</vt:i4>
      </vt:variant>
    </vt:vector>
  </HeadingPairs>
  <TitlesOfParts>
    <vt:vector size="46" baseType="lpstr">
      <vt:lpstr>INSTRUCTIONS</vt:lpstr>
      <vt:lpstr>Budget Requirements</vt:lpstr>
      <vt:lpstr>Program Budget</vt:lpstr>
      <vt:lpstr>Site 1 Budget</vt:lpstr>
      <vt:lpstr>Site 2 Budget</vt:lpstr>
      <vt:lpstr>Site 3 Budget</vt:lpstr>
      <vt:lpstr>Site 4 Budget</vt:lpstr>
      <vt:lpstr>Site 5 Budget</vt:lpstr>
      <vt:lpstr>Site 6 Budget</vt:lpstr>
      <vt:lpstr>Site 7 Budget</vt:lpstr>
      <vt:lpstr>Site 8 Budget</vt:lpstr>
      <vt:lpstr>Site 9 Budget</vt:lpstr>
      <vt:lpstr>Site 10 Budget</vt:lpstr>
      <vt:lpstr>Site 11 Budget</vt:lpstr>
      <vt:lpstr>Site 12 Budget</vt:lpstr>
      <vt:lpstr>Overall Budget Summary</vt:lpstr>
      <vt:lpstr>Entity IDs</vt:lpstr>
      <vt:lpstr>Fx &amp; Obj Codes</vt:lpstr>
      <vt:lpstr>Dropdowns (DO NOT EDIT)</vt:lpstr>
      <vt:lpstr>AllowableUses</vt:lpstr>
      <vt:lpstr>BudgetCategories</vt:lpstr>
      <vt:lpstr>BudgetRequirements</vt:lpstr>
      <vt:lpstr>CapExpenditures</vt:lpstr>
      <vt:lpstr>Categories_List</vt:lpstr>
      <vt:lpstr>Contracted_List</vt:lpstr>
      <vt:lpstr>FxObjCodes</vt:lpstr>
      <vt:lpstr>'Budget Requirements'!Print_Area</vt:lpstr>
      <vt:lpstr>'Overall Budget Summary'!Print_Area</vt:lpstr>
      <vt:lpstr>'Program Budget'!Print_Area</vt:lpstr>
      <vt:lpstr>'Site 1 Budget'!Print_Area</vt:lpstr>
      <vt:lpstr>'Site 10 Budget'!Print_Area</vt:lpstr>
      <vt:lpstr>'Site 11 Budget'!Print_Area</vt:lpstr>
      <vt:lpstr>'Site 12 Budget'!Print_Area</vt:lpstr>
      <vt:lpstr>'Site 2 Budget'!Print_Area</vt:lpstr>
      <vt:lpstr>'Site 3 Budget'!Print_Area</vt:lpstr>
      <vt:lpstr>'Site 4 Budget'!Print_Area</vt:lpstr>
      <vt:lpstr>'Site 5 Budget'!Print_Area</vt:lpstr>
      <vt:lpstr>'Site 6 Budget'!Print_Area</vt:lpstr>
      <vt:lpstr>'Site 7 Budget'!Print_Area</vt:lpstr>
      <vt:lpstr>'Site 8 Budget'!Print_Area</vt:lpstr>
      <vt:lpstr>'Site 9 Budget'!Print_Area</vt:lpstr>
      <vt:lpstr>Program_List</vt:lpstr>
      <vt:lpstr>ProgramGoals</vt:lpstr>
      <vt:lpstr>SupplementNotSupplant</vt:lpstr>
      <vt:lpstr>TailoredBudgeting</vt:lpstr>
      <vt:lpstr>UnallowableUses</vt:lpstr>
    </vt:vector>
  </TitlesOfParts>
  <Manager/>
  <Company>Oregon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21st CCLC Budget Form</dc:title>
  <dc:subject/>
  <dc:creator>Savanah.Solario@ode.oregon.gov</dc:creator>
  <cp:keywords/>
  <dc:description/>
  <cp:lastModifiedBy>SOLARIO Savanah * ODE</cp:lastModifiedBy>
  <cp:revision/>
  <cp:lastPrinted>2023-10-20T20:56:00Z</cp:lastPrinted>
  <dcterms:created xsi:type="dcterms:W3CDTF">2020-01-15T23:44:12Z</dcterms:created>
  <dcterms:modified xsi:type="dcterms:W3CDTF">2023-10-25T21:18:54Z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1f40bdc-19d8-4b8e-be88-e9eb9bcca8b8_Enabled">
    <vt:lpwstr>true</vt:lpwstr>
  </property>
  <property fmtid="{D5CDD505-2E9C-101B-9397-08002B2CF9AE}" pid="3" name="MSIP_Label_61f40bdc-19d8-4b8e-be88-e9eb9bcca8b8_SetDate">
    <vt:lpwstr>2023-09-13T18:14:22Z</vt:lpwstr>
  </property>
  <property fmtid="{D5CDD505-2E9C-101B-9397-08002B2CF9AE}" pid="4" name="MSIP_Label_61f40bdc-19d8-4b8e-be88-e9eb9bcca8b8_Method">
    <vt:lpwstr>Privileged</vt:lpwstr>
  </property>
  <property fmtid="{D5CDD505-2E9C-101B-9397-08002B2CF9AE}" pid="5" name="MSIP_Label_61f40bdc-19d8-4b8e-be88-e9eb9bcca8b8_Name">
    <vt:lpwstr>Level 1 - Published (Items)</vt:lpwstr>
  </property>
  <property fmtid="{D5CDD505-2E9C-101B-9397-08002B2CF9AE}" pid="6" name="MSIP_Label_61f40bdc-19d8-4b8e-be88-e9eb9bcca8b8_SiteId">
    <vt:lpwstr>b4f51418-b269-49a2-935a-fa54bf584fc8</vt:lpwstr>
  </property>
  <property fmtid="{D5CDD505-2E9C-101B-9397-08002B2CF9AE}" pid="7" name="MSIP_Label_61f40bdc-19d8-4b8e-be88-e9eb9bcca8b8_ActionId">
    <vt:lpwstr>4964a8a5-73b4-4826-a083-9c0efe568041</vt:lpwstr>
  </property>
  <property fmtid="{D5CDD505-2E9C-101B-9397-08002B2CF9AE}" pid="8" name="MSIP_Label_61f40bdc-19d8-4b8e-be88-e9eb9bcca8b8_ContentBits">
    <vt:lpwstr>0</vt:lpwstr>
  </property>
  <property fmtid="{D5CDD505-2E9C-101B-9397-08002B2CF9AE}" pid="9" name="ContentTypeId">
    <vt:lpwstr>0x0101007D04F43759CC7049ADC64DAB284B6313</vt:lpwstr>
  </property>
</Properties>
</file>