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J:\~ IDEA Compliance\IDEA Awards\FY 2023\"/>
    </mc:Choice>
  </mc:AlternateContent>
  <xr:revisionPtr revIDLastSave="0" documentId="13_ncr:1_{BE46488E-6443-4845-8601-C7B522EBC0FB}" xr6:coauthVersionLast="47" xr6:coauthVersionMax="47" xr10:uidLastSave="{00000000-0000-0000-0000-000000000000}"/>
  <workbookProtection workbookAlgorithmName="SHA-512" workbookHashValue="YO4CposlLAIZX4NOd/tBWzyLe8olHLnfxK3sQc4k9WZIpdaiifaWkwfuXMi5+dL2gznpmukXlPtmhkWaUlizOA==" workbookSaltValue="jw90xZi6F0vMbtltBjdg3A==" workbookSpinCount="100000" lockStructure="1"/>
  <bookViews>
    <workbookView xWindow="10" yWindow="0" windowWidth="22540" windowHeight="14440" xr2:uid="{FCE0BD5F-4BC1-453A-A15E-3F6F593868C7}"/>
  </bookViews>
  <sheets>
    <sheet name="Information" sheetId="4" r:id="rId1"/>
    <sheet name="Section 611 Awards 23" sheetId="15" r:id="rId2"/>
    <sheet name="Section 611 Awards 22" sheetId="11" state="hidden" r:id="rId3"/>
    <sheet name="Section 611 Awards LY Comp" sheetId="17" state="hidden" r:id="rId4"/>
    <sheet name="Section 619 Awards LY Comp" sheetId="16" state="hidden" r:id="rId5"/>
    <sheet name="Section 619 Awards 22" sheetId="12" state="hidden" r:id="rId6"/>
    <sheet name="Section 619 Awards 23" sheetId="18" r:id="rId7"/>
    <sheet name="Program Awards" sheetId="13" r:id="rId8"/>
    <sheet name="Other Amounts" sheetId="14" r:id="rId9"/>
  </sheets>
  <definedNames>
    <definedName name="_xlnm.Print_Area" localSheetId="0">Information!$B:$B</definedName>
    <definedName name="_xlnm.Print_Titles" localSheetId="0">Information!$1:$1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3" i="16" l="1"/>
  <c r="F203" i="16"/>
  <c r="F203" i="17" l="1"/>
  <c r="G203" i="17"/>
  <c r="A202" i="12" l="1"/>
  <c r="A202" i="11"/>
  <c r="A11" i="11"/>
  <c r="A19" i="11"/>
  <c r="A27" i="11"/>
  <c r="A35" i="11"/>
  <c r="A43" i="11"/>
  <c r="A51" i="11"/>
  <c r="A59" i="11"/>
  <c r="A67" i="11"/>
  <c r="A74" i="11"/>
  <c r="A75" i="11"/>
  <c r="A76" i="11"/>
  <c r="A77" i="11"/>
  <c r="A78" i="11"/>
  <c r="A79" i="11"/>
  <c r="A80" i="11"/>
  <c r="A81" i="11"/>
  <c r="A82" i="11"/>
  <c r="A83" i="11"/>
  <c r="A84"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1" i="11"/>
  <c r="A3" i="11"/>
  <c r="A2" i="11"/>
  <c r="A200" i="11" l="1"/>
  <c r="A144" i="12"/>
  <c r="A2" i="12"/>
  <c r="A186" i="12"/>
  <c r="A178" i="12"/>
  <c r="A170" i="12"/>
  <c r="A162" i="12"/>
  <c r="A154" i="12"/>
  <c r="A146" i="12"/>
  <c r="A138" i="12"/>
  <c r="A201" i="12"/>
  <c r="A185" i="12"/>
  <c r="A169" i="12"/>
  <c r="A161" i="12"/>
  <c r="A153" i="12"/>
  <c r="A145" i="12"/>
  <c r="A137" i="12"/>
  <c r="A129" i="12"/>
  <c r="A192" i="12"/>
  <c r="A200" i="12"/>
  <c r="A176" i="12"/>
  <c r="A160" i="12"/>
  <c r="A128" i="12"/>
  <c r="A168" i="12"/>
  <c r="A136" i="12"/>
  <c r="A120" i="11"/>
  <c r="A40" i="11"/>
  <c r="A63" i="11"/>
  <c r="A47" i="11"/>
  <c r="A48" i="11"/>
  <c r="A39" i="11"/>
  <c r="A7" i="11"/>
  <c r="A46" i="11"/>
  <c r="A14" i="11"/>
  <c r="A199" i="12"/>
  <c r="A191" i="12"/>
  <c r="A183" i="12"/>
  <c r="A175" i="12"/>
  <c r="A167" i="12"/>
  <c r="A159" i="12"/>
  <c r="A151" i="12"/>
  <c r="A143" i="12"/>
  <c r="A135" i="12"/>
  <c r="A127" i="12"/>
  <c r="A119" i="12"/>
  <c r="A111" i="12"/>
  <c r="A103" i="12"/>
  <c r="A95" i="12"/>
  <c r="A87" i="12"/>
  <c r="A79" i="12"/>
  <c r="A71" i="12"/>
  <c r="A63" i="12"/>
  <c r="A55" i="12"/>
  <c r="A47" i="12"/>
  <c r="A39" i="12"/>
  <c r="A31" i="12"/>
  <c r="A23" i="12"/>
  <c r="A15" i="12"/>
  <c r="A7" i="12"/>
  <c r="A64" i="11"/>
  <c r="A55" i="11"/>
  <c r="A54" i="11"/>
  <c r="A38" i="11"/>
  <c r="A22" i="11"/>
  <c r="A6" i="11"/>
  <c r="A85" i="11"/>
  <c r="A69" i="11"/>
  <c r="A61" i="11"/>
  <c r="A53" i="11"/>
  <c r="A45" i="11"/>
  <c r="A37" i="11"/>
  <c r="A29" i="11"/>
  <c r="A21" i="11"/>
  <c r="A13" i="11"/>
  <c r="A198" i="12"/>
  <c r="A190" i="12"/>
  <c r="A182" i="12"/>
  <c r="A174" i="12"/>
  <c r="A166" i="12"/>
  <c r="A158" i="12"/>
  <c r="A150" i="12"/>
  <c r="A142" i="12"/>
  <c r="A134" i="12"/>
  <c r="A126" i="12"/>
  <c r="A118" i="12"/>
  <c r="A110" i="12"/>
  <c r="A102" i="12"/>
  <c r="A94" i="12"/>
  <c r="A86" i="12"/>
  <c r="A78" i="12"/>
  <c r="A70" i="12"/>
  <c r="A62" i="12"/>
  <c r="A54" i="12"/>
  <c r="A46" i="12"/>
  <c r="A38" i="12"/>
  <c r="A30" i="12"/>
  <c r="A22" i="12"/>
  <c r="A14" i="12"/>
  <c r="A6" i="12"/>
  <c r="A56" i="11"/>
  <c r="A24" i="11"/>
  <c r="A8" i="11"/>
  <c r="A31" i="11"/>
  <c r="A72" i="11"/>
  <c r="A32" i="11"/>
  <c r="A16" i="11"/>
  <c r="A71" i="11"/>
  <c r="A23" i="11"/>
  <c r="A62" i="11"/>
  <c r="A44" i="11"/>
  <c r="A12" i="11"/>
  <c r="A189" i="12"/>
  <c r="A165" i="12"/>
  <c r="A149" i="12"/>
  <c r="A133" i="12"/>
  <c r="A117" i="12"/>
  <c r="A101" i="12"/>
  <c r="A77" i="12"/>
  <c r="A69" i="12"/>
  <c r="A45" i="12"/>
  <c r="A29" i="12"/>
  <c r="A21" i="12"/>
  <c r="A13" i="12"/>
  <c r="A4" i="11"/>
  <c r="A196" i="12"/>
  <c r="A188" i="12"/>
  <c r="A180" i="12"/>
  <c r="A172" i="12"/>
  <c r="A164" i="12"/>
  <c r="A156" i="12"/>
  <c r="A148" i="12"/>
  <c r="A140" i="12"/>
  <c r="A132" i="12"/>
  <c r="A124" i="12"/>
  <c r="A116" i="12"/>
  <c r="A108" i="12"/>
  <c r="A100" i="12"/>
  <c r="A92" i="12"/>
  <c r="A84" i="12"/>
  <c r="A76" i="12"/>
  <c r="A68" i="12"/>
  <c r="A60" i="12"/>
  <c r="A52" i="12"/>
  <c r="A44" i="12"/>
  <c r="A36" i="12"/>
  <c r="A28" i="12"/>
  <c r="A20" i="12"/>
  <c r="A12" i="12"/>
  <c r="A4" i="12"/>
  <c r="A15" i="11"/>
  <c r="A5" i="11"/>
  <c r="A60" i="11"/>
  <c r="A52" i="11"/>
  <c r="A36" i="11"/>
  <c r="A28" i="11"/>
  <c r="A181" i="12"/>
  <c r="A157" i="12"/>
  <c r="A125" i="12"/>
  <c r="A85" i="12"/>
  <c r="A53" i="12"/>
  <c r="A5" i="12"/>
  <c r="A66" i="11"/>
  <c r="A58" i="11"/>
  <c r="A50" i="11"/>
  <c r="A42" i="11"/>
  <c r="A34" i="11"/>
  <c r="A26" i="11"/>
  <c r="A18" i="11"/>
  <c r="A10" i="11"/>
  <c r="A195" i="12"/>
  <c r="A187" i="12"/>
  <c r="A179" i="12"/>
  <c r="A171" i="12"/>
  <c r="A163" i="12"/>
  <c r="A155" i="12"/>
  <c r="A147" i="12"/>
  <c r="A139" i="12"/>
  <c r="A131" i="12"/>
  <c r="A123" i="12"/>
  <c r="A115" i="12"/>
  <c r="A107" i="12"/>
  <c r="A99" i="12"/>
  <c r="A91" i="12"/>
  <c r="A83" i="12"/>
  <c r="A75" i="12"/>
  <c r="A67" i="12"/>
  <c r="A59" i="12"/>
  <c r="A51" i="12"/>
  <c r="A43" i="12"/>
  <c r="A35" i="12"/>
  <c r="A27" i="12"/>
  <c r="A19" i="12"/>
  <c r="A11" i="12"/>
  <c r="A3" i="12"/>
  <c r="A70" i="11"/>
  <c r="A30" i="11"/>
  <c r="A68" i="11"/>
  <c r="A20" i="11"/>
  <c r="A197" i="12"/>
  <c r="A173" i="12"/>
  <c r="A141" i="12"/>
  <c r="A109" i="12"/>
  <c r="A93" i="12"/>
  <c r="A61" i="12"/>
  <c r="A37" i="12"/>
  <c r="A73" i="11"/>
  <c r="A65" i="11"/>
  <c r="A57" i="11"/>
  <c r="A49" i="11"/>
  <c r="A41" i="11"/>
  <c r="A33" i="11"/>
  <c r="A25" i="11"/>
  <c r="A17" i="11"/>
  <c r="A9" i="11"/>
  <c r="A194" i="12"/>
  <c r="A130" i="12"/>
  <c r="A122" i="12"/>
  <c r="A114" i="12"/>
  <c r="A106" i="12"/>
  <c r="A98" i="12"/>
  <c r="A90" i="12"/>
  <c r="A82" i="12"/>
  <c r="A74" i="12"/>
  <c r="A66" i="12"/>
  <c r="A58" i="12"/>
  <c r="A50" i="12"/>
  <c r="A42" i="12"/>
  <c r="A34" i="12"/>
  <c r="A26" i="12"/>
  <c r="A18" i="12"/>
  <c r="A10" i="12"/>
  <c r="A193" i="12"/>
  <c r="A177" i="12"/>
  <c r="A121" i="12"/>
  <c r="A113" i="12"/>
  <c r="A105" i="12"/>
  <c r="A97" i="12"/>
  <c r="A89" i="12"/>
  <c r="A81" i="12"/>
  <c r="A73" i="12"/>
  <c r="A65" i="12"/>
  <c r="A57" i="12"/>
  <c r="A49" i="12"/>
  <c r="A41" i="12"/>
  <c r="A33" i="12"/>
  <c r="A25" i="12"/>
  <c r="A17" i="12"/>
  <c r="A9" i="12"/>
  <c r="A184" i="12"/>
  <c r="A152" i="12"/>
  <c r="A120" i="12"/>
  <c r="A112" i="12"/>
  <c r="A104" i="12"/>
  <c r="A96" i="12"/>
  <c r="A88" i="12"/>
  <c r="A80" i="12"/>
  <c r="A72" i="12"/>
  <c r="A64" i="12"/>
  <c r="A56" i="12"/>
  <c r="A48" i="12"/>
  <c r="A40" i="12"/>
  <c r="A32" i="12"/>
  <c r="A24" i="12"/>
  <c r="A16" i="12"/>
  <c r="A8" i="12"/>
  <c r="I202" i="12" l="1"/>
  <c r="I202" i="11"/>
  <c r="F204" i="17" l="1"/>
  <c r="C203" i="12"/>
  <c r="D203" i="12"/>
  <c r="E203" i="12"/>
  <c r="F203" i="12"/>
  <c r="G203" i="12"/>
  <c r="H203" i="12"/>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C203" i="11"/>
  <c r="D203" i="11"/>
  <c r="E203" i="11"/>
  <c r="F203" i="11"/>
  <c r="G203" i="11"/>
  <c r="H203" i="11"/>
  <c r="I203" i="12" l="1"/>
  <c r="I203" i="11"/>
  <c r="C203" i="16" l="1"/>
  <c r="C204" i="17"/>
  <c r="I170" i="18" l="1"/>
  <c r="I103" i="18"/>
  <c r="I50" i="18"/>
  <c r="I98" i="18"/>
  <c r="I9" i="18"/>
  <c r="I41" i="18"/>
  <c r="N174" i="16"/>
  <c r="I129" i="18"/>
  <c r="N129" i="16"/>
  <c r="I188" i="18"/>
  <c r="I161" i="18"/>
  <c r="I97" i="18"/>
  <c r="I142" i="18"/>
  <c r="I125" i="18"/>
  <c r="I201" i="18"/>
  <c r="N42" i="16"/>
  <c r="I187" i="18"/>
  <c r="N182" i="16"/>
  <c r="N91" i="16"/>
  <c r="N13" i="16"/>
  <c r="I29" i="18"/>
  <c r="N200" i="16"/>
  <c r="I87" i="18"/>
  <c r="I114" i="18"/>
  <c r="I38" i="18"/>
  <c r="I88" i="18"/>
  <c r="N88" i="16"/>
  <c r="I104" i="18"/>
  <c r="N115" i="16"/>
  <c r="I195" i="18"/>
  <c r="N176" i="16"/>
  <c r="N136" i="16"/>
  <c r="I68" i="18"/>
  <c r="N68" i="16"/>
  <c r="I90" i="18"/>
  <c r="N90" i="16"/>
  <c r="I194" i="18"/>
  <c r="N194" i="16"/>
  <c r="N192" i="16"/>
  <c r="N130" i="16"/>
  <c r="O157" i="17"/>
  <c r="J199" i="15" l="1"/>
  <c r="I112" i="18"/>
  <c r="I99" i="18"/>
  <c r="I83" i="18"/>
  <c r="I118" i="18"/>
  <c r="I153" i="18"/>
  <c r="I82" i="18"/>
  <c r="N187" i="16"/>
  <c r="D187" i="16" s="1"/>
  <c r="N38" i="16"/>
  <c r="D38" i="16" s="1"/>
  <c r="N26" i="16"/>
  <c r="D26" i="16" s="1"/>
  <c r="N165" i="16"/>
  <c r="I94" i="18"/>
  <c r="I165" i="18"/>
  <c r="I101" i="18"/>
  <c r="N83" i="16"/>
  <c r="D83" i="16" s="1"/>
  <c r="N118" i="16"/>
  <c r="E118" i="16" s="1"/>
  <c r="I177" i="18"/>
  <c r="I175" i="18"/>
  <c r="I33" i="18"/>
  <c r="I140" i="18"/>
  <c r="I25" i="18"/>
  <c r="N201" i="16"/>
  <c r="D201" i="16" s="1"/>
  <c r="N41" i="16"/>
  <c r="D41" i="16" s="1"/>
  <c r="N25" i="16"/>
  <c r="D25" i="16" s="1"/>
  <c r="N98" i="16"/>
  <c r="D98" i="16" s="1"/>
  <c r="N153" i="16"/>
  <c r="D153" i="16" s="1"/>
  <c r="N126" i="16"/>
  <c r="N65" i="16"/>
  <c r="D65" i="16" s="1"/>
  <c r="N80" i="16"/>
  <c r="N69" i="16"/>
  <c r="D69" i="16" s="1"/>
  <c r="N106" i="16"/>
  <c r="D106" i="16" s="1"/>
  <c r="N105" i="16"/>
  <c r="D105" i="16" s="1"/>
  <c r="N181" i="16"/>
  <c r="D181" i="16" s="1"/>
  <c r="N3" i="16"/>
  <c r="N149" i="16"/>
  <c r="D149" i="16" s="1"/>
  <c r="N102" i="16"/>
  <c r="E102" i="16" s="1"/>
  <c r="J5" i="15"/>
  <c r="J126" i="15"/>
  <c r="J170" i="15"/>
  <c r="O94" i="17"/>
  <c r="E94" i="17" s="1"/>
  <c r="O77" i="17"/>
  <c r="D77" i="17" s="1"/>
  <c r="J73" i="15"/>
  <c r="O189" i="17"/>
  <c r="D189" i="17" s="1"/>
  <c r="J63" i="15"/>
  <c r="J110" i="15"/>
  <c r="O155" i="17"/>
  <c r="D155" i="17" s="1"/>
  <c r="J164" i="15"/>
  <c r="J111" i="15"/>
  <c r="O62" i="17"/>
  <c r="D62" i="17" s="1"/>
  <c r="O198" i="17"/>
  <c r="D198" i="17" s="1"/>
  <c r="O38" i="17"/>
  <c r="E38" i="17" s="1"/>
  <c r="O90" i="17"/>
  <c r="E90" i="17" s="1"/>
  <c r="O144" i="17"/>
  <c r="D144" i="17" s="1"/>
  <c r="J68" i="15"/>
  <c r="J82" i="15"/>
  <c r="O119" i="17"/>
  <c r="D119" i="17" s="1"/>
  <c r="O23" i="17"/>
  <c r="D23" i="17" s="1"/>
  <c r="O175" i="17"/>
  <c r="E175" i="17" s="1"/>
  <c r="O201" i="17"/>
  <c r="D201" i="17" s="1"/>
  <c r="J175" i="15"/>
  <c r="J197" i="15"/>
  <c r="N35" i="16"/>
  <c r="N108" i="16"/>
  <c r="N178" i="16"/>
  <c r="N36" i="16"/>
  <c r="N150" i="16"/>
  <c r="N107" i="16"/>
  <c r="N163" i="16"/>
  <c r="N171" i="16"/>
  <c r="N137" i="16"/>
  <c r="N128" i="16"/>
  <c r="N27" i="16"/>
  <c r="N116" i="16"/>
  <c r="N5" i="16"/>
  <c r="N180" i="16"/>
  <c r="N184" i="16"/>
  <c r="N155" i="16"/>
  <c r="N66" i="16"/>
  <c r="N189" i="16"/>
  <c r="N120" i="16"/>
  <c r="N52" i="16"/>
  <c r="N63" i="16"/>
  <c r="N104" i="16"/>
  <c r="N85" i="16"/>
  <c r="N28" i="16"/>
  <c r="N148" i="16"/>
  <c r="N114" i="16"/>
  <c r="N103" i="16"/>
  <c r="N133" i="16"/>
  <c r="N39" i="16"/>
  <c r="N61" i="16"/>
  <c r="N161" i="16"/>
  <c r="N22" i="16"/>
  <c r="N11" i="16"/>
  <c r="D42" i="16"/>
  <c r="E42" i="16"/>
  <c r="D129" i="16"/>
  <c r="E129" i="16"/>
  <c r="I202" i="18"/>
  <c r="N202" i="16"/>
  <c r="I200" i="18"/>
  <c r="I132" i="18"/>
  <c r="I108" i="18"/>
  <c r="I119" i="18"/>
  <c r="I181" i="18"/>
  <c r="I62" i="18"/>
  <c r="I149" i="18"/>
  <c r="I102" i="18"/>
  <c r="I79" i="18"/>
  <c r="I171" i="18"/>
  <c r="I40" i="18"/>
  <c r="I128" i="18"/>
  <c r="I85" i="18"/>
  <c r="I46" i="18"/>
  <c r="I3" i="18"/>
  <c r="I45" i="18"/>
  <c r="I18" i="18"/>
  <c r="I71" i="18"/>
  <c r="I36" i="18"/>
  <c r="I189" i="18"/>
  <c r="I163" i="18"/>
  <c r="I52" i="18"/>
  <c r="I2" i="18"/>
  <c r="C203" i="18"/>
  <c r="I73" i="18"/>
  <c r="I78" i="18"/>
  <c r="I20" i="18"/>
  <c r="I27" i="18"/>
  <c r="I24" i="18"/>
  <c r="I16" i="18"/>
  <c r="I197" i="18"/>
  <c r="I60" i="18"/>
  <c r="I49" i="18"/>
  <c r="I51" i="18"/>
  <c r="I133" i="18"/>
  <c r="I39" i="18"/>
  <c r="I63" i="18"/>
  <c r="I13" i="18"/>
  <c r="I22" i="18"/>
  <c r="I43" i="18"/>
  <c r="I162" i="18"/>
  <c r="I11" i="18"/>
  <c r="I48" i="18"/>
  <c r="N93" i="16"/>
  <c r="D174" i="16"/>
  <c r="E174" i="16"/>
  <c r="D90" i="16"/>
  <c r="E90" i="16"/>
  <c r="N112" i="16"/>
  <c r="D88" i="16"/>
  <c r="E88" i="16"/>
  <c r="D91" i="16"/>
  <c r="E91" i="16"/>
  <c r="D182" i="16"/>
  <c r="E182" i="16"/>
  <c r="N40" i="16"/>
  <c r="N20" i="16"/>
  <c r="N156" i="16"/>
  <c r="N15" i="16"/>
  <c r="N111" i="16"/>
  <c r="N18" i="16"/>
  <c r="N173" i="16"/>
  <c r="N164" i="16"/>
  <c r="N117" i="16"/>
  <c r="N30" i="16"/>
  <c r="N168" i="16"/>
  <c r="N60" i="16"/>
  <c r="N147" i="16"/>
  <c r="N17" i="16"/>
  <c r="N6" i="16"/>
  <c r="N143" i="16"/>
  <c r="N84" i="16"/>
  <c r="N16" i="16"/>
  <c r="I203" i="16"/>
  <c r="C2" i="13" s="1"/>
  <c r="N74" i="16"/>
  <c r="N158" i="16"/>
  <c r="N76" i="16"/>
  <c r="N94" i="16"/>
  <c r="N67" i="16"/>
  <c r="N7" i="16"/>
  <c r="N122" i="16"/>
  <c r="N33" i="16"/>
  <c r="N185" i="16"/>
  <c r="N142" i="16"/>
  <c r="N138" i="16"/>
  <c r="K203" i="16"/>
  <c r="C4" i="13" s="1"/>
  <c r="N159" i="16"/>
  <c r="N97" i="16"/>
  <c r="N55" i="16"/>
  <c r="N79" i="16"/>
  <c r="D194" i="16"/>
  <c r="E194" i="16"/>
  <c r="D126" i="16"/>
  <c r="E126" i="16"/>
  <c r="D13" i="16"/>
  <c r="E13" i="16"/>
  <c r="I32" i="18"/>
  <c r="I111" i="18"/>
  <c r="I126" i="18"/>
  <c r="I173" i="18"/>
  <c r="I65" i="18"/>
  <c r="I80" i="18"/>
  <c r="I30" i="18"/>
  <c r="I109" i="18"/>
  <c r="I69" i="18"/>
  <c r="I168" i="18"/>
  <c r="I106" i="18"/>
  <c r="I86" i="18"/>
  <c r="I143" i="18"/>
  <c r="I105" i="18"/>
  <c r="I84" i="18"/>
  <c r="I35" i="18"/>
  <c r="D203" i="18"/>
  <c r="I186" i="18"/>
  <c r="I53" i="18"/>
  <c r="I117" i="18"/>
  <c r="I150" i="18"/>
  <c r="I100" i="18"/>
  <c r="I89" i="18"/>
  <c r="I152" i="18"/>
  <c r="I81" i="18"/>
  <c r="I147" i="18"/>
  <c r="I17" i="18"/>
  <c r="I67" i="18"/>
  <c r="I95" i="18"/>
  <c r="I10" i="18"/>
  <c r="I116" i="18"/>
  <c r="I5" i="18"/>
  <c r="I96" i="18"/>
  <c r="I74" i="18"/>
  <c r="I122" i="18"/>
  <c r="I54" i="18"/>
  <c r="I185" i="18"/>
  <c r="I34" i="18"/>
  <c r="I44" i="18"/>
  <c r="I138" i="18"/>
  <c r="F203" i="18"/>
  <c r="I159" i="18"/>
  <c r="I55" i="18"/>
  <c r="I179" i="18"/>
  <c r="I58" i="18"/>
  <c r="I28" i="18"/>
  <c r="D192" i="16"/>
  <c r="E192" i="16"/>
  <c r="D68" i="16"/>
  <c r="E68" i="16"/>
  <c r="D176" i="16"/>
  <c r="E176" i="16"/>
  <c r="D165" i="16"/>
  <c r="E165" i="16"/>
  <c r="D115" i="16"/>
  <c r="E115" i="16"/>
  <c r="D3" i="16"/>
  <c r="E3" i="16"/>
  <c r="N109" i="16"/>
  <c r="N4" i="16"/>
  <c r="N86" i="16"/>
  <c r="E153" i="16"/>
  <c r="N124" i="16"/>
  <c r="N2" i="16"/>
  <c r="M203" i="16"/>
  <c r="C7" i="13" s="1"/>
  <c r="N186" i="16"/>
  <c r="N73" i="16"/>
  <c r="N144" i="16"/>
  <c r="N95" i="16"/>
  <c r="N56" i="16"/>
  <c r="N191" i="16"/>
  <c r="N152" i="16"/>
  <c r="N81" i="16"/>
  <c r="N198" i="16"/>
  <c r="N121" i="16"/>
  <c r="N113" i="16"/>
  <c r="N157" i="16"/>
  <c r="N12" i="16"/>
  <c r="N77" i="16"/>
  <c r="N44" i="16"/>
  <c r="N197" i="16"/>
  <c r="N37" i="16"/>
  <c r="N92" i="16"/>
  <c r="N141" i="16"/>
  <c r="N49" i="16"/>
  <c r="N54" i="16"/>
  <c r="N51" i="16"/>
  <c r="N172" i="16"/>
  <c r="N31" i="16"/>
  <c r="N179" i="16"/>
  <c r="N57" i="16"/>
  <c r="N70" i="16"/>
  <c r="N14" i="16"/>
  <c r="N162" i="16"/>
  <c r="N167" i="16"/>
  <c r="N48" i="16"/>
  <c r="L203" i="16"/>
  <c r="C5" i="13" s="1"/>
  <c r="N125" i="16"/>
  <c r="N190" i="16"/>
  <c r="N195" i="16"/>
  <c r="N19" i="16"/>
  <c r="N87" i="16"/>
  <c r="N132" i="16"/>
  <c r="N32" i="16"/>
  <c r="N135" i="16"/>
  <c r="N119" i="16"/>
  <c r="N188" i="16"/>
  <c r="N9" i="16"/>
  <c r="N8" i="16"/>
  <c r="N134" i="16"/>
  <c r="D136" i="16"/>
  <c r="E136" i="16"/>
  <c r="D80" i="16"/>
  <c r="E80" i="16"/>
  <c r="I148" i="18"/>
  <c r="I124" i="18"/>
  <c r="I192" i="18"/>
  <c r="I136" i="18"/>
  <c r="H203" i="18"/>
  <c r="I61" i="18"/>
  <c r="I144" i="18"/>
  <c r="I21" i="18"/>
  <c r="I182" i="18"/>
  <c r="I7" i="18"/>
  <c r="I115" i="18"/>
  <c r="I198" i="18"/>
  <c r="I121" i="18"/>
  <c r="I174" i="18"/>
  <c r="I113" i="18"/>
  <c r="I156" i="18"/>
  <c r="I42" i="18"/>
  <c r="I77" i="18"/>
  <c r="I93" i="18"/>
  <c r="I37" i="18"/>
  <c r="I131" i="18"/>
  <c r="I56" i="18"/>
  <c r="I191" i="18"/>
  <c r="I172" i="18"/>
  <c r="I14" i="18"/>
  <c r="I167" i="18"/>
  <c r="I107" i="18"/>
  <c r="I190" i="18"/>
  <c r="I184" i="18"/>
  <c r="I23" i="18"/>
  <c r="I19" i="18"/>
  <c r="I155" i="18"/>
  <c r="I6" i="18"/>
  <c r="I66" i="18"/>
  <c r="I120" i="18"/>
  <c r="I135" i="18"/>
  <c r="I57" i="18"/>
  <c r="I70" i="18"/>
  <c r="I8" i="18"/>
  <c r="I134" i="18"/>
  <c r="D200" i="16"/>
  <c r="E200" i="16"/>
  <c r="N101" i="16"/>
  <c r="D130" i="16"/>
  <c r="E130" i="16"/>
  <c r="D102" i="16"/>
  <c r="N127" i="16"/>
  <c r="N45" i="16"/>
  <c r="N71" i="16"/>
  <c r="N196" i="16"/>
  <c r="N46" i="16"/>
  <c r="N100" i="16"/>
  <c r="N75" i="16"/>
  <c r="N23" i="16"/>
  <c r="N131" i="16"/>
  <c r="N47" i="16"/>
  <c r="N78" i="16"/>
  <c r="N151" i="16"/>
  <c r="N154" i="16"/>
  <c r="N64" i="16"/>
  <c r="N89" i="16"/>
  <c r="N145" i="16"/>
  <c r="N110" i="16"/>
  <c r="N123" i="16"/>
  <c r="N43" i="16"/>
  <c r="N96" i="16"/>
  <c r="N193" i="16"/>
  <c r="N59" i="16"/>
  <c r="N21" i="16"/>
  <c r="N72" i="16"/>
  <c r="N24" i="16"/>
  <c r="N34" i="16"/>
  <c r="N169" i="16"/>
  <c r="N166" i="16"/>
  <c r="N139" i="16"/>
  <c r="N146" i="16"/>
  <c r="N58" i="16"/>
  <c r="N183" i="16"/>
  <c r="J203" i="16"/>
  <c r="C3" i="13" s="1"/>
  <c r="N82" i="16"/>
  <c r="N53" i="16"/>
  <c r="N160" i="16"/>
  <c r="N140" i="16"/>
  <c r="N99" i="16"/>
  <c r="N199" i="16"/>
  <c r="N62" i="16"/>
  <c r="N29" i="16"/>
  <c r="N177" i="16"/>
  <c r="N50" i="16"/>
  <c r="N10" i="16"/>
  <c r="N175" i="16"/>
  <c r="N170" i="16"/>
  <c r="I127" i="18"/>
  <c r="G203" i="18"/>
  <c r="I196" i="18"/>
  <c r="I130" i="18"/>
  <c r="I26" i="18"/>
  <c r="I75" i="18"/>
  <c r="I176" i="18"/>
  <c r="I154" i="18"/>
  <c r="I91" i="18"/>
  <c r="I64" i="18"/>
  <c r="I4" i="18"/>
  <c r="I15" i="18"/>
  <c r="I193" i="18"/>
  <c r="I59" i="18"/>
  <c r="I178" i="18"/>
  <c r="I164" i="18"/>
  <c r="I151" i="18"/>
  <c r="I169" i="18"/>
  <c r="I137" i="18"/>
  <c r="I166" i="18"/>
  <c r="I145" i="18"/>
  <c r="I139" i="18"/>
  <c r="I110" i="18"/>
  <c r="I123" i="18"/>
  <c r="I146" i="18"/>
  <c r="I183" i="18"/>
  <c r="I157" i="18"/>
  <c r="I12" i="18"/>
  <c r="I180" i="18"/>
  <c r="E203" i="18"/>
  <c r="I92" i="18"/>
  <c r="I141" i="18"/>
  <c r="I160" i="18"/>
  <c r="I158" i="18"/>
  <c r="I76" i="18"/>
  <c r="I31" i="18"/>
  <c r="I199" i="18"/>
  <c r="I47" i="18"/>
  <c r="I72" i="18"/>
  <c r="J157" i="15"/>
  <c r="J46" i="15"/>
  <c r="J52" i="15"/>
  <c r="J32" i="15"/>
  <c r="J119" i="15"/>
  <c r="J18" i="15"/>
  <c r="J95" i="15"/>
  <c r="J129" i="15"/>
  <c r="J37" i="15"/>
  <c r="D157" i="17"/>
  <c r="E157" i="17"/>
  <c r="O34" i="17"/>
  <c r="O146" i="17"/>
  <c r="O49" i="17"/>
  <c r="J107" i="15"/>
  <c r="J121" i="15"/>
  <c r="O107" i="17"/>
  <c r="O68" i="17"/>
  <c r="O174" i="17"/>
  <c r="O15" i="17"/>
  <c r="O143" i="17"/>
  <c r="O102" i="17"/>
  <c r="O19" i="17"/>
  <c r="O187" i="17"/>
  <c r="O118" i="17"/>
  <c r="O91" i="17"/>
  <c r="O95" i="17"/>
  <c r="J62" i="15"/>
  <c r="J90" i="15"/>
  <c r="J198" i="15"/>
  <c r="O179" i="17"/>
  <c r="O65" i="17"/>
  <c r="O110" i="17"/>
  <c r="O128" i="17"/>
  <c r="J22" i="15"/>
  <c r="J76" i="15"/>
  <c r="J21" i="15"/>
  <c r="O11" i="17"/>
  <c r="O21" i="17"/>
  <c r="J39" i="15"/>
  <c r="J12" i="15"/>
  <c r="J78" i="15"/>
  <c r="J99" i="15"/>
  <c r="J101" i="15"/>
  <c r="J179" i="15"/>
  <c r="J60" i="15"/>
  <c r="J118" i="15"/>
  <c r="J183" i="15"/>
  <c r="J75" i="15"/>
  <c r="J34" i="15"/>
  <c r="O99" i="17"/>
  <c r="O101" i="17"/>
  <c r="O37" i="17"/>
  <c r="J86" i="15"/>
  <c r="J146" i="15"/>
  <c r="J16" i="15"/>
  <c r="O86" i="17"/>
  <c r="J42" i="15"/>
  <c r="J54" i="15"/>
  <c r="J128" i="15"/>
  <c r="O73" i="17"/>
  <c r="O108" i="17"/>
  <c r="O163" i="17"/>
  <c r="O6" i="17"/>
  <c r="O111" i="17"/>
  <c r="O20" i="17"/>
  <c r="O60" i="17"/>
  <c r="O182" i="17"/>
  <c r="J138" i="15"/>
  <c r="J64" i="15"/>
  <c r="O5" i="17"/>
  <c r="O63" i="17"/>
  <c r="O64" i="17"/>
  <c r="O126" i="17"/>
  <c r="O131" i="17"/>
  <c r="J38" i="15"/>
  <c r="J144" i="15"/>
  <c r="J11" i="15"/>
  <c r="J6" i="15"/>
  <c r="J117" i="15"/>
  <c r="J31" i="15"/>
  <c r="O22" i="17"/>
  <c r="O76" i="17"/>
  <c r="J187" i="15"/>
  <c r="J133" i="15"/>
  <c r="J29" i="15"/>
  <c r="J17" i="15"/>
  <c r="J23" i="15"/>
  <c r="J91" i="15"/>
  <c r="J94" i="15"/>
  <c r="O195" i="17"/>
  <c r="O145" i="17"/>
  <c r="O165" i="17"/>
  <c r="J57" i="15"/>
  <c r="O57" i="17"/>
  <c r="O149" i="17"/>
  <c r="O171" i="17"/>
  <c r="O39" i="17"/>
  <c r="O82" i="17"/>
  <c r="O78" i="17"/>
  <c r="O32" i="17"/>
  <c r="O29" i="17"/>
  <c r="O137" i="17"/>
  <c r="O121" i="17"/>
  <c r="O172" i="17"/>
  <c r="O129" i="17"/>
  <c r="J65" i="15"/>
  <c r="O197" i="17"/>
  <c r="J158" i="15"/>
  <c r="O117" i="17"/>
  <c r="O158" i="17"/>
  <c r="O31" i="17"/>
  <c r="J108" i="15"/>
  <c r="J174" i="15"/>
  <c r="J182" i="15"/>
  <c r="J163" i="15"/>
  <c r="J143" i="15"/>
  <c r="J102" i="15"/>
  <c r="J20" i="15"/>
  <c r="J19" i="15"/>
  <c r="J131" i="15"/>
  <c r="J137" i="15"/>
  <c r="J172" i="15"/>
  <c r="J77" i="15"/>
  <c r="J145" i="15"/>
  <c r="J189" i="15"/>
  <c r="J155" i="15"/>
  <c r="O138" i="17"/>
  <c r="O199" i="17"/>
  <c r="O164" i="17"/>
  <c r="O75" i="17"/>
  <c r="O17" i="17"/>
  <c r="J195" i="15"/>
  <c r="J165" i="15"/>
  <c r="J15" i="15"/>
  <c r="J49" i="15"/>
  <c r="O16" i="17"/>
  <c r="O170" i="17"/>
  <c r="J201" i="15"/>
  <c r="J149" i="15"/>
  <c r="J171" i="15"/>
  <c r="O54" i="17"/>
  <c r="O133" i="17"/>
  <c r="O46" i="17"/>
  <c r="O52" i="17"/>
  <c r="O130" i="17"/>
  <c r="O42" i="17"/>
  <c r="O18" i="17"/>
  <c r="O12" i="17"/>
  <c r="O183" i="17"/>
  <c r="E144" i="17" l="1"/>
  <c r="D94" i="17"/>
  <c r="E119" i="17"/>
  <c r="E77" i="17"/>
  <c r="E187" i="16"/>
  <c r="D118" i="16"/>
  <c r="E38" i="16"/>
  <c r="E83" i="16"/>
  <c r="E26" i="16"/>
  <c r="E41" i="16"/>
  <c r="E25" i="16"/>
  <c r="E98" i="16"/>
  <c r="E181" i="16"/>
  <c r="E201" i="16"/>
  <c r="E65" i="16"/>
  <c r="E69" i="16"/>
  <c r="E105" i="16"/>
  <c r="E106" i="16"/>
  <c r="E149" i="16"/>
  <c r="E62" i="17"/>
  <c r="E23" i="17"/>
  <c r="E198" i="17"/>
  <c r="D175" i="17"/>
  <c r="O79" i="17"/>
  <c r="D79" i="17" s="1"/>
  <c r="D38" i="17"/>
  <c r="D90" i="17"/>
  <c r="E189" i="17"/>
  <c r="O153" i="17"/>
  <c r="D153" i="17" s="1"/>
  <c r="E201" i="17"/>
  <c r="O196" i="17"/>
  <c r="D196" i="17" s="1"/>
  <c r="E155" i="17"/>
  <c r="J109" i="15"/>
  <c r="J48" i="15"/>
  <c r="O80" i="17"/>
  <c r="D80" i="17" s="1"/>
  <c r="O154" i="17"/>
  <c r="D154" i="17" s="1"/>
  <c r="O7" i="17"/>
  <c r="D7" i="17" s="1"/>
  <c r="O181" i="17"/>
  <c r="D181" i="17" s="1"/>
  <c r="J202" i="15"/>
  <c r="J74" i="15"/>
  <c r="J59" i="15"/>
  <c r="O83" i="17"/>
  <c r="E83" i="17" s="1"/>
  <c r="J188" i="15"/>
  <c r="J150" i="15"/>
  <c r="O178" i="17"/>
  <c r="E178" i="17" s="1"/>
  <c r="O116" i="17"/>
  <c r="E116" i="17" s="1"/>
  <c r="O93" i="17"/>
  <c r="D93" i="17" s="1"/>
  <c r="J66" i="15"/>
  <c r="J67" i="15"/>
  <c r="J120" i="15"/>
  <c r="J98" i="15"/>
  <c r="O105" i="17"/>
  <c r="E105" i="17" s="1"/>
  <c r="O100" i="17"/>
  <c r="E100" i="17" s="1"/>
  <c r="O123" i="17"/>
  <c r="D123" i="17" s="1"/>
  <c r="J124" i="15"/>
  <c r="J186" i="15"/>
  <c r="J176" i="15"/>
  <c r="O30" i="17"/>
  <c r="E30" i="17" s="1"/>
  <c r="O202" i="17"/>
  <c r="D202" i="17" s="1"/>
  <c r="J30" i="15"/>
  <c r="J112" i="15"/>
  <c r="J194" i="15"/>
  <c r="J79" i="15"/>
  <c r="J154" i="15"/>
  <c r="D183" i="16"/>
  <c r="E183" i="16"/>
  <c r="D145" i="16"/>
  <c r="E145" i="16"/>
  <c r="D135" i="16"/>
  <c r="E135" i="16"/>
  <c r="D197" i="16"/>
  <c r="E197" i="16"/>
  <c r="D6" i="16"/>
  <c r="E6" i="16"/>
  <c r="D171" i="16"/>
  <c r="E171" i="16"/>
  <c r="D199" i="16"/>
  <c r="E199" i="16"/>
  <c r="D58" i="16"/>
  <c r="E58" i="16"/>
  <c r="D21" i="16"/>
  <c r="E21" i="16"/>
  <c r="D89" i="16"/>
  <c r="E89" i="16"/>
  <c r="D75" i="16"/>
  <c r="E75" i="16"/>
  <c r="D32" i="16"/>
  <c r="E32" i="16"/>
  <c r="D48" i="16"/>
  <c r="E48" i="16"/>
  <c r="D172" i="16"/>
  <c r="E172" i="16"/>
  <c r="D44" i="16"/>
  <c r="E44" i="16"/>
  <c r="D152" i="16"/>
  <c r="E152" i="16"/>
  <c r="D2" i="16"/>
  <c r="E2" i="16"/>
  <c r="N203" i="16"/>
  <c r="D138" i="16"/>
  <c r="E138" i="16"/>
  <c r="D76" i="16"/>
  <c r="E76" i="16"/>
  <c r="D17" i="16"/>
  <c r="E17" i="16"/>
  <c r="D18" i="16"/>
  <c r="E18" i="16"/>
  <c r="I203" i="18"/>
  <c r="D61" i="16"/>
  <c r="E61" i="16"/>
  <c r="D104" i="16"/>
  <c r="E104" i="16"/>
  <c r="D184" i="16"/>
  <c r="E184" i="16"/>
  <c r="D163" i="16"/>
  <c r="E163" i="16"/>
  <c r="D94" i="16"/>
  <c r="E94" i="16"/>
  <c r="D155" i="16"/>
  <c r="E155" i="16"/>
  <c r="D170" i="16"/>
  <c r="E170" i="16"/>
  <c r="D99" i="16"/>
  <c r="E99" i="16"/>
  <c r="D146" i="16"/>
  <c r="E146" i="16"/>
  <c r="D59" i="16"/>
  <c r="E59" i="16"/>
  <c r="D64" i="16"/>
  <c r="E64" i="16"/>
  <c r="D100" i="16"/>
  <c r="E100" i="16"/>
  <c r="D132" i="16"/>
  <c r="E132" i="16"/>
  <c r="D167" i="16"/>
  <c r="E167" i="16"/>
  <c r="D51" i="16"/>
  <c r="E51" i="16"/>
  <c r="D77" i="16"/>
  <c r="E77" i="16"/>
  <c r="D191" i="16"/>
  <c r="E191" i="16"/>
  <c r="D124" i="16"/>
  <c r="E124" i="16"/>
  <c r="D4" i="16"/>
  <c r="E4" i="16"/>
  <c r="D142" i="16"/>
  <c r="E142" i="16"/>
  <c r="D158" i="16"/>
  <c r="E158" i="16"/>
  <c r="D147" i="16"/>
  <c r="E147" i="16"/>
  <c r="D111" i="16"/>
  <c r="E111" i="16"/>
  <c r="D93" i="16"/>
  <c r="E93" i="16"/>
  <c r="D39" i="16"/>
  <c r="E39" i="16"/>
  <c r="D63" i="16"/>
  <c r="E63" i="16"/>
  <c r="D180" i="16"/>
  <c r="E180" i="16"/>
  <c r="D107" i="16"/>
  <c r="E107" i="16"/>
  <c r="D173" i="16"/>
  <c r="E173" i="16"/>
  <c r="D161" i="16"/>
  <c r="E161" i="16"/>
  <c r="D175" i="16"/>
  <c r="E175" i="16"/>
  <c r="D140" i="16"/>
  <c r="E140" i="16"/>
  <c r="D139" i="16"/>
  <c r="E139" i="16"/>
  <c r="D193" i="16"/>
  <c r="E193" i="16"/>
  <c r="D154" i="16"/>
  <c r="E154" i="16"/>
  <c r="D46" i="16"/>
  <c r="E46" i="16"/>
  <c r="D134" i="16"/>
  <c r="E134" i="16"/>
  <c r="D87" i="16"/>
  <c r="E87" i="16"/>
  <c r="D162" i="16"/>
  <c r="E162" i="16"/>
  <c r="D54" i="16"/>
  <c r="E54" i="16"/>
  <c r="D12" i="16"/>
  <c r="E12" i="16"/>
  <c r="D56" i="16"/>
  <c r="E56" i="16"/>
  <c r="D109" i="16"/>
  <c r="E109" i="16"/>
  <c r="E185" i="16"/>
  <c r="D185" i="16"/>
  <c r="D74" i="16"/>
  <c r="E74" i="16"/>
  <c r="D60" i="16"/>
  <c r="E60" i="16"/>
  <c r="D15" i="16"/>
  <c r="E15" i="16"/>
  <c r="D112" i="16"/>
  <c r="E112" i="16"/>
  <c r="D133" i="16"/>
  <c r="E133" i="16"/>
  <c r="H203" i="16"/>
  <c r="C8" i="13" s="1"/>
  <c r="C9" i="13" s="1"/>
  <c r="D5" i="16"/>
  <c r="E5" i="16"/>
  <c r="D150" i="16"/>
  <c r="E150" i="16"/>
  <c r="D62" i="16"/>
  <c r="E62" i="16"/>
  <c r="D72" i="16"/>
  <c r="E72" i="16"/>
  <c r="D23" i="16"/>
  <c r="E23" i="16"/>
  <c r="D31" i="16"/>
  <c r="E31" i="16"/>
  <c r="D81" i="16"/>
  <c r="E81" i="16"/>
  <c r="D40" i="16"/>
  <c r="E40" i="16"/>
  <c r="D85" i="16"/>
  <c r="E85" i="16"/>
  <c r="D10" i="16"/>
  <c r="E10" i="16"/>
  <c r="D160" i="16"/>
  <c r="E160" i="16"/>
  <c r="D166" i="16"/>
  <c r="E166" i="16"/>
  <c r="D96" i="16"/>
  <c r="E96" i="16"/>
  <c r="D151" i="16"/>
  <c r="E151" i="16"/>
  <c r="D196" i="16"/>
  <c r="E196" i="16"/>
  <c r="D101" i="16"/>
  <c r="E101" i="16"/>
  <c r="D8" i="16"/>
  <c r="E8" i="16"/>
  <c r="D19" i="16"/>
  <c r="E19" i="16"/>
  <c r="D14" i="16"/>
  <c r="E14" i="16"/>
  <c r="D49" i="16"/>
  <c r="E49" i="16"/>
  <c r="D157" i="16"/>
  <c r="E157" i="16"/>
  <c r="D95" i="16"/>
  <c r="E95" i="16"/>
  <c r="D79" i="16"/>
  <c r="E79" i="16"/>
  <c r="D33" i="16"/>
  <c r="E33" i="16"/>
  <c r="D168" i="16"/>
  <c r="E168" i="16"/>
  <c r="D156" i="16"/>
  <c r="E156" i="16"/>
  <c r="D103" i="16"/>
  <c r="E103" i="16"/>
  <c r="D52" i="16"/>
  <c r="E52" i="16"/>
  <c r="D116" i="16"/>
  <c r="E116" i="16"/>
  <c r="D36" i="16"/>
  <c r="E36" i="16"/>
  <c r="D202" i="16"/>
  <c r="E202" i="16"/>
  <c r="D50" i="16"/>
  <c r="E50" i="16"/>
  <c r="D53" i="16"/>
  <c r="E53" i="16"/>
  <c r="D169" i="16"/>
  <c r="E169" i="16"/>
  <c r="D43" i="16"/>
  <c r="E43" i="16"/>
  <c r="D78" i="16"/>
  <c r="E78" i="16"/>
  <c r="D71" i="16"/>
  <c r="E71" i="16"/>
  <c r="D9" i="16"/>
  <c r="E9" i="16"/>
  <c r="D195" i="16"/>
  <c r="E195" i="16"/>
  <c r="D70" i="16"/>
  <c r="E70" i="16"/>
  <c r="D141" i="16"/>
  <c r="E141" i="16"/>
  <c r="D113" i="16"/>
  <c r="E113" i="16"/>
  <c r="D144" i="16"/>
  <c r="E144" i="16"/>
  <c r="D55" i="16"/>
  <c r="E55" i="16"/>
  <c r="D122" i="16"/>
  <c r="E122" i="16"/>
  <c r="D16" i="16"/>
  <c r="E16" i="16"/>
  <c r="D30" i="16"/>
  <c r="E30" i="16"/>
  <c r="D114" i="16"/>
  <c r="E114" i="16"/>
  <c r="D120" i="16"/>
  <c r="E120" i="16"/>
  <c r="D27" i="16"/>
  <c r="E27" i="16"/>
  <c r="D178" i="16"/>
  <c r="E178" i="16"/>
  <c r="D177" i="16"/>
  <c r="E177" i="16"/>
  <c r="D82" i="16"/>
  <c r="E82" i="16"/>
  <c r="D34" i="16"/>
  <c r="E34" i="16"/>
  <c r="D123" i="16"/>
  <c r="E123" i="16"/>
  <c r="D47" i="16"/>
  <c r="E47" i="16"/>
  <c r="D45" i="16"/>
  <c r="E45" i="16"/>
  <c r="D188" i="16"/>
  <c r="E188" i="16"/>
  <c r="D190" i="16"/>
  <c r="E190" i="16"/>
  <c r="D57" i="16"/>
  <c r="E57" i="16"/>
  <c r="D92" i="16"/>
  <c r="E92" i="16"/>
  <c r="D121" i="16"/>
  <c r="E121" i="16"/>
  <c r="D73" i="16"/>
  <c r="E73" i="16"/>
  <c r="D97" i="16"/>
  <c r="E97" i="16"/>
  <c r="D7" i="16"/>
  <c r="E7" i="16"/>
  <c r="D84" i="16"/>
  <c r="E84" i="16"/>
  <c r="D117" i="16"/>
  <c r="E117" i="16"/>
  <c r="D11" i="16"/>
  <c r="E11" i="16"/>
  <c r="D148" i="16"/>
  <c r="E148" i="16"/>
  <c r="D189" i="16"/>
  <c r="E189" i="16"/>
  <c r="D128" i="16"/>
  <c r="E128" i="16"/>
  <c r="D108" i="16"/>
  <c r="E108" i="16"/>
  <c r="D29" i="16"/>
  <c r="E29" i="16"/>
  <c r="D24" i="16"/>
  <c r="E24" i="16"/>
  <c r="D110" i="16"/>
  <c r="E110" i="16"/>
  <c r="D131" i="16"/>
  <c r="E131" i="16"/>
  <c r="D127" i="16"/>
  <c r="E127" i="16"/>
  <c r="D119" i="16"/>
  <c r="E119" i="16"/>
  <c r="D125" i="16"/>
  <c r="E125" i="16"/>
  <c r="D179" i="16"/>
  <c r="E179" i="16"/>
  <c r="D37" i="16"/>
  <c r="E37" i="16"/>
  <c r="D198" i="16"/>
  <c r="E198" i="16"/>
  <c r="D186" i="16"/>
  <c r="E186" i="16"/>
  <c r="D86" i="16"/>
  <c r="E86" i="16"/>
  <c r="D159" i="16"/>
  <c r="E159" i="16"/>
  <c r="D67" i="16"/>
  <c r="E67" i="16"/>
  <c r="D143" i="16"/>
  <c r="E143" i="16"/>
  <c r="D164" i="16"/>
  <c r="E164" i="16"/>
  <c r="D20" i="16"/>
  <c r="E20" i="16"/>
  <c r="D22" i="16"/>
  <c r="E22" i="16"/>
  <c r="D28" i="16"/>
  <c r="E28" i="16"/>
  <c r="D66" i="16"/>
  <c r="E66" i="16"/>
  <c r="D137" i="16"/>
  <c r="E137" i="16"/>
  <c r="D35" i="16"/>
  <c r="E35" i="16"/>
  <c r="D12" i="17"/>
  <c r="E12" i="17"/>
  <c r="D158" i="17"/>
  <c r="E158" i="17"/>
  <c r="D76" i="17"/>
  <c r="E76" i="17"/>
  <c r="J123" i="15"/>
  <c r="D91" i="17"/>
  <c r="E91" i="17"/>
  <c r="D34" i="17"/>
  <c r="E34" i="17"/>
  <c r="J196" i="15"/>
  <c r="J9" i="15"/>
  <c r="D164" i="17"/>
  <c r="E164" i="17"/>
  <c r="O8" i="17"/>
  <c r="D117" i="17"/>
  <c r="E117" i="17"/>
  <c r="O72" i="17"/>
  <c r="D172" i="17"/>
  <c r="E172" i="17"/>
  <c r="J71" i="15"/>
  <c r="D57" i="17"/>
  <c r="E57" i="17"/>
  <c r="J36" i="15"/>
  <c r="O71" i="17"/>
  <c r="O69" i="17"/>
  <c r="O44" i="17"/>
  <c r="O96" i="17"/>
  <c r="D22" i="17"/>
  <c r="E22" i="17"/>
  <c r="D60" i="17"/>
  <c r="E60" i="17"/>
  <c r="O168" i="17"/>
  <c r="D163" i="17"/>
  <c r="E163" i="17"/>
  <c r="J10" i="15"/>
  <c r="D73" i="17"/>
  <c r="E73" i="17"/>
  <c r="O26" i="17"/>
  <c r="J141" i="15"/>
  <c r="O85" i="17"/>
  <c r="D37" i="17"/>
  <c r="E37" i="17"/>
  <c r="J190" i="15"/>
  <c r="O27" i="17"/>
  <c r="O141" i="17"/>
  <c r="J3" i="15"/>
  <c r="D65" i="17"/>
  <c r="E65" i="17"/>
  <c r="J125" i="15"/>
  <c r="O166" i="17"/>
  <c r="D118" i="17"/>
  <c r="E118" i="17"/>
  <c r="D143" i="17"/>
  <c r="E143" i="17"/>
  <c r="O45" i="17"/>
  <c r="O139" i="17"/>
  <c r="D146" i="17"/>
  <c r="E146" i="17"/>
  <c r="O3" i="17"/>
  <c r="O125" i="17"/>
  <c r="D5" i="17"/>
  <c r="E5" i="17"/>
  <c r="O25" i="17"/>
  <c r="J97" i="15"/>
  <c r="D199" i="17"/>
  <c r="E199" i="17"/>
  <c r="D165" i="17"/>
  <c r="E165" i="17"/>
  <c r="O134" i="17"/>
  <c r="D108" i="17"/>
  <c r="E108" i="17"/>
  <c r="D101" i="17"/>
  <c r="E101" i="17"/>
  <c r="D179" i="17"/>
  <c r="E179" i="17"/>
  <c r="D187" i="17"/>
  <c r="E187" i="17"/>
  <c r="D15" i="17"/>
  <c r="E15" i="17"/>
  <c r="J177" i="15"/>
  <c r="J185" i="15"/>
  <c r="D130" i="17"/>
  <c r="E130" i="17"/>
  <c r="D129" i="17"/>
  <c r="E129" i="17"/>
  <c r="O173" i="17"/>
  <c r="D49" i="17"/>
  <c r="E49" i="17"/>
  <c r="D170" i="17"/>
  <c r="E170" i="17"/>
  <c r="O156" i="17"/>
  <c r="D42" i="17"/>
  <c r="E42" i="17"/>
  <c r="O185" i="17"/>
  <c r="O53" i="17"/>
  <c r="O41" i="17"/>
  <c r="J200" i="15"/>
  <c r="O135" i="17"/>
  <c r="J80" i="15"/>
  <c r="D20" i="17"/>
  <c r="E20" i="17"/>
  <c r="J180" i="15"/>
  <c r="O84" i="17"/>
  <c r="J50" i="15"/>
  <c r="D17" i="17"/>
  <c r="E17" i="17"/>
  <c r="D138" i="17"/>
  <c r="E138" i="17"/>
  <c r="O9" i="17"/>
  <c r="O140" i="17"/>
  <c r="O191" i="17"/>
  <c r="D203" i="15"/>
  <c r="B2" i="13" s="1"/>
  <c r="O103" i="17"/>
  <c r="D137" i="17"/>
  <c r="E137" i="17"/>
  <c r="J69" i="15"/>
  <c r="O109" i="17"/>
  <c r="D145" i="17"/>
  <c r="E145" i="17"/>
  <c r="O151" i="17"/>
  <c r="D111" i="17"/>
  <c r="E111" i="17"/>
  <c r="O180" i="17"/>
  <c r="O66" i="17"/>
  <c r="D86" i="17"/>
  <c r="E86" i="17"/>
  <c r="J173" i="15"/>
  <c r="D99" i="17"/>
  <c r="E99" i="17"/>
  <c r="O58" i="17"/>
  <c r="O92" i="17"/>
  <c r="J83" i="15"/>
  <c r="J193" i="15"/>
  <c r="J104" i="15"/>
  <c r="D19" i="17"/>
  <c r="E19" i="17"/>
  <c r="D174" i="17"/>
  <c r="E174" i="17"/>
  <c r="J192" i="15"/>
  <c r="D107" i="17"/>
  <c r="E107" i="17"/>
  <c r="O186" i="17"/>
  <c r="O176" i="17"/>
  <c r="O97" i="17"/>
  <c r="O120" i="17"/>
  <c r="O159" i="17"/>
  <c r="O61" i="17"/>
  <c r="J132" i="15"/>
  <c r="O88" i="17"/>
  <c r="J61" i="15"/>
  <c r="J139" i="15"/>
  <c r="O43" i="17"/>
  <c r="D16" i="17"/>
  <c r="E16" i="17"/>
  <c r="J105" i="15"/>
  <c r="O106" i="17"/>
  <c r="J13" i="15"/>
  <c r="O132" i="17"/>
  <c r="D54" i="17"/>
  <c r="E54" i="17"/>
  <c r="O193" i="17"/>
  <c r="O4" i="17"/>
  <c r="D75" i="17"/>
  <c r="E75" i="17"/>
  <c r="J114" i="15"/>
  <c r="I204" i="17"/>
  <c r="D29" i="17"/>
  <c r="E29" i="17"/>
  <c r="D195" i="17"/>
  <c r="E195" i="17"/>
  <c r="O177" i="17"/>
  <c r="J40" i="15"/>
  <c r="J89" i="15"/>
  <c r="G203" i="15"/>
  <c r="B5" i="13" s="1"/>
  <c r="D5" i="13" s="1"/>
  <c r="J169" i="15"/>
  <c r="D131" i="17"/>
  <c r="E131" i="17"/>
  <c r="O36" i="17"/>
  <c r="O161" i="17"/>
  <c r="O48" i="17"/>
  <c r="O74" i="17"/>
  <c r="O14" i="17"/>
  <c r="H203" i="15"/>
  <c r="B6" i="13" s="1"/>
  <c r="D6" i="13" s="1"/>
  <c r="J122" i="15"/>
  <c r="J35" i="15"/>
  <c r="O56" i="17"/>
  <c r="O98" i="17"/>
  <c r="J45" i="15"/>
  <c r="J147" i="15"/>
  <c r="J181" i="15"/>
  <c r="O81" i="17"/>
  <c r="D102" i="17"/>
  <c r="E102" i="17"/>
  <c r="D68" i="17"/>
  <c r="E68" i="17"/>
  <c r="I203" i="15"/>
  <c r="B7" i="13" s="1"/>
  <c r="D7" i="13" s="1"/>
  <c r="J148" i="15"/>
  <c r="J2" i="15"/>
  <c r="J55" i="15"/>
  <c r="J153" i="15"/>
  <c r="K204" i="17"/>
  <c r="J113" i="15"/>
  <c r="D121" i="17"/>
  <c r="E121" i="17"/>
  <c r="O160" i="17"/>
  <c r="J191" i="15"/>
  <c r="D52" i="17"/>
  <c r="E52" i="17"/>
  <c r="D133" i="17"/>
  <c r="E133" i="17"/>
  <c r="J72" i="15"/>
  <c r="J135" i="15"/>
  <c r="J26" i="15"/>
  <c r="J53" i="15"/>
  <c r="O113" i="17"/>
  <c r="D197" i="17"/>
  <c r="E197" i="17"/>
  <c r="D32" i="17"/>
  <c r="E32" i="17"/>
  <c r="D82" i="17"/>
  <c r="E82" i="17"/>
  <c r="J44" i="15"/>
  <c r="J152" i="15"/>
  <c r="J134" i="15"/>
  <c r="J160" i="15"/>
  <c r="O51" i="17"/>
  <c r="O70" i="17"/>
  <c r="L204" i="17"/>
  <c r="O152" i="17"/>
  <c r="D126" i="17"/>
  <c r="E126" i="17"/>
  <c r="J25" i="15"/>
  <c r="J166" i="15"/>
  <c r="O40" i="17"/>
  <c r="O89" i="17"/>
  <c r="M204" i="17"/>
  <c r="O67" i="17"/>
  <c r="J92" i="15"/>
  <c r="O162" i="17"/>
  <c r="O87" i="17"/>
  <c r="O188" i="17"/>
  <c r="J33" i="15"/>
  <c r="J167" i="15"/>
  <c r="J8" i="15"/>
  <c r="O124" i="17"/>
  <c r="N204" i="17"/>
  <c r="O147" i="17"/>
  <c r="J24" i="15"/>
  <c r="O167" i="17"/>
  <c r="O10" i="17"/>
  <c r="O2" i="17"/>
  <c r="J168" i="15"/>
  <c r="J106" i="15"/>
  <c r="J130" i="15"/>
  <c r="D18" i="17"/>
  <c r="E18" i="17"/>
  <c r="O114" i="17"/>
  <c r="J85" i="15"/>
  <c r="J140" i="15"/>
  <c r="J51" i="15"/>
  <c r="D46" i="17"/>
  <c r="E46" i="17"/>
  <c r="O190" i="17"/>
  <c r="J96" i="15"/>
  <c r="O55" i="17"/>
  <c r="J178" i="15"/>
  <c r="J116" i="15"/>
  <c r="J56" i="15"/>
  <c r="O59" i="17"/>
  <c r="J70" i="15"/>
  <c r="D78" i="17"/>
  <c r="E78" i="17"/>
  <c r="D39" i="17"/>
  <c r="E39" i="17"/>
  <c r="O192" i="17"/>
  <c r="J184" i="15"/>
  <c r="J151" i="15"/>
  <c r="O33" i="17"/>
  <c r="J47" i="15"/>
  <c r="J28" i="15"/>
  <c r="J162" i="15"/>
  <c r="D64" i="17"/>
  <c r="E64" i="17"/>
  <c r="J100" i="15"/>
  <c r="O28" i="17"/>
  <c r="J58" i="15"/>
  <c r="E203" i="15"/>
  <c r="B3" i="13" s="1"/>
  <c r="D3" i="13" s="1"/>
  <c r="J136" i="15"/>
  <c r="O169" i="17"/>
  <c r="O150" i="17"/>
  <c r="D21" i="17"/>
  <c r="E21" i="17"/>
  <c r="J159" i="15"/>
  <c r="O35" i="17"/>
  <c r="O127" i="17"/>
  <c r="J93" i="15"/>
  <c r="J43" i="15"/>
  <c r="J115" i="15"/>
  <c r="J7" i="15"/>
  <c r="J41" i="15"/>
  <c r="D149" i="17"/>
  <c r="E149" i="17"/>
  <c r="J14" i="15"/>
  <c r="D182" i="17"/>
  <c r="E182" i="17"/>
  <c r="D6" i="17"/>
  <c r="E6" i="17"/>
  <c r="D110" i="17"/>
  <c r="E110" i="17"/>
  <c r="J84" i="15"/>
  <c r="D183" i="17"/>
  <c r="E183" i="17"/>
  <c r="O148" i="17"/>
  <c r="J103" i="15"/>
  <c r="O194" i="17"/>
  <c r="D31" i="17"/>
  <c r="E31" i="17"/>
  <c r="O200" i="17"/>
  <c r="O50" i="17"/>
  <c r="O24" i="17"/>
  <c r="J127" i="15"/>
  <c r="D171" i="17"/>
  <c r="E171" i="17"/>
  <c r="F203" i="15"/>
  <c r="B4" i="13" s="1"/>
  <c r="D4" i="13" s="1"/>
  <c r="J161" i="15"/>
  <c r="O13" i="17"/>
  <c r="O115" i="17"/>
  <c r="O184" i="17"/>
  <c r="D63" i="17"/>
  <c r="E63" i="17"/>
  <c r="O47" i="17"/>
  <c r="J27" i="15"/>
  <c r="J87" i="15"/>
  <c r="J204" i="17"/>
  <c r="J156" i="15"/>
  <c r="J81" i="15"/>
  <c r="O112" i="17"/>
  <c r="O122" i="17"/>
  <c r="O136" i="17"/>
  <c r="D11" i="17"/>
  <c r="E11" i="17"/>
  <c r="D128" i="17"/>
  <c r="E128" i="17"/>
  <c r="J4" i="15"/>
  <c r="D95" i="17"/>
  <c r="E95" i="17"/>
  <c r="J88" i="15"/>
  <c r="O104" i="17"/>
  <c r="E153" i="17" l="1"/>
  <c r="D30" i="17"/>
  <c r="D83" i="17"/>
  <c r="E80" i="17"/>
  <c r="D178" i="17"/>
  <c r="D100" i="17"/>
  <c r="E79" i="17"/>
  <c r="E7" i="17"/>
  <c r="E196" i="17"/>
  <c r="E93" i="17"/>
  <c r="E202" i="17"/>
  <c r="E123" i="17"/>
  <c r="E181" i="17"/>
  <c r="D116" i="17"/>
  <c r="E154" i="17"/>
  <c r="D105" i="17"/>
  <c r="D47" i="17"/>
  <c r="E47" i="17"/>
  <c r="D194" i="17"/>
  <c r="E194" i="17"/>
  <c r="D43" i="17"/>
  <c r="E43" i="17"/>
  <c r="D61" i="17"/>
  <c r="E61" i="17"/>
  <c r="D28" i="17"/>
  <c r="E28" i="17"/>
  <c r="D92" i="17"/>
  <c r="E92" i="17"/>
  <c r="D180" i="17"/>
  <c r="E180" i="17"/>
  <c r="D69" i="17"/>
  <c r="E69" i="17"/>
  <c r="D72" i="17"/>
  <c r="E72" i="17"/>
  <c r="D112" i="17"/>
  <c r="E112" i="17"/>
  <c r="D148" i="17"/>
  <c r="E148" i="17"/>
  <c r="D192" i="17"/>
  <c r="E192" i="17"/>
  <c r="D124" i="17"/>
  <c r="E124" i="17"/>
  <c r="D67" i="17"/>
  <c r="E67" i="17"/>
  <c r="D152" i="17"/>
  <c r="E152" i="17"/>
  <c r="D160" i="17"/>
  <c r="E160" i="17"/>
  <c r="D48" i="17"/>
  <c r="E48" i="17"/>
  <c r="D159" i="17"/>
  <c r="E159" i="17"/>
  <c r="D58" i="17"/>
  <c r="E58" i="17"/>
  <c r="D139" i="17"/>
  <c r="E139" i="17"/>
  <c r="D85" i="17"/>
  <c r="E85" i="17"/>
  <c r="D168" i="17"/>
  <c r="E168" i="17"/>
  <c r="D71" i="17"/>
  <c r="E71" i="17"/>
  <c r="D136" i="17"/>
  <c r="E136" i="17"/>
  <c r="D166" i="17"/>
  <c r="E166" i="17"/>
  <c r="D44" i="17"/>
  <c r="E44" i="17"/>
  <c r="D184" i="17"/>
  <c r="E184" i="17"/>
  <c r="D24" i="17"/>
  <c r="E24" i="17"/>
  <c r="D150" i="17"/>
  <c r="E150" i="17"/>
  <c r="D2" i="17"/>
  <c r="E2" i="17"/>
  <c r="D98" i="17"/>
  <c r="E98" i="17"/>
  <c r="D161" i="17"/>
  <c r="E161" i="17"/>
  <c r="D177" i="17"/>
  <c r="E177" i="17"/>
  <c r="D120" i="17"/>
  <c r="E120" i="17"/>
  <c r="D103" i="17"/>
  <c r="E103" i="17"/>
  <c r="D156" i="17"/>
  <c r="E156" i="17"/>
  <c r="D25" i="17"/>
  <c r="E25" i="17"/>
  <c r="D45" i="17"/>
  <c r="E45" i="17"/>
  <c r="D114" i="17"/>
  <c r="E114" i="17"/>
  <c r="D74" i="17"/>
  <c r="E74" i="17"/>
  <c r="D115" i="17"/>
  <c r="E115" i="17"/>
  <c r="D50" i="17"/>
  <c r="E50" i="17"/>
  <c r="D169" i="17"/>
  <c r="E169" i="17"/>
  <c r="D55" i="17"/>
  <c r="E55" i="17"/>
  <c r="D89" i="17"/>
  <c r="E89" i="17"/>
  <c r="D70" i="17"/>
  <c r="E70" i="17"/>
  <c r="D56" i="17"/>
  <c r="E56" i="17"/>
  <c r="D36" i="17"/>
  <c r="E36" i="17"/>
  <c r="D4" i="17"/>
  <c r="E4" i="17"/>
  <c r="D106" i="17"/>
  <c r="E106" i="17"/>
  <c r="D97" i="17"/>
  <c r="E97" i="17"/>
  <c r="D151" i="17"/>
  <c r="E151" i="17"/>
  <c r="D2" i="13"/>
  <c r="D135" i="17"/>
  <c r="E135" i="17"/>
  <c r="D26" i="17"/>
  <c r="E26" i="17"/>
  <c r="D8" i="17"/>
  <c r="E8" i="17"/>
  <c r="D185" i="17"/>
  <c r="E185" i="17"/>
  <c r="D173" i="17"/>
  <c r="E173" i="17"/>
  <c r="D122" i="17"/>
  <c r="E122" i="17"/>
  <c r="D13" i="17"/>
  <c r="E13" i="17"/>
  <c r="D200" i="17"/>
  <c r="E200" i="17"/>
  <c r="D10" i="17"/>
  <c r="E10" i="17"/>
  <c r="D40" i="17"/>
  <c r="E40" i="17"/>
  <c r="D51" i="17"/>
  <c r="E51" i="17"/>
  <c r="D193" i="17"/>
  <c r="E193" i="17"/>
  <c r="D176" i="17"/>
  <c r="E176" i="17"/>
  <c r="D191" i="17"/>
  <c r="E191" i="17"/>
  <c r="D84" i="17"/>
  <c r="E84" i="17"/>
  <c r="D141" i="17"/>
  <c r="E141" i="17"/>
  <c r="D14" i="17"/>
  <c r="E14" i="17"/>
  <c r="D132" i="17"/>
  <c r="E132" i="17"/>
  <c r="D127" i="17"/>
  <c r="E127" i="17"/>
  <c r="D190" i="17"/>
  <c r="E190" i="17"/>
  <c r="D167" i="17"/>
  <c r="E167" i="17"/>
  <c r="D188" i="17"/>
  <c r="E188" i="17"/>
  <c r="D186" i="17"/>
  <c r="E186" i="17"/>
  <c r="D140" i="17"/>
  <c r="E140" i="17"/>
  <c r="D41" i="17"/>
  <c r="E41" i="17"/>
  <c r="D125" i="17"/>
  <c r="E125" i="17"/>
  <c r="D27" i="17"/>
  <c r="E27" i="17"/>
  <c r="D59" i="17"/>
  <c r="E59" i="17"/>
  <c r="D147" i="17"/>
  <c r="E147" i="17"/>
  <c r="D162" i="17"/>
  <c r="E162" i="17"/>
  <c r="D113" i="17"/>
  <c r="E113" i="17"/>
  <c r="D66" i="17"/>
  <c r="E66" i="17"/>
  <c r="D104" i="17"/>
  <c r="E104" i="17"/>
  <c r="D35" i="17"/>
  <c r="E35" i="17"/>
  <c r="D33" i="17"/>
  <c r="E33" i="17"/>
  <c r="D87" i="17"/>
  <c r="E87" i="17"/>
  <c r="D81" i="17"/>
  <c r="E81" i="17"/>
  <c r="D88" i="17"/>
  <c r="E88" i="17"/>
  <c r="D109" i="17"/>
  <c r="E109" i="17"/>
  <c r="D9" i="17"/>
  <c r="E9" i="17"/>
  <c r="D53" i="17"/>
  <c r="E53" i="17"/>
  <c r="D134" i="17"/>
  <c r="E134" i="17"/>
  <c r="D3" i="17"/>
  <c r="E3" i="17"/>
  <c r="D96" i="17"/>
  <c r="E96" i="17"/>
  <c r="C203" i="15" l="1"/>
  <c r="B8" i="13" s="1"/>
  <c r="H204" i="17"/>
  <c r="B9" i="13" l="1"/>
  <c r="D8" i="13"/>
  <c r="D9" i="13" s="1"/>
  <c r="O142" i="17"/>
  <c r="J142" i="15"/>
  <c r="C203" i="14" s="1"/>
  <c r="J203" i="15" l="1"/>
  <c r="E142" i="17"/>
  <c r="O203" i="17"/>
  <c r="D142" i="17"/>
  <c r="D203" i="17" l="1"/>
  <c r="E203" i="17"/>
  <c r="O204" i="17"/>
  <c r="E204" i="17"/>
</calcChain>
</file>

<file path=xl/sharedStrings.xml><?xml version="1.0" encoding="utf-8"?>
<sst xmlns="http://schemas.openxmlformats.org/spreadsheetml/2006/main" count="1533" uniqueCount="264">
  <si>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</si>
  <si>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</si>
  <si>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</si>
  <si>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</si>
  <si>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</si>
  <si>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</si>
  <si>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</si>
  <si>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</si>
  <si>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</si>
  <si>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</si>
  <si>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</si>
  <si>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</si>
  <si>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</si>
  <si>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</si>
  <si>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</si>
  <si>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</si>
  <si>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</si>
  <si>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</si>
  <si>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</si>
  <si>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</si>
  <si>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</si>
  <si>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</si>
  <si>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</si>
  <si>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</si>
  <si>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</si>
  <si>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</si>
  <si>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</si>
  <si>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</si>
  <si>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</si>
  <si>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</si>
  <si>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</si>
  <si>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</si>
  <si>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</si>
  <si>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</si>
  <si>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</si>
  <si>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</si>
  <si>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</si>
  <si>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</si>
  <si>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</si>
  <si>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</si>
  <si>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</si>
  <si>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</si>
  <si>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</si>
  <si>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</si>
  <si>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</si>
  <si>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</si>
  <si>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</si>
  <si>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</si>
  <si>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</si>
  <si>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</si>
  <si>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</si>
  <si>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</si>
  <si>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</si>
  <si>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</si>
  <si>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</si>
  <si>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</si>
  <si>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</si>
  <si>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</si>
  <si>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</si>
  <si>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</si>
  <si>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</si>
  <si>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</si>
  <si>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</si>
  <si>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</si>
  <si>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</si>
  <si>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</si>
  <si>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</si>
  <si>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</si>
  <si>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</si>
  <si>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</si>
  <si>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</si>
  <si>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</si>
  <si>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</si>
  <si>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</si>
  <si>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</si>
  <si>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</si>
  <si>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</si>
  <si>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</si>
  <si>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</si>
  <si>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</si>
  <si>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</si>
  <si>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</si>
  <si>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</si>
  <si>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</si>
  <si>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</si>
  <si>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</si>
  <si>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</si>
  <si>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</si>
  <si>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</si>
  <si>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</si>
  <si>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</si>
  <si>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</si>
  <si>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</si>
  <si>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</si>
  <si>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</si>
  <si>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</si>
  <si>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</si>
  <si>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</si>
  <si>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</si>
  <si>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</si>
  <si>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</si>
  <si>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</si>
  <si>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</si>
  <si>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</si>
  <si>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</si>
  <si>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</si>
  <si>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</si>
  <si>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</si>
  <si>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</si>
  <si>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</si>
  <si>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</si>
  <si>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</si>
  <si>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</si>
  <si>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</si>
  <si>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</si>
  <si>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</si>
  <si>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</si>
  <si>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</si>
  <si>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</si>
  <si>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</si>
  <si>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</si>
  <si>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</si>
  <si>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</si>
  <si>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</si>
  <si>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</si>
  <si>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</si>
  <si>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</si>
  <si>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</si>
  <si>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</si>
  <si>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</si>
  <si>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</si>
  <si>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</si>
  <si>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</si>
  <si>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</si>
  <si>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</si>
  <si>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</si>
  <si>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</si>
  <si>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</si>
  <si>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</si>
  <si>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</si>
  <si>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</si>
  <si>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</si>
  <si>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</si>
  <si>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</si>
  <si>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</si>
  <si>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</si>
  <si>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</si>
  <si>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</si>
  <si>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</si>
  <si>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</si>
  <si>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</si>
  <si>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</si>
  <si>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</si>
  <si>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</si>
  <si>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</si>
  <si>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</si>
  <si>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</si>
  <si>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</si>
  <si>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</si>
  <si>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</si>
  <si>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</si>
  <si>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</si>
  <si>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</si>
  <si>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</si>
  <si>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</si>
  <si>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</si>
  <si>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</si>
  <si>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</si>
  <si>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</si>
  <si>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</si>
  <si>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</si>
  <si>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</si>
  <si>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</si>
  <si>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</si>
  <si>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</si>
  <si>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</si>
  <si>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</si>
  <si>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</si>
  <si>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</si>
  <si>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</si>
  <si>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</si>
  <si>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</si>
  <si>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</si>
  <si>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</si>
  <si>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</si>
  <si>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</si>
  <si>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</si>
  <si>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</si>
  <si>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</si>
  <si>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</si>
  <si>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</si>
  <si>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</si>
  <si>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</si>
  <si>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</si>
  <si>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</si>
  <si>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</si>
  <si>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</si>
  <si>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</si>
  <si>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</si>
  <si>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</si>
  <si>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</si>
  <si>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</si>
  <si>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</si>
  <si>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</si>
  <si>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</si>
  <si>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</si>
  <si>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</si>
  <si>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</si>
  <si>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</si>
  <si>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</si>
  <si>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</si>
  <si>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</si>
  <si>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</si>
  <si>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</si>
  <si>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</si>
  <si>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</si>
  <si>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</si>
  <si>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</si>
  <si>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</si>
  <si>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</si>
  <si>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</si>
  <si>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</si>
  <si>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</si>
  <si>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</si>
  <si>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</si>
  <si>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</si>
  <si>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</si>
  <si>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</si>
  <si>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</si>
  <si>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</si>
  <si>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</si>
  <si>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</si>
  <si>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</si>
  <si>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</si>
  <si>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</si>
  <si>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</si>
  <si>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</si>
  <si>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</si>
  <si>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</si>
  <si>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</si>
  <si>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</si>
  <si>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</si>
  <si>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Questions</t>
  </si>
  <si>
    <t>Please reach out to the IDEA Fiscal Team in the Office of Enhancing Student Opportunities (OESO) with any questions about the information contained in this document.</t>
  </si>
  <si>
    <t>ODE.IDEAFinance@state.or.us</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</si>
  <si>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</si>
  <si>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</si>
  <si>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</si>
  <si>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t>Section 611 Regular</t>
  </si>
  <si>
    <t>Section 619 Regular</t>
  </si>
  <si>
    <t>Maximum CEIS Reg Awd</t>
  </si>
  <si>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</si>
  <si>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</si>
  <si>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</si>
  <si>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t>ID</t>
  </si>
  <si>
    <t>New 2023-2024</t>
  </si>
  <si>
    <r>
      <rPr>
        <b/>
        <sz val="10"/>
        <color rgb="FFFF0000"/>
        <rFont val="Calibri"/>
        <family val="2"/>
        <scheme val="minor"/>
      </rPr>
      <t>UPDATE June 2023</t>
    </r>
    <r>
      <rPr>
        <sz val="10"/>
        <color theme="1"/>
        <rFont val="Calibri"/>
        <family val="2"/>
        <scheme val="minor"/>
      </rPr>
      <t>: US DOE released the 2023-24 estimates on June 1, 2023. This update provides LEA estimates based on those tables.</t>
    </r>
  </si>
  <si>
    <t>PNF</t>
  </si>
  <si>
    <t>Kid Count (+/-)</t>
  </si>
  <si>
    <t>2023</t>
  </si>
  <si>
    <t>2021</t>
  </si>
  <si>
    <t>Variance to 2022</t>
  </si>
  <si>
    <t>Variance to 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</si>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</sst>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_);_(* \(#,##0\);_(* &quot;-&quot;??_);_(@_)"/>
    <numFmt numFmtId="165" formatCode="_(&quot;$&quot;* #,##0_);_(&quot;$&quot;* \(#,##0\);_(&quot;$&quot;* &quot;-&quot;??_);_(@_)"/>
  </numFmts>
  <fonts count="11"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b/>
      <sz val="10"/>
      <color rgb="FFFF0000"/>
      <name val="Calibri"/>
      <family val="2"/>
      <scheme val="minor"/>
    </font>
    <font>
      <sz val="8"/>
      <name val="Calibri"/>
      <family val="2"/>
      <scheme val="minor"/>
    </font>
    <font>
      <sz val="10"/>
      <color theme="1"/>
      <name val="Calibri"/>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9">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xf numFmtId="44" fontId="0" fillId="2" borderId="0" xfId="1" applyFont="1" applyFill="1"/>
    <xf numFmtId="0" fontId="0" fillId="0" borderId="0" xfId="0" applyAlignment="1">
      <alignment horizontal="center"/>
    </xf>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10" fillId="2" borderId="0" xfId="0" applyFont="1" applyFill="1"/>
    <xf numFmtId="44" fontId="0" fillId="2" borderId="0" xfId="0" applyNumberFormat="1" applyFill="1"/>
    <xf numFmtId="44" fontId="10" fillId="2" borderId="0" xfId="1" applyFont="1" applyFill="1"/>
    <xf numFmtId="164" fontId="0" fillId="0" borderId="0" xfId="0" applyNumberFormat="1"/>
    <xf numFmtId="165" fontId="0" fillId="0" borderId="0" xfId="0" applyNumberFormat="1"/>
    <xf numFmtId="165" fontId="0" fillId="0" borderId="0" xfId="1" applyNumberFormat="1" applyFont="1"/>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15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165" formatCode="_(&quot;$&quot;* #,##0_);_(&quot;$&quot;* \(#,##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34" formatCode="_(&quot;$&quot;* #,##0.00_);_(&quot;$&quot;* \(#,##0.00\);_(&quot;$&quot;* &quot;-&quot;??_);_(@_)"/>
    </dxf>
    <dxf>
      <font>
        <strike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sz val="10"/>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numFmt numFmtId="34" formatCode="_(&quot;$&quot;* #,##0.00_);_(&quot;$&quot;* \(#,##0.00\);_(&quot;$&quot;* &quot;-&quot;??_);_(@_)"/>
    </dxf>
    <dxf>
      <numFmt numFmtId="34" formatCode="_(&quot;$&quot;* #,##0.00_);_(&quot;$&quot;* \(#,##0.00\);_(&quot;$&quot;* &quot;-&quot;??_);_(@_)"/>
    </dxf>
    <dxf>
      <numFmt numFmtId="0" formatCode="General"/>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family val="2"/>
        <scheme val="minor"/>
      </font>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font>
        <sz val="10"/>
      </font>
      <numFmt numFmtId="165" formatCode="_(&quot;$&quot;* #,##0_);_(&quot;$&quot;* \(#,##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family val="2"/>
        <scheme val="minor"/>
      </font>
      <numFmt numFmtId="164" formatCode="_(* #,##0_);_(* \(#,##0\);_(* &quot;-&quot;??_);_(@_)"/>
    </dxf>
    <dxf>
      <numFmt numFmtId="34" formatCode="_(&quot;$&quot;* #,##0.00_);_(&quot;$&quot;* \(#,##0.00\);_(&quot;$&quot;* &quot;-&quot;??_);_(@_)"/>
    </dxf>
    <dxf>
      <font>
        <b val="0"/>
        <i val="0"/>
        <strike val="0"/>
        <condense val="0"/>
        <extend val="0"/>
        <outline val="0"/>
        <shadow val="0"/>
        <u val="none"/>
        <vertAlign val="baseline"/>
        <sz val="10"/>
        <color theme="1"/>
        <name val="Calibri"/>
        <family val="2"/>
        <scheme val="minor"/>
      </font>
      <numFmt numFmtId="164" formatCode="_(* #,##0_);_(* \(#,##0\);_(* &quot;-&quot;??_);_(@_)"/>
    </dxf>
    <dxf>
      <numFmt numFmtId="0" formatCode="General"/>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family val="2"/>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numFmt numFmtId="34" formatCode="_(&quot;$&quot;* #,##0.00_);_(&quot;$&quot;* \(#,##0.00\);_(&quot;$&quot;* &quot;-&quot;??_);_(@_)"/>
    </dxf>
    <dxf>
      <font>
        <b val="0"/>
        <i val="0"/>
        <strike val="0"/>
        <condense val="0"/>
        <extend val="0"/>
        <outline val="0"/>
        <shadow val="0"/>
        <u val="none"/>
        <vertAlign val="baseline"/>
        <sz val="10"/>
        <color theme="1"/>
        <name val="Calibri"/>
        <scheme val="minor"/>
      </font>
      <numFmt numFmtId="165"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056F85-0C82-4B99-ADEA-2756EF56FAA0}" name="Sect6116" displayName="Sect6116" ref="B1:J203" totalsRowCount="1" headerRowDxfId="154" dataDxfId="153" totalsRowDxfId="152" dataCellStyle="Currency">
  <autoFilter ref="B1:J202" xr:uid="{00000000-0009-0000-0100-000001000000}"/>
  <tableColumns count="9">
    <tableColumn id="2" xr3:uid="{348FD2A5-0EB5-4EC4-A088-15F96B698B59}" name="LEA Name" totalsRowLabel="Total" dataDxfId="151"/>
    <tableColumn id="3" xr3:uid="{1992B7B0-FAA0-42E1-A3B9-897EB0F62EAA}" name="District" totalsRowFunction="sum" dataDxfId="150" totalsRowDxfId="149" dataCellStyle="Currency"/>
    <tableColumn id="4" xr3:uid="{7F66C3E6-A40B-455F-B04F-D84B0118B6B8}" name="Regional" totalsRowFunction="sum" dataDxfId="148" totalsRowDxfId="147" dataCellStyle="Currency"/>
    <tableColumn id="5" xr3:uid="{13C23E04-97F0-4C50-8CA4-147E80480354}" name="OSD" totalsRowFunction="sum" dataDxfId="146" totalsRowDxfId="145" dataCellStyle="Currency"/>
    <tableColumn id="6" xr3:uid="{163B43DD-32C5-4488-913C-B486A39E9D92}" name="LTCT" totalsRowFunction="sum" dataDxfId="144" totalsRowDxfId="143" dataCellStyle="Currency"/>
    <tableColumn id="7" xr3:uid="{9C273AED-1DF2-4130-94E1-2D6688351FC2}" name="Hospital" totalsRowFunction="sum" dataDxfId="142" totalsRowDxfId="141" dataCellStyle="Currency"/>
    <tableColumn id="1" xr3:uid="{E3923C26-809B-4D6A-8782-C39C1389CEA9}" name="PNF" totalsRowFunction="sum" dataDxfId="140" totalsRowDxfId="139" dataCellStyle="Currency"/>
    <tableColumn id="9" xr3:uid="{559AD0A3-F108-451A-A5B5-3581EE79C33D}" name="ECSE" totalsRowFunction="sum" dataDxfId="138" totalsRowDxfId="137" dataCellStyle="Currency"/>
    <tableColumn id="10" xr3:uid="{F0AC7495-2CE6-41C4-840F-A0CF38DD8FAA}" name="Gross Total" totalsRowFunction="sum" dataDxfId="136" totalsRowDxfId="135" dataCellStyle="Currency">
      <calculatedColumnFormula>SUM(C2:I2)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t611" displayName="Sect611" ref="B1:I203" totalsRowCount="1" headerRowDxfId="134" dataDxfId="133" totalsRowDxfId="132" dataCellStyle="Currency">
  <autoFilter ref="B1:I202" xr:uid="{00000000-0009-0000-0100-000001000000}"/>
  <tableColumns count="8">
    <tableColumn id="2" xr3:uid="{00000000-0010-0000-0000-000002000000}" name="LEA Name" totalsRowLabel="Total" dataDxfId="131" totalsRowDxfId="130"/>
    <tableColumn id="3" xr3:uid="{00000000-0010-0000-0000-000003000000}" name="District" totalsRowFunction="sum" dataDxfId="129" totalsRowDxfId="128" dataCellStyle="Currency"/>
    <tableColumn id="4" xr3:uid="{00000000-0010-0000-0000-000004000000}" name="Regional" totalsRowFunction="sum" dataDxfId="127" totalsRowDxfId="126" dataCellStyle="Currency"/>
    <tableColumn id="5" xr3:uid="{00000000-0010-0000-0000-000005000000}" name="OSD" totalsRowFunction="sum" dataDxfId="125" totalsRowDxfId="124" dataCellStyle="Currency"/>
    <tableColumn id="6" xr3:uid="{00000000-0010-0000-0000-000006000000}" name="LTCT" totalsRowFunction="sum" dataDxfId="123" totalsRowDxfId="122" dataCellStyle="Currency"/>
    <tableColumn id="7" xr3:uid="{00000000-0010-0000-0000-000007000000}" name="Hospital" totalsRowFunction="sum" dataDxfId="121" totalsRowDxfId="120" dataCellStyle="Currency"/>
    <tableColumn id="9" xr3:uid="{00000000-0010-0000-0000-000009000000}" name="ECSE" totalsRowFunction="sum" dataDxfId="119" totalsRowDxfId="118" dataCellStyle="Currency"/>
    <tableColumn id="10" xr3:uid="{00000000-0010-0000-0000-00000A000000}" name="Gross Total" totalsRowFunction="sum" dataDxfId="117" totalsRowDxfId="116"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12D523-B7A8-464A-9AFD-AF7D88A4AC09}" name="Sect61168" displayName="Sect61168" ref="B1:O204" totalsRowCount="1" headerRowDxfId="115" dataDxfId="114" totalsRowDxfId="113" dataCellStyle="Currency">
  <autoFilter ref="B1:O203" xr:uid="{00000000-0009-0000-0100-000001000000}"/>
  <tableColumns count="14">
    <tableColumn id="2" xr3:uid="{BEA53EF0-D508-489A-9C5F-F72E9E6CD2B6}" name="LEA Name" totalsRowLabel="Total" dataDxfId="112"/>
    <tableColumn id="19" xr3:uid="{68CE41C0-5DF4-452E-B653-C4A1A773F5EB}" name="Kid Count (+/-)" totalsRowFunction="sum" dataDxfId="111" totalsRowDxfId="110"/>
    <tableColumn id="20" xr3:uid="{EC2B340D-E2D8-4722-A6DE-550000969B44}" name="Variance to 2022" dataDxfId="109" totalsRowDxfId="108">
      <calculatedColumnFormula>Sect61168[[#This Row],[2023]]-Sect61168[[#This Row],[2022]]</calculatedColumnFormula>
    </tableColumn>
    <tableColumn id="18" xr3:uid="{E44ACF58-D4E1-4E3C-9743-76D4C72F5C5C}" name="Variance to 2021" totalsRowFunction="sum" dataDxfId="107" totalsRowDxfId="106">
      <calculatedColumnFormula>Sect61168[[#This Row],[2023]]-Sect61168[[#This Row],[2021]]</calculatedColumnFormula>
    </tableColumn>
    <tableColumn id="8" xr3:uid="{0A7581F1-7E29-403E-98E1-DCDD2E6EA3CC}" name="2021" totalsRowFunction="sum" dataDxfId="105" totalsRowDxfId="104" dataCellStyle="Currency"/>
    <tableColumn id="21" xr3:uid="{28DD5317-E60D-4B77-AF1B-F2A9CA6FF2A5}" name="2022" dataDxfId="103" totalsRowDxfId="102" dataCellStyle="Currency"/>
    <tableColumn id="3" xr3:uid="{04232E65-B65F-4013-8CDE-C1ADE7381C87}" name="District" totalsRowFunction="sum" dataDxfId="101" totalsRowDxfId="100" dataCellStyle="Currency"/>
    <tableColumn id="4" xr3:uid="{F62CFBE5-01E2-49D0-A331-6D2B1D4CF8BC}" name="Regional" totalsRowFunction="sum" dataDxfId="99" totalsRowDxfId="98" dataCellStyle="Currency"/>
    <tableColumn id="5" xr3:uid="{509C4710-A5DD-4EF5-9692-9122C3B3AFA5}" name="OSD" totalsRowFunction="sum" dataDxfId="97" totalsRowDxfId="96" dataCellStyle="Currency"/>
    <tableColumn id="6" xr3:uid="{85E217AB-0D48-4BB1-AB39-1FDB0826D89B}" name="LTCT" totalsRowFunction="sum" dataDxfId="95" totalsRowDxfId="94" dataCellStyle="Currency"/>
    <tableColumn id="7" xr3:uid="{87014629-FA09-40BA-A44B-CB15789D66F8}" name="Hospital" totalsRowFunction="sum" dataDxfId="93" totalsRowDxfId="92" dataCellStyle="Currency"/>
    <tableColumn id="1" xr3:uid="{8BD7EBE4-2991-4CE5-AE55-EDF4F8CC067D}" name="PNF" totalsRowFunction="sum" dataDxfId="91" totalsRowDxfId="90" dataCellStyle="Currency"/>
    <tableColumn id="9" xr3:uid="{DF7BC056-6DD3-4847-B2ED-67CFCDDAEC41}" name="ECSE" totalsRowFunction="sum" dataDxfId="89" totalsRowDxfId="88" dataCellStyle="Currency"/>
    <tableColumn id="10" xr3:uid="{ACEAD9C2-937D-4CEE-85AD-9D58AE6AC9BB}" name="2023" totalsRowFunction="sum" dataDxfId="87" totalsRowDxfId="86" dataCellStyle="Currency">
      <calculatedColumnFormula>SUM(H2:N2)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BF8E7-D2B5-41EE-9DDC-18200F84E801}" name="Sect6197" displayName="Sect6197" ref="B1:N203" totalsRowCount="1" headerRowDxfId="85" dataDxfId="84" totalsRowDxfId="83" dataCellStyle="Currency">
  <autoFilter ref="B1:N202" xr:uid="{00000000-0009-0000-0100-000002000000}"/>
  <tableColumns count="13">
    <tableColumn id="2" xr3:uid="{95F5A939-CD50-4CFF-BBD5-A813016FEC9A}" name="LEA Name" totalsRowLabel="Total" dataDxfId="82"/>
    <tableColumn id="18" xr3:uid="{0902AC1A-6D1F-4F26-BB88-73FBD33CDC18}" name="Kid Count (+/-)" totalsRowFunction="sum" dataDxfId="81"/>
    <tableColumn id="19" xr3:uid="{BD1BD49C-CE89-496B-A0A2-11BBD6599057}" name="Variance to 2022" dataDxfId="80">
      <calculatedColumnFormula>Sect6197[[#This Row],[2023]]-Sect6197[[#This Row],[2022]]</calculatedColumnFormula>
    </tableColumn>
    <tableColumn id="17" xr3:uid="{58B41D24-EB81-4D7B-964C-FCDF4CF6B20C}" name="Variance to 2021" dataDxfId="79" totalsRowDxfId="78">
      <calculatedColumnFormula>Sect6197[[#This Row],[2023]]-Sect6197[[#This Row],[2021]]</calculatedColumnFormula>
    </tableColumn>
    <tableColumn id="1" xr3:uid="{39ECD290-8409-4D9D-A2CA-D5E6131B84FB}" name="2021" totalsRowFunction="sum" dataDxfId="77" totalsRowDxfId="76" dataCellStyle="Currency"/>
    <tableColumn id="20" xr3:uid="{00E74386-DDD6-430E-AC36-24C5C01646E7}" name="2022" totalsRowFunction="sum" dataDxfId="75" totalsRowDxfId="74" dataCellStyle="Currency"/>
    <tableColumn id="3" xr3:uid="{D5DB43CA-B71F-49A0-8946-06AF1CABF3E1}" name="District" totalsRowFunction="sum" dataDxfId="73" totalsRowDxfId="72" dataCellStyle="Currency"/>
    <tableColumn id="4" xr3:uid="{F60FDE56-DD52-4365-B66A-20E8D990C3F3}" name="Regional" totalsRowFunction="sum" dataDxfId="71" totalsRowDxfId="70" dataCellStyle="Currency"/>
    <tableColumn id="5" xr3:uid="{868397C5-E3A1-4E98-9D79-5636AD514CE8}" name="OSD" totalsRowFunction="sum" dataDxfId="69" totalsRowDxfId="68" dataCellStyle="Currency"/>
    <tableColumn id="6" xr3:uid="{81A481B2-705B-47AA-9676-F7435A2CB570}" name="LTCT" totalsRowFunction="sum" dataDxfId="67" totalsRowDxfId="66" dataCellStyle="Currency"/>
    <tableColumn id="7" xr3:uid="{94696B9A-5F86-4D3E-B3C2-7A1BF5B50A9A}" name="Hospital" totalsRowFunction="sum" dataDxfId="65" totalsRowDxfId="64" dataCellStyle="Currency"/>
    <tableColumn id="9" xr3:uid="{B01B5266-536D-4220-9F37-F37A43149A44}" name="ECSE" totalsRowFunction="sum" dataDxfId="63" totalsRowDxfId="62" dataCellStyle="Currency"/>
    <tableColumn id="10" xr3:uid="{7EEAB38E-F803-46BF-8C68-D3700624E0FE}" name="2023" totalsRowFunction="sum" dataDxfId="61" totalsRowDxfId="60" dataCellStyle="Currency">
      <calculatedColumnFormula>SUM(H2:M2)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ect619" displayName="Sect619" ref="B1:I203" totalsRowCount="1" headerRowDxfId="59" dataDxfId="58" totalsRowDxfId="57" dataCellStyle="Currency">
  <autoFilter ref="B1:I202" xr:uid="{00000000-0009-0000-0100-000002000000}"/>
  <tableColumns count="8">
    <tableColumn id="2" xr3:uid="{00000000-0010-0000-0100-000002000000}" name="LEA Name" totalsRowLabel="Total" dataDxfId="56" totalsRowDxfId="55"/>
    <tableColumn id="3" xr3:uid="{00000000-0010-0000-0100-000003000000}" name="District" totalsRowFunction="sum" dataDxfId="54" totalsRowDxfId="53" dataCellStyle="Currency"/>
    <tableColumn id="4" xr3:uid="{00000000-0010-0000-0100-000004000000}" name="Regional" totalsRowFunction="sum" dataDxfId="52" totalsRowDxfId="51" dataCellStyle="Currency"/>
    <tableColumn id="5" xr3:uid="{00000000-0010-0000-0100-000005000000}" name="OSD" totalsRowFunction="sum" dataDxfId="50" totalsRowDxfId="49" dataCellStyle="Currency"/>
    <tableColumn id="6" xr3:uid="{00000000-0010-0000-0100-000006000000}" name="LTCT" totalsRowFunction="sum" dataDxfId="48" totalsRowDxfId="47" dataCellStyle="Currency"/>
    <tableColumn id="7" xr3:uid="{00000000-0010-0000-0100-000007000000}" name="Hospital" totalsRowFunction="sum" dataDxfId="46" totalsRowDxfId="45" dataCellStyle="Currency"/>
    <tableColumn id="9" xr3:uid="{00000000-0010-0000-0100-000009000000}" name="ECSE" totalsRowFunction="sum" dataDxfId="44" totalsRowDxfId="43" dataCellStyle="Currency"/>
    <tableColumn id="10" xr3:uid="{00000000-0010-0000-0100-00000A000000}" name="Gross Total" totalsRowFunction="sum" dataDxfId="42" totalsRowDxfId="41"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CE25B6-9DF9-4526-A2FE-3CF4ADB6D4C2}" name="Sect61979" displayName="Sect61979" ref="B1:I203" totalsRowCount="1" headerRowDxfId="40" dataDxfId="39" totalsRowDxfId="38" dataCellStyle="Currency">
  <autoFilter ref="B1:I202" xr:uid="{00000000-0009-0000-0100-000002000000}"/>
  <tableColumns count="8">
    <tableColumn id="2" xr3:uid="{45534AB2-4D45-4FFE-BFF2-D7A3093B57AB}" name="LEA Name" totalsRowLabel="Total" dataDxfId="37"/>
    <tableColumn id="3" xr3:uid="{45915C5B-699E-406F-8611-AFA595FB8F97}" name="District" totalsRowFunction="sum" dataDxfId="36" dataCellStyle="Currency"/>
    <tableColumn id="4" xr3:uid="{7582E2F9-AECF-491E-9263-968CC1879ABC}" name="Regional" totalsRowFunction="sum" dataDxfId="35" totalsRowDxfId="34" dataCellStyle="Currency"/>
    <tableColumn id="5" xr3:uid="{F03CD349-04F7-4417-8654-8E69F67BF795}" name="OSD" totalsRowFunction="sum" dataDxfId="33" totalsRowDxfId="32" dataCellStyle="Currency"/>
    <tableColumn id="6" xr3:uid="{1CE315B1-7FDD-4498-B068-392E26BF9946}" name="LTCT" totalsRowFunction="sum" dataDxfId="31" totalsRowDxfId="30" dataCellStyle="Currency"/>
    <tableColumn id="7" xr3:uid="{B9409B46-AB37-473D-85F5-69DB51207E2B}" name="Hospital" totalsRowFunction="sum" dataDxfId="29" totalsRowDxfId="28" dataCellStyle="Currency"/>
    <tableColumn id="9" xr3:uid="{10211D97-8203-4035-A07D-BD0C2FC2B726}" name="ECSE" totalsRowFunction="sum" dataDxfId="27" totalsRowDxfId="26" dataCellStyle="Currency"/>
    <tableColumn id="10" xr3:uid="{944ABE6D-32E0-41DE-BD11-C36C1BFE690B}" name="Gross Total" totalsRowFunction="sum" dataDxfId="25" totalsRowDxfId="24"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grams" displayName="Programs" ref="A1:D9" totalsRowCount="1" headerRowDxfId="23" dataDxfId="22" totalsRowDxfId="21">
  <autoFilter ref="A1:D8" xr:uid="{00000000-0009-0000-0100-000003000000}"/>
  <tableColumns count="4">
    <tableColumn id="1" xr3:uid="{00000000-0010-0000-0200-000001000000}" name="Program Name" totalsRowLabel="Total" dataDxfId="20"/>
    <tableColumn id="2" xr3:uid="{00000000-0010-0000-0200-000002000000}" name="Section 611 Regular" totalsRowFunction="sum" dataDxfId="19" totalsRowDxfId="18" dataCellStyle="Currency"/>
    <tableColumn id="3" xr3:uid="{00000000-0010-0000-0200-000003000000}" name="Section 619 Regular" totalsRowFunction="sum" dataDxfId="17" totalsRowDxfId="16" dataCellStyle="Currency"/>
    <tableColumn id="4" xr3:uid="{00000000-0010-0000-0200-000004000000}" name="Total" totalsRowFunction="sum" dataDxfId="15" totalsRowDxfId="14">
      <calculatedColumnFormula>Programs[[#This Row],[Section 611 Regular]]+Programs[[#This Row],[Section 619 Regular]]</calculatedColumnFormula>
    </tableColumn>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therAmts" displayName="OtherAmts" ref="B1:C203" totalsRowCount="1" headerRowDxfId="13" dataDxfId="12" totalsRowDxfId="11">
  <autoFilter ref="B1:C202" xr:uid="{00000000-0009-0000-0100-000004000000}"/>
  <tableColumns count="2">
    <tableColumn id="1" xr3:uid="{00000000-0010-0000-0300-000001000000}" name="LEA Name" totalsRowLabel="Total" dataDxfId="10"/>
    <tableColumn id="6" xr3:uid="{00000000-0010-0000-0300-000006000000}" name="Maximum CEIS Reg Awd" totalsRowFunction="sum" dataDxfId="9" totalsRowDxfId="8" dataCellStyle="Currency"/>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6"/>
  <sheetViews>
    <sheetView tabSelected="1" workbookViewId="0">
      <selection activeCell="B2" sqref="B2"/>
    </sheetView>
  </sheetViews>
  <sheetFormatPr defaultColWidth="0" defaultRowHeight="13" zeroHeight="1" x14ac:dyDescent="0.3"/>
  <cols>
    <col min="1" max="1" width="3.69921875" style="2" customWidth="1"/>
    <col min="2" max="2" width="111.3984375" customWidth="1"/>
    <col min="3" max="3" width="3.69921875" style="2" customWidth="1"/>
    <col min="4" max="16384" width="8.296875" hidden="1"/>
  </cols>
  <sheetData>
    <row r="1" spans="2:2" ht="23.5" x14ac:dyDescent="0.3">
      <c r="B1" s="7" t="s">
        <v>168</v>
      </c>
    </row>
    <row r="2" spans="2:2" ht="20" thickBot="1" x14ac:dyDescent="0.35">
      <c r="B2" s="8" t="s">
        <v>255</v>
      </c>
    </row>
    <row r="3" spans="2:2" ht="26.5" thickTop="1" x14ac:dyDescent="0.3">
      <c r="B3" s="9" t="s">
        <v>256</v>
      </c>
    </row>
    <row r="4" spans="2:2" ht="3.65" customHeight="1" x14ac:dyDescent="0.3">
      <c r="B4" s="9"/>
    </row>
    <row r="5" spans="2:2" ht="17.5" thickBot="1" x14ac:dyDescent="0.35">
      <c r="B5" s="10" t="s">
        <v>183</v>
      </c>
    </row>
    <row r="6" spans="2:2" ht="13.5" thickTop="1" x14ac:dyDescent="0.3">
      <c r="B6" s="9" t="s">
        <v>245</v>
      </c>
    </row>
    <row r="7" spans="2:2" x14ac:dyDescent="0.3">
      <c r="B7" s="9" t="s">
        <v>204</v>
      </c>
    </row>
    <row r="8" spans="2:2" ht="26" x14ac:dyDescent="0.3">
      <c r="B8" s="9" t="s">
        <v>246</v>
      </c>
    </row>
    <row r="9" spans="2:2" ht="12.75" customHeight="1" x14ac:dyDescent="0.3">
      <c r="B9" s="9" t="s">
        <v>247</v>
      </c>
    </row>
    <row r="10" spans="2:2" x14ac:dyDescent="0.3">
      <c r="B10" s="9" t="s">
        <v>205</v>
      </c>
    </row>
    <row r="11" spans="2:2" ht="26" x14ac:dyDescent="0.3">
      <c r="B11" s="9" t="s">
        <v>206</v>
      </c>
    </row>
    <row r="12" spans="2:2" ht="3.65" customHeight="1" x14ac:dyDescent="0.3">
      <c r="B12" s="9"/>
    </row>
    <row r="13" spans="2:2" x14ac:dyDescent="0.3">
      <c r="B13" s="16" t="s">
        <v>185</v>
      </c>
    </row>
    <row r="14" spans="2:2" x14ac:dyDescent="0.3">
      <c r="B14" s="9" t="s">
        <v>194</v>
      </c>
    </row>
    <row r="15" spans="2:2" x14ac:dyDescent="0.3">
      <c r="B15" s="9" t="s">
        <v>195</v>
      </c>
    </row>
    <row r="16" spans="2:2" x14ac:dyDescent="0.3">
      <c r="B16" s="9" t="s">
        <v>196</v>
      </c>
    </row>
    <row r="17" spans="2:2" x14ac:dyDescent="0.3">
      <c r="B17" s="9" t="s">
        <v>197</v>
      </c>
    </row>
    <row r="18" spans="2:2" x14ac:dyDescent="0.3">
      <c r="B18" s="9" t="s">
        <v>198</v>
      </c>
    </row>
    <row r="19" spans="2:2" x14ac:dyDescent="0.3">
      <c r="B19" s="9" t="s">
        <v>199</v>
      </c>
    </row>
    <row r="20" spans="2:2" x14ac:dyDescent="0.3">
      <c r="B20" s="9" t="s">
        <v>200</v>
      </c>
    </row>
    <row r="21" spans="2:2" x14ac:dyDescent="0.3">
      <c r="B21" s="9" t="s">
        <v>201</v>
      </c>
    </row>
    <row r="22" spans="2:2" ht="3.65" customHeight="1" x14ac:dyDescent="0.3">
      <c r="B22" s="11"/>
    </row>
    <row r="23" spans="2:2" s="2" customFormat="1" x14ac:dyDescent="0.3">
      <c r="B23" s="17" t="s">
        <v>186</v>
      </c>
    </row>
    <row r="24" spans="2:2" x14ac:dyDescent="0.3">
      <c r="B24" s="9" t="s">
        <v>202</v>
      </c>
    </row>
    <row r="25" spans="2:2" s="2" customFormat="1" x14ac:dyDescent="0.3">
      <c r="B25" s="12" t="s">
        <v>251</v>
      </c>
    </row>
    <row r="26" spans="2:2" x14ac:dyDescent="0.3">
      <c r="B26" s="12" t="s">
        <v>252</v>
      </c>
    </row>
    <row r="27" spans="2:2" x14ac:dyDescent="0.3">
      <c r="B27" s="9" t="s">
        <v>203</v>
      </c>
    </row>
    <row r="28" spans="2:2" ht="3.65" customHeight="1" x14ac:dyDescent="0.3">
      <c r="B28" s="9"/>
    </row>
    <row r="29" spans="2:2" x14ac:dyDescent="0.3">
      <c r="B29" s="16" t="s">
        <v>187</v>
      </c>
    </row>
    <row r="30" spans="2:2" x14ac:dyDescent="0.3">
      <c r="B30" s="9" t="s">
        <v>194</v>
      </c>
    </row>
    <row r="31" spans="2:2" ht="39" x14ac:dyDescent="0.3">
      <c r="B31" s="9" t="s">
        <v>253</v>
      </c>
    </row>
    <row r="32" spans="2:2" ht="3.65" customHeight="1" x14ac:dyDescent="0.3">
      <c r="B32" s="9"/>
    </row>
    <row r="33" spans="1:3" ht="17.5" thickBot="1" x14ac:dyDescent="0.35">
      <c r="B33" s="13" t="s">
        <v>188</v>
      </c>
    </row>
    <row r="34" spans="1:3" ht="30.75" customHeight="1" thickTop="1" x14ac:dyDescent="0.3">
      <c r="B34" s="9" t="s">
        <v>207</v>
      </c>
    </row>
    <row r="35" spans="1:3" ht="30.75" customHeight="1" x14ac:dyDescent="0.3">
      <c r="B35" s="9" t="s">
        <v>189</v>
      </c>
    </row>
    <row r="36" spans="1:3" s="15" customFormat="1" ht="30.75" customHeight="1" x14ac:dyDescent="0.3">
      <c r="A36" s="11"/>
      <c r="B36" s="9" t="s">
        <v>190</v>
      </c>
      <c r="C36" s="11"/>
    </row>
    <row r="37" spans="1:3" ht="30.75" customHeight="1" x14ac:dyDescent="0.3">
      <c r="B37" s="9" t="s">
        <v>191</v>
      </c>
    </row>
    <row r="38" spans="1:3" ht="47.25" customHeight="1" x14ac:dyDescent="0.3">
      <c r="B38" s="9" t="s">
        <v>208</v>
      </c>
    </row>
    <row r="39" spans="1:3" ht="15" thickBot="1" x14ac:dyDescent="0.35">
      <c r="B39" s="14" t="s">
        <v>192</v>
      </c>
    </row>
    <row r="40" spans="1:3" ht="26" x14ac:dyDescent="0.3">
      <c r="B40" s="9" t="s">
        <v>193</v>
      </c>
    </row>
    <row r="41" spans="1:3" x14ac:dyDescent="0.3">
      <c r="B41" s="1"/>
    </row>
    <row r="42" spans="1:3" ht="20" thickBot="1" x14ac:dyDescent="0.5">
      <c r="B42" s="18" t="s">
        <v>242</v>
      </c>
    </row>
    <row r="43" spans="1:3" ht="26.5" thickTop="1" x14ac:dyDescent="0.3">
      <c r="B43" s="1" t="s">
        <v>243</v>
      </c>
    </row>
    <row r="44" spans="1:3" x14ac:dyDescent="0.3">
      <c r="B44" s="19" t="s">
        <v>244</v>
      </c>
    </row>
    <row r="45" spans="1:3" x14ac:dyDescent="0.3"/>
    <row r="46" spans="1:3" x14ac:dyDescent="0.3"/>
    <row r="47" spans="1:3" x14ac:dyDescent="0.3"/>
    <row r="48" spans="1:3"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sheetData>
  <sheetProtection algorithmName="SHA-512" hashValue="6ly51c9v+DLx7146ds+UUsT+Yvfr76Qux1OFFLGyfEDtDR+Lhv68SoQQY8YBRIMSh1zTyADkAliUHsrVrt0MVA==" saltValue="L2Xhg957NbLYxbkVDGOSdQ==" spinCount="100000" sheet="1" objects="1" scenarios="1"/>
  <hyperlinks>
    <hyperlink ref="B4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94D-03AA-4C75-85FA-895A8C3168CD}">
  <dimension ref="A1:L204"/>
  <sheetViews>
    <sheetView topLeftCell="B1" zoomScale="115" zoomScaleNormal="115" workbookViewId="0">
      <selection activeCell="B1" sqref="B1"/>
    </sheetView>
  </sheetViews>
  <sheetFormatPr defaultColWidth="0" defaultRowHeight="13" zeroHeight="1" x14ac:dyDescent="0.3"/>
  <cols>
    <col min="1" max="1" width="7.296875" hidden="1" customWidth="1"/>
    <col min="2" max="2" width="30.296875" customWidth="1"/>
    <col min="3" max="11" width="16.296875" customWidth="1"/>
    <col min="12" max="12" width="0" hidden="1" customWidth="1"/>
    <col min="13" max="16384" width="7.296875" hidden="1"/>
  </cols>
  <sheetData>
    <row r="1" spans="1:11" x14ac:dyDescent="0.3">
      <c r="A1" t="s">
        <v>254</v>
      </c>
      <c r="B1" t="s">
        <v>0</v>
      </c>
      <c r="C1" s="6" t="s">
        <v>174</v>
      </c>
      <c r="D1" s="6" t="s">
        <v>175</v>
      </c>
      <c r="E1" s="6" t="s">
        <v>170</v>
      </c>
      <c r="F1" s="6" t="s">
        <v>171</v>
      </c>
      <c r="G1" s="6" t="s">
        <v>176</v>
      </c>
      <c r="H1" s="6" t="s">
        <v>257</v>
      </c>
      <c r="I1" s="6" t="s">
        <v>177</v>
      </c>
      <c r="J1" s="6" t="s">
        <v>178</v>
      </c>
      <c r="K1" s="2"/>
    </row>
    <row r="2" spans="1:11" x14ac:dyDescent="0.3">
      <c r="A2">
        <v>2063</v>
      </c>
      <c r="B2" t="s">
        <v>79</v>
      </c>
      <c r="C2" s="28">
        <v>3545.9753821381591</v>
      </c>
      <c r="D2" s="28">
        <v>0</v>
      </c>
      <c r="E2" s="28">
        <v>0</v>
      </c>
      <c r="F2" s="28">
        <v>0</v>
      </c>
      <c r="G2" s="28">
        <v>0</v>
      </c>
      <c r="H2" s="28">
        <v>0</v>
      </c>
      <c r="I2" s="28">
        <v>0</v>
      </c>
      <c r="J2" s="28">
        <f t="shared" ref="J2:J65" si="0">SUM(C2:I2)</f>
        <v>3545.9753821381591</v>
      </c>
      <c r="K2" s="2"/>
    </row>
    <row r="3" spans="1:11" x14ac:dyDescent="0.3">
      <c r="A3">
        <v>2113</v>
      </c>
      <c r="B3" t="s">
        <v>106</v>
      </c>
      <c r="C3" s="28">
        <v>60794.753909640007</v>
      </c>
      <c r="D3" s="28">
        <v>0</v>
      </c>
      <c r="E3" s="28">
        <v>0</v>
      </c>
      <c r="F3" s="28">
        <v>0</v>
      </c>
      <c r="G3" s="28">
        <v>0</v>
      </c>
      <c r="H3" s="28">
        <v>0</v>
      </c>
      <c r="I3" s="28">
        <v>0</v>
      </c>
      <c r="J3" s="28">
        <f t="shared" si="0"/>
        <v>60794.753909640007</v>
      </c>
      <c r="K3" s="2"/>
    </row>
    <row r="4" spans="1:11" x14ac:dyDescent="0.3">
      <c r="A4">
        <v>1899</v>
      </c>
      <c r="B4" t="s">
        <v>5</v>
      </c>
      <c r="C4" s="28">
        <v>94297.699610790645</v>
      </c>
      <c r="D4" s="28">
        <v>24247.979899917591</v>
      </c>
      <c r="E4" s="28">
        <v>0</v>
      </c>
      <c r="F4" s="28">
        <v>0</v>
      </c>
      <c r="G4" s="28">
        <v>0</v>
      </c>
      <c r="H4" s="28">
        <v>0</v>
      </c>
      <c r="I4" s="28">
        <v>1347.1099944398661</v>
      </c>
      <c r="J4" s="28">
        <f t="shared" si="0"/>
        <v>119892.78950514809</v>
      </c>
      <c r="K4" s="2"/>
    </row>
    <row r="5" spans="1:11" x14ac:dyDescent="0.3">
      <c r="A5">
        <v>2252</v>
      </c>
      <c r="B5" t="s">
        <v>161</v>
      </c>
      <c r="C5" s="28">
        <v>168461.08093140033</v>
      </c>
      <c r="D5" s="28">
        <v>50889.284864693844</v>
      </c>
      <c r="E5" s="28">
        <v>0</v>
      </c>
      <c r="F5" s="28">
        <v>0</v>
      </c>
      <c r="G5" s="28">
        <v>0</v>
      </c>
      <c r="H5" s="28">
        <v>0</v>
      </c>
      <c r="I5" s="28">
        <v>12283.620484581272</v>
      </c>
      <c r="J5" s="28">
        <f t="shared" si="0"/>
        <v>231633.98628067545</v>
      </c>
      <c r="K5" s="2"/>
    </row>
    <row r="6" spans="1:11" x14ac:dyDescent="0.3">
      <c r="A6">
        <v>2111</v>
      </c>
      <c r="B6" t="s">
        <v>104</v>
      </c>
      <c r="C6" s="28">
        <v>24107.898425759471</v>
      </c>
      <c r="D6" s="28">
        <v>0</v>
      </c>
      <c r="E6" s="28">
        <v>0</v>
      </c>
      <c r="F6" s="28">
        <v>0</v>
      </c>
      <c r="G6" s="28">
        <v>0</v>
      </c>
      <c r="H6" s="28">
        <v>0</v>
      </c>
      <c r="I6" s="28">
        <v>0</v>
      </c>
      <c r="J6" s="28">
        <f t="shared" si="0"/>
        <v>24107.898425759471</v>
      </c>
      <c r="K6" s="2"/>
    </row>
    <row r="7" spans="1:11" x14ac:dyDescent="0.3">
      <c r="A7">
        <v>2005</v>
      </c>
      <c r="B7" t="s">
        <v>44</v>
      </c>
      <c r="C7" s="28">
        <v>32925.303925450557</v>
      </c>
      <c r="D7" s="28">
        <v>1567.8716154976453</v>
      </c>
      <c r="E7" s="28">
        <v>0</v>
      </c>
      <c r="F7" s="28">
        <v>0</v>
      </c>
      <c r="G7" s="28">
        <v>0</v>
      </c>
      <c r="H7" s="28">
        <v>0</v>
      </c>
      <c r="I7" s="28">
        <v>7839.3580774882266</v>
      </c>
      <c r="J7" s="28">
        <f t="shared" si="0"/>
        <v>42332.533618436428</v>
      </c>
      <c r="K7" s="2"/>
    </row>
    <row r="8" spans="1:11" x14ac:dyDescent="0.3">
      <c r="A8">
        <v>2115</v>
      </c>
      <c r="B8" t="s">
        <v>108</v>
      </c>
      <c r="C8" s="28">
        <v>1555</v>
      </c>
      <c r="D8" s="28">
        <v>0</v>
      </c>
      <c r="E8" s="28">
        <v>0</v>
      </c>
      <c r="F8" s="28">
        <v>0</v>
      </c>
      <c r="G8" s="28">
        <v>0</v>
      </c>
      <c r="H8" s="28">
        <v>0</v>
      </c>
      <c r="I8" s="28">
        <v>0</v>
      </c>
      <c r="J8" s="28">
        <f t="shared" si="0"/>
        <v>1555</v>
      </c>
      <c r="K8" s="2"/>
    </row>
    <row r="9" spans="1:11" x14ac:dyDescent="0.3">
      <c r="A9">
        <v>2041</v>
      </c>
      <c r="B9" t="s">
        <v>61</v>
      </c>
      <c r="C9" s="28">
        <v>457124.10235285806</v>
      </c>
      <c r="D9" s="28">
        <v>136611.80070315296</v>
      </c>
      <c r="E9" s="28">
        <v>0</v>
      </c>
      <c r="F9" s="28">
        <v>8757.1667117405741</v>
      </c>
      <c r="G9" s="28">
        <v>0</v>
      </c>
      <c r="H9" s="28">
        <v>0</v>
      </c>
      <c r="I9" s="28">
        <v>24520.066792873611</v>
      </c>
      <c r="J9" s="28">
        <f t="shared" si="0"/>
        <v>627013.13656062528</v>
      </c>
      <c r="K9" s="2"/>
    </row>
    <row r="10" spans="1:11" x14ac:dyDescent="0.3">
      <c r="A10">
        <v>2051</v>
      </c>
      <c r="B10" t="s">
        <v>70</v>
      </c>
      <c r="C10" s="28">
        <v>0</v>
      </c>
      <c r="D10" s="28">
        <v>0</v>
      </c>
      <c r="E10" s="28">
        <v>0</v>
      </c>
      <c r="F10" s="28">
        <v>0</v>
      </c>
      <c r="G10" s="28">
        <v>0</v>
      </c>
      <c r="H10" s="28">
        <v>0</v>
      </c>
      <c r="I10" s="28">
        <v>0</v>
      </c>
      <c r="J10" s="28">
        <f t="shared" si="0"/>
        <v>0</v>
      </c>
      <c r="K10" s="2"/>
    </row>
    <row r="11" spans="1:11" x14ac:dyDescent="0.3">
      <c r="A11">
        <v>1933</v>
      </c>
      <c r="B11" t="s">
        <v>209</v>
      </c>
      <c r="C11" s="28">
        <v>339263.58694050286</v>
      </c>
      <c r="D11" s="28">
        <v>78548.712247308547</v>
      </c>
      <c r="E11" s="28">
        <v>3342.4983935024911</v>
      </c>
      <c r="F11" s="28">
        <v>0</v>
      </c>
      <c r="G11" s="28">
        <v>0</v>
      </c>
      <c r="H11" s="28">
        <v>0</v>
      </c>
      <c r="I11" s="28">
        <v>45123.728312283631</v>
      </c>
      <c r="J11" s="28">
        <f t="shared" si="0"/>
        <v>466278.52589359757</v>
      </c>
      <c r="K11" s="2"/>
    </row>
    <row r="12" spans="1:11" x14ac:dyDescent="0.3">
      <c r="A12">
        <v>2208</v>
      </c>
      <c r="B12" t="s">
        <v>210</v>
      </c>
      <c r="C12" s="28">
        <v>101903.27552615845</v>
      </c>
      <c r="D12" s="28">
        <v>25058.182506432404</v>
      </c>
      <c r="E12" s="28">
        <v>0</v>
      </c>
      <c r="F12" s="28">
        <v>0</v>
      </c>
      <c r="G12" s="28">
        <v>0</v>
      </c>
      <c r="H12" s="28">
        <v>0</v>
      </c>
      <c r="I12" s="28">
        <v>8352.7275021441346</v>
      </c>
      <c r="J12" s="28">
        <f t="shared" si="0"/>
        <v>135314.18553473501</v>
      </c>
      <c r="K12" s="2"/>
    </row>
    <row r="13" spans="1:11" x14ac:dyDescent="0.3">
      <c r="A13">
        <v>1894</v>
      </c>
      <c r="B13" t="s">
        <v>1</v>
      </c>
      <c r="C13" s="28">
        <v>687291.65894002817</v>
      </c>
      <c r="D13" s="28">
        <v>120939.7339765715</v>
      </c>
      <c r="E13" s="28">
        <v>0</v>
      </c>
      <c r="F13" s="28">
        <v>0</v>
      </c>
      <c r="G13" s="28">
        <v>0</v>
      </c>
      <c r="H13" s="28">
        <v>0</v>
      </c>
      <c r="I13" s="28">
        <v>32447.245701031377</v>
      </c>
      <c r="J13" s="28">
        <f t="shared" si="0"/>
        <v>840678.63861763105</v>
      </c>
      <c r="K13" s="2"/>
    </row>
    <row r="14" spans="1:11" x14ac:dyDescent="0.3">
      <c r="A14">
        <v>1969</v>
      </c>
      <c r="B14" t="s">
        <v>29</v>
      </c>
      <c r="C14" s="28">
        <v>159832.15163194085</v>
      </c>
      <c r="D14" s="28">
        <v>16726.620519621716</v>
      </c>
      <c r="E14" s="28">
        <v>0</v>
      </c>
      <c r="F14" s="28">
        <v>0</v>
      </c>
      <c r="G14" s="28">
        <v>0</v>
      </c>
      <c r="H14" s="28">
        <v>0</v>
      </c>
      <c r="I14" s="28">
        <v>9292.566955345399</v>
      </c>
      <c r="J14" s="28">
        <f t="shared" si="0"/>
        <v>185851.33910690795</v>
      </c>
      <c r="K14" s="2"/>
    </row>
    <row r="15" spans="1:11" x14ac:dyDescent="0.3">
      <c r="A15">
        <v>2240</v>
      </c>
      <c r="B15" t="s">
        <v>152</v>
      </c>
      <c r="C15" s="28">
        <v>226273.30117307062</v>
      </c>
      <c r="D15" s="28">
        <v>30064.284771247148</v>
      </c>
      <c r="E15" s="28">
        <v>0</v>
      </c>
      <c r="F15" s="28">
        <v>0</v>
      </c>
      <c r="G15" s="28">
        <v>0</v>
      </c>
      <c r="H15" s="28">
        <v>0</v>
      </c>
      <c r="I15" s="28">
        <v>9493.9846646043625</v>
      </c>
      <c r="J15" s="28">
        <f t="shared" si="0"/>
        <v>265831.57060892216</v>
      </c>
      <c r="K15" s="2"/>
    </row>
    <row r="16" spans="1:11" x14ac:dyDescent="0.3">
      <c r="A16">
        <v>2243</v>
      </c>
      <c r="B16" t="s">
        <v>155</v>
      </c>
      <c r="C16" s="28">
        <v>5701388.0677938154</v>
      </c>
      <c r="D16" s="28">
        <v>1675862.5532606062</v>
      </c>
      <c r="E16" s="28">
        <v>7853.1516085314252</v>
      </c>
      <c r="F16" s="28">
        <v>29841.976112419419</v>
      </c>
      <c r="G16" s="28">
        <v>0</v>
      </c>
      <c r="H16" s="28">
        <v>0</v>
      </c>
      <c r="I16" s="28">
        <v>609404.56482203864</v>
      </c>
      <c r="J16" s="28">
        <f t="shared" si="0"/>
        <v>8024350.3135974118</v>
      </c>
      <c r="K16" s="2"/>
    </row>
    <row r="17" spans="1:11" x14ac:dyDescent="0.3">
      <c r="A17">
        <v>1976</v>
      </c>
      <c r="B17" t="s">
        <v>211</v>
      </c>
      <c r="C17" s="28">
        <v>2490863.239520588</v>
      </c>
      <c r="D17" s="28">
        <v>540639.82444676361</v>
      </c>
      <c r="E17" s="28">
        <v>0</v>
      </c>
      <c r="F17" s="28">
        <v>0</v>
      </c>
      <c r="G17" s="28">
        <v>0</v>
      </c>
      <c r="H17" s="28">
        <v>0</v>
      </c>
      <c r="I17" s="28">
        <v>259703.1180877203</v>
      </c>
      <c r="J17" s="28">
        <f t="shared" si="0"/>
        <v>3291206.1820550719</v>
      </c>
      <c r="K17" s="2"/>
    </row>
    <row r="18" spans="1:11" x14ac:dyDescent="0.3">
      <c r="A18">
        <v>2088</v>
      </c>
      <c r="B18" t="s">
        <v>86</v>
      </c>
      <c r="C18" s="28">
        <v>1441500.9316493871</v>
      </c>
      <c r="D18" s="28">
        <v>53447.144684928207</v>
      </c>
      <c r="E18" s="28">
        <v>0</v>
      </c>
      <c r="F18" s="28">
        <v>0</v>
      </c>
      <c r="G18" s="28">
        <v>0</v>
      </c>
      <c r="H18" s="28">
        <v>0</v>
      </c>
      <c r="I18" s="28">
        <v>191780.93092827179</v>
      </c>
      <c r="J18" s="28">
        <f t="shared" si="0"/>
        <v>1686729.0072625871</v>
      </c>
      <c r="K18" s="2"/>
    </row>
    <row r="19" spans="1:11" x14ac:dyDescent="0.3">
      <c r="A19">
        <v>2095</v>
      </c>
      <c r="B19" t="s">
        <v>92</v>
      </c>
      <c r="C19" s="28">
        <v>73956.65762265386</v>
      </c>
      <c r="D19" s="28">
        <v>0</v>
      </c>
      <c r="E19" s="28">
        <v>0</v>
      </c>
      <c r="F19" s="28">
        <v>0</v>
      </c>
      <c r="G19" s="28">
        <v>0</v>
      </c>
      <c r="H19" s="28">
        <v>0</v>
      </c>
      <c r="I19" s="28">
        <v>3521.7456010787555</v>
      </c>
      <c r="J19" s="28">
        <f t="shared" si="0"/>
        <v>77478.403223732617</v>
      </c>
      <c r="K19" s="2"/>
    </row>
    <row r="20" spans="1:11" x14ac:dyDescent="0.3">
      <c r="A20">
        <v>2052</v>
      </c>
      <c r="B20" t="s">
        <v>71</v>
      </c>
      <c r="C20" s="28">
        <v>2781.2953821381593</v>
      </c>
      <c r="D20" s="28">
        <v>0</v>
      </c>
      <c r="E20" s="28">
        <v>0</v>
      </c>
      <c r="F20" s="28">
        <v>0</v>
      </c>
      <c r="G20" s="28">
        <v>0</v>
      </c>
      <c r="H20" s="28">
        <v>0</v>
      </c>
      <c r="I20" s="28">
        <v>0</v>
      </c>
      <c r="J20" s="28">
        <f t="shared" si="0"/>
        <v>2781.2953821381593</v>
      </c>
      <c r="K20" s="2"/>
    </row>
    <row r="21" spans="1:11" x14ac:dyDescent="0.3">
      <c r="A21">
        <v>1974</v>
      </c>
      <c r="B21" t="s">
        <v>212</v>
      </c>
      <c r="C21" s="28">
        <v>308999.16895316349</v>
      </c>
      <c r="D21" s="28">
        <v>48437.707565631034</v>
      </c>
      <c r="E21" s="28">
        <v>1670.2657781252083</v>
      </c>
      <c r="F21" s="28">
        <v>0</v>
      </c>
      <c r="G21" s="28">
        <v>0</v>
      </c>
      <c r="H21" s="28">
        <v>0</v>
      </c>
      <c r="I21" s="28">
        <v>31735.049784378956</v>
      </c>
      <c r="J21" s="28">
        <f t="shared" si="0"/>
        <v>390842.19208129868</v>
      </c>
      <c r="K21" s="2"/>
    </row>
    <row r="22" spans="1:11" x14ac:dyDescent="0.3">
      <c r="A22">
        <v>1896</v>
      </c>
      <c r="B22" t="s">
        <v>3</v>
      </c>
      <c r="C22" s="28">
        <v>14607.790764276318</v>
      </c>
      <c r="D22" s="28">
        <v>0</v>
      </c>
      <c r="E22" s="28">
        <v>0</v>
      </c>
      <c r="F22" s="28">
        <v>0</v>
      </c>
      <c r="G22" s="28">
        <v>0</v>
      </c>
      <c r="H22" s="28">
        <v>0</v>
      </c>
      <c r="I22" s="28">
        <v>0</v>
      </c>
      <c r="J22" s="28">
        <f t="shared" si="0"/>
        <v>14607.790764276318</v>
      </c>
      <c r="K22" s="2"/>
    </row>
    <row r="23" spans="1:11" x14ac:dyDescent="0.3">
      <c r="A23">
        <v>2046</v>
      </c>
      <c r="B23" t="s">
        <v>66</v>
      </c>
      <c r="C23" s="28">
        <v>65183.077372323678</v>
      </c>
      <c r="D23" s="28">
        <v>8321.2439198711072</v>
      </c>
      <c r="E23" s="28">
        <v>0</v>
      </c>
      <c r="F23" s="28">
        <v>0</v>
      </c>
      <c r="G23" s="28">
        <v>0</v>
      </c>
      <c r="H23" s="28">
        <v>0</v>
      </c>
      <c r="I23" s="28">
        <v>1386.8739866451847</v>
      </c>
      <c r="J23" s="28">
        <f t="shared" si="0"/>
        <v>74891.195278839965</v>
      </c>
      <c r="K23" s="2"/>
    </row>
    <row r="24" spans="1:11" x14ac:dyDescent="0.3">
      <c r="A24">
        <v>1995</v>
      </c>
      <c r="B24" t="s">
        <v>213</v>
      </c>
      <c r="C24" s="28">
        <v>56746.528310016729</v>
      </c>
      <c r="D24" s="28">
        <v>3783.1018873344483</v>
      </c>
      <c r="E24" s="28">
        <v>0</v>
      </c>
      <c r="F24" s="28">
        <v>0</v>
      </c>
      <c r="G24" s="28">
        <v>0</v>
      </c>
      <c r="H24" s="28">
        <v>0</v>
      </c>
      <c r="I24" s="28">
        <v>1891.5509436672241</v>
      </c>
      <c r="J24" s="28">
        <f t="shared" si="0"/>
        <v>62421.181141018402</v>
      </c>
      <c r="K24" s="2"/>
    </row>
    <row r="25" spans="1:11" x14ac:dyDescent="0.3">
      <c r="A25">
        <v>1929</v>
      </c>
      <c r="B25" t="s">
        <v>14</v>
      </c>
      <c r="C25" s="28">
        <v>817956.37013708369</v>
      </c>
      <c r="D25" s="28">
        <v>220477.95162131268</v>
      </c>
      <c r="E25" s="28">
        <v>0</v>
      </c>
      <c r="F25" s="28">
        <v>0</v>
      </c>
      <c r="G25" s="28">
        <v>0</v>
      </c>
      <c r="H25" s="28">
        <v>0</v>
      </c>
      <c r="I25" s="28">
        <v>75736.700938618873</v>
      </c>
      <c r="J25" s="28">
        <f t="shared" si="0"/>
        <v>1114171.0226970152</v>
      </c>
      <c r="K25" s="2"/>
    </row>
    <row r="26" spans="1:11" x14ac:dyDescent="0.3">
      <c r="A26">
        <v>2139</v>
      </c>
      <c r="B26" t="s">
        <v>112</v>
      </c>
      <c r="C26" s="28">
        <v>545874.02878073324</v>
      </c>
      <c r="D26" s="28">
        <v>125488.28247832946</v>
      </c>
      <c r="E26" s="28">
        <v>1568.6035309791184</v>
      </c>
      <c r="F26" s="28">
        <v>0</v>
      </c>
      <c r="G26" s="28">
        <v>0</v>
      </c>
      <c r="H26" s="28">
        <v>0</v>
      </c>
      <c r="I26" s="28">
        <v>14117.431778812066</v>
      </c>
      <c r="J26" s="28">
        <f t="shared" si="0"/>
        <v>687048.34656885394</v>
      </c>
      <c r="K26" s="2"/>
    </row>
    <row r="27" spans="1:11" x14ac:dyDescent="0.3">
      <c r="A27">
        <v>2185</v>
      </c>
      <c r="B27" t="s">
        <v>125</v>
      </c>
      <c r="C27" s="28">
        <v>1027175.2904755145</v>
      </c>
      <c r="D27" s="28">
        <v>314541.71574369818</v>
      </c>
      <c r="E27" s="28">
        <v>3276.4762056635236</v>
      </c>
      <c r="F27" s="28">
        <v>0</v>
      </c>
      <c r="G27" s="28">
        <v>0</v>
      </c>
      <c r="H27" s="28">
        <v>0</v>
      </c>
      <c r="I27" s="28">
        <v>114676.66719822331</v>
      </c>
      <c r="J27" s="28">
        <f t="shared" si="0"/>
        <v>1459670.1496230995</v>
      </c>
      <c r="K27" s="2"/>
    </row>
    <row r="28" spans="1:11" x14ac:dyDescent="0.3">
      <c r="A28">
        <v>1972</v>
      </c>
      <c r="B28" t="s">
        <v>30</v>
      </c>
      <c r="C28" s="28">
        <v>111590.91340456228</v>
      </c>
      <c r="D28" s="28">
        <v>4851.7788436766214</v>
      </c>
      <c r="E28" s="28">
        <v>0</v>
      </c>
      <c r="F28" s="28">
        <v>0</v>
      </c>
      <c r="G28" s="28">
        <v>0</v>
      </c>
      <c r="H28" s="28">
        <v>0</v>
      </c>
      <c r="I28" s="28">
        <v>9703.5576873532427</v>
      </c>
      <c r="J28" s="28">
        <f t="shared" si="0"/>
        <v>126146.24993559215</v>
      </c>
      <c r="K28" s="2"/>
    </row>
    <row r="29" spans="1:11" x14ac:dyDescent="0.3">
      <c r="A29">
        <v>2105</v>
      </c>
      <c r="B29" t="s">
        <v>100</v>
      </c>
      <c r="C29" s="28">
        <v>136853.2961378232</v>
      </c>
      <c r="D29" s="28">
        <v>14321.856572562894</v>
      </c>
      <c r="E29" s="28">
        <v>0</v>
      </c>
      <c r="F29" s="28">
        <v>0</v>
      </c>
      <c r="G29" s="28">
        <v>0</v>
      </c>
      <c r="H29" s="28">
        <v>0</v>
      </c>
      <c r="I29" s="28">
        <v>11139.221778660029</v>
      </c>
      <c r="J29" s="28">
        <f t="shared" si="0"/>
        <v>162314.37448904611</v>
      </c>
      <c r="K29" s="2"/>
    </row>
    <row r="30" spans="1:11" x14ac:dyDescent="0.3">
      <c r="A30">
        <v>2042</v>
      </c>
      <c r="B30" t="s">
        <v>62</v>
      </c>
      <c r="C30" s="28">
        <v>890692.79940793326</v>
      </c>
      <c r="D30" s="28">
        <v>154158.36912829615</v>
      </c>
      <c r="E30" s="28">
        <v>0</v>
      </c>
      <c r="F30" s="28">
        <v>0</v>
      </c>
      <c r="G30" s="28">
        <v>0</v>
      </c>
      <c r="H30" s="28">
        <v>0</v>
      </c>
      <c r="I30" s="28">
        <v>56057.588773925869</v>
      </c>
      <c r="J30" s="28">
        <f t="shared" si="0"/>
        <v>1100908.7573101553</v>
      </c>
      <c r="K30" s="2"/>
    </row>
    <row r="31" spans="1:11" x14ac:dyDescent="0.3">
      <c r="A31">
        <v>2191</v>
      </c>
      <c r="B31" t="s">
        <v>130</v>
      </c>
      <c r="C31" s="28">
        <v>518014.55565842928</v>
      </c>
      <c r="D31" s="28">
        <v>144257.21803146129</v>
      </c>
      <c r="E31" s="28">
        <v>4917.8597056179988</v>
      </c>
      <c r="F31" s="28">
        <v>0</v>
      </c>
      <c r="G31" s="28">
        <v>0</v>
      </c>
      <c r="H31" s="28">
        <v>0</v>
      </c>
      <c r="I31" s="28">
        <v>40982.164213483324</v>
      </c>
      <c r="J31" s="28">
        <f t="shared" si="0"/>
        <v>708171.79760899185</v>
      </c>
      <c r="K31" s="2"/>
    </row>
    <row r="32" spans="1:11" x14ac:dyDescent="0.3">
      <c r="A32">
        <v>1945</v>
      </c>
      <c r="B32" t="s">
        <v>20</v>
      </c>
      <c r="C32" s="28">
        <v>165296.0312417002</v>
      </c>
      <c r="D32" s="28">
        <v>36365.126873174042</v>
      </c>
      <c r="E32" s="28">
        <v>0</v>
      </c>
      <c r="F32" s="28">
        <v>0</v>
      </c>
      <c r="G32" s="28">
        <v>0</v>
      </c>
      <c r="H32" s="28">
        <v>0</v>
      </c>
      <c r="I32" s="28">
        <v>33059.206248340037</v>
      </c>
      <c r="J32" s="28">
        <f t="shared" si="0"/>
        <v>234720.36436321429</v>
      </c>
      <c r="K32" s="2"/>
    </row>
    <row r="33" spans="1:11" x14ac:dyDescent="0.3">
      <c r="A33">
        <v>1927</v>
      </c>
      <c r="B33" t="s">
        <v>12</v>
      </c>
      <c r="C33" s="28">
        <v>148031.55254164612</v>
      </c>
      <c r="D33" s="28">
        <v>19224.876953460534</v>
      </c>
      <c r="E33" s="28">
        <v>0</v>
      </c>
      <c r="F33" s="28">
        <v>0</v>
      </c>
      <c r="G33" s="28">
        <v>0</v>
      </c>
      <c r="H33" s="28">
        <v>0</v>
      </c>
      <c r="I33" s="28">
        <v>21147.364648806586</v>
      </c>
      <c r="J33" s="28">
        <f t="shared" si="0"/>
        <v>188403.79414391326</v>
      </c>
      <c r="K33" s="2"/>
    </row>
    <row r="34" spans="1:11" x14ac:dyDescent="0.3">
      <c r="A34">
        <v>2006</v>
      </c>
      <c r="B34" t="s">
        <v>45</v>
      </c>
      <c r="C34" s="28">
        <v>24902.589559909698</v>
      </c>
      <c r="D34" s="28">
        <v>0</v>
      </c>
      <c r="E34" s="28">
        <v>0</v>
      </c>
      <c r="F34" s="28">
        <v>0</v>
      </c>
      <c r="G34" s="28">
        <v>0</v>
      </c>
      <c r="H34" s="28">
        <v>0</v>
      </c>
      <c r="I34" s="28">
        <v>4150.4315933182825</v>
      </c>
      <c r="J34" s="28">
        <f t="shared" si="0"/>
        <v>29053.021153227979</v>
      </c>
      <c r="K34" s="2"/>
    </row>
    <row r="35" spans="1:11" x14ac:dyDescent="0.3">
      <c r="A35">
        <v>1965</v>
      </c>
      <c r="B35" t="s">
        <v>25</v>
      </c>
      <c r="C35" s="28">
        <v>813241.75002545817</v>
      </c>
      <c r="D35" s="28">
        <v>94343.59049019235</v>
      </c>
      <c r="E35" s="28">
        <v>0</v>
      </c>
      <c r="F35" s="28">
        <v>0</v>
      </c>
      <c r="G35" s="28">
        <v>0</v>
      </c>
      <c r="H35" s="28">
        <v>0</v>
      </c>
      <c r="I35" s="28">
        <v>107551.69315881928</v>
      </c>
      <c r="J35" s="28">
        <f t="shared" si="0"/>
        <v>1015137.0336744699</v>
      </c>
      <c r="K35" s="2"/>
    </row>
    <row r="36" spans="1:11" x14ac:dyDescent="0.3">
      <c r="A36">
        <v>1964</v>
      </c>
      <c r="B36" t="s">
        <v>24</v>
      </c>
      <c r="C36" s="28">
        <v>254323.89153970339</v>
      </c>
      <c r="D36" s="28">
        <v>37257.640161867377</v>
      </c>
      <c r="E36" s="28">
        <v>0</v>
      </c>
      <c r="F36" s="28">
        <v>0</v>
      </c>
      <c r="G36" s="28">
        <v>0</v>
      </c>
      <c r="H36" s="28">
        <v>0</v>
      </c>
      <c r="I36" s="28">
        <v>12959.179186736479</v>
      </c>
      <c r="J36" s="28">
        <f t="shared" si="0"/>
        <v>304540.71088830725</v>
      </c>
      <c r="K36" s="2"/>
    </row>
    <row r="37" spans="1:11" x14ac:dyDescent="0.3">
      <c r="A37">
        <v>2186</v>
      </c>
      <c r="B37" t="s">
        <v>126</v>
      </c>
      <c r="C37" s="28">
        <v>197433.91370024456</v>
      </c>
      <c r="D37" s="28">
        <v>38308.072807510143</v>
      </c>
      <c r="E37" s="28">
        <v>0</v>
      </c>
      <c r="F37" s="28">
        <v>0</v>
      </c>
      <c r="G37" s="28">
        <v>0</v>
      </c>
      <c r="H37" s="28">
        <v>0</v>
      </c>
      <c r="I37" s="28">
        <v>5893.5496626938684</v>
      </c>
      <c r="J37" s="28">
        <f t="shared" si="0"/>
        <v>241635.53617044858</v>
      </c>
      <c r="K37" s="2"/>
    </row>
    <row r="38" spans="1:11" x14ac:dyDescent="0.3">
      <c r="A38">
        <v>1901</v>
      </c>
      <c r="B38" t="s">
        <v>7</v>
      </c>
      <c r="C38" s="28">
        <v>1101076.4160504616</v>
      </c>
      <c r="D38" s="28">
        <v>301254.50743140629</v>
      </c>
      <c r="E38" s="28">
        <v>1761.7222656807385</v>
      </c>
      <c r="F38" s="28">
        <v>36996.167579295507</v>
      </c>
      <c r="G38" s="28">
        <v>0</v>
      </c>
      <c r="H38" s="28">
        <v>0</v>
      </c>
      <c r="I38" s="28">
        <v>93371.280081079138</v>
      </c>
      <c r="J38" s="28">
        <f t="shared" si="0"/>
        <v>1534460.0934079234</v>
      </c>
      <c r="K38" s="2"/>
    </row>
    <row r="39" spans="1:11" x14ac:dyDescent="0.3">
      <c r="A39">
        <v>2216</v>
      </c>
      <c r="B39" t="s">
        <v>144</v>
      </c>
      <c r="C39" s="28">
        <v>58499.838114397447</v>
      </c>
      <c r="D39" s="28">
        <v>5014.2718383769243</v>
      </c>
      <c r="E39" s="28">
        <v>0</v>
      </c>
      <c r="F39" s="28">
        <v>0</v>
      </c>
      <c r="G39" s="28">
        <v>0</v>
      </c>
      <c r="H39" s="28">
        <v>0</v>
      </c>
      <c r="I39" s="28">
        <v>1671.4239461256411</v>
      </c>
      <c r="J39" s="28">
        <f t="shared" si="0"/>
        <v>65185.533898900016</v>
      </c>
      <c r="K39" s="2"/>
    </row>
    <row r="40" spans="1:11" x14ac:dyDescent="0.3">
      <c r="A40">
        <v>2086</v>
      </c>
      <c r="B40" t="s">
        <v>85</v>
      </c>
      <c r="C40" s="28">
        <v>328481.7889387568</v>
      </c>
      <c r="D40" s="28">
        <v>24077.199189228249</v>
      </c>
      <c r="E40" s="28">
        <v>0</v>
      </c>
      <c r="F40" s="28">
        <v>0</v>
      </c>
      <c r="G40" s="28">
        <v>0</v>
      </c>
      <c r="H40" s="28">
        <v>0</v>
      </c>
      <c r="I40" s="28">
        <v>41275.198610105566</v>
      </c>
      <c r="J40" s="28">
        <f t="shared" si="0"/>
        <v>393834.18673809059</v>
      </c>
      <c r="K40" s="2"/>
    </row>
    <row r="41" spans="1:11" x14ac:dyDescent="0.3">
      <c r="A41">
        <v>1970</v>
      </c>
      <c r="B41" t="s">
        <v>214</v>
      </c>
      <c r="C41" s="28">
        <v>739109.37318497733</v>
      </c>
      <c r="D41" s="28">
        <v>8248.9885400109069</v>
      </c>
      <c r="E41" s="28">
        <v>0</v>
      </c>
      <c r="F41" s="28">
        <v>0</v>
      </c>
      <c r="G41" s="28">
        <v>0</v>
      </c>
      <c r="H41" s="28">
        <v>0</v>
      </c>
      <c r="I41" s="28">
        <v>75890.694568100342</v>
      </c>
      <c r="J41" s="28">
        <f t="shared" si="0"/>
        <v>823249.05629308859</v>
      </c>
      <c r="K41" s="2"/>
    </row>
    <row r="42" spans="1:11" x14ac:dyDescent="0.3">
      <c r="A42">
        <v>2089</v>
      </c>
      <c r="B42" t="s">
        <v>215</v>
      </c>
      <c r="C42" s="28">
        <v>77815.345760032127</v>
      </c>
      <c r="D42" s="28">
        <v>0</v>
      </c>
      <c r="E42" s="28">
        <v>0</v>
      </c>
      <c r="F42" s="28">
        <v>0</v>
      </c>
      <c r="G42" s="28">
        <v>0</v>
      </c>
      <c r="H42" s="28">
        <v>0</v>
      </c>
      <c r="I42" s="28">
        <v>10515.587264869208</v>
      </c>
      <c r="J42" s="28">
        <f t="shared" si="0"/>
        <v>88330.933024901329</v>
      </c>
      <c r="K42" s="2"/>
    </row>
    <row r="43" spans="1:11" x14ac:dyDescent="0.3">
      <c r="A43">
        <v>2050</v>
      </c>
      <c r="B43" t="s">
        <v>69</v>
      </c>
      <c r="C43" s="28">
        <v>137701.01076229798</v>
      </c>
      <c r="D43" s="28">
        <v>14410.570893728862</v>
      </c>
      <c r="E43" s="28">
        <v>0</v>
      </c>
      <c r="F43" s="28">
        <v>0</v>
      </c>
      <c r="G43" s="28">
        <v>0</v>
      </c>
      <c r="H43" s="28">
        <v>0</v>
      </c>
      <c r="I43" s="28">
        <v>4803.5236312429533</v>
      </c>
      <c r="J43" s="28">
        <f t="shared" si="0"/>
        <v>156915.10528726981</v>
      </c>
      <c r="K43" s="2"/>
    </row>
    <row r="44" spans="1:11" x14ac:dyDescent="0.3">
      <c r="A44">
        <v>2190</v>
      </c>
      <c r="B44" t="s">
        <v>129</v>
      </c>
      <c r="C44" s="28">
        <v>697132.77299179765</v>
      </c>
      <c r="D44" s="28">
        <v>163158.73410446328</v>
      </c>
      <c r="E44" s="28">
        <v>1648.0680212572047</v>
      </c>
      <c r="F44" s="28">
        <v>16480.680212572046</v>
      </c>
      <c r="G44" s="28">
        <v>0</v>
      </c>
      <c r="H44" s="28">
        <v>0</v>
      </c>
      <c r="I44" s="28">
        <v>36257.4964676585</v>
      </c>
      <c r="J44" s="28">
        <f t="shared" si="0"/>
        <v>914677.75179774873</v>
      </c>
      <c r="K44" s="2"/>
    </row>
    <row r="45" spans="1:11" x14ac:dyDescent="0.3">
      <c r="A45">
        <v>2187</v>
      </c>
      <c r="B45" t="s">
        <v>127</v>
      </c>
      <c r="C45" s="28">
        <v>1402509.1122780063</v>
      </c>
      <c r="D45" s="28">
        <v>453891.5268178542</v>
      </c>
      <c r="E45" s="28">
        <v>3141.1178326495101</v>
      </c>
      <c r="F45" s="28">
        <v>6282.2356652990202</v>
      </c>
      <c r="G45" s="28">
        <v>0</v>
      </c>
      <c r="H45" s="28">
        <v>0</v>
      </c>
      <c r="I45" s="28">
        <v>213596.0126201667</v>
      </c>
      <c r="J45" s="28">
        <f t="shared" si="0"/>
        <v>2079420.0052139757</v>
      </c>
      <c r="K45" s="2"/>
    </row>
    <row r="46" spans="1:11" x14ac:dyDescent="0.3">
      <c r="A46">
        <v>2253</v>
      </c>
      <c r="B46" t="s">
        <v>162</v>
      </c>
      <c r="C46" s="28">
        <v>171788.67449375326</v>
      </c>
      <c r="D46" s="28">
        <v>39368.237904818459</v>
      </c>
      <c r="E46" s="28">
        <v>0</v>
      </c>
      <c r="F46" s="28">
        <v>0</v>
      </c>
      <c r="G46" s="28">
        <v>0</v>
      </c>
      <c r="H46" s="28">
        <v>0</v>
      </c>
      <c r="I46" s="28">
        <v>5368.3960779297895</v>
      </c>
      <c r="J46" s="28">
        <f t="shared" si="0"/>
        <v>216525.30847650152</v>
      </c>
      <c r="K46" s="2"/>
    </row>
    <row r="47" spans="1:11" x14ac:dyDescent="0.3">
      <c r="A47">
        <v>2011</v>
      </c>
      <c r="B47" t="s">
        <v>49</v>
      </c>
      <c r="C47" s="28">
        <v>10308.136110210831</v>
      </c>
      <c r="D47" s="28">
        <v>4417.7726186617838</v>
      </c>
      <c r="E47" s="28">
        <v>0</v>
      </c>
      <c r="F47" s="28">
        <v>0</v>
      </c>
      <c r="G47" s="28">
        <v>0</v>
      </c>
      <c r="H47" s="28">
        <v>0</v>
      </c>
      <c r="I47" s="28">
        <v>1472.5908728872616</v>
      </c>
      <c r="J47" s="28">
        <f t="shared" si="0"/>
        <v>16198.499601759877</v>
      </c>
      <c r="K47" s="2"/>
    </row>
    <row r="48" spans="1:11" x14ac:dyDescent="0.3">
      <c r="A48">
        <v>2017</v>
      </c>
      <c r="B48" t="s">
        <v>54</v>
      </c>
      <c r="C48" s="28">
        <v>2532.9426910690795</v>
      </c>
      <c r="D48" s="28">
        <v>0</v>
      </c>
      <c r="E48" s="28">
        <v>0</v>
      </c>
      <c r="F48" s="28">
        <v>0</v>
      </c>
      <c r="G48" s="28">
        <v>0</v>
      </c>
      <c r="H48" s="28">
        <v>0</v>
      </c>
      <c r="I48" s="28">
        <v>0</v>
      </c>
      <c r="J48" s="28">
        <f t="shared" si="0"/>
        <v>2532.9426910690795</v>
      </c>
      <c r="K48" s="2"/>
    </row>
    <row r="49" spans="1:11" x14ac:dyDescent="0.3">
      <c r="A49">
        <v>2021</v>
      </c>
      <c r="B49" t="s">
        <v>58</v>
      </c>
      <c r="C49" s="28">
        <v>518.33000000000004</v>
      </c>
      <c r="D49" s="28">
        <v>0</v>
      </c>
      <c r="E49" s="28">
        <v>0</v>
      </c>
      <c r="F49" s="28">
        <v>0</v>
      </c>
      <c r="G49" s="28">
        <v>0</v>
      </c>
      <c r="H49" s="28">
        <v>0</v>
      </c>
      <c r="I49" s="28">
        <v>0</v>
      </c>
      <c r="J49" s="28">
        <f t="shared" si="0"/>
        <v>518.33000000000004</v>
      </c>
      <c r="K49" s="2"/>
    </row>
    <row r="50" spans="1:11" x14ac:dyDescent="0.3">
      <c r="A50">
        <v>1993</v>
      </c>
      <c r="B50" t="s">
        <v>216</v>
      </c>
      <c r="C50" s="28">
        <v>71016.845756659008</v>
      </c>
      <c r="D50" s="28">
        <v>3303.109104960884</v>
      </c>
      <c r="E50" s="28">
        <v>0</v>
      </c>
      <c r="F50" s="28">
        <v>0</v>
      </c>
      <c r="G50" s="28">
        <v>0</v>
      </c>
      <c r="H50" s="28">
        <v>0</v>
      </c>
      <c r="I50" s="28">
        <v>0</v>
      </c>
      <c r="J50" s="28">
        <f t="shared" si="0"/>
        <v>74319.954861619888</v>
      </c>
      <c r="K50" s="2"/>
    </row>
    <row r="51" spans="1:11" x14ac:dyDescent="0.3">
      <c r="A51">
        <v>1991</v>
      </c>
      <c r="B51" t="s">
        <v>217</v>
      </c>
      <c r="C51" s="28">
        <v>1083718.5207371945</v>
      </c>
      <c r="D51" s="28">
        <v>232469.58804457169</v>
      </c>
      <c r="E51" s="28">
        <v>1709.3352062100862</v>
      </c>
      <c r="F51" s="28">
        <v>0</v>
      </c>
      <c r="G51" s="28">
        <v>0</v>
      </c>
      <c r="H51" s="28">
        <v>0</v>
      </c>
      <c r="I51" s="28">
        <v>189736.20788931957</v>
      </c>
      <c r="J51" s="28">
        <f t="shared" si="0"/>
        <v>1507633.6518772959</v>
      </c>
      <c r="K51" s="2"/>
    </row>
    <row r="52" spans="1:11" x14ac:dyDescent="0.3">
      <c r="A52">
        <v>2019</v>
      </c>
      <c r="B52" t="s">
        <v>56</v>
      </c>
      <c r="C52" s="28">
        <v>691.11333333333346</v>
      </c>
      <c r="D52" s="28">
        <v>0</v>
      </c>
      <c r="E52" s="28">
        <v>0</v>
      </c>
      <c r="F52" s="28">
        <v>0</v>
      </c>
      <c r="G52" s="28">
        <v>0</v>
      </c>
      <c r="H52" s="28">
        <v>0</v>
      </c>
      <c r="I52" s="28">
        <v>0</v>
      </c>
      <c r="J52" s="28">
        <f t="shared" si="0"/>
        <v>691.11333333333346</v>
      </c>
      <c r="K52" s="2"/>
    </row>
    <row r="53" spans="1:11" x14ac:dyDescent="0.3">
      <c r="A53">
        <v>2229</v>
      </c>
      <c r="B53" t="s">
        <v>150</v>
      </c>
      <c r="C53" s="28">
        <v>77868.457796642644</v>
      </c>
      <c r="D53" s="28">
        <v>6952.5408747002366</v>
      </c>
      <c r="E53" s="28">
        <v>0</v>
      </c>
      <c r="F53" s="28">
        <v>0</v>
      </c>
      <c r="G53" s="28">
        <v>0</v>
      </c>
      <c r="H53" s="28">
        <v>0</v>
      </c>
      <c r="I53" s="28">
        <v>1390.5081749400474</v>
      </c>
      <c r="J53" s="28">
        <f t="shared" si="0"/>
        <v>86211.506846282922</v>
      </c>
      <c r="K53" s="2"/>
    </row>
    <row r="54" spans="1:11" x14ac:dyDescent="0.3">
      <c r="A54">
        <v>2043</v>
      </c>
      <c r="B54" t="s">
        <v>63</v>
      </c>
      <c r="C54" s="28">
        <v>828689.31023672293</v>
      </c>
      <c r="D54" s="28">
        <v>178996.89101113213</v>
      </c>
      <c r="E54" s="28">
        <v>0</v>
      </c>
      <c r="F54" s="28">
        <v>0</v>
      </c>
      <c r="G54" s="28">
        <v>0</v>
      </c>
      <c r="H54" s="28">
        <v>0</v>
      </c>
      <c r="I54" s="28">
        <v>99442.717228406749</v>
      </c>
      <c r="J54" s="28">
        <f t="shared" si="0"/>
        <v>1107128.9184762619</v>
      </c>
      <c r="K54" s="2"/>
    </row>
    <row r="55" spans="1:11" x14ac:dyDescent="0.3">
      <c r="A55">
        <v>2203</v>
      </c>
      <c r="B55" t="s">
        <v>138</v>
      </c>
      <c r="C55" s="28">
        <v>54213.120293121014</v>
      </c>
      <c r="D55" s="28">
        <v>6023.6800325690019</v>
      </c>
      <c r="E55" s="28">
        <v>0</v>
      </c>
      <c r="F55" s="28">
        <v>0</v>
      </c>
      <c r="G55" s="28">
        <v>0</v>
      </c>
      <c r="H55" s="28">
        <v>0</v>
      </c>
      <c r="I55" s="28">
        <v>1505.9200081422505</v>
      </c>
      <c r="J55" s="28">
        <f t="shared" si="0"/>
        <v>61742.720333832265</v>
      </c>
      <c r="K55" s="2"/>
    </row>
    <row r="56" spans="1:11" x14ac:dyDescent="0.3">
      <c r="A56">
        <v>2217</v>
      </c>
      <c r="B56" t="s">
        <v>145</v>
      </c>
      <c r="C56" s="28">
        <v>94347.184871544479</v>
      </c>
      <c r="D56" s="28">
        <v>8577.0168065040434</v>
      </c>
      <c r="E56" s="28">
        <v>0</v>
      </c>
      <c r="F56" s="28">
        <v>0</v>
      </c>
      <c r="G56" s="28">
        <v>0</v>
      </c>
      <c r="H56" s="28">
        <v>0</v>
      </c>
      <c r="I56" s="28">
        <v>10292.420167804852</v>
      </c>
      <c r="J56" s="28">
        <f t="shared" si="0"/>
        <v>113216.62184585338</v>
      </c>
      <c r="K56" s="2"/>
    </row>
    <row r="57" spans="1:11" x14ac:dyDescent="0.3">
      <c r="A57">
        <v>1998</v>
      </c>
      <c r="B57" t="s">
        <v>38</v>
      </c>
      <c r="C57" s="28">
        <v>45489.301344492415</v>
      </c>
      <c r="D57" s="28">
        <v>0</v>
      </c>
      <c r="E57" s="28">
        <v>0</v>
      </c>
      <c r="F57" s="28">
        <v>0</v>
      </c>
      <c r="G57" s="28">
        <v>0</v>
      </c>
      <c r="H57" s="28">
        <v>0</v>
      </c>
      <c r="I57" s="28">
        <v>0</v>
      </c>
      <c r="J57" s="28">
        <f t="shared" si="0"/>
        <v>45489.301344492415</v>
      </c>
      <c r="K57" s="2"/>
    </row>
    <row r="58" spans="1:11" x14ac:dyDescent="0.3">
      <c r="A58">
        <v>2221</v>
      </c>
      <c r="B58" t="s">
        <v>148</v>
      </c>
      <c r="C58" s="28">
        <v>122032.87124605173</v>
      </c>
      <c r="D58" s="28">
        <v>10312.637006708595</v>
      </c>
      <c r="E58" s="28">
        <v>0</v>
      </c>
      <c r="F58" s="28">
        <v>0</v>
      </c>
      <c r="G58" s="28">
        <v>0</v>
      </c>
      <c r="H58" s="28">
        <v>0</v>
      </c>
      <c r="I58" s="28">
        <v>13750.182675611461</v>
      </c>
      <c r="J58" s="28">
        <f t="shared" si="0"/>
        <v>146095.6909283718</v>
      </c>
      <c r="K58" s="2"/>
    </row>
    <row r="59" spans="1:11" x14ac:dyDescent="0.3">
      <c r="A59">
        <v>1930</v>
      </c>
      <c r="B59" t="s">
        <v>15</v>
      </c>
      <c r="C59" s="28">
        <v>526164.75528169738</v>
      </c>
      <c r="D59" s="28">
        <v>108230.09206743774</v>
      </c>
      <c r="E59" s="28">
        <v>0</v>
      </c>
      <c r="F59" s="28">
        <v>0</v>
      </c>
      <c r="G59" s="28">
        <v>0</v>
      </c>
      <c r="H59" s="28">
        <v>0</v>
      </c>
      <c r="I59" s="28">
        <v>48287.27184547222</v>
      </c>
      <c r="J59" s="28">
        <f t="shared" si="0"/>
        <v>682682.11919460725</v>
      </c>
      <c r="K59" s="2"/>
    </row>
    <row r="60" spans="1:11" x14ac:dyDescent="0.3">
      <c r="A60">
        <v>2082</v>
      </c>
      <c r="B60" t="s">
        <v>81</v>
      </c>
      <c r="C60" s="28">
        <v>3606942.9506079191</v>
      </c>
      <c r="D60" s="28">
        <v>115617.58442129222</v>
      </c>
      <c r="E60" s="28">
        <v>3256.8333639800626</v>
      </c>
      <c r="F60" s="28">
        <v>0</v>
      </c>
      <c r="G60" s="28">
        <v>0</v>
      </c>
      <c r="H60" s="28">
        <v>0</v>
      </c>
      <c r="I60" s="28">
        <v>524350.17160079011</v>
      </c>
      <c r="J60" s="28">
        <f t="shared" si="0"/>
        <v>4250167.5399939818</v>
      </c>
      <c r="K60" s="2"/>
    </row>
    <row r="61" spans="1:11" x14ac:dyDescent="0.3">
      <c r="A61">
        <v>2193</v>
      </c>
      <c r="B61" t="s">
        <v>132</v>
      </c>
      <c r="C61" s="28">
        <v>53330.857204319691</v>
      </c>
      <c r="D61" s="28">
        <v>9876.08466746661</v>
      </c>
      <c r="E61" s="28">
        <v>0</v>
      </c>
      <c r="F61" s="28">
        <v>0</v>
      </c>
      <c r="G61" s="28">
        <v>0</v>
      </c>
      <c r="H61" s="28">
        <v>0</v>
      </c>
      <c r="I61" s="28">
        <v>1975.2169334933219</v>
      </c>
      <c r="J61" s="28">
        <f t="shared" si="0"/>
        <v>65182.158805279621</v>
      </c>
      <c r="K61" s="2"/>
    </row>
    <row r="62" spans="1:11" x14ac:dyDescent="0.3">
      <c r="A62">
        <v>2084</v>
      </c>
      <c r="B62" t="s">
        <v>83</v>
      </c>
      <c r="C62" s="28">
        <v>426002.82912011252</v>
      </c>
      <c r="D62" s="28">
        <v>3594.9605832920888</v>
      </c>
      <c r="E62" s="28">
        <v>0</v>
      </c>
      <c r="F62" s="28">
        <v>0</v>
      </c>
      <c r="G62" s="28">
        <v>0</v>
      </c>
      <c r="H62" s="28">
        <v>0</v>
      </c>
      <c r="I62" s="28">
        <v>64709.2904992576</v>
      </c>
      <c r="J62" s="28">
        <f t="shared" si="0"/>
        <v>494307.08020266221</v>
      </c>
      <c r="K62" s="2"/>
    </row>
    <row r="63" spans="1:11" x14ac:dyDescent="0.3">
      <c r="A63">
        <v>2241</v>
      </c>
      <c r="B63" t="s">
        <v>153</v>
      </c>
      <c r="C63" s="28">
        <v>1051693.1217033032</v>
      </c>
      <c r="D63" s="28">
        <v>315823.76027126226</v>
      </c>
      <c r="E63" s="28">
        <v>0</v>
      </c>
      <c r="F63" s="28">
        <v>18949.42561627573</v>
      </c>
      <c r="G63" s="28">
        <v>0</v>
      </c>
      <c r="H63" s="28">
        <v>0</v>
      </c>
      <c r="I63" s="28">
        <v>138962.45451935538</v>
      </c>
      <c r="J63" s="28">
        <f t="shared" si="0"/>
        <v>1525428.7621101965</v>
      </c>
      <c r="K63" s="2"/>
    </row>
    <row r="64" spans="1:11" x14ac:dyDescent="0.3">
      <c r="A64">
        <v>2248</v>
      </c>
      <c r="B64" t="s">
        <v>159</v>
      </c>
      <c r="C64" s="28">
        <v>140675.02625965865</v>
      </c>
      <c r="D64" s="28">
        <v>0</v>
      </c>
      <c r="E64" s="28">
        <v>0</v>
      </c>
      <c r="F64" s="28">
        <v>0</v>
      </c>
      <c r="G64" s="28">
        <v>0</v>
      </c>
      <c r="H64" s="28">
        <v>0</v>
      </c>
      <c r="I64" s="28">
        <v>2512.0540403510472</v>
      </c>
      <c r="J64" s="28">
        <f t="shared" si="0"/>
        <v>143187.08030000969</v>
      </c>
      <c r="K64" s="2"/>
    </row>
    <row r="65" spans="1:11" x14ac:dyDescent="0.3">
      <c r="A65">
        <v>2020</v>
      </c>
      <c r="B65" t="s">
        <v>57</v>
      </c>
      <c r="C65" s="28">
        <v>3455.8353821381588</v>
      </c>
      <c r="D65" s="28">
        <v>0</v>
      </c>
      <c r="E65" s="28">
        <v>0</v>
      </c>
      <c r="F65" s="28">
        <v>0</v>
      </c>
      <c r="G65" s="28">
        <v>0</v>
      </c>
      <c r="H65" s="28">
        <v>0</v>
      </c>
      <c r="I65" s="28">
        <v>0</v>
      </c>
      <c r="J65" s="28">
        <f t="shared" si="0"/>
        <v>3455.8353821381588</v>
      </c>
      <c r="K65" s="2"/>
    </row>
    <row r="66" spans="1:11" x14ac:dyDescent="0.3">
      <c r="A66">
        <v>2245</v>
      </c>
      <c r="B66" t="s">
        <v>157</v>
      </c>
      <c r="C66" s="28">
        <v>124087.71805066182</v>
      </c>
      <c r="D66" s="28">
        <v>21225.530719192153</v>
      </c>
      <c r="E66" s="28">
        <v>0</v>
      </c>
      <c r="F66" s="28">
        <v>0</v>
      </c>
      <c r="G66" s="28">
        <v>0</v>
      </c>
      <c r="H66" s="28">
        <v>0</v>
      </c>
      <c r="I66" s="28">
        <v>11429.131925718852</v>
      </c>
      <c r="J66" s="28">
        <f t="shared" ref="J66:J129" si="1">SUM(C66:I66)</f>
        <v>156742.38069557282</v>
      </c>
      <c r="K66" s="2"/>
    </row>
    <row r="67" spans="1:11" x14ac:dyDescent="0.3">
      <c r="A67">
        <v>2137</v>
      </c>
      <c r="B67" t="s">
        <v>110</v>
      </c>
      <c r="C67" s="28">
        <v>272712.01799492305</v>
      </c>
      <c r="D67" s="28">
        <v>35437.154880696224</v>
      </c>
      <c r="E67" s="28">
        <v>0</v>
      </c>
      <c r="F67" s="28">
        <v>0</v>
      </c>
      <c r="G67" s="28">
        <v>0</v>
      </c>
      <c r="H67" s="28">
        <v>0</v>
      </c>
      <c r="I67" s="28">
        <v>9244.4751862685789</v>
      </c>
      <c r="J67" s="28">
        <f t="shared" si="1"/>
        <v>317393.64806188783</v>
      </c>
      <c r="K67" s="2"/>
    </row>
    <row r="68" spans="1:11" x14ac:dyDescent="0.3">
      <c r="A68">
        <v>1931</v>
      </c>
      <c r="B68" t="s">
        <v>16</v>
      </c>
      <c r="C68" s="28">
        <v>365570.19238063553</v>
      </c>
      <c r="D68" s="28">
        <v>104204.58754775123</v>
      </c>
      <c r="E68" s="28">
        <v>0</v>
      </c>
      <c r="F68" s="28">
        <v>0</v>
      </c>
      <c r="G68" s="28">
        <v>0</v>
      </c>
      <c r="H68" s="28">
        <v>0</v>
      </c>
      <c r="I68" s="28">
        <v>29040.62275920936</v>
      </c>
      <c r="J68" s="28">
        <f t="shared" si="1"/>
        <v>498815.40268759616</v>
      </c>
      <c r="K68" s="2"/>
    </row>
    <row r="69" spans="1:11" x14ac:dyDescent="0.3">
      <c r="A69">
        <v>2000</v>
      </c>
      <c r="B69" t="s">
        <v>40</v>
      </c>
      <c r="C69" s="28">
        <v>76915.012253193359</v>
      </c>
      <c r="D69" s="28">
        <v>8740.3423014992459</v>
      </c>
      <c r="E69" s="28">
        <v>0</v>
      </c>
      <c r="F69" s="28">
        <v>0</v>
      </c>
      <c r="G69" s="28">
        <v>0</v>
      </c>
      <c r="H69" s="28">
        <v>0</v>
      </c>
      <c r="I69" s="28">
        <v>5244.2053808995479</v>
      </c>
      <c r="J69" s="28">
        <f t="shared" si="1"/>
        <v>90899.559935592144</v>
      </c>
      <c r="K69" s="2"/>
    </row>
    <row r="70" spans="1:11" x14ac:dyDescent="0.3">
      <c r="A70">
        <v>1992</v>
      </c>
      <c r="B70" t="s">
        <v>34</v>
      </c>
      <c r="C70" s="28">
        <v>200647.74152684241</v>
      </c>
      <c r="D70" s="28">
        <v>21206.671868690661</v>
      </c>
      <c r="E70" s="28">
        <v>0</v>
      </c>
      <c r="F70" s="28">
        <v>0</v>
      </c>
      <c r="G70" s="28">
        <v>0</v>
      </c>
      <c r="H70" s="28">
        <v>0</v>
      </c>
      <c r="I70" s="28">
        <v>6525.1298057509721</v>
      </c>
      <c r="J70" s="28">
        <f t="shared" si="1"/>
        <v>228379.54320128405</v>
      </c>
      <c r="K70" s="2"/>
    </row>
    <row r="71" spans="1:11" x14ac:dyDescent="0.3">
      <c r="A71">
        <v>2054</v>
      </c>
      <c r="B71" t="s">
        <v>73</v>
      </c>
      <c r="C71" s="28">
        <v>1027303.1881668991</v>
      </c>
      <c r="D71" s="28">
        <v>207211.72261320977</v>
      </c>
      <c r="E71" s="28">
        <v>0</v>
      </c>
      <c r="F71" s="28">
        <v>2918.4749663832358</v>
      </c>
      <c r="G71" s="28">
        <v>0</v>
      </c>
      <c r="H71" s="28">
        <v>0</v>
      </c>
      <c r="I71" s="28">
        <v>96309.673890646794</v>
      </c>
      <c r="J71" s="28">
        <f t="shared" si="1"/>
        <v>1333743.0596371391</v>
      </c>
      <c r="K71" s="2"/>
    </row>
    <row r="72" spans="1:11" x14ac:dyDescent="0.3">
      <c r="A72">
        <v>2100</v>
      </c>
      <c r="B72" t="s">
        <v>218</v>
      </c>
      <c r="C72" s="28">
        <v>1709015.8699543206</v>
      </c>
      <c r="D72" s="28">
        <v>422018.99898966262</v>
      </c>
      <c r="E72" s="28">
        <v>4832.2786143854501</v>
      </c>
      <c r="F72" s="28">
        <v>0</v>
      </c>
      <c r="G72" s="28">
        <v>0</v>
      </c>
      <c r="H72" s="28">
        <v>0</v>
      </c>
      <c r="I72" s="28">
        <v>211009.49949483131</v>
      </c>
      <c r="J72" s="28">
        <f t="shared" si="1"/>
        <v>2346876.6470531998</v>
      </c>
      <c r="K72" s="2"/>
    </row>
    <row r="73" spans="1:11" x14ac:dyDescent="0.3">
      <c r="A73">
        <v>2183</v>
      </c>
      <c r="B73" t="s">
        <v>124</v>
      </c>
      <c r="C73" s="28">
        <v>2036024.836959451</v>
      </c>
      <c r="D73" s="28">
        <v>613202.77442543465</v>
      </c>
      <c r="E73" s="28">
        <v>0</v>
      </c>
      <c r="F73" s="28">
        <v>0</v>
      </c>
      <c r="G73" s="28">
        <v>0</v>
      </c>
      <c r="H73" s="28">
        <v>0</v>
      </c>
      <c r="I73" s="28">
        <v>220369.74705914056</v>
      </c>
      <c r="J73" s="28">
        <f t="shared" si="1"/>
        <v>2869597.3584440257</v>
      </c>
      <c r="K73" s="2"/>
    </row>
    <row r="74" spans="1:11" x14ac:dyDescent="0.3">
      <c r="A74">
        <v>2014</v>
      </c>
      <c r="B74" t="s">
        <v>51</v>
      </c>
      <c r="C74" s="28">
        <v>199744.27419596654</v>
      </c>
      <c r="D74" s="28">
        <v>21971.870161556319</v>
      </c>
      <c r="E74" s="28">
        <v>0</v>
      </c>
      <c r="F74" s="28">
        <v>0</v>
      </c>
      <c r="G74" s="28">
        <v>0</v>
      </c>
      <c r="H74" s="28">
        <v>0</v>
      </c>
      <c r="I74" s="28">
        <v>39948.8548391933</v>
      </c>
      <c r="J74" s="28">
        <f t="shared" si="1"/>
        <v>261664.99919671618</v>
      </c>
      <c r="K74" s="2"/>
    </row>
    <row r="75" spans="1:11" x14ac:dyDescent="0.3">
      <c r="A75">
        <v>2015</v>
      </c>
      <c r="B75" t="s">
        <v>52</v>
      </c>
      <c r="C75" s="28">
        <v>110026.61381373159</v>
      </c>
      <c r="D75" s="28">
        <v>12646.737219969147</v>
      </c>
      <c r="E75" s="28">
        <v>0</v>
      </c>
      <c r="F75" s="28">
        <v>0</v>
      </c>
      <c r="G75" s="28">
        <v>0</v>
      </c>
      <c r="H75" s="28">
        <v>0</v>
      </c>
      <c r="I75" s="28">
        <v>0</v>
      </c>
      <c r="J75" s="28">
        <f t="shared" si="1"/>
        <v>122673.35103370073</v>
      </c>
      <c r="K75" s="2"/>
    </row>
    <row r="76" spans="1:11" x14ac:dyDescent="0.3">
      <c r="A76">
        <v>2023</v>
      </c>
      <c r="B76" t="s">
        <v>219</v>
      </c>
      <c r="C76" s="28">
        <v>90444.660658569133</v>
      </c>
      <c r="D76" s="28">
        <v>27257.294992993437</v>
      </c>
      <c r="E76" s="28">
        <v>0</v>
      </c>
      <c r="F76" s="28">
        <v>0</v>
      </c>
      <c r="G76" s="28">
        <v>0</v>
      </c>
      <c r="H76" s="28">
        <v>0</v>
      </c>
      <c r="I76" s="28">
        <v>0</v>
      </c>
      <c r="J76" s="28">
        <f t="shared" si="1"/>
        <v>117701.95565156257</v>
      </c>
      <c r="K76" s="2"/>
    </row>
    <row r="77" spans="1:11" x14ac:dyDescent="0.3">
      <c r="A77">
        <v>2114</v>
      </c>
      <c r="B77" t="s">
        <v>107</v>
      </c>
      <c r="C77" s="28">
        <v>32304.526551296913</v>
      </c>
      <c r="D77" s="28">
        <v>0</v>
      </c>
      <c r="E77" s="28">
        <v>0</v>
      </c>
      <c r="F77" s="28">
        <v>0</v>
      </c>
      <c r="G77" s="28">
        <v>0</v>
      </c>
      <c r="H77" s="28">
        <v>0</v>
      </c>
      <c r="I77" s="28">
        <v>0</v>
      </c>
      <c r="J77" s="28">
        <f t="shared" si="1"/>
        <v>32304.526551296913</v>
      </c>
      <c r="K77" s="2"/>
    </row>
    <row r="78" spans="1:11" x14ac:dyDescent="0.3">
      <c r="A78">
        <v>2099</v>
      </c>
      <c r="B78" t="s">
        <v>95</v>
      </c>
      <c r="C78" s="28">
        <v>135552.7509460063</v>
      </c>
      <c r="D78" s="28">
        <v>35428.559906342562</v>
      </c>
      <c r="E78" s="28">
        <v>0</v>
      </c>
      <c r="F78" s="28">
        <v>0</v>
      </c>
      <c r="G78" s="28">
        <v>0</v>
      </c>
      <c r="H78" s="28">
        <v>0</v>
      </c>
      <c r="I78" s="28">
        <v>12322.977358727845</v>
      </c>
      <c r="J78" s="28">
        <f t="shared" si="1"/>
        <v>183304.2882110767</v>
      </c>
      <c r="K78" s="2"/>
    </row>
    <row r="79" spans="1:11" x14ac:dyDescent="0.3">
      <c r="A79">
        <v>2201</v>
      </c>
      <c r="B79" t="s">
        <v>136</v>
      </c>
      <c r="C79" s="28">
        <v>23428.391292399392</v>
      </c>
      <c r="D79" s="28">
        <v>1464.274455774962</v>
      </c>
      <c r="E79" s="28">
        <v>0</v>
      </c>
      <c r="F79" s="28">
        <v>0</v>
      </c>
      <c r="G79" s="28">
        <v>0</v>
      </c>
      <c r="H79" s="28">
        <v>0</v>
      </c>
      <c r="I79" s="28">
        <v>0</v>
      </c>
      <c r="J79" s="28">
        <f t="shared" si="1"/>
        <v>24892.665748174353</v>
      </c>
      <c r="K79" s="2"/>
    </row>
    <row r="80" spans="1:11" x14ac:dyDescent="0.3">
      <c r="A80">
        <v>2206</v>
      </c>
      <c r="B80" t="s">
        <v>220</v>
      </c>
      <c r="C80" s="28">
        <v>864705.7886192333</v>
      </c>
      <c r="D80" s="28">
        <v>161555.35196622688</v>
      </c>
      <c r="E80" s="28">
        <v>1538.622399678351</v>
      </c>
      <c r="F80" s="28">
        <v>0</v>
      </c>
      <c r="G80" s="28">
        <v>0</v>
      </c>
      <c r="H80" s="28">
        <v>0</v>
      </c>
      <c r="I80" s="28">
        <v>133860.14877201655</v>
      </c>
      <c r="J80" s="28">
        <f t="shared" si="1"/>
        <v>1161659.9117571551</v>
      </c>
      <c r="K80" s="2"/>
    </row>
    <row r="81" spans="1:11" x14ac:dyDescent="0.3">
      <c r="A81">
        <v>2239</v>
      </c>
      <c r="B81" t="s">
        <v>151</v>
      </c>
      <c r="C81" s="28">
        <v>3338623.2823167131</v>
      </c>
      <c r="D81" s="28">
        <v>962209.92257682234</v>
      </c>
      <c r="E81" s="28">
        <v>4596.5442161313167</v>
      </c>
      <c r="F81" s="28">
        <v>0</v>
      </c>
      <c r="G81" s="28">
        <v>0</v>
      </c>
      <c r="H81" s="28">
        <v>0</v>
      </c>
      <c r="I81" s="28">
        <v>390706.25837116194</v>
      </c>
      <c r="J81" s="28">
        <f t="shared" si="1"/>
        <v>4696136.0074808281</v>
      </c>
      <c r="K81" s="2"/>
    </row>
    <row r="82" spans="1:11" x14ac:dyDescent="0.3">
      <c r="A82">
        <v>2024</v>
      </c>
      <c r="B82" t="s">
        <v>221</v>
      </c>
      <c r="C82" s="28">
        <v>739188.65160198999</v>
      </c>
      <c r="D82" s="28">
        <v>111902.75962418184</v>
      </c>
      <c r="E82" s="28">
        <v>0</v>
      </c>
      <c r="F82" s="28">
        <v>3152.1904119487849</v>
      </c>
      <c r="G82" s="28">
        <v>0</v>
      </c>
      <c r="H82" s="28">
        <v>0</v>
      </c>
      <c r="I82" s="28">
        <v>105598.37880028429</v>
      </c>
      <c r="J82" s="28">
        <f t="shared" si="1"/>
        <v>959841.98043840495</v>
      </c>
      <c r="K82" s="2"/>
    </row>
    <row r="83" spans="1:11" x14ac:dyDescent="0.3">
      <c r="A83">
        <v>1895</v>
      </c>
      <c r="B83" t="s">
        <v>2</v>
      </c>
      <c r="C83" s="28">
        <v>16257.241528552637</v>
      </c>
      <c r="D83" s="28">
        <v>0</v>
      </c>
      <c r="E83" s="28">
        <v>0</v>
      </c>
      <c r="F83" s="28">
        <v>0</v>
      </c>
      <c r="G83" s="28">
        <v>0</v>
      </c>
      <c r="H83" s="28">
        <v>0</v>
      </c>
      <c r="I83" s="28">
        <v>0</v>
      </c>
      <c r="J83" s="28">
        <f t="shared" si="1"/>
        <v>16257.241528552637</v>
      </c>
      <c r="K83" s="2"/>
    </row>
    <row r="84" spans="1:11" x14ac:dyDescent="0.3">
      <c r="A84">
        <v>2215</v>
      </c>
      <c r="B84" t="s">
        <v>143</v>
      </c>
      <c r="C84" s="28">
        <v>66633.343962049446</v>
      </c>
      <c r="D84" s="28">
        <v>7688.4627648518581</v>
      </c>
      <c r="E84" s="28">
        <v>0</v>
      </c>
      <c r="F84" s="28">
        <v>0</v>
      </c>
      <c r="G84" s="28">
        <v>0</v>
      </c>
      <c r="H84" s="28">
        <v>0</v>
      </c>
      <c r="I84" s="28">
        <v>2562.8209216172863</v>
      </c>
      <c r="J84" s="28">
        <f t="shared" si="1"/>
        <v>76884.627648518581</v>
      </c>
      <c r="K84" s="2"/>
    </row>
    <row r="85" spans="1:11" x14ac:dyDescent="0.3">
      <c r="A85">
        <v>3997</v>
      </c>
      <c r="B85" t="s">
        <v>222</v>
      </c>
      <c r="C85" s="28">
        <v>27951.226497392177</v>
      </c>
      <c r="D85" s="28">
        <v>6576.7591758569833</v>
      </c>
      <c r="E85" s="28">
        <v>0</v>
      </c>
      <c r="F85" s="28">
        <v>0</v>
      </c>
      <c r="G85" s="28">
        <v>0</v>
      </c>
      <c r="H85" s="28">
        <v>0</v>
      </c>
      <c r="I85" s="28">
        <v>0</v>
      </c>
      <c r="J85" s="28">
        <f t="shared" si="1"/>
        <v>34527.985673249161</v>
      </c>
      <c r="K85" s="2"/>
    </row>
    <row r="86" spans="1:11" x14ac:dyDescent="0.3">
      <c r="A86">
        <v>2053</v>
      </c>
      <c r="B86" t="s">
        <v>72</v>
      </c>
      <c r="C86" s="28">
        <v>680211.00701540243</v>
      </c>
      <c r="D86" s="28">
        <v>106132.21386055925</v>
      </c>
      <c r="E86" s="28">
        <v>1608.0638463721098</v>
      </c>
      <c r="F86" s="28">
        <v>0</v>
      </c>
      <c r="G86" s="28">
        <v>0</v>
      </c>
      <c r="H86" s="28">
        <v>0</v>
      </c>
      <c r="I86" s="28">
        <v>61106.426162140182</v>
      </c>
      <c r="J86" s="28">
        <f t="shared" si="1"/>
        <v>849057.71088447399</v>
      </c>
      <c r="K86" s="2"/>
    </row>
    <row r="87" spans="1:11" x14ac:dyDescent="0.3">
      <c r="A87">
        <v>2140</v>
      </c>
      <c r="B87" t="s">
        <v>113</v>
      </c>
      <c r="C87" s="28">
        <v>153666.85662300992</v>
      </c>
      <c r="D87" s="28">
        <v>47689.714124382386</v>
      </c>
      <c r="E87" s="28">
        <v>0</v>
      </c>
      <c r="F87" s="28">
        <v>0</v>
      </c>
      <c r="G87" s="28">
        <v>0</v>
      </c>
      <c r="H87" s="28">
        <v>0</v>
      </c>
      <c r="I87" s="28">
        <v>3532.5714166209182</v>
      </c>
      <c r="J87" s="28">
        <f t="shared" si="1"/>
        <v>204889.14216401323</v>
      </c>
      <c r="K87" s="2"/>
    </row>
    <row r="88" spans="1:11" x14ac:dyDescent="0.3">
      <c r="A88">
        <v>1934</v>
      </c>
      <c r="B88" t="s">
        <v>17</v>
      </c>
      <c r="C88" s="28">
        <v>31082.719312450674</v>
      </c>
      <c r="D88" s="28">
        <v>5920.5179642763196</v>
      </c>
      <c r="E88" s="28">
        <v>0</v>
      </c>
      <c r="F88" s="28">
        <v>0</v>
      </c>
      <c r="G88" s="28">
        <v>0</v>
      </c>
      <c r="H88" s="28">
        <v>0</v>
      </c>
      <c r="I88" s="28">
        <v>0</v>
      </c>
      <c r="J88" s="28">
        <f t="shared" si="1"/>
        <v>37003.237276726992</v>
      </c>
      <c r="K88" s="2"/>
    </row>
    <row r="89" spans="1:11" x14ac:dyDescent="0.3">
      <c r="A89">
        <v>2008</v>
      </c>
      <c r="B89" t="s">
        <v>46</v>
      </c>
      <c r="C89" s="28">
        <v>144539.54316207243</v>
      </c>
      <c r="D89" s="28">
        <v>25644.11249649672</v>
      </c>
      <c r="E89" s="28">
        <v>0</v>
      </c>
      <c r="F89" s="28">
        <v>0</v>
      </c>
      <c r="G89" s="28">
        <v>0</v>
      </c>
      <c r="H89" s="28">
        <v>0</v>
      </c>
      <c r="I89" s="28">
        <v>6993.848862680923</v>
      </c>
      <c r="J89" s="28">
        <f t="shared" si="1"/>
        <v>177177.50452125008</v>
      </c>
      <c r="K89" s="2"/>
    </row>
    <row r="90" spans="1:11" x14ac:dyDescent="0.3">
      <c r="A90">
        <v>2107</v>
      </c>
      <c r="B90" t="s">
        <v>101</v>
      </c>
      <c r="C90" s="28">
        <v>13571.120764276318</v>
      </c>
      <c r="D90" s="28">
        <v>0</v>
      </c>
      <c r="E90" s="28">
        <v>0</v>
      </c>
      <c r="F90" s="28">
        <v>0</v>
      </c>
      <c r="G90" s="28">
        <v>0</v>
      </c>
      <c r="H90" s="28">
        <v>0</v>
      </c>
      <c r="I90" s="28">
        <v>0</v>
      </c>
      <c r="J90" s="28">
        <f t="shared" si="1"/>
        <v>13571.120764276318</v>
      </c>
      <c r="K90" s="2"/>
    </row>
    <row r="91" spans="1:11" x14ac:dyDescent="0.3">
      <c r="A91">
        <v>2219</v>
      </c>
      <c r="B91" t="s">
        <v>146</v>
      </c>
      <c r="C91" s="28">
        <v>55620.214835657913</v>
      </c>
      <c r="D91" s="28">
        <v>6952.5268544572391</v>
      </c>
      <c r="E91" s="28">
        <v>0</v>
      </c>
      <c r="F91" s="28">
        <v>0</v>
      </c>
      <c r="G91" s="28">
        <v>0</v>
      </c>
      <c r="H91" s="28">
        <v>0</v>
      </c>
      <c r="I91" s="28">
        <v>6952.5268544572391</v>
      </c>
      <c r="J91" s="28">
        <f t="shared" si="1"/>
        <v>69525.268544572391</v>
      </c>
      <c r="K91" s="2"/>
    </row>
    <row r="92" spans="1:11" x14ac:dyDescent="0.3">
      <c r="A92">
        <v>2091</v>
      </c>
      <c r="B92" t="s">
        <v>88</v>
      </c>
      <c r="C92" s="28">
        <v>444539.19608535559</v>
      </c>
      <c r="D92" s="28">
        <v>28954.660281421631</v>
      </c>
      <c r="E92" s="28">
        <v>0</v>
      </c>
      <c r="F92" s="28">
        <v>0</v>
      </c>
      <c r="G92" s="28">
        <v>0</v>
      </c>
      <c r="H92" s="28">
        <v>0</v>
      </c>
      <c r="I92" s="28">
        <v>63018.966494858832</v>
      </c>
      <c r="J92" s="28">
        <f t="shared" si="1"/>
        <v>536512.82286163606</v>
      </c>
      <c r="K92" s="2"/>
    </row>
    <row r="93" spans="1:11" x14ac:dyDescent="0.3">
      <c r="A93">
        <v>2109</v>
      </c>
      <c r="B93" t="s">
        <v>102</v>
      </c>
      <c r="C93" s="28">
        <v>898.44666666666672</v>
      </c>
      <c r="D93" s="28">
        <v>0</v>
      </c>
      <c r="E93" s="28">
        <v>0</v>
      </c>
      <c r="F93" s="28">
        <v>0</v>
      </c>
      <c r="G93" s="28">
        <v>0</v>
      </c>
      <c r="H93" s="28">
        <v>0</v>
      </c>
      <c r="I93" s="28">
        <v>0</v>
      </c>
      <c r="J93" s="28">
        <f t="shared" si="1"/>
        <v>898.44666666666672</v>
      </c>
      <c r="K93" s="2"/>
    </row>
    <row r="94" spans="1:11" x14ac:dyDescent="0.3">
      <c r="A94">
        <v>2057</v>
      </c>
      <c r="B94" t="s">
        <v>74</v>
      </c>
      <c r="C94" s="28">
        <v>1592696.5289047342</v>
      </c>
      <c r="D94" s="28">
        <v>240194.11215263701</v>
      </c>
      <c r="E94" s="28">
        <v>0</v>
      </c>
      <c r="F94" s="28">
        <v>0</v>
      </c>
      <c r="G94" s="28">
        <v>0</v>
      </c>
      <c r="H94" s="28">
        <v>0</v>
      </c>
      <c r="I94" s="28">
        <v>133799.40475616694</v>
      </c>
      <c r="J94" s="28">
        <f t="shared" si="1"/>
        <v>1966690.0458135381</v>
      </c>
      <c r="K94" s="2"/>
    </row>
    <row r="95" spans="1:11" x14ac:dyDescent="0.3">
      <c r="A95">
        <v>2056</v>
      </c>
      <c r="B95" t="s">
        <v>223</v>
      </c>
      <c r="C95" s="28">
        <v>654850.17112808966</v>
      </c>
      <c r="D95" s="28">
        <v>165119.81392341515</v>
      </c>
      <c r="E95" s="28">
        <v>0</v>
      </c>
      <c r="F95" s="28">
        <v>18763.615218569903</v>
      </c>
      <c r="G95" s="28">
        <v>0</v>
      </c>
      <c r="H95" s="28">
        <v>0</v>
      </c>
      <c r="I95" s="28">
        <v>121963.49892070438</v>
      </c>
      <c r="J95" s="28">
        <f t="shared" si="1"/>
        <v>960697.09919077903</v>
      </c>
      <c r="K95" s="2"/>
    </row>
    <row r="96" spans="1:11" x14ac:dyDescent="0.3">
      <c r="A96">
        <v>2262</v>
      </c>
      <c r="B96" t="s">
        <v>167</v>
      </c>
      <c r="C96" s="28">
        <v>126371.76101359904</v>
      </c>
      <c r="D96" s="28">
        <v>22300.89900239983</v>
      </c>
      <c r="E96" s="28">
        <v>0</v>
      </c>
      <c r="F96" s="28">
        <v>0</v>
      </c>
      <c r="G96" s="28">
        <v>0</v>
      </c>
      <c r="H96" s="28">
        <v>0</v>
      </c>
      <c r="I96" s="28">
        <v>14867.266001599888</v>
      </c>
      <c r="J96" s="28">
        <f t="shared" si="1"/>
        <v>163539.92601759877</v>
      </c>
      <c r="K96" s="2"/>
    </row>
    <row r="97" spans="1:11" x14ac:dyDescent="0.3">
      <c r="A97">
        <v>2212</v>
      </c>
      <c r="B97" t="s">
        <v>140</v>
      </c>
      <c r="C97" s="28">
        <v>576912.02979282616</v>
      </c>
      <c r="D97" s="28">
        <v>82176.422848396745</v>
      </c>
      <c r="E97" s="28">
        <v>0</v>
      </c>
      <c r="F97" s="28">
        <v>10062.419124293479</v>
      </c>
      <c r="G97" s="28">
        <v>0</v>
      </c>
      <c r="H97" s="28">
        <v>0</v>
      </c>
      <c r="I97" s="28">
        <v>45280.886059320655</v>
      </c>
      <c r="J97" s="28">
        <f t="shared" si="1"/>
        <v>714431.757824837</v>
      </c>
      <c r="K97" s="2"/>
    </row>
    <row r="98" spans="1:11" x14ac:dyDescent="0.3">
      <c r="A98">
        <v>2059</v>
      </c>
      <c r="B98" t="s">
        <v>75</v>
      </c>
      <c r="C98" s="28">
        <v>167248.68406688463</v>
      </c>
      <c r="D98" s="28">
        <v>19871.130780223917</v>
      </c>
      <c r="E98" s="28">
        <v>0</v>
      </c>
      <c r="F98" s="28">
        <v>0</v>
      </c>
      <c r="G98" s="28">
        <v>0</v>
      </c>
      <c r="H98" s="28">
        <v>0</v>
      </c>
      <c r="I98" s="28">
        <v>9935.5653901119585</v>
      </c>
      <c r="J98" s="28">
        <f t="shared" si="1"/>
        <v>197055.38023722052</v>
      </c>
      <c r="K98" s="2"/>
    </row>
    <row r="99" spans="1:11" x14ac:dyDescent="0.3">
      <c r="A99">
        <v>1923</v>
      </c>
      <c r="B99" t="s">
        <v>8</v>
      </c>
      <c r="C99" s="28">
        <v>1008938.5184406165</v>
      </c>
      <c r="D99" s="28">
        <v>333433.4487312311</v>
      </c>
      <c r="E99" s="28">
        <v>0</v>
      </c>
      <c r="F99" s="28">
        <v>0</v>
      </c>
      <c r="G99" s="28">
        <v>0</v>
      </c>
      <c r="H99" s="28">
        <v>0</v>
      </c>
      <c r="I99" s="28">
        <v>67377.743526000064</v>
      </c>
      <c r="J99" s="28">
        <f t="shared" si="1"/>
        <v>1409749.7106978477</v>
      </c>
      <c r="K99" s="2"/>
    </row>
    <row r="100" spans="1:11" x14ac:dyDescent="0.3">
      <c r="A100">
        <v>2101</v>
      </c>
      <c r="B100" t="s">
        <v>96</v>
      </c>
      <c r="C100" s="28">
        <v>1024850.9345851687</v>
      </c>
      <c r="D100" s="28">
        <v>125491.95117369412</v>
      </c>
      <c r="E100" s="28">
        <v>3217.7423377870286</v>
      </c>
      <c r="F100" s="28">
        <v>0</v>
      </c>
      <c r="G100" s="28">
        <v>0</v>
      </c>
      <c r="H100" s="28">
        <v>0</v>
      </c>
      <c r="I100" s="28">
        <v>115838.72416033303</v>
      </c>
      <c r="J100" s="28">
        <f t="shared" si="1"/>
        <v>1269399.3522569828</v>
      </c>
      <c r="K100" s="2"/>
    </row>
    <row r="101" spans="1:11" x14ac:dyDescent="0.3">
      <c r="A101">
        <v>2097</v>
      </c>
      <c r="B101" t="s">
        <v>94</v>
      </c>
      <c r="C101" s="28">
        <v>1047988.9193333873</v>
      </c>
      <c r="D101" s="28">
        <v>323176.61861796078</v>
      </c>
      <c r="E101" s="28">
        <v>3736.145879976425</v>
      </c>
      <c r="F101" s="28">
        <v>3736.145879976425</v>
      </c>
      <c r="G101" s="28">
        <v>0</v>
      </c>
      <c r="H101" s="28">
        <v>0</v>
      </c>
      <c r="I101" s="28">
        <v>99007.865819375264</v>
      </c>
      <c r="J101" s="28">
        <f t="shared" si="1"/>
        <v>1477645.6955306763</v>
      </c>
      <c r="K101" s="2"/>
    </row>
    <row r="102" spans="1:11" x14ac:dyDescent="0.3">
      <c r="A102">
        <v>2012</v>
      </c>
      <c r="B102" t="s">
        <v>50</v>
      </c>
      <c r="C102" s="28">
        <v>4818.2026910690802</v>
      </c>
      <c r="D102" s="28">
        <v>0</v>
      </c>
      <c r="E102" s="28">
        <v>0</v>
      </c>
      <c r="F102" s="28">
        <v>0</v>
      </c>
      <c r="G102" s="28">
        <v>0</v>
      </c>
      <c r="H102" s="28">
        <v>0</v>
      </c>
      <c r="I102" s="28">
        <v>0</v>
      </c>
      <c r="J102" s="28">
        <f t="shared" si="1"/>
        <v>4818.2026910690802</v>
      </c>
      <c r="K102" s="2"/>
    </row>
    <row r="103" spans="1:11" x14ac:dyDescent="0.3">
      <c r="A103">
        <v>2092</v>
      </c>
      <c r="B103" t="s">
        <v>89</v>
      </c>
      <c r="C103" s="28">
        <v>176548.04887517262</v>
      </c>
      <c r="D103" s="28">
        <v>1459.0747840923357</v>
      </c>
      <c r="E103" s="28">
        <v>0</v>
      </c>
      <c r="F103" s="28">
        <v>1459.0747840923357</v>
      </c>
      <c r="G103" s="28">
        <v>0</v>
      </c>
      <c r="H103" s="28">
        <v>0</v>
      </c>
      <c r="I103" s="28">
        <v>8754.4487045540136</v>
      </c>
      <c r="J103" s="28">
        <f t="shared" si="1"/>
        <v>188220.64714791131</v>
      </c>
      <c r="K103" s="2"/>
    </row>
    <row r="104" spans="1:11" x14ac:dyDescent="0.3">
      <c r="A104">
        <v>2112</v>
      </c>
      <c r="B104" t="s">
        <v>105</v>
      </c>
      <c r="C104" s="28">
        <v>0</v>
      </c>
      <c r="D104" s="28">
        <v>0</v>
      </c>
      <c r="E104" s="28">
        <v>0</v>
      </c>
      <c r="F104" s="28">
        <v>0</v>
      </c>
      <c r="G104" s="28">
        <v>0</v>
      </c>
      <c r="H104" s="28">
        <v>0</v>
      </c>
      <c r="I104" s="28">
        <v>0</v>
      </c>
      <c r="J104" s="28">
        <f t="shared" si="1"/>
        <v>0</v>
      </c>
      <c r="K104" s="2"/>
    </row>
    <row r="105" spans="1:11" x14ac:dyDescent="0.3">
      <c r="A105">
        <v>2085</v>
      </c>
      <c r="B105" t="s">
        <v>84</v>
      </c>
      <c r="C105" s="28">
        <v>61680.10559279607</v>
      </c>
      <c r="D105" s="28">
        <v>0</v>
      </c>
      <c r="E105" s="28">
        <v>0</v>
      </c>
      <c r="F105" s="28">
        <v>0</v>
      </c>
      <c r="G105" s="28">
        <v>0</v>
      </c>
      <c r="H105" s="28">
        <v>0</v>
      </c>
      <c r="I105" s="28">
        <v>14233.870521414479</v>
      </c>
      <c r="J105" s="28">
        <f t="shared" si="1"/>
        <v>75913.976114210556</v>
      </c>
      <c r="K105" s="2"/>
    </row>
    <row r="106" spans="1:11" x14ac:dyDescent="0.3">
      <c r="A106">
        <v>2094</v>
      </c>
      <c r="B106" t="s">
        <v>91</v>
      </c>
      <c r="C106" s="28">
        <v>135485.16127732518</v>
      </c>
      <c r="D106" s="28">
        <v>5765.3260118010712</v>
      </c>
      <c r="E106" s="28">
        <v>0</v>
      </c>
      <c r="F106" s="28">
        <v>0</v>
      </c>
      <c r="G106" s="28">
        <v>0</v>
      </c>
      <c r="H106" s="28">
        <v>0</v>
      </c>
      <c r="I106" s="28">
        <v>4323.994508850803</v>
      </c>
      <c r="J106" s="28">
        <f t="shared" si="1"/>
        <v>145574.48179797706</v>
      </c>
      <c r="K106" s="2"/>
    </row>
    <row r="107" spans="1:11" x14ac:dyDescent="0.3">
      <c r="A107">
        <v>2090</v>
      </c>
      <c r="B107" t="s">
        <v>87</v>
      </c>
      <c r="C107" s="28">
        <v>62467.784937739954</v>
      </c>
      <c r="D107" s="28">
        <v>1952.1182793043736</v>
      </c>
      <c r="E107" s="28">
        <v>0</v>
      </c>
      <c r="F107" s="28">
        <v>0</v>
      </c>
      <c r="G107" s="28">
        <v>0</v>
      </c>
      <c r="H107" s="28">
        <v>0</v>
      </c>
      <c r="I107" s="28">
        <v>1952.1182793043736</v>
      </c>
      <c r="J107" s="28">
        <f t="shared" si="1"/>
        <v>66372.021496348694</v>
      </c>
      <c r="K107" s="2"/>
    </row>
    <row r="108" spans="1:11" x14ac:dyDescent="0.3">
      <c r="A108">
        <v>2256</v>
      </c>
      <c r="B108" t="s">
        <v>165</v>
      </c>
      <c r="C108" s="28">
        <v>1196315.3118282463</v>
      </c>
      <c r="D108" s="28">
        <v>229642.88735483849</v>
      </c>
      <c r="E108" s="28">
        <v>0</v>
      </c>
      <c r="F108" s="28">
        <v>0</v>
      </c>
      <c r="G108" s="28">
        <v>0</v>
      </c>
      <c r="H108" s="28">
        <v>0</v>
      </c>
      <c r="I108" s="28">
        <v>80685.338800348647</v>
      </c>
      <c r="J108" s="28">
        <f t="shared" si="1"/>
        <v>1506643.5379834333</v>
      </c>
      <c r="K108" s="2"/>
    </row>
    <row r="109" spans="1:11" x14ac:dyDescent="0.3">
      <c r="A109">
        <v>2048</v>
      </c>
      <c r="B109" t="s">
        <v>68</v>
      </c>
      <c r="C109" s="28">
        <v>2400547.7789293146</v>
      </c>
      <c r="D109" s="28">
        <v>933123.51837899163</v>
      </c>
      <c r="E109" s="28">
        <v>1522.2243366704593</v>
      </c>
      <c r="F109" s="28">
        <v>3044.4486733409185</v>
      </c>
      <c r="G109" s="28">
        <v>0</v>
      </c>
      <c r="H109" s="28">
        <v>0</v>
      </c>
      <c r="I109" s="28">
        <v>182666.92040045516</v>
      </c>
      <c r="J109" s="28">
        <f t="shared" si="1"/>
        <v>3520904.8907187725</v>
      </c>
      <c r="K109" s="2"/>
    </row>
    <row r="110" spans="1:11" x14ac:dyDescent="0.3">
      <c r="A110">
        <v>2205</v>
      </c>
      <c r="B110" t="s">
        <v>224</v>
      </c>
      <c r="C110" s="28">
        <v>307332.32545559847</v>
      </c>
      <c r="D110" s="28">
        <v>70065.400622001718</v>
      </c>
      <c r="E110" s="28">
        <v>0</v>
      </c>
      <c r="F110" s="28">
        <v>0</v>
      </c>
      <c r="G110" s="28">
        <v>0</v>
      </c>
      <c r="H110" s="28">
        <v>0</v>
      </c>
      <c r="I110" s="28">
        <v>35032.700311000859</v>
      </c>
      <c r="J110" s="28">
        <f t="shared" si="1"/>
        <v>412430.42638860107</v>
      </c>
      <c r="K110" s="2"/>
    </row>
    <row r="111" spans="1:11" x14ac:dyDescent="0.3">
      <c r="A111">
        <v>2249</v>
      </c>
      <c r="B111" t="s">
        <v>160</v>
      </c>
      <c r="C111" s="28">
        <v>195529.16597477946</v>
      </c>
      <c r="D111" s="28">
        <v>1222.0572873423714</v>
      </c>
      <c r="E111" s="28">
        <v>0</v>
      </c>
      <c r="F111" s="28">
        <v>0</v>
      </c>
      <c r="G111" s="28">
        <v>0</v>
      </c>
      <c r="H111" s="28">
        <v>0</v>
      </c>
      <c r="I111" s="28">
        <v>0</v>
      </c>
      <c r="J111" s="28">
        <f t="shared" si="1"/>
        <v>196751.22326212184</v>
      </c>
      <c r="K111" s="2"/>
    </row>
    <row r="112" spans="1:11" x14ac:dyDescent="0.3">
      <c r="A112">
        <v>1925</v>
      </c>
      <c r="B112" t="s">
        <v>10</v>
      </c>
      <c r="C112" s="28">
        <v>579020.669675824</v>
      </c>
      <c r="D112" s="28">
        <v>122149.56593161219</v>
      </c>
      <c r="E112" s="28">
        <v>0</v>
      </c>
      <c r="F112" s="28">
        <v>0</v>
      </c>
      <c r="G112" s="28">
        <v>0</v>
      </c>
      <c r="H112" s="28">
        <v>0</v>
      </c>
      <c r="I112" s="28">
        <v>58695.245967138326</v>
      </c>
      <c r="J112" s="28">
        <f t="shared" si="1"/>
        <v>759865.48157457449</v>
      </c>
      <c r="K112" s="2"/>
    </row>
    <row r="113" spans="1:11" x14ac:dyDescent="0.3">
      <c r="A113">
        <v>1898</v>
      </c>
      <c r="B113" t="s">
        <v>4</v>
      </c>
      <c r="C113" s="28">
        <v>71423.636149969971</v>
      </c>
      <c r="D113" s="28">
        <v>21976.503430759989</v>
      </c>
      <c r="E113" s="28">
        <v>0</v>
      </c>
      <c r="F113" s="28">
        <v>0</v>
      </c>
      <c r="G113" s="28">
        <v>0</v>
      </c>
      <c r="H113" s="28">
        <v>0</v>
      </c>
      <c r="I113" s="28">
        <v>12819.627001276662</v>
      </c>
      <c r="J113" s="28">
        <f t="shared" si="1"/>
        <v>106219.76658200662</v>
      </c>
      <c r="K113" s="2"/>
    </row>
    <row r="114" spans="1:11" x14ac:dyDescent="0.3">
      <c r="A114">
        <v>2010</v>
      </c>
      <c r="B114" t="s">
        <v>48</v>
      </c>
      <c r="C114" s="28">
        <v>10940.289479747811</v>
      </c>
      <c r="D114" s="28">
        <v>5470.1447398739056</v>
      </c>
      <c r="E114" s="28">
        <v>0</v>
      </c>
      <c r="F114" s="28">
        <v>0</v>
      </c>
      <c r="G114" s="28">
        <v>0</v>
      </c>
      <c r="H114" s="28">
        <v>0</v>
      </c>
      <c r="I114" s="28">
        <v>0</v>
      </c>
      <c r="J114" s="28">
        <f t="shared" si="1"/>
        <v>16410.434219621719</v>
      </c>
      <c r="K114" s="2"/>
    </row>
    <row r="115" spans="1:11" x14ac:dyDescent="0.3">
      <c r="A115">
        <v>2147</v>
      </c>
      <c r="B115" t="s">
        <v>120</v>
      </c>
      <c r="C115" s="28">
        <v>465755.064076023</v>
      </c>
      <c r="D115" s="28">
        <v>78117.146822877272</v>
      </c>
      <c r="E115" s="28">
        <v>0</v>
      </c>
      <c r="F115" s="28">
        <v>0</v>
      </c>
      <c r="G115" s="28">
        <v>0</v>
      </c>
      <c r="H115" s="28">
        <v>0</v>
      </c>
      <c r="I115" s="28">
        <v>51586.7950717114</v>
      </c>
      <c r="J115" s="28">
        <f t="shared" si="1"/>
        <v>595459.0059706117</v>
      </c>
      <c r="K115" s="2"/>
    </row>
    <row r="116" spans="1:11" x14ac:dyDescent="0.3">
      <c r="A116">
        <v>2145</v>
      </c>
      <c r="B116" t="s">
        <v>118</v>
      </c>
      <c r="C116" s="28">
        <v>154334.34751037223</v>
      </c>
      <c r="D116" s="28">
        <v>23329.610670172544</v>
      </c>
      <c r="E116" s="28">
        <v>0</v>
      </c>
      <c r="F116" s="28">
        <v>0</v>
      </c>
      <c r="G116" s="28">
        <v>0</v>
      </c>
      <c r="H116" s="28">
        <v>0</v>
      </c>
      <c r="I116" s="28">
        <v>5383.7563085013571</v>
      </c>
      <c r="J116" s="28">
        <f t="shared" si="1"/>
        <v>183047.71448904613</v>
      </c>
      <c r="K116" s="2"/>
    </row>
    <row r="117" spans="1:11" x14ac:dyDescent="0.3">
      <c r="A117">
        <v>1968</v>
      </c>
      <c r="B117" t="s">
        <v>28</v>
      </c>
      <c r="C117" s="28">
        <v>159672.12241841626</v>
      </c>
      <c r="D117" s="28">
        <v>12773.769793473302</v>
      </c>
      <c r="E117" s="28">
        <v>0</v>
      </c>
      <c r="F117" s="28">
        <v>0</v>
      </c>
      <c r="G117" s="28">
        <v>0</v>
      </c>
      <c r="H117" s="28">
        <v>0</v>
      </c>
      <c r="I117" s="28">
        <v>8515.8465289822016</v>
      </c>
      <c r="J117" s="28">
        <f t="shared" si="1"/>
        <v>180961.73874087175</v>
      </c>
      <c r="K117" s="2"/>
    </row>
    <row r="118" spans="1:11" x14ac:dyDescent="0.3">
      <c r="A118">
        <v>2198</v>
      </c>
      <c r="B118" t="s">
        <v>134</v>
      </c>
      <c r="C118" s="28">
        <v>150644.40223111806</v>
      </c>
      <c r="D118" s="28">
        <v>29436.26250493111</v>
      </c>
      <c r="E118" s="28">
        <v>0</v>
      </c>
      <c r="F118" s="28">
        <v>0</v>
      </c>
      <c r="G118" s="28">
        <v>0</v>
      </c>
      <c r="H118" s="28">
        <v>0</v>
      </c>
      <c r="I118" s="28">
        <v>12120.813972618693</v>
      </c>
      <c r="J118" s="28">
        <f t="shared" si="1"/>
        <v>192201.47870866786</v>
      </c>
      <c r="K118" s="2"/>
    </row>
    <row r="119" spans="1:11" x14ac:dyDescent="0.3">
      <c r="A119">
        <v>2199</v>
      </c>
      <c r="B119" t="s">
        <v>135</v>
      </c>
      <c r="C119" s="28">
        <v>122458.48035239695</v>
      </c>
      <c r="D119" s="28">
        <v>16060.128570806159</v>
      </c>
      <c r="E119" s="28">
        <v>2007.5160713507698</v>
      </c>
      <c r="F119" s="28">
        <v>0</v>
      </c>
      <c r="G119" s="28">
        <v>0</v>
      </c>
      <c r="H119" s="28">
        <v>0</v>
      </c>
      <c r="I119" s="28">
        <v>2007.5160713507698</v>
      </c>
      <c r="J119" s="28">
        <f t="shared" si="1"/>
        <v>142533.64106590467</v>
      </c>
      <c r="K119" s="2"/>
    </row>
    <row r="120" spans="1:11" x14ac:dyDescent="0.3">
      <c r="A120">
        <v>2254</v>
      </c>
      <c r="B120" t="s">
        <v>163</v>
      </c>
      <c r="C120" s="28">
        <v>878827.04989144136</v>
      </c>
      <c r="D120" s="28">
        <v>220962.22968699102</v>
      </c>
      <c r="E120" s="28">
        <v>1673.9562855075076</v>
      </c>
      <c r="F120" s="28">
        <v>0</v>
      </c>
      <c r="G120" s="28">
        <v>0</v>
      </c>
      <c r="H120" s="28">
        <v>0</v>
      </c>
      <c r="I120" s="28">
        <v>61936.382563777777</v>
      </c>
      <c r="J120" s="28">
        <f t="shared" si="1"/>
        <v>1163399.6184277176</v>
      </c>
      <c r="K120" s="2"/>
    </row>
    <row r="121" spans="1:11" x14ac:dyDescent="0.3">
      <c r="A121">
        <v>1966</v>
      </c>
      <c r="B121" t="s">
        <v>26</v>
      </c>
      <c r="C121" s="28">
        <v>744292.69307222415</v>
      </c>
      <c r="D121" s="28">
        <v>148858.53861444478</v>
      </c>
      <c r="E121" s="28">
        <v>0</v>
      </c>
      <c r="F121" s="28">
        <v>7918.0073731087668</v>
      </c>
      <c r="G121" s="28">
        <v>0</v>
      </c>
      <c r="H121" s="28">
        <v>0</v>
      </c>
      <c r="I121" s="28">
        <v>36422.833916300326</v>
      </c>
      <c r="J121" s="28">
        <f t="shared" si="1"/>
        <v>937492.07297607802</v>
      </c>
      <c r="K121" s="2"/>
    </row>
    <row r="122" spans="1:11" x14ac:dyDescent="0.3">
      <c r="A122">
        <v>1924</v>
      </c>
      <c r="B122" t="s">
        <v>9</v>
      </c>
      <c r="C122" s="28">
        <v>3410708.0881791371</v>
      </c>
      <c r="D122" s="28">
        <v>827240.48312516045</v>
      </c>
      <c r="E122" s="28">
        <v>2949.1639327100193</v>
      </c>
      <c r="F122" s="28">
        <v>0</v>
      </c>
      <c r="G122" s="28">
        <v>0</v>
      </c>
      <c r="H122" s="28">
        <v>0</v>
      </c>
      <c r="I122" s="28">
        <v>333255.52439623215</v>
      </c>
      <c r="J122" s="28">
        <f t="shared" si="1"/>
        <v>4574153.2596332394</v>
      </c>
      <c r="K122" s="2"/>
    </row>
    <row r="123" spans="1:11" x14ac:dyDescent="0.3">
      <c r="A123">
        <v>1996</v>
      </c>
      <c r="B123" t="s">
        <v>36</v>
      </c>
      <c r="C123" s="28">
        <v>95106.922135821049</v>
      </c>
      <c r="D123" s="28">
        <v>13168.650757267527</v>
      </c>
      <c r="E123" s="28">
        <v>0</v>
      </c>
      <c r="F123" s="28">
        <v>0</v>
      </c>
      <c r="G123" s="28">
        <v>0</v>
      </c>
      <c r="H123" s="28">
        <v>0</v>
      </c>
      <c r="I123" s="28">
        <v>11705.46733979336</v>
      </c>
      <c r="J123" s="28">
        <f t="shared" si="1"/>
        <v>119981.04023288195</v>
      </c>
      <c r="K123" s="2"/>
    </row>
    <row r="124" spans="1:11" x14ac:dyDescent="0.3">
      <c r="A124">
        <v>2061</v>
      </c>
      <c r="B124" t="s">
        <v>77</v>
      </c>
      <c r="C124" s="28">
        <v>62296.340370035912</v>
      </c>
      <c r="D124" s="28">
        <v>15574.085092508978</v>
      </c>
      <c r="E124" s="28">
        <v>0</v>
      </c>
      <c r="F124" s="28">
        <v>0</v>
      </c>
      <c r="G124" s="28">
        <v>0</v>
      </c>
      <c r="H124" s="28">
        <v>0</v>
      </c>
      <c r="I124" s="28">
        <v>7787.042546254489</v>
      </c>
      <c r="J124" s="28">
        <f t="shared" si="1"/>
        <v>85657.468008799391</v>
      </c>
      <c r="K124" s="2"/>
    </row>
    <row r="125" spans="1:11" x14ac:dyDescent="0.3">
      <c r="A125">
        <v>2141</v>
      </c>
      <c r="B125" t="s">
        <v>114</v>
      </c>
      <c r="C125" s="28">
        <v>335837.75140472042</v>
      </c>
      <c r="D125" s="28">
        <v>94843.068683740494</v>
      </c>
      <c r="E125" s="28">
        <v>3109.6088093029666</v>
      </c>
      <c r="F125" s="28">
        <v>0</v>
      </c>
      <c r="G125" s="28">
        <v>0</v>
      </c>
      <c r="H125" s="28">
        <v>0</v>
      </c>
      <c r="I125" s="28">
        <v>6219.2176186059332</v>
      </c>
      <c r="J125" s="28">
        <f t="shared" si="1"/>
        <v>440009.64651636983</v>
      </c>
      <c r="K125" s="2"/>
    </row>
    <row r="126" spans="1:11" x14ac:dyDescent="0.3">
      <c r="A126">
        <v>2214</v>
      </c>
      <c r="B126" t="s">
        <v>142</v>
      </c>
      <c r="C126" s="28">
        <v>60882.106775268461</v>
      </c>
      <c r="D126" s="28">
        <v>3581.3003985452037</v>
      </c>
      <c r="E126" s="28">
        <v>0</v>
      </c>
      <c r="F126" s="28">
        <v>0</v>
      </c>
      <c r="G126" s="28">
        <v>0</v>
      </c>
      <c r="H126" s="28">
        <v>0</v>
      </c>
      <c r="I126" s="28">
        <v>1790.6501992726019</v>
      </c>
      <c r="J126" s="28">
        <f t="shared" si="1"/>
        <v>66254.057373086267</v>
      </c>
      <c r="K126" s="2"/>
    </row>
    <row r="127" spans="1:11" x14ac:dyDescent="0.3">
      <c r="A127">
        <v>2143</v>
      </c>
      <c r="B127" t="s">
        <v>116</v>
      </c>
      <c r="C127" s="28">
        <v>531944.48858673812</v>
      </c>
      <c r="D127" s="28">
        <v>84627.53227516287</v>
      </c>
      <c r="E127" s="28">
        <v>0</v>
      </c>
      <c r="F127" s="28">
        <v>0</v>
      </c>
      <c r="G127" s="28">
        <v>0</v>
      </c>
      <c r="H127" s="28">
        <v>0</v>
      </c>
      <c r="I127" s="28">
        <v>15543.832458703386</v>
      </c>
      <c r="J127" s="28">
        <f t="shared" si="1"/>
        <v>632115.85332060442</v>
      </c>
      <c r="K127" s="2"/>
    </row>
    <row r="128" spans="1:11" x14ac:dyDescent="0.3">
      <c r="A128">
        <v>4131</v>
      </c>
      <c r="B128" t="s">
        <v>225</v>
      </c>
      <c r="C128" s="28">
        <v>658179.95106895175</v>
      </c>
      <c r="D128" s="28">
        <v>103309.25814246837</v>
      </c>
      <c r="E128" s="28">
        <v>0</v>
      </c>
      <c r="F128" s="28">
        <v>4998.8350714097587</v>
      </c>
      <c r="G128" s="28">
        <v>0</v>
      </c>
      <c r="H128" s="28">
        <v>0</v>
      </c>
      <c r="I128" s="28">
        <v>98310.423071058583</v>
      </c>
      <c r="J128" s="28">
        <f t="shared" si="1"/>
        <v>864798.46735388844</v>
      </c>
      <c r="K128" s="2"/>
    </row>
    <row r="129" spans="1:11" x14ac:dyDescent="0.3">
      <c r="A129">
        <v>2110</v>
      </c>
      <c r="B129" t="s">
        <v>103</v>
      </c>
      <c r="C129" s="28">
        <v>259205.87161155712</v>
      </c>
      <c r="D129" s="28">
        <v>3502.7820488048255</v>
      </c>
      <c r="E129" s="28">
        <v>0</v>
      </c>
      <c r="F129" s="28">
        <v>0</v>
      </c>
      <c r="G129" s="28">
        <v>0</v>
      </c>
      <c r="H129" s="28">
        <v>0</v>
      </c>
      <c r="I129" s="28">
        <v>31525.038439243432</v>
      </c>
      <c r="J129" s="28">
        <f t="shared" si="1"/>
        <v>294233.6920996054</v>
      </c>
      <c r="K129" s="2"/>
    </row>
    <row r="130" spans="1:11" x14ac:dyDescent="0.3">
      <c r="A130">
        <v>1990</v>
      </c>
      <c r="B130" t="s">
        <v>33</v>
      </c>
      <c r="C130" s="28">
        <v>163097.0571379399</v>
      </c>
      <c r="D130" s="28">
        <v>15242.715620368213</v>
      </c>
      <c r="E130" s="28">
        <v>0</v>
      </c>
      <c r="F130" s="28">
        <v>0</v>
      </c>
      <c r="G130" s="28">
        <v>0</v>
      </c>
      <c r="H130" s="28">
        <v>0</v>
      </c>
      <c r="I130" s="28">
        <v>10669.90093425775</v>
      </c>
      <c r="J130" s="28">
        <f t="shared" ref="J130:J193" si="2">SUM(C130:I130)</f>
        <v>189009.67369256588</v>
      </c>
      <c r="K130" s="2"/>
    </row>
    <row r="131" spans="1:11" x14ac:dyDescent="0.3">
      <c r="A131">
        <v>2093</v>
      </c>
      <c r="B131" t="s">
        <v>90</v>
      </c>
      <c r="C131" s="28">
        <v>169679.88489645242</v>
      </c>
      <c r="D131" s="28">
        <v>15252.124485074379</v>
      </c>
      <c r="E131" s="28">
        <v>0</v>
      </c>
      <c r="F131" s="28">
        <v>0</v>
      </c>
      <c r="G131" s="28">
        <v>0</v>
      </c>
      <c r="H131" s="28">
        <v>0</v>
      </c>
      <c r="I131" s="28">
        <v>34317.280091417349</v>
      </c>
      <c r="J131" s="28">
        <f t="shared" si="2"/>
        <v>219249.28947294413</v>
      </c>
      <c r="K131" s="2"/>
    </row>
    <row r="132" spans="1:11" x14ac:dyDescent="0.3">
      <c r="A132">
        <v>2108</v>
      </c>
      <c r="B132" t="s">
        <v>226</v>
      </c>
      <c r="C132" s="28">
        <v>574323.20460974204</v>
      </c>
      <c r="D132" s="28">
        <v>9598.7165115834323</v>
      </c>
      <c r="E132" s="28">
        <v>0</v>
      </c>
      <c r="F132" s="28">
        <v>0</v>
      </c>
      <c r="G132" s="28">
        <v>0</v>
      </c>
      <c r="H132" s="28">
        <v>0</v>
      </c>
      <c r="I132" s="28">
        <v>65591.229495820124</v>
      </c>
      <c r="J132" s="28">
        <f t="shared" si="2"/>
        <v>649513.15061714558</v>
      </c>
      <c r="K132" s="2"/>
    </row>
    <row r="133" spans="1:11" x14ac:dyDescent="0.3">
      <c r="A133">
        <v>1928</v>
      </c>
      <c r="B133" t="s">
        <v>13</v>
      </c>
      <c r="C133" s="28">
        <v>1495209.5279253516</v>
      </c>
      <c r="D133" s="28">
        <v>370942.6916273823</v>
      </c>
      <c r="E133" s="28">
        <v>0</v>
      </c>
      <c r="F133" s="28">
        <v>0</v>
      </c>
      <c r="G133" s="28">
        <v>4902.3263210667265</v>
      </c>
      <c r="H133" s="28">
        <v>0</v>
      </c>
      <c r="I133" s="28">
        <v>174849.63878471323</v>
      </c>
      <c r="J133" s="28">
        <f t="shared" si="2"/>
        <v>2045904.1846585139</v>
      </c>
      <c r="K133" s="2"/>
    </row>
    <row r="134" spans="1:11" x14ac:dyDescent="0.3">
      <c r="A134">
        <v>1926</v>
      </c>
      <c r="B134" t="s">
        <v>11</v>
      </c>
      <c r="C134" s="28">
        <v>780819.89348272723</v>
      </c>
      <c r="D134" s="28">
        <v>205308.75046026162</v>
      </c>
      <c r="E134" s="28">
        <v>4849.8130029983058</v>
      </c>
      <c r="F134" s="28">
        <v>0</v>
      </c>
      <c r="G134" s="28">
        <v>0</v>
      </c>
      <c r="H134" s="28">
        <v>0</v>
      </c>
      <c r="I134" s="28">
        <v>61430.964704645216</v>
      </c>
      <c r="J134" s="28">
        <f t="shared" si="2"/>
        <v>1052409.4216506323</v>
      </c>
      <c r="K134" s="2"/>
    </row>
    <row r="135" spans="1:11" x14ac:dyDescent="0.3">
      <c r="A135">
        <v>2060</v>
      </c>
      <c r="B135" t="s">
        <v>76</v>
      </c>
      <c r="C135" s="28">
        <v>35995.115978056085</v>
      </c>
      <c r="D135" s="28">
        <v>4695.0151275725329</v>
      </c>
      <c r="E135" s="28">
        <v>0</v>
      </c>
      <c r="F135" s="28">
        <v>0</v>
      </c>
      <c r="G135" s="28">
        <v>0</v>
      </c>
      <c r="H135" s="28">
        <v>0</v>
      </c>
      <c r="I135" s="28">
        <v>0</v>
      </c>
      <c r="J135" s="28">
        <f t="shared" si="2"/>
        <v>40690.131105628621</v>
      </c>
      <c r="K135" s="2"/>
    </row>
    <row r="136" spans="1:11" x14ac:dyDescent="0.3">
      <c r="A136">
        <v>2181</v>
      </c>
      <c r="B136" t="s">
        <v>122</v>
      </c>
      <c r="C136" s="28">
        <v>514084.78958676779</v>
      </c>
      <c r="D136" s="28">
        <v>180177.62721851349</v>
      </c>
      <c r="E136" s="28">
        <v>0</v>
      </c>
      <c r="F136" s="28">
        <v>4959.0172628948667</v>
      </c>
      <c r="G136" s="28">
        <v>0</v>
      </c>
      <c r="H136" s="28">
        <v>0</v>
      </c>
      <c r="I136" s="28">
        <v>74385.258943423003</v>
      </c>
      <c r="J136" s="28">
        <f t="shared" si="2"/>
        <v>773606.69301159924</v>
      </c>
      <c r="K136" s="2"/>
    </row>
    <row r="137" spans="1:11" x14ac:dyDescent="0.3">
      <c r="A137">
        <v>2207</v>
      </c>
      <c r="B137" t="s">
        <v>227</v>
      </c>
      <c r="C137" s="28">
        <v>678959.38797079597</v>
      </c>
      <c r="D137" s="28">
        <v>113450.79747583995</v>
      </c>
      <c r="E137" s="28">
        <v>0</v>
      </c>
      <c r="F137" s="28">
        <v>6981.5875369747664</v>
      </c>
      <c r="G137" s="28">
        <v>0</v>
      </c>
      <c r="H137" s="28">
        <v>0</v>
      </c>
      <c r="I137" s="28">
        <v>97742.22551764673</v>
      </c>
      <c r="J137" s="28">
        <f t="shared" si="2"/>
        <v>897133.99850125751</v>
      </c>
      <c r="K137" s="2"/>
    </row>
    <row r="138" spans="1:11" x14ac:dyDescent="0.3">
      <c r="A138">
        <v>2192</v>
      </c>
      <c r="B138" t="s">
        <v>131</v>
      </c>
      <c r="C138" s="28">
        <v>31878.653203519749</v>
      </c>
      <c r="D138" s="28">
        <v>11592.237528552636</v>
      </c>
      <c r="E138" s="28">
        <v>0</v>
      </c>
      <c r="F138" s="28">
        <v>0</v>
      </c>
      <c r="G138" s="28">
        <v>0</v>
      </c>
      <c r="H138" s="28">
        <v>0</v>
      </c>
      <c r="I138" s="28">
        <v>0</v>
      </c>
      <c r="J138" s="28">
        <f t="shared" si="2"/>
        <v>43470.890732072381</v>
      </c>
      <c r="K138" s="2"/>
    </row>
    <row r="139" spans="1:11" x14ac:dyDescent="0.3">
      <c r="A139">
        <v>1900</v>
      </c>
      <c r="B139" t="s">
        <v>6</v>
      </c>
      <c r="C139" s="28">
        <v>267344.98909689207</v>
      </c>
      <c r="D139" s="28">
        <v>62496.231217455279</v>
      </c>
      <c r="E139" s="28">
        <v>0</v>
      </c>
      <c r="F139" s="28">
        <v>0</v>
      </c>
      <c r="G139" s="28">
        <v>0</v>
      </c>
      <c r="H139" s="28">
        <v>0</v>
      </c>
      <c r="I139" s="28">
        <v>15624.05780436382</v>
      </c>
      <c r="J139" s="28">
        <f t="shared" si="2"/>
        <v>345465.2781187112</v>
      </c>
      <c r="K139" s="2"/>
    </row>
    <row r="140" spans="1:11" x14ac:dyDescent="0.3">
      <c r="A140">
        <v>2039</v>
      </c>
      <c r="B140" t="s">
        <v>60</v>
      </c>
      <c r="C140" s="28">
        <v>552210.54102738888</v>
      </c>
      <c r="D140" s="28">
        <v>46688.354780741327</v>
      </c>
      <c r="E140" s="28">
        <v>0</v>
      </c>
      <c r="F140" s="28">
        <v>0</v>
      </c>
      <c r="G140" s="28">
        <v>0</v>
      </c>
      <c r="H140" s="28">
        <v>0</v>
      </c>
      <c r="I140" s="28">
        <v>40248.581707535632</v>
      </c>
      <c r="J140" s="28">
        <f t="shared" si="2"/>
        <v>639147.47751566593</v>
      </c>
      <c r="K140" s="2"/>
    </row>
    <row r="141" spans="1:11" x14ac:dyDescent="0.3">
      <c r="A141">
        <v>2202</v>
      </c>
      <c r="B141" t="s">
        <v>137</v>
      </c>
      <c r="C141" s="28">
        <v>87204.838481927873</v>
      </c>
      <c r="D141" s="28">
        <v>6084.0584987391539</v>
      </c>
      <c r="E141" s="28">
        <v>0</v>
      </c>
      <c r="F141" s="28">
        <v>0</v>
      </c>
      <c r="G141" s="28">
        <v>0</v>
      </c>
      <c r="H141" s="28">
        <v>0</v>
      </c>
      <c r="I141" s="28">
        <v>2028.0194995797183</v>
      </c>
      <c r="J141" s="28">
        <f t="shared" si="2"/>
        <v>95316.916480246742</v>
      </c>
      <c r="K141" s="2"/>
    </row>
    <row r="142" spans="1:11" x14ac:dyDescent="0.3">
      <c r="A142">
        <v>2016</v>
      </c>
      <c r="B142" t="s">
        <v>53</v>
      </c>
      <c r="C142" s="28">
        <v>1143.1400000000001</v>
      </c>
      <c r="D142" s="28">
        <v>0</v>
      </c>
      <c r="E142" s="28">
        <v>0</v>
      </c>
      <c r="F142" s="28">
        <v>0</v>
      </c>
      <c r="G142" s="28">
        <v>0</v>
      </c>
      <c r="H142" s="28">
        <v>0</v>
      </c>
      <c r="I142" s="28">
        <v>0</v>
      </c>
      <c r="J142" s="28">
        <f t="shared" si="2"/>
        <v>1143.1400000000001</v>
      </c>
      <c r="K142" s="2"/>
    </row>
    <row r="143" spans="1:11" x14ac:dyDescent="0.3">
      <c r="A143">
        <v>1897</v>
      </c>
      <c r="B143" t="s">
        <v>228</v>
      </c>
      <c r="C143" s="28">
        <v>54470.051317422287</v>
      </c>
      <c r="D143" s="28">
        <v>3112.5743609955589</v>
      </c>
      <c r="E143" s="28">
        <v>0</v>
      </c>
      <c r="F143" s="28">
        <v>0</v>
      </c>
      <c r="G143" s="28">
        <v>0</v>
      </c>
      <c r="H143" s="28">
        <v>0</v>
      </c>
      <c r="I143" s="28">
        <v>1556.2871804977794</v>
      </c>
      <c r="J143" s="28">
        <f t="shared" si="2"/>
        <v>59138.912858915624</v>
      </c>
      <c r="K143" s="2"/>
    </row>
    <row r="144" spans="1:11" x14ac:dyDescent="0.3">
      <c r="A144">
        <v>2047</v>
      </c>
      <c r="B144" t="s">
        <v>67</v>
      </c>
      <c r="C144" s="28">
        <v>6526.4053821381594</v>
      </c>
      <c r="D144" s="28">
        <v>0</v>
      </c>
      <c r="E144" s="28">
        <v>0</v>
      </c>
      <c r="F144" s="28">
        <v>0</v>
      </c>
      <c r="G144" s="28">
        <v>0</v>
      </c>
      <c r="H144" s="28">
        <v>0</v>
      </c>
      <c r="I144" s="28">
        <v>0</v>
      </c>
      <c r="J144" s="28">
        <f t="shared" si="2"/>
        <v>6526.4053821381594</v>
      </c>
      <c r="K144" s="2"/>
    </row>
    <row r="145" spans="1:11" x14ac:dyDescent="0.3">
      <c r="A145">
        <v>2081</v>
      </c>
      <c r="B145" t="s">
        <v>80</v>
      </c>
      <c r="C145" s="28">
        <v>225891.17221277981</v>
      </c>
      <c r="D145" s="28">
        <v>26772.287077070199</v>
      </c>
      <c r="E145" s="28">
        <v>0</v>
      </c>
      <c r="F145" s="28">
        <v>0</v>
      </c>
      <c r="G145" s="28">
        <v>0</v>
      </c>
      <c r="H145" s="28">
        <v>0</v>
      </c>
      <c r="I145" s="28">
        <v>16732.679423168876</v>
      </c>
      <c r="J145" s="28">
        <f t="shared" si="2"/>
        <v>269396.13871301891</v>
      </c>
      <c r="K145" s="2"/>
    </row>
    <row r="146" spans="1:11" x14ac:dyDescent="0.3">
      <c r="A146">
        <v>2062</v>
      </c>
      <c r="B146" t="s">
        <v>78</v>
      </c>
      <c r="C146" s="28">
        <v>3263.2026910690797</v>
      </c>
      <c r="D146" s="28">
        <v>0</v>
      </c>
      <c r="E146" s="28">
        <v>0</v>
      </c>
      <c r="F146" s="28">
        <v>0</v>
      </c>
      <c r="G146" s="28">
        <v>0</v>
      </c>
      <c r="H146" s="28">
        <v>0</v>
      </c>
      <c r="I146" s="28">
        <v>0</v>
      </c>
      <c r="J146" s="28">
        <f t="shared" si="2"/>
        <v>3263.2026910690797</v>
      </c>
      <c r="K146" s="2"/>
    </row>
    <row r="147" spans="1:11" x14ac:dyDescent="0.3">
      <c r="A147">
        <v>1973</v>
      </c>
      <c r="B147" t="s">
        <v>229</v>
      </c>
      <c r="C147" s="28">
        <v>63198.789967796067</v>
      </c>
      <c r="D147" s="28">
        <v>17015.058837483557</v>
      </c>
      <c r="E147" s="28">
        <v>0</v>
      </c>
      <c r="F147" s="28">
        <v>0</v>
      </c>
      <c r="G147" s="28">
        <v>0</v>
      </c>
      <c r="H147" s="28">
        <v>0</v>
      </c>
      <c r="I147" s="28">
        <v>0</v>
      </c>
      <c r="J147" s="28">
        <f t="shared" si="2"/>
        <v>80213.848805279616</v>
      </c>
      <c r="K147" s="2"/>
    </row>
    <row r="148" spans="1:11" x14ac:dyDescent="0.3">
      <c r="A148">
        <v>2180</v>
      </c>
      <c r="B148" t="s">
        <v>121</v>
      </c>
      <c r="C148" s="28">
        <v>9750507.9914116599</v>
      </c>
      <c r="D148" s="28">
        <v>2228090.0128865121</v>
      </c>
      <c r="E148" s="28">
        <v>8043.6462559079846</v>
      </c>
      <c r="F148" s="28">
        <v>48261.877535447908</v>
      </c>
      <c r="G148" s="28">
        <v>4826.1877535447911</v>
      </c>
      <c r="H148" s="28">
        <v>0</v>
      </c>
      <c r="I148" s="28">
        <v>865496.33713569923</v>
      </c>
      <c r="J148" s="28">
        <f t="shared" si="2"/>
        <v>12905226.052978773</v>
      </c>
      <c r="K148" s="2"/>
    </row>
    <row r="149" spans="1:11" x14ac:dyDescent="0.3">
      <c r="A149">
        <v>1967</v>
      </c>
      <c r="B149" t="s">
        <v>27</v>
      </c>
      <c r="C149" s="28">
        <v>32080.402724957719</v>
      </c>
      <c r="D149" s="28">
        <v>3564.4891916619686</v>
      </c>
      <c r="E149" s="28">
        <v>0</v>
      </c>
      <c r="F149" s="28">
        <v>0</v>
      </c>
      <c r="G149" s="28">
        <v>0</v>
      </c>
      <c r="H149" s="28">
        <v>0</v>
      </c>
      <c r="I149" s="28">
        <v>1782.2445958309843</v>
      </c>
      <c r="J149" s="28">
        <f t="shared" si="2"/>
        <v>37427.13651245067</v>
      </c>
      <c r="K149" s="2"/>
    </row>
    <row r="150" spans="1:11" x14ac:dyDescent="0.3">
      <c r="A150">
        <v>2009</v>
      </c>
      <c r="B150" t="s">
        <v>47</v>
      </c>
      <c r="C150" s="28">
        <v>184541.87322823319</v>
      </c>
      <c r="D150" s="28">
        <v>2563.0815726143496</v>
      </c>
      <c r="E150" s="28">
        <v>0</v>
      </c>
      <c r="F150" s="28">
        <v>0</v>
      </c>
      <c r="G150" s="28">
        <v>0</v>
      </c>
      <c r="H150" s="28">
        <v>0</v>
      </c>
      <c r="I150" s="28">
        <v>1281.5407863071748</v>
      </c>
      <c r="J150" s="28">
        <f t="shared" si="2"/>
        <v>188386.49558715473</v>
      </c>
      <c r="K150" s="2"/>
    </row>
    <row r="151" spans="1:11" x14ac:dyDescent="0.3">
      <c r="A151">
        <v>2045</v>
      </c>
      <c r="B151" t="s">
        <v>65</v>
      </c>
      <c r="C151" s="28">
        <v>33869.576137013079</v>
      </c>
      <c r="D151" s="28">
        <v>14725.902668266554</v>
      </c>
      <c r="E151" s="28">
        <v>0</v>
      </c>
      <c r="F151" s="28">
        <v>0</v>
      </c>
      <c r="G151" s="28">
        <v>0</v>
      </c>
      <c r="H151" s="28">
        <v>0</v>
      </c>
      <c r="I151" s="28">
        <v>0</v>
      </c>
      <c r="J151" s="28">
        <f t="shared" si="2"/>
        <v>48595.478805279636</v>
      </c>
      <c r="K151" s="2"/>
    </row>
    <row r="152" spans="1:11" x14ac:dyDescent="0.3">
      <c r="A152">
        <v>1946</v>
      </c>
      <c r="B152" t="s">
        <v>21</v>
      </c>
      <c r="C152" s="28">
        <v>254758.54899571463</v>
      </c>
      <c r="D152" s="28">
        <v>25117.040041831024</v>
      </c>
      <c r="E152" s="28">
        <v>0</v>
      </c>
      <c r="F152" s="28">
        <v>0</v>
      </c>
      <c r="G152" s="28">
        <v>0</v>
      </c>
      <c r="H152" s="28">
        <v>0</v>
      </c>
      <c r="I152" s="28">
        <v>23322.965753128807</v>
      </c>
      <c r="J152" s="28">
        <f t="shared" si="2"/>
        <v>303198.55479067448</v>
      </c>
      <c r="K152" s="2"/>
    </row>
    <row r="153" spans="1:11" x14ac:dyDescent="0.3">
      <c r="A153">
        <v>1977</v>
      </c>
      <c r="B153" t="s">
        <v>31</v>
      </c>
      <c r="C153" s="28">
        <v>1111857.9792300179</v>
      </c>
      <c r="D153" s="28">
        <v>240727.03203897545</v>
      </c>
      <c r="E153" s="28">
        <v>3009.0879004871931</v>
      </c>
      <c r="F153" s="28">
        <v>6018.1758009743862</v>
      </c>
      <c r="G153" s="28">
        <v>0</v>
      </c>
      <c r="H153" s="28">
        <v>0</v>
      </c>
      <c r="I153" s="28">
        <v>133904.4115716801</v>
      </c>
      <c r="J153" s="28">
        <f t="shared" si="2"/>
        <v>1495516.6865421352</v>
      </c>
      <c r="K153" s="2"/>
    </row>
    <row r="154" spans="1:11" x14ac:dyDescent="0.3">
      <c r="A154">
        <v>2001</v>
      </c>
      <c r="B154" t="s">
        <v>41</v>
      </c>
      <c r="C154" s="28">
        <v>185753.92106727595</v>
      </c>
      <c r="D154" s="28">
        <v>22781.141262967802</v>
      </c>
      <c r="E154" s="28">
        <v>0</v>
      </c>
      <c r="F154" s="28">
        <v>0</v>
      </c>
      <c r="G154" s="28">
        <v>0</v>
      </c>
      <c r="H154" s="28">
        <v>0</v>
      </c>
      <c r="I154" s="28">
        <v>17523.954817667542</v>
      </c>
      <c r="J154" s="28">
        <f t="shared" si="2"/>
        <v>226059.01714791131</v>
      </c>
      <c r="K154" s="2"/>
    </row>
    <row r="155" spans="1:11" x14ac:dyDescent="0.3">
      <c r="A155">
        <v>2182</v>
      </c>
      <c r="B155" t="s">
        <v>123</v>
      </c>
      <c r="C155" s="28">
        <v>1933515.9923016105</v>
      </c>
      <c r="D155" s="28">
        <v>571581.22162860364</v>
      </c>
      <c r="E155" s="28">
        <v>4621.9505792070377</v>
      </c>
      <c r="F155" s="28">
        <v>0</v>
      </c>
      <c r="G155" s="28">
        <v>0</v>
      </c>
      <c r="H155" s="28">
        <v>0</v>
      </c>
      <c r="I155" s="28">
        <v>274235.73436628422</v>
      </c>
      <c r="J155" s="28">
        <f t="shared" si="2"/>
        <v>2783954.8988757054</v>
      </c>
      <c r="K155" s="2"/>
    </row>
    <row r="156" spans="1:11" x14ac:dyDescent="0.3">
      <c r="A156">
        <v>1999</v>
      </c>
      <c r="B156" t="s">
        <v>39</v>
      </c>
      <c r="C156" s="28">
        <v>105559.48753544682</v>
      </c>
      <c r="D156" s="28">
        <v>12604.117914680217</v>
      </c>
      <c r="E156" s="28">
        <v>0</v>
      </c>
      <c r="F156" s="28">
        <v>0</v>
      </c>
      <c r="G156" s="28">
        <v>0</v>
      </c>
      <c r="H156" s="28">
        <v>0</v>
      </c>
      <c r="I156" s="28">
        <v>9453.0884360101627</v>
      </c>
      <c r="J156" s="28">
        <f t="shared" si="2"/>
        <v>127616.6938861372</v>
      </c>
      <c r="K156" s="2"/>
    </row>
    <row r="157" spans="1:11" x14ac:dyDescent="0.3">
      <c r="A157">
        <v>2188</v>
      </c>
      <c r="B157" t="s">
        <v>128</v>
      </c>
      <c r="C157" s="28">
        <v>88037.193390937537</v>
      </c>
      <c r="D157" s="28">
        <v>0</v>
      </c>
      <c r="E157" s="28">
        <v>0</v>
      </c>
      <c r="F157" s="28">
        <v>0</v>
      </c>
      <c r="G157" s="28">
        <v>0</v>
      </c>
      <c r="H157" s="28">
        <v>0</v>
      </c>
      <c r="I157" s="28">
        <v>0</v>
      </c>
      <c r="J157" s="28">
        <f t="shared" si="2"/>
        <v>88037.193390937537</v>
      </c>
      <c r="K157" s="2"/>
    </row>
    <row r="158" spans="1:11" x14ac:dyDescent="0.3">
      <c r="A158">
        <v>2044</v>
      </c>
      <c r="B158" t="s">
        <v>64</v>
      </c>
      <c r="C158" s="28">
        <v>215927.03408852051</v>
      </c>
      <c r="D158" s="28">
        <v>46867.883368050963</v>
      </c>
      <c r="E158" s="28">
        <v>0</v>
      </c>
      <c r="F158" s="28">
        <v>0</v>
      </c>
      <c r="G158" s="28">
        <v>0</v>
      </c>
      <c r="H158" s="28">
        <v>0</v>
      </c>
      <c r="I158" s="28">
        <v>8369.2648871519577</v>
      </c>
      <c r="J158" s="28">
        <f t="shared" si="2"/>
        <v>271164.18234372343</v>
      </c>
      <c r="K158" s="2"/>
    </row>
    <row r="159" spans="1:11" x14ac:dyDescent="0.3">
      <c r="A159">
        <v>2142</v>
      </c>
      <c r="B159" t="s">
        <v>115</v>
      </c>
      <c r="C159" s="28">
        <v>9538076.8020233512</v>
      </c>
      <c r="D159" s="28">
        <v>461591.43201974331</v>
      </c>
      <c r="E159" s="28">
        <v>31068.654078251955</v>
      </c>
      <c r="F159" s="28">
        <v>0</v>
      </c>
      <c r="G159" s="28">
        <v>2958.9194360239953</v>
      </c>
      <c r="H159" s="28">
        <v>0</v>
      </c>
      <c r="I159" s="28">
        <v>372823.84893902345</v>
      </c>
      <c r="J159" s="28">
        <f t="shared" si="2"/>
        <v>10406519.656496396</v>
      </c>
      <c r="K159" s="2"/>
    </row>
    <row r="160" spans="1:11" x14ac:dyDescent="0.3">
      <c r="A160">
        <v>2104</v>
      </c>
      <c r="B160" t="s">
        <v>99</v>
      </c>
      <c r="C160" s="28">
        <v>601508.59946600161</v>
      </c>
      <c r="D160" s="28">
        <v>108979.20507972264</v>
      </c>
      <c r="E160" s="28">
        <v>0</v>
      </c>
      <c r="F160" s="28">
        <v>0</v>
      </c>
      <c r="G160" s="28">
        <v>0</v>
      </c>
      <c r="H160" s="28">
        <v>0</v>
      </c>
      <c r="I160" s="28">
        <v>1415.3143516847094</v>
      </c>
      <c r="J160" s="28">
        <f t="shared" si="2"/>
        <v>711903.11889740906</v>
      </c>
      <c r="K160" s="2"/>
    </row>
    <row r="161" spans="1:11" x14ac:dyDescent="0.3">
      <c r="A161">
        <v>1944</v>
      </c>
      <c r="B161" t="s">
        <v>19</v>
      </c>
      <c r="C161" s="28">
        <v>489133.02832354722</v>
      </c>
      <c r="D161" s="28">
        <v>56667.850842362168</v>
      </c>
      <c r="E161" s="28">
        <v>1491.2592326937415</v>
      </c>
      <c r="F161" s="28">
        <v>0</v>
      </c>
      <c r="G161" s="28">
        <v>0</v>
      </c>
      <c r="H161" s="28">
        <v>0</v>
      </c>
      <c r="I161" s="28">
        <v>50702.813911587211</v>
      </c>
      <c r="J161" s="28">
        <f t="shared" si="2"/>
        <v>597994.9523101903</v>
      </c>
      <c r="K161" s="2"/>
    </row>
    <row r="162" spans="1:11" x14ac:dyDescent="0.3">
      <c r="A162">
        <v>2103</v>
      </c>
      <c r="B162" t="s">
        <v>98</v>
      </c>
      <c r="C162" s="28">
        <v>301329.69125765242</v>
      </c>
      <c r="D162" s="28">
        <v>11252.976022070008</v>
      </c>
      <c r="E162" s="28">
        <v>0</v>
      </c>
      <c r="F162" s="28">
        <v>0</v>
      </c>
      <c r="G162" s="28">
        <v>0</v>
      </c>
      <c r="H162" s="28">
        <v>0</v>
      </c>
      <c r="I162" s="28">
        <v>3750.9920073566686</v>
      </c>
      <c r="J162" s="28">
        <f t="shared" si="2"/>
        <v>316333.65928707906</v>
      </c>
      <c r="K162" s="2"/>
    </row>
    <row r="163" spans="1:11" x14ac:dyDescent="0.3">
      <c r="A163">
        <v>1935</v>
      </c>
      <c r="B163" t="s">
        <v>18</v>
      </c>
      <c r="C163" s="28">
        <v>294974.03517281258</v>
      </c>
      <c r="D163" s="28">
        <v>51749.830732072398</v>
      </c>
      <c r="E163" s="28">
        <v>0</v>
      </c>
      <c r="F163" s="28">
        <v>0</v>
      </c>
      <c r="G163" s="28">
        <v>0</v>
      </c>
      <c r="H163" s="28">
        <v>0</v>
      </c>
      <c r="I163" s="28">
        <v>25874.915366036199</v>
      </c>
      <c r="J163" s="28">
        <f t="shared" si="2"/>
        <v>372598.78127092117</v>
      </c>
      <c r="K163" s="2"/>
    </row>
    <row r="164" spans="1:11" x14ac:dyDescent="0.3">
      <c r="A164">
        <v>2257</v>
      </c>
      <c r="B164" t="s">
        <v>166</v>
      </c>
      <c r="C164" s="28">
        <v>180158.07746892772</v>
      </c>
      <c r="D164" s="28">
        <v>51712.040754969988</v>
      </c>
      <c r="E164" s="28">
        <v>0</v>
      </c>
      <c r="F164" s="28">
        <v>0</v>
      </c>
      <c r="G164" s="28">
        <v>0</v>
      </c>
      <c r="H164" s="28">
        <v>0</v>
      </c>
      <c r="I164" s="28">
        <v>6672.5213877380638</v>
      </c>
      <c r="J164" s="28">
        <f t="shared" si="2"/>
        <v>238542.63961163576</v>
      </c>
      <c r="K164" s="2"/>
    </row>
    <row r="165" spans="1:11" x14ac:dyDescent="0.3">
      <c r="A165">
        <v>2195</v>
      </c>
      <c r="B165" t="s">
        <v>230</v>
      </c>
      <c r="C165" s="28">
        <v>70307.820512860402</v>
      </c>
      <c r="D165" s="28">
        <v>0</v>
      </c>
      <c r="E165" s="28">
        <v>0</v>
      </c>
      <c r="F165" s="28">
        <v>0</v>
      </c>
      <c r="G165" s="28">
        <v>0</v>
      </c>
      <c r="H165" s="28">
        <v>0</v>
      </c>
      <c r="I165" s="28">
        <v>17148.248905575707</v>
      </c>
      <c r="J165" s="28">
        <f t="shared" si="2"/>
        <v>87456.069418436105</v>
      </c>
      <c r="K165" s="2"/>
    </row>
    <row r="166" spans="1:11" x14ac:dyDescent="0.3">
      <c r="A166">
        <v>2244</v>
      </c>
      <c r="B166" t="s">
        <v>156</v>
      </c>
      <c r="C166" s="28">
        <v>639016.89038757468</v>
      </c>
      <c r="D166" s="28">
        <v>158327.84560942143</v>
      </c>
      <c r="E166" s="28">
        <v>2852.7539749445295</v>
      </c>
      <c r="F166" s="28">
        <v>0</v>
      </c>
      <c r="G166" s="28">
        <v>0</v>
      </c>
      <c r="H166" s="28">
        <v>0</v>
      </c>
      <c r="I166" s="28">
        <v>47070.440586584737</v>
      </c>
      <c r="J166" s="28">
        <f t="shared" si="2"/>
        <v>847267.93055852538</v>
      </c>
      <c r="K166" s="2"/>
    </row>
    <row r="167" spans="1:11" x14ac:dyDescent="0.3">
      <c r="A167">
        <v>2138</v>
      </c>
      <c r="B167" t="s">
        <v>111</v>
      </c>
      <c r="C167" s="28">
        <v>665925.12258916162</v>
      </c>
      <c r="D167" s="28">
        <v>102815.04268003683</v>
      </c>
      <c r="E167" s="28">
        <v>0</v>
      </c>
      <c r="F167" s="28">
        <v>0</v>
      </c>
      <c r="G167" s="28">
        <v>0</v>
      </c>
      <c r="H167" s="28">
        <v>0</v>
      </c>
      <c r="I167" s="28">
        <v>14235.928986466635</v>
      </c>
      <c r="J167" s="28">
        <f t="shared" si="2"/>
        <v>782976.09425566508</v>
      </c>
      <c r="K167" s="2"/>
    </row>
    <row r="168" spans="1:11" x14ac:dyDescent="0.3">
      <c r="A168">
        <v>1978</v>
      </c>
      <c r="B168" t="s">
        <v>32</v>
      </c>
      <c r="C168" s="28">
        <v>205548.84280079126</v>
      </c>
      <c r="D168" s="28">
        <v>35328.707356385996</v>
      </c>
      <c r="E168" s="28">
        <v>0</v>
      </c>
      <c r="F168" s="28">
        <v>0</v>
      </c>
      <c r="G168" s="28">
        <v>0</v>
      </c>
      <c r="H168" s="28">
        <v>0</v>
      </c>
      <c r="I168" s="28">
        <v>11240.952340668269</v>
      </c>
      <c r="J168" s="28">
        <f t="shared" si="2"/>
        <v>252118.50249784553</v>
      </c>
      <c r="K168" s="2"/>
    </row>
    <row r="169" spans="1:11" x14ac:dyDescent="0.3">
      <c r="A169">
        <v>2096</v>
      </c>
      <c r="B169" t="s">
        <v>93</v>
      </c>
      <c r="C169" s="28">
        <v>309010.87998984067</v>
      </c>
      <c r="D169" s="28">
        <v>3185.6791751529972</v>
      </c>
      <c r="E169" s="28">
        <v>0</v>
      </c>
      <c r="F169" s="28">
        <v>0</v>
      </c>
      <c r="G169" s="28">
        <v>0</v>
      </c>
      <c r="H169" s="28">
        <v>0</v>
      </c>
      <c r="I169" s="28">
        <v>35042.470926682974</v>
      </c>
      <c r="J169" s="28">
        <f t="shared" si="2"/>
        <v>347239.03009167669</v>
      </c>
      <c r="K169" s="2"/>
    </row>
    <row r="170" spans="1:11" x14ac:dyDescent="0.3">
      <c r="A170">
        <v>2022</v>
      </c>
      <c r="B170" t="s">
        <v>59</v>
      </c>
      <c r="C170" s="28">
        <v>2744.8626910690796</v>
      </c>
      <c r="D170" s="28">
        <v>0</v>
      </c>
      <c r="E170" s="28">
        <v>0</v>
      </c>
      <c r="F170" s="28">
        <v>0</v>
      </c>
      <c r="G170" s="28">
        <v>0</v>
      </c>
      <c r="H170" s="28">
        <v>0</v>
      </c>
      <c r="I170" s="28">
        <v>0</v>
      </c>
      <c r="J170" s="28">
        <f t="shared" si="2"/>
        <v>2744.8626910690796</v>
      </c>
      <c r="K170" s="2"/>
    </row>
    <row r="171" spans="1:11" x14ac:dyDescent="0.3">
      <c r="A171">
        <v>2087</v>
      </c>
      <c r="B171" t="s">
        <v>231</v>
      </c>
      <c r="C171" s="28">
        <v>807025.71772035689</v>
      </c>
      <c r="D171" s="28">
        <v>0</v>
      </c>
      <c r="E171" s="28">
        <v>0</v>
      </c>
      <c r="F171" s="28">
        <v>0</v>
      </c>
      <c r="G171" s="28">
        <v>0</v>
      </c>
      <c r="H171" s="28">
        <v>0</v>
      </c>
      <c r="I171" s="28">
        <v>87374.831642952049</v>
      </c>
      <c r="J171" s="28">
        <f t="shared" si="2"/>
        <v>894400.54936330894</v>
      </c>
      <c r="K171" s="2"/>
    </row>
    <row r="172" spans="1:11" x14ac:dyDescent="0.3">
      <c r="A172">
        <v>1994</v>
      </c>
      <c r="B172" t="s">
        <v>35</v>
      </c>
      <c r="C172" s="28">
        <v>356950.65780346491</v>
      </c>
      <c r="D172" s="28">
        <v>55886.214100542493</v>
      </c>
      <c r="E172" s="28">
        <v>0</v>
      </c>
      <c r="F172" s="28">
        <v>0</v>
      </c>
      <c r="G172" s="28">
        <v>0</v>
      </c>
      <c r="H172" s="28">
        <v>0</v>
      </c>
      <c r="I172" s="28">
        <v>41463.965300402488</v>
      </c>
      <c r="J172" s="28">
        <f t="shared" si="2"/>
        <v>454300.83720440988</v>
      </c>
      <c r="K172" s="2"/>
    </row>
    <row r="173" spans="1:11" x14ac:dyDescent="0.3">
      <c r="A173">
        <v>2225</v>
      </c>
      <c r="B173" t="s">
        <v>232</v>
      </c>
      <c r="C173" s="28">
        <v>66656.356452954948</v>
      </c>
      <c r="D173" s="28">
        <v>16664.089113238737</v>
      </c>
      <c r="E173" s="28">
        <v>0</v>
      </c>
      <c r="F173" s="28">
        <v>0</v>
      </c>
      <c r="G173" s="28">
        <v>0</v>
      </c>
      <c r="H173" s="28">
        <v>0</v>
      </c>
      <c r="I173" s="28">
        <v>3703.1309140530529</v>
      </c>
      <c r="J173" s="28">
        <f t="shared" si="2"/>
        <v>87023.576480246731</v>
      </c>
      <c r="K173" s="2"/>
    </row>
    <row r="174" spans="1:11" x14ac:dyDescent="0.3">
      <c r="A174">
        <v>2247</v>
      </c>
      <c r="B174" t="s">
        <v>158</v>
      </c>
      <c r="C174" s="28">
        <v>9212.5161464144785</v>
      </c>
      <c r="D174" s="28">
        <v>0</v>
      </c>
      <c r="E174" s="28">
        <v>0</v>
      </c>
      <c r="F174" s="28">
        <v>0</v>
      </c>
      <c r="G174" s="28">
        <v>0</v>
      </c>
      <c r="H174" s="28">
        <v>0</v>
      </c>
      <c r="I174" s="28">
        <v>0</v>
      </c>
      <c r="J174" s="28">
        <f t="shared" si="2"/>
        <v>9212.5161464144785</v>
      </c>
      <c r="K174" s="2"/>
    </row>
    <row r="175" spans="1:11" x14ac:dyDescent="0.3">
      <c r="A175">
        <v>2083</v>
      </c>
      <c r="B175" t="s">
        <v>82</v>
      </c>
      <c r="C175" s="28">
        <v>2558734.1306141601</v>
      </c>
      <c r="D175" s="28">
        <v>24618.994200905967</v>
      </c>
      <c r="E175" s="28">
        <v>9847.5976803623853</v>
      </c>
      <c r="F175" s="28">
        <v>49237.988401811934</v>
      </c>
      <c r="G175" s="28">
        <v>0</v>
      </c>
      <c r="H175" s="28">
        <v>0</v>
      </c>
      <c r="I175" s="28">
        <v>438218.09677612624</v>
      </c>
      <c r="J175" s="28">
        <f t="shared" si="2"/>
        <v>3080656.8076733667</v>
      </c>
      <c r="K175" s="2"/>
    </row>
    <row r="176" spans="1:11" x14ac:dyDescent="0.3">
      <c r="A176">
        <v>1948</v>
      </c>
      <c r="B176" t="s">
        <v>23</v>
      </c>
      <c r="C176" s="28">
        <v>672137.96252788929</v>
      </c>
      <c r="D176" s="28">
        <v>165144.46253756492</v>
      </c>
      <c r="E176" s="28">
        <v>1651.4446253756491</v>
      </c>
      <c r="F176" s="28">
        <v>0</v>
      </c>
      <c r="G176" s="28">
        <v>0</v>
      </c>
      <c r="H176" s="28">
        <v>0</v>
      </c>
      <c r="I176" s="28">
        <v>66057.785015025962</v>
      </c>
      <c r="J176" s="28">
        <f t="shared" si="2"/>
        <v>904991.65470585588</v>
      </c>
      <c r="K176" s="2"/>
    </row>
    <row r="177" spans="1:11" x14ac:dyDescent="0.3">
      <c r="A177">
        <v>2144</v>
      </c>
      <c r="B177" t="s">
        <v>117</v>
      </c>
      <c r="C177" s="28">
        <v>43095.552898146168</v>
      </c>
      <c r="D177" s="28">
        <v>7430.2677410596825</v>
      </c>
      <c r="E177" s="28">
        <v>0</v>
      </c>
      <c r="F177" s="28">
        <v>0</v>
      </c>
      <c r="G177" s="28">
        <v>0</v>
      </c>
      <c r="H177" s="28">
        <v>0</v>
      </c>
      <c r="I177" s="28">
        <v>1486.0535482119367</v>
      </c>
      <c r="J177" s="28">
        <f t="shared" si="2"/>
        <v>52011.874187417787</v>
      </c>
      <c r="K177" s="2"/>
    </row>
    <row r="178" spans="1:11" x14ac:dyDescent="0.3">
      <c r="A178">
        <v>2209</v>
      </c>
      <c r="B178" t="s">
        <v>139</v>
      </c>
      <c r="C178" s="28">
        <v>105521.56089311454</v>
      </c>
      <c r="D178" s="28">
        <v>17298.616539854844</v>
      </c>
      <c r="E178" s="28">
        <v>0</v>
      </c>
      <c r="F178" s="28">
        <v>0</v>
      </c>
      <c r="G178" s="28">
        <v>0</v>
      </c>
      <c r="H178" s="28">
        <v>0</v>
      </c>
      <c r="I178" s="28">
        <v>5189.5849619564542</v>
      </c>
      <c r="J178" s="28">
        <f t="shared" si="2"/>
        <v>128009.76239492584</v>
      </c>
      <c r="K178" s="2"/>
    </row>
    <row r="179" spans="1:11" x14ac:dyDescent="0.3">
      <c r="A179">
        <v>2018</v>
      </c>
      <c r="B179" t="s">
        <v>55</v>
      </c>
      <c r="C179" s="28">
        <v>1036.67</v>
      </c>
      <c r="D179" s="28">
        <v>0</v>
      </c>
      <c r="E179" s="28">
        <v>0</v>
      </c>
      <c r="F179" s="28">
        <v>0</v>
      </c>
      <c r="G179" s="28">
        <v>0</v>
      </c>
      <c r="H179" s="28">
        <v>0</v>
      </c>
      <c r="I179" s="28">
        <v>0</v>
      </c>
      <c r="J179" s="28">
        <f t="shared" si="2"/>
        <v>1036.67</v>
      </c>
      <c r="K179" s="2"/>
    </row>
    <row r="180" spans="1:11" x14ac:dyDescent="0.3">
      <c r="A180">
        <v>2003</v>
      </c>
      <c r="B180" t="s">
        <v>43</v>
      </c>
      <c r="C180" s="28">
        <v>317342.42973290518</v>
      </c>
      <c r="D180" s="28">
        <v>42417.057439546727</v>
      </c>
      <c r="E180" s="28">
        <v>0</v>
      </c>
      <c r="F180" s="28">
        <v>0</v>
      </c>
      <c r="G180" s="28">
        <v>0</v>
      </c>
      <c r="H180" s="28">
        <v>0</v>
      </c>
      <c r="I180" s="28">
        <v>31420.042547812391</v>
      </c>
      <c r="J180" s="28">
        <f t="shared" si="2"/>
        <v>391179.52972026431</v>
      </c>
      <c r="K180" s="2"/>
    </row>
    <row r="181" spans="1:11" x14ac:dyDescent="0.3">
      <c r="A181">
        <v>2102</v>
      </c>
      <c r="B181" t="s">
        <v>97</v>
      </c>
      <c r="C181" s="28">
        <v>617644.15456120903</v>
      </c>
      <c r="D181" s="28">
        <v>100702.85128715364</v>
      </c>
      <c r="E181" s="28">
        <v>0</v>
      </c>
      <c r="F181" s="28">
        <v>0</v>
      </c>
      <c r="G181" s="28">
        <v>0</v>
      </c>
      <c r="H181" s="28">
        <v>0</v>
      </c>
      <c r="I181" s="28">
        <v>40281.14051486145</v>
      </c>
      <c r="J181" s="28">
        <f t="shared" si="2"/>
        <v>758628.14636322414</v>
      </c>
      <c r="K181" s="2"/>
    </row>
    <row r="182" spans="1:11" x14ac:dyDescent="0.3">
      <c r="A182">
        <v>2055</v>
      </c>
      <c r="B182" t="s">
        <v>233</v>
      </c>
      <c r="C182" s="28">
        <v>906989.50722453673</v>
      </c>
      <c r="D182" s="28">
        <v>229457.50481576924</v>
      </c>
      <c r="E182" s="28">
        <v>3613.5040128467599</v>
      </c>
      <c r="F182" s="28">
        <v>0</v>
      </c>
      <c r="G182" s="28">
        <v>0</v>
      </c>
      <c r="H182" s="28">
        <v>0</v>
      </c>
      <c r="I182" s="28">
        <v>81303.84028905211</v>
      </c>
      <c r="J182" s="28">
        <f t="shared" si="2"/>
        <v>1221364.3563422048</v>
      </c>
      <c r="K182" s="2"/>
    </row>
    <row r="183" spans="1:11" x14ac:dyDescent="0.3">
      <c r="A183">
        <v>2242</v>
      </c>
      <c r="B183" t="s">
        <v>154</v>
      </c>
      <c r="C183" s="28">
        <v>1720613.3505045709</v>
      </c>
      <c r="D183" s="28">
        <v>552996.37372484326</v>
      </c>
      <c r="E183" s="28">
        <v>4865.0707365821991</v>
      </c>
      <c r="F183" s="28">
        <v>51894.087856876788</v>
      </c>
      <c r="G183" s="28">
        <v>0</v>
      </c>
      <c r="H183" s="28">
        <v>0</v>
      </c>
      <c r="I183" s="28">
        <v>181629.30749906879</v>
      </c>
      <c r="J183" s="28">
        <f t="shared" si="2"/>
        <v>2511998.1903219419</v>
      </c>
      <c r="K183" s="2"/>
    </row>
    <row r="184" spans="1:11" x14ac:dyDescent="0.3">
      <c r="A184">
        <v>2197</v>
      </c>
      <c r="B184" t="s">
        <v>133</v>
      </c>
      <c r="C184" s="28">
        <v>468045.84570075397</v>
      </c>
      <c r="D184" s="28">
        <v>90534.415409269932</v>
      </c>
      <c r="E184" s="28">
        <v>0</v>
      </c>
      <c r="F184" s="28">
        <v>0</v>
      </c>
      <c r="G184" s="28">
        <v>0</v>
      </c>
      <c r="H184" s="28">
        <v>0</v>
      </c>
      <c r="I184" s="28">
        <v>30747.537308808649</v>
      </c>
      <c r="J184" s="28">
        <f t="shared" si="2"/>
        <v>589327.79841883259</v>
      </c>
      <c r="K184" s="2"/>
    </row>
    <row r="185" spans="1:11" x14ac:dyDescent="0.3">
      <c r="A185">
        <v>2222</v>
      </c>
      <c r="B185" t="s">
        <v>149</v>
      </c>
      <c r="C185" s="28">
        <v>3263.2026910690797</v>
      </c>
      <c r="D185" s="28">
        <v>0</v>
      </c>
      <c r="E185" s="28">
        <v>0</v>
      </c>
      <c r="F185" s="28">
        <v>0</v>
      </c>
      <c r="G185" s="28">
        <v>0</v>
      </c>
      <c r="H185" s="28">
        <v>0</v>
      </c>
      <c r="I185" s="28">
        <v>0</v>
      </c>
      <c r="J185" s="28">
        <f t="shared" si="2"/>
        <v>3263.2026910690797</v>
      </c>
      <c r="K185" s="2"/>
    </row>
    <row r="186" spans="1:11" x14ac:dyDescent="0.3">
      <c r="A186">
        <v>2210</v>
      </c>
      <c r="B186" t="s">
        <v>234</v>
      </c>
      <c r="C186" s="28">
        <v>6679.5980732072394</v>
      </c>
      <c r="D186" s="28">
        <v>0</v>
      </c>
      <c r="E186" s="28">
        <v>0</v>
      </c>
      <c r="F186" s="28">
        <v>0</v>
      </c>
      <c r="G186" s="28">
        <v>0</v>
      </c>
      <c r="H186" s="28">
        <v>0</v>
      </c>
      <c r="I186" s="28">
        <v>0</v>
      </c>
      <c r="J186" s="28">
        <f t="shared" si="2"/>
        <v>6679.5980732072394</v>
      </c>
      <c r="K186" s="2"/>
    </row>
    <row r="187" spans="1:11" x14ac:dyDescent="0.3">
      <c r="A187">
        <v>2204</v>
      </c>
      <c r="B187" t="s">
        <v>235</v>
      </c>
      <c r="C187" s="28">
        <v>183775.81509794417</v>
      </c>
      <c r="D187" s="28">
        <v>46343.466416003306</v>
      </c>
      <c r="E187" s="28">
        <v>0</v>
      </c>
      <c r="F187" s="28">
        <v>0</v>
      </c>
      <c r="G187" s="28">
        <v>0</v>
      </c>
      <c r="H187" s="28">
        <v>0</v>
      </c>
      <c r="I187" s="28">
        <v>25568.809057105278</v>
      </c>
      <c r="J187" s="28">
        <f t="shared" si="2"/>
        <v>255688.09057105274</v>
      </c>
      <c r="K187" s="2"/>
    </row>
    <row r="188" spans="1:11" x14ac:dyDescent="0.3">
      <c r="A188">
        <v>2213</v>
      </c>
      <c r="B188" t="s">
        <v>141</v>
      </c>
      <c r="C188" s="28">
        <v>96382.363015937532</v>
      </c>
      <c r="D188" s="28">
        <v>3381.8372988048259</v>
      </c>
      <c r="E188" s="28">
        <v>0</v>
      </c>
      <c r="F188" s="28">
        <v>0</v>
      </c>
      <c r="G188" s="28">
        <v>0</v>
      </c>
      <c r="H188" s="28">
        <v>0</v>
      </c>
      <c r="I188" s="28">
        <v>8454.5932470120642</v>
      </c>
      <c r="J188" s="28">
        <f t="shared" si="2"/>
        <v>108218.79356175441</v>
      </c>
      <c r="K188" s="2"/>
    </row>
    <row r="189" spans="1:11" x14ac:dyDescent="0.3">
      <c r="A189">
        <v>2116</v>
      </c>
      <c r="B189" t="s">
        <v>109</v>
      </c>
      <c r="C189" s="28">
        <v>209525.54425477135</v>
      </c>
      <c r="D189" s="28">
        <v>1624.2290252307855</v>
      </c>
      <c r="E189" s="28">
        <v>0</v>
      </c>
      <c r="F189" s="28">
        <v>0</v>
      </c>
      <c r="G189" s="28">
        <v>0</v>
      </c>
      <c r="H189" s="28">
        <v>0</v>
      </c>
      <c r="I189" s="28">
        <v>21114.977328000212</v>
      </c>
      <c r="J189" s="28">
        <f t="shared" si="2"/>
        <v>232264.75060800233</v>
      </c>
      <c r="K189" s="2"/>
    </row>
    <row r="190" spans="1:11" x14ac:dyDescent="0.3">
      <c r="A190">
        <v>1947</v>
      </c>
      <c r="B190" t="s">
        <v>22</v>
      </c>
      <c r="C190" s="28">
        <v>126439.9070808292</v>
      </c>
      <c r="D190" s="28">
        <v>21397.522736755713</v>
      </c>
      <c r="E190" s="28">
        <v>0</v>
      </c>
      <c r="F190" s="28">
        <v>0</v>
      </c>
      <c r="G190" s="28">
        <v>0</v>
      </c>
      <c r="H190" s="28">
        <v>0</v>
      </c>
      <c r="I190" s="28">
        <v>7780.9173588202593</v>
      </c>
      <c r="J190" s="28">
        <f t="shared" si="2"/>
        <v>155618.34717640519</v>
      </c>
      <c r="K190" s="2"/>
    </row>
    <row r="191" spans="1:11" x14ac:dyDescent="0.3">
      <c r="A191">
        <v>2220</v>
      </c>
      <c r="B191" t="s">
        <v>147</v>
      </c>
      <c r="C191" s="28">
        <v>66324.698913890563</v>
      </c>
      <c r="D191" s="28">
        <v>0</v>
      </c>
      <c r="E191" s="28">
        <v>0</v>
      </c>
      <c r="F191" s="28">
        <v>0</v>
      </c>
      <c r="G191" s="28">
        <v>0</v>
      </c>
      <c r="H191" s="28">
        <v>0</v>
      </c>
      <c r="I191" s="28">
        <v>6632.469891389057</v>
      </c>
      <c r="J191" s="28">
        <f t="shared" si="2"/>
        <v>72957.168805279623</v>
      </c>
      <c r="K191" s="2"/>
    </row>
    <row r="192" spans="1:11" x14ac:dyDescent="0.3">
      <c r="A192">
        <v>1936</v>
      </c>
      <c r="B192" t="s">
        <v>236</v>
      </c>
      <c r="C192" s="28">
        <v>192931.24328069872</v>
      </c>
      <c r="D192" s="28">
        <v>40531.773798466122</v>
      </c>
      <c r="E192" s="28">
        <v>0</v>
      </c>
      <c r="F192" s="28">
        <v>0</v>
      </c>
      <c r="G192" s="28">
        <v>0</v>
      </c>
      <c r="H192" s="28">
        <v>0</v>
      </c>
      <c r="I192" s="28">
        <v>27561.606182956966</v>
      </c>
      <c r="J192" s="28">
        <f t="shared" si="2"/>
        <v>261024.62326212181</v>
      </c>
      <c r="K192" s="2"/>
    </row>
    <row r="193" spans="1:11" x14ac:dyDescent="0.3">
      <c r="A193">
        <v>1922</v>
      </c>
      <c r="B193" t="s">
        <v>237</v>
      </c>
      <c r="C193" s="28">
        <v>1392005.4723271262</v>
      </c>
      <c r="D193" s="28">
        <v>357449.36902517831</v>
      </c>
      <c r="E193" s="28">
        <v>0</v>
      </c>
      <c r="F193" s="28">
        <v>0</v>
      </c>
      <c r="G193" s="28">
        <v>0</v>
      </c>
      <c r="H193" s="28">
        <v>0</v>
      </c>
      <c r="I193" s="28">
        <v>81882.674842772132</v>
      </c>
      <c r="J193" s="28">
        <f t="shared" si="2"/>
        <v>1831337.5161950765</v>
      </c>
      <c r="K193" s="2"/>
    </row>
    <row r="194" spans="1:11" x14ac:dyDescent="0.3">
      <c r="A194">
        <v>2255</v>
      </c>
      <c r="B194" t="s">
        <v>164</v>
      </c>
      <c r="C194" s="28">
        <v>203135.09601759876</v>
      </c>
      <c r="D194" s="28">
        <v>27700.240366036196</v>
      </c>
      <c r="E194" s="28">
        <v>0</v>
      </c>
      <c r="F194" s="28">
        <v>0</v>
      </c>
      <c r="G194" s="28">
        <v>0</v>
      </c>
      <c r="H194" s="28">
        <v>0</v>
      </c>
      <c r="I194" s="28">
        <v>11080.096146414478</v>
      </c>
      <c r="J194" s="28">
        <f t="shared" ref="J194:J202" si="3">SUM(C194:I194)</f>
        <v>241915.43253004941</v>
      </c>
      <c r="K194" s="2"/>
    </row>
    <row r="195" spans="1:11" x14ac:dyDescent="0.3">
      <c r="A195">
        <v>2002</v>
      </c>
      <c r="B195" t="s">
        <v>42</v>
      </c>
      <c r="C195" s="28">
        <v>364530.24267219164</v>
      </c>
      <c r="D195" s="28">
        <v>26632.346496598479</v>
      </c>
      <c r="E195" s="28">
        <v>0</v>
      </c>
      <c r="F195" s="28">
        <v>0</v>
      </c>
      <c r="G195" s="28">
        <v>0</v>
      </c>
      <c r="H195" s="28">
        <v>0</v>
      </c>
      <c r="I195" s="28">
        <v>68245.387897533597</v>
      </c>
      <c r="J195" s="28">
        <f t="shared" si="3"/>
        <v>459407.97706632374</v>
      </c>
      <c r="K195" s="2"/>
    </row>
    <row r="196" spans="1:11" x14ac:dyDescent="0.3">
      <c r="A196">
        <v>2146</v>
      </c>
      <c r="B196" t="s">
        <v>119</v>
      </c>
      <c r="C196" s="28">
        <v>924227.01498133794</v>
      </c>
      <c r="D196" s="28">
        <v>203832.54408953976</v>
      </c>
      <c r="E196" s="28">
        <v>6980.566578408896</v>
      </c>
      <c r="F196" s="28">
        <v>0</v>
      </c>
      <c r="G196" s="28">
        <v>0</v>
      </c>
      <c r="H196" s="28">
        <v>0</v>
      </c>
      <c r="I196" s="28">
        <v>60032.872574316512</v>
      </c>
      <c r="J196" s="28">
        <f t="shared" si="3"/>
        <v>1195072.9982236032</v>
      </c>
      <c r="K196" s="2"/>
    </row>
    <row r="197" spans="1:11" x14ac:dyDescent="0.3">
      <c r="A197">
        <v>2251</v>
      </c>
      <c r="B197" t="s">
        <v>238</v>
      </c>
      <c r="C197" s="28">
        <v>258126.31529788586</v>
      </c>
      <c r="D197" s="28">
        <v>27855.35776595891</v>
      </c>
      <c r="E197" s="28">
        <v>0</v>
      </c>
      <c r="F197" s="28">
        <v>0</v>
      </c>
      <c r="G197" s="28">
        <v>0</v>
      </c>
      <c r="H197" s="28">
        <v>0</v>
      </c>
      <c r="I197" s="28">
        <v>5571.0715531917813</v>
      </c>
      <c r="J197" s="28">
        <f t="shared" si="3"/>
        <v>291552.74461703654</v>
      </c>
      <c r="K197" s="2"/>
    </row>
    <row r="198" spans="1:11" x14ac:dyDescent="0.3">
      <c r="A198">
        <v>1997</v>
      </c>
      <c r="B198" t="s">
        <v>37</v>
      </c>
      <c r="C198" s="28">
        <v>68567.290267308723</v>
      </c>
      <c r="D198" s="28">
        <v>5274.4069436391328</v>
      </c>
      <c r="E198" s="28">
        <v>0</v>
      </c>
      <c r="F198" s="28">
        <v>0</v>
      </c>
      <c r="G198" s="28">
        <v>0</v>
      </c>
      <c r="H198" s="28">
        <v>0</v>
      </c>
      <c r="I198" s="28">
        <v>12306.949535157977</v>
      </c>
      <c r="J198" s="28">
        <f t="shared" si="3"/>
        <v>86148.646746105835</v>
      </c>
      <c r="K198" s="2"/>
    </row>
    <row r="199" spans="1:11" x14ac:dyDescent="0.3">
      <c r="A199">
        <v>3476</v>
      </c>
      <c r="B199" t="s">
        <v>239</v>
      </c>
      <c r="C199" s="28">
        <v>54662.286114210547</v>
      </c>
      <c r="D199" s="28">
        <v>0</v>
      </c>
      <c r="E199" s="28">
        <v>0</v>
      </c>
      <c r="F199" s="28">
        <v>0</v>
      </c>
      <c r="G199" s="28">
        <v>0</v>
      </c>
      <c r="H199" s="28">
        <v>0</v>
      </c>
      <c r="I199" s="28">
        <v>0</v>
      </c>
      <c r="J199" s="28">
        <f t="shared" si="3"/>
        <v>54662.286114210547</v>
      </c>
      <c r="K199" s="2"/>
    </row>
    <row r="200" spans="1:11" x14ac:dyDescent="0.3">
      <c r="A200">
        <v>3477</v>
      </c>
      <c r="B200" t="s">
        <v>240</v>
      </c>
      <c r="C200" s="28">
        <v>292628.09910690796</v>
      </c>
      <c r="D200" s="28">
        <v>0</v>
      </c>
      <c r="E200" s="28">
        <v>0</v>
      </c>
      <c r="F200" s="28">
        <v>0</v>
      </c>
      <c r="G200" s="28">
        <v>0</v>
      </c>
      <c r="H200" s="28">
        <v>0</v>
      </c>
      <c r="I200" s="28">
        <v>0</v>
      </c>
      <c r="J200" s="28">
        <f t="shared" si="3"/>
        <v>292628.09910690796</v>
      </c>
      <c r="K200" s="2"/>
    </row>
    <row r="201" spans="1:11" x14ac:dyDescent="0.3">
      <c r="A201">
        <v>2332</v>
      </c>
      <c r="B201" t="s">
        <v>241</v>
      </c>
      <c r="C201" s="28">
        <v>7928.2026910690802</v>
      </c>
      <c r="D201" s="28">
        <v>0</v>
      </c>
      <c r="E201" s="28">
        <v>0</v>
      </c>
      <c r="F201" s="28">
        <v>0</v>
      </c>
      <c r="G201" s="28">
        <v>0</v>
      </c>
      <c r="H201" s="28">
        <v>0</v>
      </c>
      <c r="I201" s="28">
        <v>0</v>
      </c>
      <c r="J201" s="28">
        <f t="shared" si="3"/>
        <v>7928.2026910690802</v>
      </c>
      <c r="K201" s="2"/>
    </row>
    <row r="202" spans="1:11" x14ac:dyDescent="0.3">
      <c r="A202">
        <v>5269</v>
      </c>
      <c r="B202" t="s">
        <v>182</v>
      </c>
      <c r="C202" s="28">
        <v>0</v>
      </c>
      <c r="D202" s="28">
        <v>0</v>
      </c>
      <c r="E202" s="28">
        <v>0</v>
      </c>
      <c r="F202" s="28">
        <v>0</v>
      </c>
      <c r="G202" s="28">
        <v>0</v>
      </c>
      <c r="H202" s="28">
        <v>32866.748476155335</v>
      </c>
      <c r="I202" s="28">
        <v>0</v>
      </c>
      <c r="J202" s="28">
        <f t="shared" si="3"/>
        <v>32866.748476155335</v>
      </c>
      <c r="K202" s="2"/>
    </row>
    <row r="203" spans="1:11" s="2" customFormat="1" x14ac:dyDescent="0.3">
      <c r="B203" t="s">
        <v>184</v>
      </c>
      <c r="C203" s="4">
        <f>SUBTOTAL(109,Sect6116[District])</f>
        <v>109553557.61526054</v>
      </c>
      <c r="D203" s="4">
        <f>SUBTOTAL(109,Sect6116[Regional])</f>
        <v>20779417.35836149</v>
      </c>
      <c r="E203" s="4">
        <f>SUBTOTAL(109,Sect6116[OSD])</f>
        <v>147833.14730013642</v>
      </c>
      <c r="F203" s="4">
        <f>SUBTOTAL(109,Sect6116[LTCT])</f>
        <v>340713.59779570653</v>
      </c>
      <c r="G203" s="4">
        <f>SUBTOTAL(109,Sect6116[Hospital])</f>
        <v>12687.433510635514</v>
      </c>
      <c r="H203" s="4">
        <f>SUBTOTAL(109,Sect6116[PNF])</f>
        <v>32866.748476155335</v>
      </c>
      <c r="I203" s="4">
        <f>SUBTOTAL(109,Sect6116[ECSE])</f>
        <v>10307190.099295314</v>
      </c>
      <c r="J203" s="4">
        <f>SUBTOTAL(109,Sect6116[Gross Total])</f>
        <v>141174266.00000006</v>
      </c>
    </row>
    <row r="204" spans="1:11" hidden="1" x14ac:dyDescent="0.3">
      <c r="B204" s="2"/>
      <c r="C204" s="2"/>
      <c r="D204" s="2"/>
      <c r="E204" s="2"/>
      <c r="F204" s="2"/>
      <c r="G204" s="2"/>
      <c r="H204" s="2"/>
      <c r="I204" s="2"/>
      <c r="J204" s="2"/>
    </row>
  </sheetData>
  <sheetProtection algorithmName="SHA-512" hashValue="s/VmRGQlOD3tTYS/9Yt5xAAUx7i/SmkMwsu6lpSkdG5maK888up5//f7Cai2N2x7Fmf8SjRGe2kihzGFrw3kXg==" saltValue="Mr3Z4W2W4psun1L4nJiytw==" spinCount="100000" sheet="1" sort="0" autoFilter="0"/>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04"/>
  <sheetViews>
    <sheetView workbookViewId="0"/>
  </sheetViews>
  <sheetFormatPr defaultColWidth="0" defaultRowHeight="13" zeroHeight="1" x14ac:dyDescent="0.3"/>
  <cols>
    <col min="1" max="1" width="7.296875" customWidth="1"/>
    <col min="2" max="2" width="30.296875" customWidth="1"/>
    <col min="3" max="10" width="16.296875" customWidth="1"/>
    <col min="11" max="11" width="9.296875" style="2" customWidth="1"/>
    <col min="12" max="16384" width="7.296875" hidden="1"/>
  </cols>
  <sheetData>
    <row r="1" spans="1:11" x14ac:dyDescent="0.3">
      <c r="A1" t="s">
        <v>254</v>
      </c>
      <c r="B1" t="s">
        <v>0</v>
      </c>
      <c r="C1" s="6" t="s">
        <v>174</v>
      </c>
      <c r="D1" s="6" t="s">
        <v>175</v>
      </c>
      <c r="E1" s="6" t="s">
        <v>170</v>
      </c>
      <c r="F1" s="6" t="s">
        <v>171</v>
      </c>
      <c r="G1" s="6" t="s">
        <v>176</v>
      </c>
      <c r="H1" s="6" t="s">
        <v>177</v>
      </c>
      <c r="I1" s="6" t="s">
        <v>178</v>
      </c>
      <c r="J1" s="2"/>
      <c r="K1"/>
    </row>
    <row r="2" spans="1:11" x14ac:dyDescent="0.3">
      <c r="A2">
        <f>'Section 611 Awards 23'!A2</f>
        <v>2063</v>
      </c>
      <c r="B2" t="s">
        <v>79</v>
      </c>
      <c r="C2" s="3">
        <v>4181</v>
      </c>
      <c r="D2" s="3">
        <v>0</v>
      </c>
      <c r="E2" s="3">
        <v>0</v>
      </c>
      <c r="F2" s="3">
        <v>0</v>
      </c>
      <c r="G2" s="3">
        <v>0</v>
      </c>
      <c r="H2" s="3">
        <v>0</v>
      </c>
      <c r="I2" s="3">
        <f t="shared" ref="I2:I65" si="0">SUM(C2:H2)</f>
        <v>4181</v>
      </c>
      <c r="J2" s="2"/>
      <c r="K2"/>
    </row>
    <row r="3" spans="1:11" x14ac:dyDescent="0.3">
      <c r="A3">
        <f>'Section 611 Awards 23'!A3</f>
        <v>2113</v>
      </c>
      <c r="B3" t="s">
        <v>106</v>
      </c>
      <c r="C3" s="3">
        <v>56839</v>
      </c>
      <c r="D3" s="3">
        <v>0</v>
      </c>
      <c r="E3" s="3">
        <v>0</v>
      </c>
      <c r="F3" s="3">
        <v>0</v>
      </c>
      <c r="G3" s="3">
        <v>0</v>
      </c>
      <c r="H3" s="3">
        <v>2915</v>
      </c>
      <c r="I3" s="3">
        <f t="shared" si="0"/>
        <v>59754</v>
      </c>
      <c r="J3" s="2"/>
      <c r="K3"/>
    </row>
    <row r="4" spans="1:11" x14ac:dyDescent="0.3">
      <c r="A4">
        <f>'Section 611 Awards 23'!A4</f>
        <v>1899</v>
      </c>
      <c r="B4" t="s">
        <v>5</v>
      </c>
      <c r="C4" s="3">
        <v>102455</v>
      </c>
      <c r="D4" s="3">
        <v>17956</v>
      </c>
      <c r="E4" s="3">
        <v>0</v>
      </c>
      <c r="F4" s="3">
        <v>0</v>
      </c>
      <c r="G4" s="3">
        <v>0</v>
      </c>
      <c r="H4" s="3">
        <v>1056</v>
      </c>
      <c r="I4" s="3">
        <f t="shared" si="0"/>
        <v>121467</v>
      </c>
      <c r="J4" s="2"/>
      <c r="K4"/>
    </row>
    <row r="5" spans="1:11" x14ac:dyDescent="0.3">
      <c r="A5">
        <f>'Section 611 Awards 23'!A5</f>
        <v>2252</v>
      </c>
      <c r="B5" t="s">
        <v>161</v>
      </c>
      <c r="C5" s="3">
        <v>141400</v>
      </c>
      <c r="D5" s="3">
        <v>32851</v>
      </c>
      <c r="E5" s="3">
        <v>0</v>
      </c>
      <c r="F5" s="3">
        <v>0</v>
      </c>
      <c r="G5" s="3">
        <v>0</v>
      </c>
      <c r="H5" s="3">
        <v>15711</v>
      </c>
      <c r="I5" s="3">
        <f t="shared" si="0"/>
        <v>189962</v>
      </c>
      <c r="J5" s="2"/>
      <c r="K5"/>
    </row>
    <row r="6" spans="1:11" x14ac:dyDescent="0.3">
      <c r="A6">
        <f>'Section 611 Awards 23'!A6</f>
        <v>2111</v>
      </c>
      <c r="B6" t="s">
        <v>104</v>
      </c>
      <c r="C6" s="3">
        <v>25396</v>
      </c>
      <c r="D6" s="3">
        <v>0</v>
      </c>
      <c r="E6" s="3">
        <v>0</v>
      </c>
      <c r="F6" s="3">
        <v>0</v>
      </c>
      <c r="G6" s="3">
        <v>0</v>
      </c>
      <c r="H6" s="3">
        <v>0</v>
      </c>
      <c r="I6" s="3">
        <f t="shared" si="0"/>
        <v>25396</v>
      </c>
      <c r="J6" s="2"/>
      <c r="K6"/>
    </row>
    <row r="7" spans="1:11" x14ac:dyDescent="0.3">
      <c r="A7">
        <f>'Section 611 Awards 23'!A7</f>
        <v>2005</v>
      </c>
      <c r="B7" t="s">
        <v>44</v>
      </c>
      <c r="C7" s="3">
        <v>31366</v>
      </c>
      <c r="D7" s="3">
        <v>3302</v>
      </c>
      <c r="E7" s="3">
        <v>0</v>
      </c>
      <c r="F7" s="3">
        <v>0</v>
      </c>
      <c r="G7" s="3">
        <v>0</v>
      </c>
      <c r="H7" s="3">
        <v>1651</v>
      </c>
      <c r="I7" s="3">
        <f t="shared" si="0"/>
        <v>36319</v>
      </c>
      <c r="J7" s="2"/>
      <c r="K7"/>
    </row>
    <row r="8" spans="1:11" x14ac:dyDescent="0.3">
      <c r="A8">
        <f>'Section 611 Awards 23'!A8</f>
        <v>2115</v>
      </c>
      <c r="B8" t="s">
        <v>108</v>
      </c>
      <c r="C8" s="3">
        <v>4232</v>
      </c>
      <c r="D8" s="3">
        <v>0</v>
      </c>
      <c r="E8" s="3">
        <v>0</v>
      </c>
      <c r="F8" s="3">
        <v>0</v>
      </c>
      <c r="G8" s="3">
        <v>0</v>
      </c>
      <c r="H8" s="3">
        <v>0</v>
      </c>
      <c r="I8" s="3">
        <f t="shared" si="0"/>
        <v>4232</v>
      </c>
      <c r="J8" s="2"/>
      <c r="K8"/>
    </row>
    <row r="9" spans="1:11" x14ac:dyDescent="0.3">
      <c r="A9">
        <f>'Section 611 Awards 23'!A9</f>
        <v>2041</v>
      </c>
      <c r="B9" t="s">
        <v>61</v>
      </c>
      <c r="C9" s="3">
        <v>474204</v>
      </c>
      <c r="D9" s="3">
        <v>130359</v>
      </c>
      <c r="E9" s="3">
        <v>0</v>
      </c>
      <c r="F9" s="3">
        <v>9446</v>
      </c>
      <c r="G9" s="3">
        <v>0</v>
      </c>
      <c r="H9" s="3">
        <v>32117</v>
      </c>
      <c r="I9" s="3">
        <f t="shared" si="0"/>
        <v>646126</v>
      </c>
      <c r="J9" s="2"/>
      <c r="K9"/>
    </row>
    <row r="10" spans="1:11" x14ac:dyDescent="0.3">
      <c r="A10">
        <f>'Section 611 Awards 23'!A10</f>
        <v>2051</v>
      </c>
      <c r="B10" t="s">
        <v>70</v>
      </c>
      <c r="C10" s="3">
        <v>2032</v>
      </c>
      <c r="D10" s="3">
        <v>0</v>
      </c>
      <c r="E10" s="3">
        <v>0</v>
      </c>
      <c r="F10" s="3">
        <v>0</v>
      </c>
      <c r="G10" s="3">
        <v>0</v>
      </c>
      <c r="H10" s="3">
        <v>0</v>
      </c>
      <c r="I10" s="3">
        <f t="shared" si="0"/>
        <v>2032</v>
      </c>
      <c r="J10" s="2"/>
      <c r="K10"/>
    </row>
    <row r="11" spans="1:11" x14ac:dyDescent="0.3">
      <c r="A11">
        <f>'Section 611 Awards 23'!A11</f>
        <v>1933</v>
      </c>
      <c r="B11" t="s">
        <v>209</v>
      </c>
      <c r="C11" s="3">
        <v>311597</v>
      </c>
      <c r="D11" s="3">
        <v>60212</v>
      </c>
      <c r="E11" s="3">
        <v>3011</v>
      </c>
      <c r="F11" s="3">
        <v>0</v>
      </c>
      <c r="G11" s="3">
        <v>0</v>
      </c>
      <c r="H11" s="3">
        <v>39138</v>
      </c>
      <c r="I11" s="3">
        <f t="shared" si="0"/>
        <v>413958</v>
      </c>
      <c r="J11" s="2"/>
      <c r="K11"/>
    </row>
    <row r="12" spans="1:11" x14ac:dyDescent="0.3">
      <c r="A12">
        <f>'Section 611 Awards 23'!A12</f>
        <v>2208</v>
      </c>
      <c r="B12" t="s">
        <v>210</v>
      </c>
      <c r="C12" s="3">
        <v>93162</v>
      </c>
      <c r="D12" s="3">
        <v>24661</v>
      </c>
      <c r="E12" s="3">
        <v>0</v>
      </c>
      <c r="F12" s="3">
        <v>0</v>
      </c>
      <c r="G12" s="3">
        <v>0</v>
      </c>
      <c r="H12" s="3">
        <v>6850</v>
      </c>
      <c r="I12" s="3">
        <f t="shared" si="0"/>
        <v>124673</v>
      </c>
      <c r="J12" s="2"/>
      <c r="K12"/>
    </row>
    <row r="13" spans="1:11" x14ac:dyDescent="0.3">
      <c r="A13">
        <f>'Section 611 Awards 23'!A13</f>
        <v>1894</v>
      </c>
      <c r="B13" t="s">
        <v>1</v>
      </c>
      <c r="C13" s="3">
        <v>746846</v>
      </c>
      <c r="D13" s="3">
        <v>98847</v>
      </c>
      <c r="E13" s="3">
        <v>0</v>
      </c>
      <c r="F13" s="3">
        <v>0</v>
      </c>
      <c r="G13" s="3">
        <v>0</v>
      </c>
      <c r="H13" s="3">
        <v>31380</v>
      </c>
      <c r="I13" s="3">
        <f t="shared" si="0"/>
        <v>877073</v>
      </c>
      <c r="J13" s="2"/>
      <c r="K13"/>
    </row>
    <row r="14" spans="1:11" x14ac:dyDescent="0.3">
      <c r="A14">
        <f>'Section 611 Awards 23'!A14</f>
        <v>1969</v>
      </c>
      <c r="B14" t="s">
        <v>29</v>
      </c>
      <c r="C14" s="3">
        <v>147067</v>
      </c>
      <c r="D14" s="3">
        <v>16754</v>
      </c>
      <c r="E14" s="3">
        <v>0</v>
      </c>
      <c r="F14" s="3">
        <v>0</v>
      </c>
      <c r="G14" s="3">
        <v>0</v>
      </c>
      <c r="H14" s="3">
        <v>9308</v>
      </c>
      <c r="I14" s="3">
        <f t="shared" si="0"/>
        <v>173129</v>
      </c>
      <c r="J14" s="2"/>
      <c r="K14"/>
    </row>
    <row r="15" spans="1:11" x14ac:dyDescent="0.3">
      <c r="A15">
        <f>'Section 611 Awards 23'!A15</f>
        <v>2240</v>
      </c>
      <c r="B15" t="s">
        <v>152</v>
      </c>
      <c r="C15" s="3">
        <v>191592</v>
      </c>
      <c r="D15" s="3">
        <v>27370</v>
      </c>
      <c r="E15" s="3">
        <v>0</v>
      </c>
      <c r="F15" s="3">
        <v>0</v>
      </c>
      <c r="G15" s="3">
        <v>0</v>
      </c>
      <c r="H15" s="3">
        <v>12165</v>
      </c>
      <c r="I15" s="3">
        <f t="shared" si="0"/>
        <v>231127</v>
      </c>
      <c r="J15" s="2"/>
      <c r="K15"/>
    </row>
    <row r="16" spans="1:11" x14ac:dyDescent="0.3">
      <c r="A16">
        <f>'Section 611 Awards 23'!A16</f>
        <v>2243</v>
      </c>
      <c r="B16" t="s">
        <v>155</v>
      </c>
      <c r="C16" s="3">
        <v>6488949</v>
      </c>
      <c r="D16" s="3">
        <v>1469486</v>
      </c>
      <c r="E16" s="3">
        <v>6827</v>
      </c>
      <c r="F16" s="3">
        <v>37548</v>
      </c>
      <c r="G16" s="3">
        <v>0</v>
      </c>
      <c r="H16" s="3">
        <v>773144</v>
      </c>
      <c r="I16" s="3">
        <f t="shared" si="0"/>
        <v>8775954</v>
      </c>
      <c r="J16" s="2"/>
      <c r="K16"/>
    </row>
    <row r="17" spans="1:11" x14ac:dyDescent="0.3">
      <c r="A17">
        <f>'Section 611 Awards 23'!A17</f>
        <v>1976</v>
      </c>
      <c r="B17" t="s">
        <v>211</v>
      </c>
      <c r="C17" s="3">
        <v>2999891</v>
      </c>
      <c r="D17" s="3">
        <v>574103</v>
      </c>
      <c r="E17" s="3">
        <v>0</v>
      </c>
      <c r="F17" s="3">
        <v>0</v>
      </c>
      <c r="G17" s="3">
        <v>0</v>
      </c>
      <c r="H17" s="3">
        <v>311309</v>
      </c>
      <c r="I17" s="3">
        <f t="shared" si="0"/>
        <v>3885303</v>
      </c>
      <c r="J17" s="2"/>
      <c r="K17"/>
    </row>
    <row r="18" spans="1:11" x14ac:dyDescent="0.3">
      <c r="A18">
        <f>'Section 611 Awards 23'!A18</f>
        <v>2088</v>
      </c>
      <c r="B18" t="s">
        <v>86</v>
      </c>
      <c r="C18" s="3">
        <v>1096972</v>
      </c>
      <c r="D18" s="3">
        <v>39805</v>
      </c>
      <c r="E18" s="3">
        <v>0</v>
      </c>
      <c r="F18" s="3">
        <v>0</v>
      </c>
      <c r="G18" s="3">
        <v>0</v>
      </c>
      <c r="H18" s="3">
        <v>169755</v>
      </c>
      <c r="I18" s="3">
        <f t="shared" si="0"/>
        <v>1306532</v>
      </c>
      <c r="J18" s="2"/>
      <c r="K18"/>
    </row>
    <row r="19" spans="1:11" x14ac:dyDescent="0.3">
      <c r="A19">
        <f>'Section 611 Awards 23'!A19</f>
        <v>2095</v>
      </c>
      <c r="B19" t="s">
        <v>92</v>
      </c>
      <c r="C19" s="3">
        <v>58161</v>
      </c>
      <c r="D19" s="3">
        <v>0</v>
      </c>
      <c r="E19" s="3">
        <v>0</v>
      </c>
      <c r="F19" s="3">
        <v>0</v>
      </c>
      <c r="G19" s="3">
        <v>0</v>
      </c>
      <c r="H19" s="3">
        <v>0</v>
      </c>
      <c r="I19" s="3">
        <f t="shared" si="0"/>
        <v>58161</v>
      </c>
      <c r="J19" s="2"/>
      <c r="K19"/>
    </row>
    <row r="20" spans="1:11" x14ac:dyDescent="0.3">
      <c r="A20">
        <f>'Section 611 Awards 23'!A20</f>
        <v>2052</v>
      </c>
      <c r="B20" t="s">
        <v>71</v>
      </c>
      <c r="C20" s="3">
        <v>4460</v>
      </c>
      <c r="D20" s="3">
        <v>0</v>
      </c>
      <c r="E20" s="3">
        <v>0</v>
      </c>
      <c r="F20" s="3">
        <v>0</v>
      </c>
      <c r="G20" s="3">
        <v>0</v>
      </c>
      <c r="H20" s="3">
        <v>0</v>
      </c>
      <c r="I20" s="3">
        <f t="shared" si="0"/>
        <v>4460</v>
      </c>
      <c r="J20" s="2"/>
      <c r="K20"/>
    </row>
    <row r="21" spans="1:11" x14ac:dyDescent="0.3">
      <c r="A21">
        <f>'Section 611 Awards 23'!A21</f>
        <v>1974</v>
      </c>
      <c r="B21" t="s">
        <v>212</v>
      </c>
      <c r="C21" s="3">
        <v>303063</v>
      </c>
      <c r="D21" s="3">
        <v>45379</v>
      </c>
      <c r="E21" s="3">
        <v>1621</v>
      </c>
      <c r="F21" s="3">
        <v>0</v>
      </c>
      <c r="G21" s="3">
        <v>0</v>
      </c>
      <c r="H21" s="3">
        <v>35655</v>
      </c>
      <c r="I21" s="3">
        <f t="shared" si="0"/>
        <v>385718</v>
      </c>
      <c r="J21" s="2"/>
      <c r="K21"/>
    </row>
    <row r="22" spans="1:11" x14ac:dyDescent="0.3">
      <c r="A22">
        <f>'Section 611 Awards 23'!A22</f>
        <v>1896</v>
      </c>
      <c r="B22" t="s">
        <v>3</v>
      </c>
      <c r="C22" s="3">
        <v>14912</v>
      </c>
      <c r="D22" s="3">
        <v>0</v>
      </c>
      <c r="E22" s="3">
        <v>0</v>
      </c>
      <c r="F22" s="3">
        <v>0</v>
      </c>
      <c r="G22" s="3">
        <v>0</v>
      </c>
      <c r="H22" s="3">
        <v>0</v>
      </c>
      <c r="I22" s="3">
        <f t="shared" si="0"/>
        <v>14912</v>
      </c>
      <c r="J22" s="2"/>
      <c r="K22"/>
    </row>
    <row r="23" spans="1:11" x14ac:dyDescent="0.3">
      <c r="A23">
        <f>'Section 611 Awards 23'!A23</f>
        <v>2046</v>
      </c>
      <c r="B23" t="s">
        <v>66</v>
      </c>
      <c r="C23" s="3">
        <v>39636</v>
      </c>
      <c r="D23" s="3">
        <v>6005</v>
      </c>
      <c r="E23" s="3">
        <v>0</v>
      </c>
      <c r="F23" s="3">
        <v>0</v>
      </c>
      <c r="G23" s="3">
        <v>0</v>
      </c>
      <c r="H23" s="3">
        <v>1201</v>
      </c>
      <c r="I23" s="3">
        <f t="shared" si="0"/>
        <v>46842</v>
      </c>
      <c r="J23" s="2"/>
      <c r="K23"/>
    </row>
    <row r="24" spans="1:11" x14ac:dyDescent="0.3">
      <c r="A24">
        <f>'Section 611 Awards 23'!A24</f>
        <v>1995</v>
      </c>
      <c r="B24" t="s">
        <v>213</v>
      </c>
      <c r="C24" s="3">
        <v>51593</v>
      </c>
      <c r="D24" s="3">
        <v>4422</v>
      </c>
      <c r="E24" s="3">
        <v>0</v>
      </c>
      <c r="F24" s="3">
        <v>0</v>
      </c>
      <c r="G24" s="3">
        <v>0</v>
      </c>
      <c r="H24" s="3">
        <v>1474</v>
      </c>
      <c r="I24" s="3">
        <f t="shared" si="0"/>
        <v>57489</v>
      </c>
      <c r="J24" s="2"/>
      <c r="K24"/>
    </row>
    <row r="25" spans="1:11" x14ac:dyDescent="0.3">
      <c r="A25">
        <f>'Section 611 Awards 23'!A25</f>
        <v>1929</v>
      </c>
      <c r="B25" t="s">
        <v>14</v>
      </c>
      <c r="C25" s="3">
        <v>818318</v>
      </c>
      <c r="D25" s="3">
        <v>157891</v>
      </c>
      <c r="E25" s="3">
        <v>0</v>
      </c>
      <c r="F25" s="3">
        <v>0</v>
      </c>
      <c r="G25" s="3">
        <v>0</v>
      </c>
      <c r="H25" s="3">
        <v>73004</v>
      </c>
      <c r="I25" s="3">
        <f t="shared" si="0"/>
        <v>1049213</v>
      </c>
      <c r="J25" s="2"/>
      <c r="K25"/>
    </row>
    <row r="26" spans="1:11" x14ac:dyDescent="0.3">
      <c r="A26">
        <f>'Section 611 Awards 23'!A26</f>
        <v>2139</v>
      </c>
      <c r="B26" t="s">
        <v>112</v>
      </c>
      <c r="C26" s="3">
        <v>482776</v>
      </c>
      <c r="D26" s="3">
        <v>109218</v>
      </c>
      <c r="E26" s="3">
        <v>1583</v>
      </c>
      <c r="F26" s="3">
        <v>0</v>
      </c>
      <c r="G26" s="3">
        <v>0</v>
      </c>
      <c r="H26" s="3">
        <v>37989</v>
      </c>
      <c r="I26" s="3">
        <f t="shared" si="0"/>
        <v>631566</v>
      </c>
      <c r="J26" s="2"/>
      <c r="K26"/>
    </row>
    <row r="27" spans="1:11" x14ac:dyDescent="0.3">
      <c r="A27">
        <f>'Section 611 Awards 23'!A27</f>
        <v>2185</v>
      </c>
      <c r="B27" t="s">
        <v>125</v>
      </c>
      <c r="C27" s="3">
        <v>1035081</v>
      </c>
      <c r="D27" s="3">
        <v>269289</v>
      </c>
      <c r="E27" s="3">
        <v>3366</v>
      </c>
      <c r="F27" s="3">
        <v>0</v>
      </c>
      <c r="G27" s="3">
        <v>0</v>
      </c>
      <c r="H27" s="3">
        <v>131279</v>
      </c>
      <c r="I27" s="3">
        <f t="shared" si="0"/>
        <v>1439015</v>
      </c>
      <c r="J27" s="2"/>
      <c r="K27"/>
    </row>
    <row r="28" spans="1:11" x14ac:dyDescent="0.3">
      <c r="A28">
        <f>'Section 611 Awards 23'!A28</f>
        <v>1972</v>
      </c>
      <c r="B28" t="s">
        <v>30</v>
      </c>
      <c r="C28" s="3">
        <v>114558</v>
      </c>
      <c r="D28" s="3">
        <v>6739</v>
      </c>
      <c r="E28" s="3">
        <v>0</v>
      </c>
      <c r="F28" s="3">
        <v>0</v>
      </c>
      <c r="G28" s="3">
        <v>0</v>
      </c>
      <c r="H28" s="3">
        <v>20216</v>
      </c>
      <c r="I28" s="3">
        <f t="shared" si="0"/>
        <v>141513</v>
      </c>
      <c r="J28" s="2"/>
      <c r="K28"/>
    </row>
    <row r="29" spans="1:11" x14ac:dyDescent="0.3">
      <c r="A29">
        <f>'Section 611 Awards 23'!A29</f>
        <v>2105</v>
      </c>
      <c r="B29" t="s">
        <v>100</v>
      </c>
      <c r="C29" s="3">
        <v>121544</v>
      </c>
      <c r="D29" s="3">
        <v>18007</v>
      </c>
      <c r="E29" s="3">
        <v>0</v>
      </c>
      <c r="F29" s="3">
        <v>0</v>
      </c>
      <c r="G29" s="3">
        <v>0</v>
      </c>
      <c r="H29" s="3">
        <v>6002</v>
      </c>
      <c r="I29" s="3">
        <f t="shared" si="0"/>
        <v>145553</v>
      </c>
      <c r="J29" s="2"/>
      <c r="K29"/>
    </row>
    <row r="30" spans="1:11" x14ac:dyDescent="0.3">
      <c r="A30">
        <f>'Section 611 Awards 23'!A30</f>
        <v>2042</v>
      </c>
      <c r="B30" t="s">
        <v>62</v>
      </c>
      <c r="C30" s="3">
        <v>808022</v>
      </c>
      <c r="D30" s="3">
        <v>118871</v>
      </c>
      <c r="E30" s="3">
        <v>0</v>
      </c>
      <c r="F30" s="3">
        <v>0</v>
      </c>
      <c r="G30" s="3">
        <v>0</v>
      </c>
      <c r="H30" s="3">
        <v>64702</v>
      </c>
      <c r="I30" s="3">
        <f t="shared" si="0"/>
        <v>991595</v>
      </c>
      <c r="J30" s="2"/>
      <c r="K30"/>
    </row>
    <row r="31" spans="1:11" x14ac:dyDescent="0.3">
      <c r="A31">
        <f>'Section 611 Awards 23'!A31</f>
        <v>2191</v>
      </c>
      <c r="B31" t="s">
        <v>130</v>
      </c>
      <c r="C31" s="3">
        <v>539614</v>
      </c>
      <c r="D31" s="3">
        <v>85810</v>
      </c>
      <c r="E31" s="3">
        <v>0</v>
      </c>
      <c r="F31" s="3">
        <v>0</v>
      </c>
      <c r="G31" s="3">
        <v>0</v>
      </c>
      <c r="H31" s="3">
        <v>54457</v>
      </c>
      <c r="I31" s="3">
        <f t="shared" si="0"/>
        <v>679881</v>
      </c>
      <c r="J31" s="2"/>
      <c r="K31"/>
    </row>
    <row r="32" spans="1:11" x14ac:dyDescent="0.3">
      <c r="A32">
        <f>'Section 611 Awards 23'!A32</f>
        <v>1945</v>
      </c>
      <c r="B32" t="s">
        <v>20</v>
      </c>
      <c r="C32" s="3">
        <v>125356</v>
      </c>
      <c r="D32" s="3">
        <v>29339</v>
      </c>
      <c r="E32" s="3">
        <v>0</v>
      </c>
      <c r="F32" s="3">
        <v>0</v>
      </c>
      <c r="G32" s="3">
        <v>0</v>
      </c>
      <c r="H32" s="3">
        <v>16003</v>
      </c>
      <c r="I32" s="3">
        <f t="shared" si="0"/>
        <v>170698</v>
      </c>
      <c r="J32" s="2"/>
      <c r="K32"/>
    </row>
    <row r="33" spans="1:11" x14ac:dyDescent="0.3">
      <c r="A33">
        <f>'Section 611 Awards 23'!A33</f>
        <v>1927</v>
      </c>
      <c r="B33" t="s">
        <v>12</v>
      </c>
      <c r="C33" s="3">
        <v>116348</v>
      </c>
      <c r="D33" s="3">
        <v>11081</v>
      </c>
      <c r="E33" s="3">
        <v>0</v>
      </c>
      <c r="F33" s="3">
        <v>0</v>
      </c>
      <c r="G33" s="3">
        <v>0</v>
      </c>
      <c r="H33" s="3">
        <v>16621</v>
      </c>
      <c r="I33" s="3">
        <f t="shared" si="0"/>
        <v>144050</v>
      </c>
      <c r="J33" s="2"/>
      <c r="K33"/>
    </row>
    <row r="34" spans="1:11" x14ac:dyDescent="0.3">
      <c r="A34">
        <f>'Section 611 Awards 23'!A34</f>
        <v>2006</v>
      </c>
      <c r="B34" t="s">
        <v>45</v>
      </c>
      <c r="C34" s="3">
        <v>24757</v>
      </c>
      <c r="D34" s="3">
        <v>0</v>
      </c>
      <c r="E34" s="3">
        <v>0</v>
      </c>
      <c r="F34" s="3">
        <v>0</v>
      </c>
      <c r="G34" s="3">
        <v>0</v>
      </c>
      <c r="H34" s="3">
        <v>9284</v>
      </c>
      <c r="I34" s="3">
        <f t="shared" si="0"/>
        <v>34041</v>
      </c>
      <c r="J34" s="2"/>
      <c r="K34"/>
    </row>
    <row r="35" spans="1:11" x14ac:dyDescent="0.3">
      <c r="A35">
        <f>'Section 611 Awards 23'!A35</f>
        <v>1965</v>
      </c>
      <c r="B35" t="s">
        <v>25</v>
      </c>
      <c r="C35" s="3">
        <v>743212</v>
      </c>
      <c r="D35" s="3">
        <v>81594</v>
      </c>
      <c r="E35" s="3">
        <v>0</v>
      </c>
      <c r="F35" s="3">
        <v>0</v>
      </c>
      <c r="G35" s="3">
        <v>0</v>
      </c>
      <c r="H35" s="3">
        <v>97558</v>
      </c>
      <c r="I35" s="3">
        <f t="shared" si="0"/>
        <v>922364</v>
      </c>
      <c r="J35" s="2"/>
      <c r="K35"/>
    </row>
    <row r="36" spans="1:11" x14ac:dyDescent="0.3">
      <c r="A36">
        <f>'Section 611 Awards 23'!A36</f>
        <v>1964</v>
      </c>
      <c r="B36" t="s">
        <v>24</v>
      </c>
      <c r="C36" s="3">
        <v>255425</v>
      </c>
      <c r="D36" s="3">
        <v>34903</v>
      </c>
      <c r="E36" s="3">
        <v>0</v>
      </c>
      <c r="F36" s="3">
        <v>0</v>
      </c>
      <c r="G36" s="3">
        <v>0</v>
      </c>
      <c r="H36" s="3">
        <v>9519</v>
      </c>
      <c r="I36" s="3">
        <f t="shared" si="0"/>
        <v>299847</v>
      </c>
      <c r="J36" s="2"/>
      <c r="K36"/>
    </row>
    <row r="37" spans="1:11" x14ac:dyDescent="0.3">
      <c r="A37">
        <f>'Section 611 Awards 23'!A37</f>
        <v>2186</v>
      </c>
      <c r="B37" t="s">
        <v>126</v>
      </c>
      <c r="C37" s="3">
        <v>156216</v>
      </c>
      <c r="D37" s="3">
        <v>35561</v>
      </c>
      <c r="E37" s="3">
        <v>0</v>
      </c>
      <c r="F37" s="3">
        <v>0</v>
      </c>
      <c r="G37" s="3">
        <v>0</v>
      </c>
      <c r="H37" s="3">
        <v>6350</v>
      </c>
      <c r="I37" s="3">
        <f t="shared" si="0"/>
        <v>198127</v>
      </c>
      <c r="J37" s="2"/>
      <c r="K37"/>
    </row>
    <row r="38" spans="1:11" x14ac:dyDescent="0.3">
      <c r="A38">
        <f>'Section 611 Awards 23'!A38</f>
        <v>1901</v>
      </c>
      <c r="B38" t="s">
        <v>7</v>
      </c>
      <c r="C38" s="3">
        <v>1222900</v>
      </c>
      <c r="D38" s="3">
        <v>299400</v>
      </c>
      <c r="E38" s="3">
        <v>4217</v>
      </c>
      <c r="F38" s="3">
        <v>37952</v>
      </c>
      <c r="G38" s="3">
        <v>0</v>
      </c>
      <c r="H38" s="3">
        <v>109639</v>
      </c>
      <c r="I38" s="3">
        <f t="shared" si="0"/>
        <v>1674108</v>
      </c>
      <c r="J38" s="2"/>
      <c r="K38"/>
    </row>
    <row r="39" spans="1:11" x14ac:dyDescent="0.3">
      <c r="A39">
        <f>'Section 611 Awards 23'!A39</f>
        <v>2216</v>
      </c>
      <c r="B39" t="s">
        <v>144</v>
      </c>
      <c r="C39" s="3">
        <v>59741</v>
      </c>
      <c r="D39" s="3">
        <v>6828</v>
      </c>
      <c r="E39" s="3">
        <v>0</v>
      </c>
      <c r="F39" s="3">
        <v>0</v>
      </c>
      <c r="G39" s="3">
        <v>0</v>
      </c>
      <c r="H39" s="3">
        <v>0</v>
      </c>
      <c r="I39" s="3">
        <f t="shared" si="0"/>
        <v>66569</v>
      </c>
      <c r="J39" s="2"/>
      <c r="K39"/>
    </row>
    <row r="40" spans="1:11" x14ac:dyDescent="0.3">
      <c r="A40">
        <f>'Section 611 Awards 23'!A40</f>
        <v>2086</v>
      </c>
      <c r="B40" t="s">
        <v>85</v>
      </c>
      <c r="C40" s="3">
        <v>256994</v>
      </c>
      <c r="D40" s="3">
        <v>33594</v>
      </c>
      <c r="E40" s="3">
        <v>0</v>
      </c>
      <c r="F40" s="3">
        <v>0</v>
      </c>
      <c r="G40" s="3">
        <v>0</v>
      </c>
      <c r="H40" s="3">
        <v>35274</v>
      </c>
      <c r="I40" s="3">
        <f t="shared" si="0"/>
        <v>325862</v>
      </c>
      <c r="J40" s="2"/>
      <c r="K40"/>
    </row>
    <row r="41" spans="1:11" x14ac:dyDescent="0.3">
      <c r="A41">
        <f>'Section 611 Awards 23'!A41</f>
        <v>1970</v>
      </c>
      <c r="B41" t="s">
        <v>214</v>
      </c>
      <c r="C41" s="3">
        <v>597969</v>
      </c>
      <c r="D41" s="3">
        <v>64605</v>
      </c>
      <c r="E41" s="3">
        <v>0</v>
      </c>
      <c r="F41" s="3">
        <v>0</v>
      </c>
      <c r="G41" s="3">
        <v>0</v>
      </c>
      <c r="H41" s="3">
        <v>73619</v>
      </c>
      <c r="I41" s="3">
        <f t="shared" si="0"/>
        <v>736193</v>
      </c>
      <c r="J41" s="2"/>
      <c r="K41"/>
    </row>
    <row r="42" spans="1:11" x14ac:dyDescent="0.3">
      <c r="A42">
        <f>'Section 611 Awards 23'!A42</f>
        <v>2089</v>
      </c>
      <c r="B42" t="s">
        <v>215</v>
      </c>
      <c r="C42" s="3">
        <v>69934</v>
      </c>
      <c r="D42" s="3">
        <v>0</v>
      </c>
      <c r="E42" s="3">
        <v>0</v>
      </c>
      <c r="F42" s="3">
        <v>0</v>
      </c>
      <c r="G42" s="3">
        <v>0</v>
      </c>
      <c r="H42" s="3">
        <v>5994</v>
      </c>
      <c r="I42" s="3">
        <f t="shared" si="0"/>
        <v>75928</v>
      </c>
      <c r="J42" s="2"/>
      <c r="K42"/>
    </row>
    <row r="43" spans="1:11" x14ac:dyDescent="0.3">
      <c r="A43">
        <f>'Section 611 Awards 23'!A43</f>
        <v>2050</v>
      </c>
      <c r="B43" t="s">
        <v>69</v>
      </c>
      <c r="C43" s="3">
        <v>127330</v>
      </c>
      <c r="D43" s="3">
        <v>13598</v>
      </c>
      <c r="E43" s="3">
        <v>0</v>
      </c>
      <c r="F43" s="3">
        <v>0</v>
      </c>
      <c r="G43" s="3">
        <v>0</v>
      </c>
      <c r="H43" s="3">
        <v>4945</v>
      </c>
      <c r="I43" s="3">
        <f t="shared" si="0"/>
        <v>145873</v>
      </c>
      <c r="J43" s="2"/>
      <c r="K43"/>
    </row>
    <row r="44" spans="1:11" x14ac:dyDescent="0.3">
      <c r="A44">
        <f>'Section 611 Awards 23'!A44</f>
        <v>2190</v>
      </c>
      <c r="B44" t="s">
        <v>129</v>
      </c>
      <c r="C44" s="3">
        <v>614999</v>
      </c>
      <c r="D44" s="3">
        <v>123874</v>
      </c>
      <c r="E44" s="3">
        <v>1457</v>
      </c>
      <c r="F44" s="3">
        <v>13116</v>
      </c>
      <c r="G44" s="3">
        <v>0</v>
      </c>
      <c r="H44" s="3">
        <v>26232</v>
      </c>
      <c r="I44" s="3">
        <f t="shared" si="0"/>
        <v>779678</v>
      </c>
      <c r="J44" s="2"/>
      <c r="K44"/>
    </row>
    <row r="45" spans="1:11" x14ac:dyDescent="0.3">
      <c r="A45">
        <f>'Section 611 Awards 23'!A45</f>
        <v>2187</v>
      </c>
      <c r="B45" t="s">
        <v>127</v>
      </c>
      <c r="C45" s="3">
        <v>1603801</v>
      </c>
      <c r="D45" s="3">
        <v>380081</v>
      </c>
      <c r="E45" s="3">
        <v>1776</v>
      </c>
      <c r="F45" s="3">
        <v>0</v>
      </c>
      <c r="G45" s="3">
        <v>0</v>
      </c>
      <c r="H45" s="3">
        <v>213130</v>
      </c>
      <c r="I45" s="3">
        <f t="shared" si="0"/>
        <v>2198788</v>
      </c>
      <c r="J45" s="2"/>
      <c r="K45"/>
    </row>
    <row r="46" spans="1:11" x14ac:dyDescent="0.3">
      <c r="A46">
        <f>'Section 611 Awards 23'!A46</f>
        <v>2253</v>
      </c>
      <c r="B46" t="s">
        <v>162</v>
      </c>
      <c r="C46" s="3">
        <v>162140</v>
      </c>
      <c r="D46" s="3">
        <v>42465</v>
      </c>
      <c r="E46" s="3">
        <v>0</v>
      </c>
      <c r="F46" s="3">
        <v>0</v>
      </c>
      <c r="G46" s="3">
        <v>0</v>
      </c>
      <c r="H46" s="3">
        <v>9651</v>
      </c>
      <c r="I46" s="3">
        <f t="shared" si="0"/>
        <v>214256</v>
      </c>
      <c r="J46" s="2"/>
      <c r="K46"/>
    </row>
    <row r="47" spans="1:11" x14ac:dyDescent="0.3">
      <c r="A47">
        <f>'Section 611 Awards 23'!A47</f>
        <v>2011</v>
      </c>
      <c r="B47" t="s">
        <v>49</v>
      </c>
      <c r="C47" s="3">
        <v>8502</v>
      </c>
      <c r="D47" s="3">
        <v>3401</v>
      </c>
      <c r="E47" s="3">
        <v>0</v>
      </c>
      <c r="F47" s="3">
        <v>0</v>
      </c>
      <c r="G47" s="3">
        <v>0</v>
      </c>
      <c r="H47" s="3">
        <v>1700</v>
      </c>
      <c r="I47" s="3">
        <f t="shared" si="0"/>
        <v>13603</v>
      </c>
      <c r="J47" s="2"/>
      <c r="K47"/>
    </row>
    <row r="48" spans="1:11" x14ac:dyDescent="0.3">
      <c r="A48">
        <f>'Section 611 Awards 23'!A48</f>
        <v>2017</v>
      </c>
      <c r="B48" t="s">
        <v>54</v>
      </c>
      <c r="C48" s="3">
        <v>1941</v>
      </c>
      <c r="D48" s="3">
        <v>0</v>
      </c>
      <c r="E48" s="3">
        <v>0</v>
      </c>
      <c r="F48" s="3">
        <v>0</v>
      </c>
      <c r="G48" s="3">
        <v>0</v>
      </c>
      <c r="H48" s="3">
        <v>0</v>
      </c>
      <c r="I48" s="3">
        <f t="shared" si="0"/>
        <v>1941</v>
      </c>
      <c r="J48" s="2"/>
      <c r="K48"/>
    </row>
    <row r="49" spans="1:11" x14ac:dyDescent="0.3">
      <c r="A49">
        <f>'Section 611 Awards 23'!A49</f>
        <v>2021</v>
      </c>
      <c r="B49" t="s">
        <v>58</v>
      </c>
      <c r="C49" s="3">
        <v>1230</v>
      </c>
      <c r="D49" s="3">
        <v>0</v>
      </c>
      <c r="E49" s="3">
        <v>0</v>
      </c>
      <c r="F49" s="3">
        <v>0</v>
      </c>
      <c r="G49" s="3">
        <v>0</v>
      </c>
      <c r="H49" s="3">
        <v>0</v>
      </c>
      <c r="I49" s="3">
        <f t="shared" si="0"/>
        <v>1230</v>
      </c>
      <c r="J49" s="2"/>
      <c r="K49"/>
    </row>
    <row r="50" spans="1:11" x14ac:dyDescent="0.3">
      <c r="A50">
        <f>'Section 611 Awards 23'!A50</f>
        <v>1993</v>
      </c>
      <c r="B50" t="s">
        <v>216</v>
      </c>
      <c r="C50" s="3">
        <v>64140</v>
      </c>
      <c r="D50" s="3">
        <v>1645</v>
      </c>
      <c r="E50" s="3">
        <v>0</v>
      </c>
      <c r="F50" s="3">
        <v>0</v>
      </c>
      <c r="G50" s="3">
        <v>0</v>
      </c>
      <c r="H50" s="3">
        <v>0</v>
      </c>
      <c r="I50" s="3">
        <f t="shared" si="0"/>
        <v>65785</v>
      </c>
      <c r="J50" s="2"/>
      <c r="K50"/>
    </row>
    <row r="51" spans="1:11" x14ac:dyDescent="0.3">
      <c r="A51">
        <f>'Section 611 Awards 23'!A51</f>
        <v>1991</v>
      </c>
      <c r="B51" t="s">
        <v>217</v>
      </c>
      <c r="C51" s="3">
        <v>1025334</v>
      </c>
      <c r="D51" s="3">
        <v>208602</v>
      </c>
      <c r="E51" s="3">
        <v>0</v>
      </c>
      <c r="F51" s="3">
        <v>0</v>
      </c>
      <c r="G51" s="3">
        <v>0</v>
      </c>
      <c r="H51" s="3">
        <v>176782</v>
      </c>
      <c r="I51" s="3">
        <f t="shared" si="0"/>
        <v>1410718</v>
      </c>
      <c r="J51" s="2"/>
      <c r="K51"/>
    </row>
    <row r="52" spans="1:11" x14ac:dyDescent="0.3">
      <c r="A52">
        <f>'Section 611 Awards 23'!A52</f>
        <v>2019</v>
      </c>
      <c r="B52" t="s">
        <v>56</v>
      </c>
      <c r="C52" s="3">
        <v>2048</v>
      </c>
      <c r="D52" s="3">
        <v>0</v>
      </c>
      <c r="E52" s="3">
        <v>0</v>
      </c>
      <c r="F52" s="3">
        <v>0</v>
      </c>
      <c r="G52" s="3">
        <v>0</v>
      </c>
      <c r="H52" s="3">
        <v>0</v>
      </c>
      <c r="I52" s="3">
        <f t="shared" si="0"/>
        <v>2048</v>
      </c>
      <c r="J52" s="2"/>
      <c r="K52"/>
    </row>
    <row r="53" spans="1:11" x14ac:dyDescent="0.3">
      <c r="A53">
        <f>'Section 611 Awards 23'!A53</f>
        <v>2229</v>
      </c>
      <c r="B53" t="s">
        <v>150</v>
      </c>
      <c r="C53" s="3">
        <v>57708</v>
      </c>
      <c r="D53" s="3">
        <v>6183</v>
      </c>
      <c r="E53" s="3">
        <v>0</v>
      </c>
      <c r="F53" s="3">
        <v>0</v>
      </c>
      <c r="G53" s="3">
        <v>0</v>
      </c>
      <c r="H53" s="3">
        <v>2061</v>
      </c>
      <c r="I53" s="3">
        <f t="shared" si="0"/>
        <v>65952</v>
      </c>
      <c r="J53" s="2"/>
      <c r="K53"/>
    </row>
    <row r="54" spans="1:11" x14ac:dyDescent="0.3">
      <c r="A54">
        <f>'Section 611 Awards 23'!A54</f>
        <v>2043</v>
      </c>
      <c r="B54" t="s">
        <v>63</v>
      </c>
      <c r="C54" s="3">
        <v>756148</v>
      </c>
      <c r="D54" s="3">
        <v>127490</v>
      </c>
      <c r="E54" s="3">
        <v>0</v>
      </c>
      <c r="F54" s="3">
        <v>0</v>
      </c>
      <c r="G54" s="3">
        <v>0</v>
      </c>
      <c r="H54" s="3">
        <v>83528</v>
      </c>
      <c r="I54" s="3">
        <f t="shared" si="0"/>
        <v>967166</v>
      </c>
      <c r="J54" s="2"/>
      <c r="K54"/>
    </row>
    <row r="55" spans="1:11" x14ac:dyDescent="0.3">
      <c r="A55">
        <f>'Section 611 Awards 23'!A55</f>
        <v>2203</v>
      </c>
      <c r="B55" t="s">
        <v>138</v>
      </c>
      <c r="C55" s="3">
        <v>42915</v>
      </c>
      <c r="D55" s="3">
        <v>6502</v>
      </c>
      <c r="E55" s="3">
        <v>0</v>
      </c>
      <c r="F55" s="3">
        <v>0</v>
      </c>
      <c r="G55" s="3">
        <v>0</v>
      </c>
      <c r="H55" s="3">
        <v>5202</v>
      </c>
      <c r="I55" s="3">
        <f t="shared" si="0"/>
        <v>54619</v>
      </c>
      <c r="J55" s="2"/>
      <c r="K55"/>
    </row>
    <row r="56" spans="1:11" x14ac:dyDescent="0.3">
      <c r="A56">
        <f>'Section 611 Awards 23'!A56</f>
        <v>2217</v>
      </c>
      <c r="B56" t="s">
        <v>145</v>
      </c>
      <c r="C56" s="3">
        <v>77669</v>
      </c>
      <c r="D56" s="3">
        <v>9320</v>
      </c>
      <c r="E56" s="3">
        <v>0</v>
      </c>
      <c r="F56" s="3">
        <v>0</v>
      </c>
      <c r="G56" s="3">
        <v>0</v>
      </c>
      <c r="H56" s="3">
        <v>13980</v>
      </c>
      <c r="I56" s="3">
        <f t="shared" si="0"/>
        <v>100969</v>
      </c>
      <c r="J56" s="2"/>
      <c r="K56"/>
    </row>
    <row r="57" spans="1:11" x14ac:dyDescent="0.3">
      <c r="A57">
        <f>'Section 611 Awards 23'!A57</f>
        <v>1998</v>
      </c>
      <c r="B57" t="s">
        <v>38</v>
      </c>
      <c r="C57" s="3">
        <v>49973</v>
      </c>
      <c r="D57" s="3">
        <v>0</v>
      </c>
      <c r="E57" s="3">
        <v>0</v>
      </c>
      <c r="F57" s="3">
        <v>0</v>
      </c>
      <c r="G57" s="3">
        <v>0</v>
      </c>
      <c r="H57" s="3">
        <v>1922</v>
      </c>
      <c r="I57" s="3">
        <f t="shared" si="0"/>
        <v>51895</v>
      </c>
      <c r="J57" s="2"/>
      <c r="K57"/>
    </row>
    <row r="58" spans="1:11" x14ac:dyDescent="0.3">
      <c r="A58">
        <f>'Section 611 Awards 23'!A58</f>
        <v>2221</v>
      </c>
      <c r="B58" t="s">
        <v>148</v>
      </c>
      <c r="C58" s="3">
        <v>90418</v>
      </c>
      <c r="D58" s="3">
        <v>4521</v>
      </c>
      <c r="E58" s="3">
        <v>0</v>
      </c>
      <c r="F58" s="3">
        <v>0</v>
      </c>
      <c r="G58" s="3">
        <v>0</v>
      </c>
      <c r="H58" s="3">
        <v>15070</v>
      </c>
      <c r="I58" s="3">
        <f t="shared" si="0"/>
        <v>110009</v>
      </c>
      <c r="J58" s="2"/>
      <c r="K58"/>
    </row>
    <row r="59" spans="1:11" x14ac:dyDescent="0.3">
      <c r="A59">
        <f>'Section 611 Awards 23'!A59</f>
        <v>1930</v>
      </c>
      <c r="B59" t="s">
        <v>15</v>
      </c>
      <c r="C59" s="3">
        <v>503166</v>
      </c>
      <c r="D59" s="3">
        <v>78928</v>
      </c>
      <c r="E59" s="3">
        <v>0</v>
      </c>
      <c r="F59" s="3">
        <v>0</v>
      </c>
      <c r="G59" s="3">
        <v>0</v>
      </c>
      <c r="H59" s="3">
        <v>59196</v>
      </c>
      <c r="I59" s="3">
        <f t="shared" si="0"/>
        <v>641290</v>
      </c>
      <c r="J59" s="2"/>
      <c r="K59"/>
    </row>
    <row r="60" spans="1:11" x14ac:dyDescent="0.3">
      <c r="A60">
        <f>'Section 611 Awards 23'!A60</f>
        <v>2082</v>
      </c>
      <c r="B60" t="s">
        <v>81</v>
      </c>
      <c r="C60" s="3">
        <v>3511566</v>
      </c>
      <c r="D60" s="3">
        <v>143465</v>
      </c>
      <c r="E60" s="3">
        <v>5005</v>
      </c>
      <c r="F60" s="3">
        <v>0</v>
      </c>
      <c r="G60" s="3">
        <v>0</v>
      </c>
      <c r="H60" s="3">
        <v>495456</v>
      </c>
      <c r="I60" s="3">
        <f t="shared" si="0"/>
        <v>4155492</v>
      </c>
      <c r="J60" s="2"/>
      <c r="K60"/>
    </row>
    <row r="61" spans="1:11" x14ac:dyDescent="0.3">
      <c r="A61">
        <f>'Section 611 Awards 23'!A61</f>
        <v>2193</v>
      </c>
      <c r="B61" t="s">
        <v>132</v>
      </c>
      <c r="C61" s="3">
        <v>50315</v>
      </c>
      <c r="D61" s="3">
        <v>5031</v>
      </c>
      <c r="E61" s="3">
        <v>0</v>
      </c>
      <c r="F61" s="3">
        <v>0</v>
      </c>
      <c r="G61" s="3">
        <v>0</v>
      </c>
      <c r="H61" s="3">
        <v>3354</v>
      </c>
      <c r="I61" s="3">
        <f t="shared" si="0"/>
        <v>58700</v>
      </c>
      <c r="J61" s="2"/>
      <c r="K61"/>
    </row>
    <row r="62" spans="1:11" x14ac:dyDescent="0.3">
      <c r="A62">
        <f>'Section 611 Awards 23'!A62</f>
        <v>2084</v>
      </c>
      <c r="B62" t="s">
        <v>83</v>
      </c>
      <c r="C62" s="3">
        <v>354766</v>
      </c>
      <c r="D62" s="3">
        <v>1523</v>
      </c>
      <c r="E62" s="3">
        <v>0</v>
      </c>
      <c r="F62" s="3">
        <v>0</v>
      </c>
      <c r="G62" s="3">
        <v>0</v>
      </c>
      <c r="H62" s="3">
        <v>53291</v>
      </c>
      <c r="I62" s="3">
        <f t="shared" si="0"/>
        <v>409580</v>
      </c>
      <c r="J62" s="2"/>
      <c r="K62"/>
    </row>
    <row r="63" spans="1:11" x14ac:dyDescent="0.3">
      <c r="A63">
        <f>'Section 611 Awards 23'!A63</f>
        <v>2241</v>
      </c>
      <c r="B63" t="s">
        <v>153</v>
      </c>
      <c r="C63" s="3">
        <v>936836</v>
      </c>
      <c r="D63" s="3">
        <v>233501</v>
      </c>
      <c r="E63" s="3">
        <v>0</v>
      </c>
      <c r="F63" s="3">
        <v>22642</v>
      </c>
      <c r="G63" s="3">
        <v>0</v>
      </c>
      <c r="H63" s="3">
        <v>138686</v>
      </c>
      <c r="I63" s="3">
        <f t="shared" si="0"/>
        <v>1331665</v>
      </c>
      <c r="J63" s="2"/>
      <c r="K63"/>
    </row>
    <row r="64" spans="1:11" x14ac:dyDescent="0.3">
      <c r="A64">
        <f>'Section 611 Awards 23'!A64</f>
        <v>2248</v>
      </c>
      <c r="B64" t="s">
        <v>159</v>
      </c>
      <c r="C64" s="3">
        <v>185484</v>
      </c>
      <c r="D64" s="3">
        <v>1702</v>
      </c>
      <c r="E64" s="3">
        <v>0</v>
      </c>
      <c r="F64" s="3">
        <v>0</v>
      </c>
      <c r="G64" s="3">
        <v>0</v>
      </c>
      <c r="H64" s="3">
        <v>1702</v>
      </c>
      <c r="I64" s="3">
        <f t="shared" si="0"/>
        <v>188888</v>
      </c>
      <c r="J64" s="2"/>
      <c r="K64"/>
    </row>
    <row r="65" spans="1:11" x14ac:dyDescent="0.3">
      <c r="A65">
        <f>'Section 611 Awards 23'!A65</f>
        <v>2020</v>
      </c>
      <c r="B65" t="s">
        <v>57</v>
      </c>
      <c r="C65" s="3">
        <v>2523</v>
      </c>
      <c r="D65" s="3">
        <v>0</v>
      </c>
      <c r="E65" s="3">
        <v>0</v>
      </c>
      <c r="F65" s="3">
        <v>0</v>
      </c>
      <c r="G65" s="3">
        <v>0</v>
      </c>
      <c r="H65" s="3">
        <v>0</v>
      </c>
      <c r="I65" s="3">
        <f t="shared" si="0"/>
        <v>2523</v>
      </c>
      <c r="J65" s="2"/>
      <c r="K65"/>
    </row>
    <row r="66" spans="1:11" x14ac:dyDescent="0.3">
      <c r="A66">
        <f>'Section 611 Awards 23'!A66</f>
        <v>2245</v>
      </c>
      <c r="B66" t="s">
        <v>157</v>
      </c>
      <c r="C66" s="3">
        <v>96119</v>
      </c>
      <c r="D66" s="3">
        <v>13167</v>
      </c>
      <c r="E66" s="3">
        <v>0</v>
      </c>
      <c r="F66" s="3">
        <v>0</v>
      </c>
      <c r="G66" s="3">
        <v>0</v>
      </c>
      <c r="H66" s="3">
        <v>7900</v>
      </c>
      <c r="I66" s="3">
        <f t="shared" ref="I66:I129" si="1">SUM(C66:H66)</f>
        <v>117186</v>
      </c>
      <c r="J66" s="2"/>
      <c r="K66"/>
    </row>
    <row r="67" spans="1:11" x14ac:dyDescent="0.3">
      <c r="A67">
        <f>'Section 611 Awards 23'!A67</f>
        <v>2137</v>
      </c>
      <c r="B67" t="s">
        <v>110</v>
      </c>
      <c r="C67" s="3">
        <v>322775</v>
      </c>
      <c r="D67" s="3">
        <v>29511</v>
      </c>
      <c r="E67" s="3">
        <v>1844</v>
      </c>
      <c r="F67" s="3">
        <v>0</v>
      </c>
      <c r="G67" s="3">
        <v>0</v>
      </c>
      <c r="H67" s="3">
        <v>11067</v>
      </c>
      <c r="I67" s="3">
        <f t="shared" si="1"/>
        <v>365197</v>
      </c>
      <c r="J67" s="2"/>
      <c r="K67"/>
    </row>
    <row r="68" spans="1:11" x14ac:dyDescent="0.3">
      <c r="A68">
        <f>'Section 611 Awards 23'!A68</f>
        <v>1931</v>
      </c>
      <c r="B68" t="s">
        <v>16</v>
      </c>
      <c r="C68" s="3">
        <v>328230</v>
      </c>
      <c r="D68" s="3">
        <v>55632</v>
      </c>
      <c r="E68" s="3">
        <v>0</v>
      </c>
      <c r="F68" s="3">
        <v>0</v>
      </c>
      <c r="G68" s="3">
        <v>0</v>
      </c>
      <c r="H68" s="3">
        <v>37552</v>
      </c>
      <c r="I68" s="3">
        <f t="shared" si="1"/>
        <v>421414</v>
      </c>
      <c r="J68" s="2"/>
      <c r="K68"/>
    </row>
    <row r="69" spans="1:11" x14ac:dyDescent="0.3">
      <c r="A69">
        <f>'Section 611 Awards 23'!A69</f>
        <v>2000</v>
      </c>
      <c r="B69" t="s">
        <v>40</v>
      </c>
      <c r="C69" s="3">
        <v>70897</v>
      </c>
      <c r="D69" s="3">
        <v>4431</v>
      </c>
      <c r="E69" s="3">
        <v>0</v>
      </c>
      <c r="F69" s="3">
        <v>0</v>
      </c>
      <c r="G69" s="3">
        <v>0</v>
      </c>
      <c r="H69" s="3">
        <v>5908</v>
      </c>
      <c r="I69" s="3">
        <f t="shared" si="1"/>
        <v>81236</v>
      </c>
      <c r="J69" s="2"/>
      <c r="K69"/>
    </row>
    <row r="70" spans="1:11" x14ac:dyDescent="0.3">
      <c r="A70">
        <f>'Section 611 Awards 23'!A70</f>
        <v>1992</v>
      </c>
      <c r="B70" t="s">
        <v>34</v>
      </c>
      <c r="C70" s="3">
        <v>181773</v>
      </c>
      <c r="D70" s="3">
        <v>27073</v>
      </c>
      <c r="E70" s="3">
        <v>0</v>
      </c>
      <c r="F70" s="3">
        <v>0</v>
      </c>
      <c r="G70" s="3">
        <v>0</v>
      </c>
      <c r="H70" s="3">
        <v>7735</v>
      </c>
      <c r="I70" s="3">
        <f t="shared" si="1"/>
        <v>216581</v>
      </c>
      <c r="J70" s="2"/>
      <c r="K70"/>
    </row>
    <row r="71" spans="1:11" x14ac:dyDescent="0.3">
      <c r="A71">
        <f>'Section 611 Awards 23'!A71</f>
        <v>2054</v>
      </c>
      <c r="B71" t="s">
        <v>73</v>
      </c>
      <c r="C71" s="3">
        <v>947317</v>
      </c>
      <c r="D71" s="3">
        <v>202885</v>
      </c>
      <c r="E71" s="3">
        <v>0</v>
      </c>
      <c r="F71" s="3">
        <v>6243</v>
      </c>
      <c r="G71" s="3">
        <v>0</v>
      </c>
      <c r="H71" s="3">
        <v>121731</v>
      </c>
      <c r="I71" s="3">
        <f t="shared" si="1"/>
        <v>1278176</v>
      </c>
      <c r="J71" s="2"/>
      <c r="K71"/>
    </row>
    <row r="72" spans="1:11" x14ac:dyDescent="0.3">
      <c r="A72">
        <f>'Section 611 Awards 23'!A72</f>
        <v>2100</v>
      </c>
      <c r="B72" t="s">
        <v>218</v>
      </c>
      <c r="C72" s="3">
        <v>1557523</v>
      </c>
      <c r="D72" s="3">
        <v>336105</v>
      </c>
      <c r="E72" s="3">
        <v>5721</v>
      </c>
      <c r="F72" s="3">
        <v>0</v>
      </c>
      <c r="G72" s="3">
        <v>0</v>
      </c>
      <c r="H72" s="3">
        <v>174488</v>
      </c>
      <c r="I72" s="3">
        <f t="shared" si="1"/>
        <v>2073837</v>
      </c>
      <c r="J72" s="2"/>
      <c r="K72"/>
    </row>
    <row r="73" spans="1:11" x14ac:dyDescent="0.3">
      <c r="A73">
        <f>'Section 611 Awards 23'!A73</f>
        <v>2183</v>
      </c>
      <c r="B73" t="s">
        <v>124</v>
      </c>
      <c r="C73" s="3">
        <v>2025980</v>
      </c>
      <c r="D73" s="3">
        <v>450041</v>
      </c>
      <c r="E73" s="3">
        <v>0</v>
      </c>
      <c r="F73" s="3">
        <v>0</v>
      </c>
      <c r="G73" s="3">
        <v>0</v>
      </c>
      <c r="H73" s="3">
        <v>233767</v>
      </c>
      <c r="I73" s="3">
        <f t="shared" si="1"/>
        <v>2709788</v>
      </c>
      <c r="J73" s="2"/>
      <c r="K73"/>
    </row>
    <row r="74" spans="1:11" x14ac:dyDescent="0.3">
      <c r="A74">
        <f>'Section 611 Awards 23'!A74</f>
        <v>2014</v>
      </c>
      <c r="B74" t="s">
        <v>51</v>
      </c>
      <c r="C74" s="3">
        <v>180097</v>
      </c>
      <c r="D74" s="3">
        <v>18192</v>
      </c>
      <c r="E74" s="3">
        <v>0</v>
      </c>
      <c r="F74" s="3">
        <v>0</v>
      </c>
      <c r="G74" s="3">
        <v>0</v>
      </c>
      <c r="H74" s="3">
        <v>36383</v>
      </c>
      <c r="I74" s="3">
        <f t="shared" si="1"/>
        <v>234672</v>
      </c>
      <c r="J74" s="2"/>
      <c r="K74"/>
    </row>
    <row r="75" spans="1:11" x14ac:dyDescent="0.3">
      <c r="A75">
        <f>'Section 611 Awards 23'!A75</f>
        <v>2015</v>
      </c>
      <c r="B75" t="s">
        <v>52</v>
      </c>
      <c r="C75" s="3">
        <v>102657</v>
      </c>
      <c r="D75" s="3">
        <v>11666</v>
      </c>
      <c r="E75" s="3">
        <v>0</v>
      </c>
      <c r="F75" s="3">
        <v>0</v>
      </c>
      <c r="G75" s="3">
        <v>0</v>
      </c>
      <c r="H75" s="3">
        <v>0</v>
      </c>
      <c r="I75" s="3">
        <f t="shared" si="1"/>
        <v>114323</v>
      </c>
      <c r="J75" s="2"/>
      <c r="K75"/>
    </row>
    <row r="76" spans="1:11" x14ac:dyDescent="0.3">
      <c r="A76">
        <f>'Section 611 Awards 23'!A76</f>
        <v>2023</v>
      </c>
      <c r="B76" t="s">
        <v>219</v>
      </c>
      <c r="C76" s="3">
        <v>134903</v>
      </c>
      <c r="D76" s="3">
        <v>25054</v>
      </c>
      <c r="E76" s="3">
        <v>0</v>
      </c>
      <c r="F76" s="3">
        <v>0</v>
      </c>
      <c r="G76" s="3">
        <v>0</v>
      </c>
      <c r="H76" s="3">
        <v>0</v>
      </c>
      <c r="I76" s="3">
        <f t="shared" si="1"/>
        <v>159957</v>
      </c>
      <c r="J76" s="2"/>
      <c r="K76"/>
    </row>
    <row r="77" spans="1:11" x14ac:dyDescent="0.3">
      <c r="A77">
        <f>'Section 611 Awards 23'!A77</f>
        <v>2114</v>
      </c>
      <c r="B77" t="s">
        <v>107</v>
      </c>
      <c r="C77" s="3">
        <v>38553</v>
      </c>
      <c r="D77" s="3">
        <v>0</v>
      </c>
      <c r="E77" s="3">
        <v>0</v>
      </c>
      <c r="F77" s="3">
        <v>0</v>
      </c>
      <c r="G77" s="3">
        <v>0</v>
      </c>
      <c r="H77" s="3">
        <v>0</v>
      </c>
      <c r="I77" s="3">
        <f t="shared" si="1"/>
        <v>38553</v>
      </c>
      <c r="J77" s="2"/>
      <c r="K77"/>
    </row>
    <row r="78" spans="1:11" x14ac:dyDescent="0.3">
      <c r="A78">
        <f>'Section 611 Awards 23'!A78</f>
        <v>2099</v>
      </c>
      <c r="B78" t="s">
        <v>95</v>
      </c>
      <c r="C78" s="3">
        <v>127047</v>
      </c>
      <c r="D78" s="3">
        <v>31370</v>
      </c>
      <c r="E78" s="3">
        <v>0</v>
      </c>
      <c r="F78" s="3">
        <v>0</v>
      </c>
      <c r="G78" s="3">
        <v>0</v>
      </c>
      <c r="H78" s="3">
        <v>7842</v>
      </c>
      <c r="I78" s="3">
        <f t="shared" si="1"/>
        <v>166259</v>
      </c>
      <c r="J78" s="2"/>
      <c r="K78"/>
    </row>
    <row r="79" spans="1:11" x14ac:dyDescent="0.3">
      <c r="A79">
        <f>'Section 611 Awards 23'!A79</f>
        <v>2201</v>
      </c>
      <c r="B79" t="s">
        <v>136</v>
      </c>
      <c r="C79" s="3">
        <v>26099</v>
      </c>
      <c r="D79" s="3">
        <v>1535</v>
      </c>
      <c r="E79" s="3">
        <v>0</v>
      </c>
      <c r="F79" s="3">
        <v>0</v>
      </c>
      <c r="G79" s="3">
        <v>0</v>
      </c>
      <c r="H79" s="3">
        <v>0</v>
      </c>
      <c r="I79" s="3">
        <f t="shared" si="1"/>
        <v>27634</v>
      </c>
      <c r="J79" s="2"/>
      <c r="K79"/>
    </row>
    <row r="80" spans="1:11" x14ac:dyDescent="0.3">
      <c r="A80">
        <f>'Section 611 Awards 23'!A80</f>
        <v>2206</v>
      </c>
      <c r="B80" t="s">
        <v>220</v>
      </c>
      <c r="C80" s="3">
        <v>873615</v>
      </c>
      <c r="D80" s="3">
        <v>147866</v>
      </c>
      <c r="E80" s="3">
        <v>1509</v>
      </c>
      <c r="F80" s="3">
        <v>0</v>
      </c>
      <c r="G80" s="3">
        <v>0</v>
      </c>
      <c r="H80" s="3">
        <v>122216</v>
      </c>
      <c r="I80" s="3">
        <f t="shared" si="1"/>
        <v>1145206</v>
      </c>
      <c r="J80" s="2"/>
      <c r="K80"/>
    </row>
    <row r="81" spans="1:11" x14ac:dyDescent="0.3">
      <c r="A81">
        <f>'Section 611 Awards 23'!A81</f>
        <v>2239</v>
      </c>
      <c r="B81" t="s">
        <v>151</v>
      </c>
      <c r="C81" s="3">
        <v>3119018</v>
      </c>
      <c r="D81" s="3">
        <v>677991</v>
      </c>
      <c r="E81" s="3">
        <v>5235</v>
      </c>
      <c r="F81" s="3">
        <v>0</v>
      </c>
      <c r="G81" s="3">
        <v>0</v>
      </c>
      <c r="H81" s="3">
        <v>357319</v>
      </c>
      <c r="I81" s="3">
        <f t="shared" si="1"/>
        <v>4159563</v>
      </c>
      <c r="J81" s="2"/>
      <c r="K81"/>
    </row>
    <row r="82" spans="1:11" x14ac:dyDescent="0.3">
      <c r="A82">
        <f>'Section 611 Awards 23'!A82</f>
        <v>2024</v>
      </c>
      <c r="B82" t="s">
        <v>221</v>
      </c>
      <c r="C82" s="3">
        <v>681146</v>
      </c>
      <c r="D82" s="3">
        <v>89905</v>
      </c>
      <c r="E82" s="3">
        <v>0</v>
      </c>
      <c r="F82" s="3">
        <v>1524</v>
      </c>
      <c r="G82" s="3">
        <v>0</v>
      </c>
      <c r="H82" s="3">
        <v>99048</v>
      </c>
      <c r="I82" s="3">
        <f t="shared" si="1"/>
        <v>871623</v>
      </c>
      <c r="J82" s="2"/>
      <c r="K82"/>
    </row>
    <row r="83" spans="1:11" x14ac:dyDescent="0.3">
      <c r="A83">
        <f>'Section 611 Awards 23'!A83</f>
        <v>1895</v>
      </c>
      <c r="B83" t="s">
        <v>2</v>
      </c>
      <c r="C83" s="3">
        <v>21996</v>
      </c>
      <c r="D83" s="3">
        <v>0</v>
      </c>
      <c r="E83" s="3">
        <v>0</v>
      </c>
      <c r="F83" s="3">
        <v>0</v>
      </c>
      <c r="G83" s="3">
        <v>0</v>
      </c>
      <c r="H83" s="3">
        <v>0</v>
      </c>
      <c r="I83" s="3">
        <f t="shared" si="1"/>
        <v>21996</v>
      </c>
      <c r="J83" s="2"/>
      <c r="K83"/>
    </row>
    <row r="84" spans="1:11" x14ac:dyDescent="0.3">
      <c r="A84">
        <f>'Section 611 Awards 23'!A84</f>
        <v>2215</v>
      </c>
      <c r="B84" t="s">
        <v>143</v>
      </c>
      <c r="C84" s="3">
        <v>67522</v>
      </c>
      <c r="D84" s="3">
        <v>10803</v>
      </c>
      <c r="E84" s="3">
        <v>0</v>
      </c>
      <c r="F84" s="3">
        <v>0</v>
      </c>
      <c r="G84" s="3">
        <v>0</v>
      </c>
      <c r="H84" s="3">
        <v>5402</v>
      </c>
      <c r="I84" s="3">
        <f t="shared" si="1"/>
        <v>83727</v>
      </c>
      <c r="J84" s="2"/>
      <c r="K84"/>
    </row>
    <row r="85" spans="1:11" x14ac:dyDescent="0.3">
      <c r="A85">
        <f>'Section 611 Awards 23'!A85</f>
        <v>3997</v>
      </c>
      <c r="B85" t="s">
        <v>222</v>
      </c>
      <c r="C85" s="3">
        <v>23023</v>
      </c>
      <c r="D85" s="3">
        <v>6771</v>
      </c>
      <c r="E85" s="3">
        <v>0</v>
      </c>
      <c r="F85" s="3">
        <v>0</v>
      </c>
      <c r="G85" s="3">
        <v>0</v>
      </c>
      <c r="H85" s="3">
        <v>1354</v>
      </c>
      <c r="I85" s="3">
        <f t="shared" si="1"/>
        <v>31148</v>
      </c>
      <c r="J85" s="2"/>
      <c r="K85"/>
    </row>
    <row r="86" spans="1:11" x14ac:dyDescent="0.3">
      <c r="A86">
        <f>'Section 611 Awards 23'!A86</f>
        <v>2053</v>
      </c>
      <c r="B86" t="s">
        <v>72</v>
      </c>
      <c r="C86" s="3">
        <v>574636</v>
      </c>
      <c r="D86" s="3">
        <v>65416</v>
      </c>
      <c r="E86" s="3">
        <v>1283</v>
      </c>
      <c r="F86" s="3">
        <v>0</v>
      </c>
      <c r="G86" s="3">
        <v>0</v>
      </c>
      <c r="H86" s="3">
        <v>61568</v>
      </c>
      <c r="I86" s="3">
        <f t="shared" si="1"/>
        <v>702903</v>
      </c>
      <c r="J86" s="2"/>
      <c r="K86"/>
    </row>
    <row r="87" spans="1:11" x14ac:dyDescent="0.3">
      <c r="A87">
        <f>'Section 611 Awards 23'!A87</f>
        <v>2140</v>
      </c>
      <c r="B87" t="s">
        <v>113</v>
      </c>
      <c r="C87" s="3">
        <v>132538</v>
      </c>
      <c r="D87" s="3">
        <v>46388</v>
      </c>
      <c r="E87" s="3">
        <v>0</v>
      </c>
      <c r="F87" s="3">
        <v>0</v>
      </c>
      <c r="G87" s="3">
        <v>0</v>
      </c>
      <c r="H87" s="3">
        <v>9940</v>
      </c>
      <c r="I87" s="3">
        <f t="shared" si="1"/>
        <v>188866</v>
      </c>
      <c r="J87" s="2"/>
      <c r="K87"/>
    </row>
    <row r="88" spans="1:11" x14ac:dyDescent="0.3">
      <c r="A88">
        <f>'Section 611 Awards 23'!A88</f>
        <v>1934</v>
      </c>
      <c r="B88" t="s">
        <v>17</v>
      </c>
      <c r="C88" s="3">
        <v>23194</v>
      </c>
      <c r="D88" s="3">
        <v>3163</v>
      </c>
      <c r="E88" s="3">
        <v>0</v>
      </c>
      <c r="F88" s="3">
        <v>0</v>
      </c>
      <c r="G88" s="3">
        <v>0</v>
      </c>
      <c r="H88" s="3">
        <v>0</v>
      </c>
      <c r="I88" s="3">
        <f t="shared" si="1"/>
        <v>26357</v>
      </c>
      <c r="J88" s="2"/>
      <c r="K88"/>
    </row>
    <row r="89" spans="1:11" x14ac:dyDescent="0.3">
      <c r="A89">
        <f>'Section 611 Awards 23'!A89</f>
        <v>2008</v>
      </c>
      <c r="B89" t="s">
        <v>46</v>
      </c>
      <c r="C89" s="3">
        <v>150043</v>
      </c>
      <c r="D89" s="3">
        <v>22923</v>
      </c>
      <c r="E89" s="3">
        <v>0</v>
      </c>
      <c r="F89" s="3">
        <v>0</v>
      </c>
      <c r="G89" s="3">
        <v>0</v>
      </c>
      <c r="H89" s="3">
        <v>10420</v>
      </c>
      <c r="I89" s="3">
        <f t="shared" si="1"/>
        <v>183386</v>
      </c>
      <c r="J89" s="2"/>
      <c r="K89"/>
    </row>
    <row r="90" spans="1:11" x14ac:dyDescent="0.3">
      <c r="A90">
        <f>'Section 611 Awards 23'!A90</f>
        <v>2107</v>
      </c>
      <c r="B90" t="s">
        <v>101</v>
      </c>
      <c r="C90" s="3">
        <v>18112</v>
      </c>
      <c r="D90" s="3">
        <v>0</v>
      </c>
      <c r="E90" s="3">
        <v>0</v>
      </c>
      <c r="F90" s="3">
        <v>0</v>
      </c>
      <c r="G90" s="3">
        <v>0</v>
      </c>
      <c r="H90" s="3">
        <v>0</v>
      </c>
      <c r="I90" s="3">
        <f t="shared" si="1"/>
        <v>18112</v>
      </c>
      <c r="J90" s="2"/>
      <c r="K90"/>
    </row>
    <row r="91" spans="1:11" x14ac:dyDescent="0.3">
      <c r="A91">
        <f>'Section 611 Awards 23'!A91</f>
        <v>2219</v>
      </c>
      <c r="B91" t="s">
        <v>146</v>
      </c>
      <c r="C91" s="3">
        <v>63016</v>
      </c>
      <c r="D91" s="3">
        <v>8131</v>
      </c>
      <c r="E91" s="3">
        <v>0</v>
      </c>
      <c r="F91" s="3">
        <v>0</v>
      </c>
      <c r="G91" s="3">
        <v>0</v>
      </c>
      <c r="H91" s="3">
        <v>6098</v>
      </c>
      <c r="I91" s="3">
        <f t="shared" si="1"/>
        <v>77245</v>
      </c>
      <c r="J91" s="2"/>
      <c r="K91"/>
    </row>
    <row r="92" spans="1:11" x14ac:dyDescent="0.3">
      <c r="A92">
        <f>'Section 611 Awards 23'!A92</f>
        <v>2091</v>
      </c>
      <c r="B92" t="s">
        <v>88</v>
      </c>
      <c r="C92" s="3">
        <v>327395</v>
      </c>
      <c r="D92" s="3">
        <v>33767</v>
      </c>
      <c r="E92" s="3">
        <v>0</v>
      </c>
      <c r="F92" s="3">
        <v>0</v>
      </c>
      <c r="G92" s="3">
        <v>0</v>
      </c>
      <c r="H92" s="3">
        <v>61662</v>
      </c>
      <c r="I92" s="3">
        <f t="shared" si="1"/>
        <v>422824</v>
      </c>
      <c r="J92" s="2"/>
      <c r="K92"/>
    </row>
    <row r="93" spans="1:11" x14ac:dyDescent="0.3">
      <c r="A93">
        <f>'Section 611 Awards 23'!A93</f>
        <v>2109</v>
      </c>
      <c r="B93" t="s">
        <v>102</v>
      </c>
      <c r="C93" s="3">
        <v>1947</v>
      </c>
      <c r="D93" s="3">
        <v>0</v>
      </c>
      <c r="E93" s="3">
        <v>0</v>
      </c>
      <c r="F93" s="3">
        <v>0</v>
      </c>
      <c r="G93" s="3">
        <v>0</v>
      </c>
      <c r="H93" s="3">
        <v>0</v>
      </c>
      <c r="I93" s="3">
        <f t="shared" si="1"/>
        <v>1947</v>
      </c>
      <c r="J93" s="2"/>
      <c r="K93"/>
    </row>
    <row r="94" spans="1:11" x14ac:dyDescent="0.3">
      <c r="A94">
        <f>'Section 611 Awards 23'!A94</f>
        <v>2057</v>
      </c>
      <c r="B94" t="s">
        <v>74</v>
      </c>
      <c r="C94" s="3">
        <v>1449103</v>
      </c>
      <c r="D94" s="3">
        <v>194318</v>
      </c>
      <c r="E94" s="3">
        <v>1506</v>
      </c>
      <c r="F94" s="3">
        <v>0</v>
      </c>
      <c r="G94" s="3">
        <v>0</v>
      </c>
      <c r="H94" s="3">
        <v>129546</v>
      </c>
      <c r="I94" s="3">
        <f t="shared" si="1"/>
        <v>1774473</v>
      </c>
      <c r="J94" s="2"/>
      <c r="K94"/>
    </row>
    <row r="95" spans="1:11" x14ac:dyDescent="0.3">
      <c r="A95">
        <f>'Section 611 Awards 23'!A95</f>
        <v>2056</v>
      </c>
      <c r="B95" t="s">
        <v>223</v>
      </c>
      <c r="C95" s="3">
        <v>616891</v>
      </c>
      <c r="D95" s="3">
        <v>134563</v>
      </c>
      <c r="E95" s="3">
        <v>0</v>
      </c>
      <c r="F95" s="3">
        <v>24466</v>
      </c>
      <c r="G95" s="3">
        <v>0</v>
      </c>
      <c r="H95" s="3">
        <v>115339</v>
      </c>
      <c r="I95" s="3">
        <f t="shared" si="1"/>
        <v>891259</v>
      </c>
      <c r="J95" s="2"/>
      <c r="K95"/>
    </row>
    <row r="96" spans="1:11" x14ac:dyDescent="0.3">
      <c r="A96">
        <f>'Section 611 Awards 23'!A96</f>
        <v>2262</v>
      </c>
      <c r="B96" t="s">
        <v>167</v>
      </c>
      <c r="C96" s="3">
        <v>84982</v>
      </c>
      <c r="D96" s="3">
        <v>11458</v>
      </c>
      <c r="E96" s="3">
        <v>0</v>
      </c>
      <c r="F96" s="3">
        <v>0</v>
      </c>
      <c r="G96" s="3">
        <v>0</v>
      </c>
      <c r="H96" s="3">
        <v>11458</v>
      </c>
      <c r="I96" s="3">
        <f t="shared" si="1"/>
        <v>107898</v>
      </c>
      <c r="J96" s="2"/>
      <c r="K96"/>
    </row>
    <row r="97" spans="1:11" x14ac:dyDescent="0.3">
      <c r="A97">
        <f>'Section 611 Awards 23'!A97</f>
        <v>2212</v>
      </c>
      <c r="B97" t="s">
        <v>140</v>
      </c>
      <c r="C97" s="3">
        <v>509659</v>
      </c>
      <c r="D97" s="3">
        <v>58807</v>
      </c>
      <c r="E97" s="3">
        <v>0</v>
      </c>
      <c r="F97" s="3">
        <v>10555</v>
      </c>
      <c r="G97" s="3">
        <v>0</v>
      </c>
      <c r="H97" s="3">
        <v>33173</v>
      </c>
      <c r="I97" s="3">
        <f t="shared" si="1"/>
        <v>612194</v>
      </c>
      <c r="J97" s="2"/>
      <c r="K97"/>
    </row>
    <row r="98" spans="1:11" x14ac:dyDescent="0.3">
      <c r="A98">
        <f>'Section 611 Awards 23'!A98</f>
        <v>2059</v>
      </c>
      <c r="B98" t="s">
        <v>75</v>
      </c>
      <c r="C98" s="3">
        <v>145251</v>
      </c>
      <c r="D98" s="3">
        <v>16819</v>
      </c>
      <c r="E98" s="3">
        <v>0</v>
      </c>
      <c r="F98" s="3">
        <v>0</v>
      </c>
      <c r="G98" s="3">
        <v>0</v>
      </c>
      <c r="H98" s="3">
        <v>12232</v>
      </c>
      <c r="I98" s="3">
        <f t="shared" si="1"/>
        <v>174302</v>
      </c>
      <c r="J98" s="2"/>
      <c r="K98"/>
    </row>
    <row r="99" spans="1:11" x14ac:dyDescent="0.3">
      <c r="A99">
        <f>'Section 611 Awards 23'!A99</f>
        <v>1923</v>
      </c>
      <c r="B99" t="s">
        <v>8</v>
      </c>
      <c r="C99" s="3">
        <v>1205120</v>
      </c>
      <c r="D99" s="3">
        <v>335213</v>
      </c>
      <c r="E99" s="3">
        <v>0</v>
      </c>
      <c r="F99" s="3">
        <v>0</v>
      </c>
      <c r="G99" s="3">
        <v>0</v>
      </c>
      <c r="H99" s="3">
        <v>74035</v>
      </c>
      <c r="I99" s="3">
        <f t="shared" si="1"/>
        <v>1614368</v>
      </c>
      <c r="J99" s="2"/>
      <c r="K99"/>
    </row>
    <row r="100" spans="1:11" x14ac:dyDescent="0.3">
      <c r="A100">
        <f>'Section 611 Awards 23'!A100</f>
        <v>2101</v>
      </c>
      <c r="B100" t="s">
        <v>96</v>
      </c>
      <c r="C100" s="3">
        <v>829026</v>
      </c>
      <c r="D100" s="3">
        <v>82632</v>
      </c>
      <c r="E100" s="3">
        <v>2709</v>
      </c>
      <c r="F100" s="3">
        <v>0</v>
      </c>
      <c r="G100" s="3">
        <v>0</v>
      </c>
      <c r="H100" s="3">
        <v>71795</v>
      </c>
      <c r="I100" s="3">
        <f t="shared" si="1"/>
        <v>986162</v>
      </c>
      <c r="J100" s="2"/>
      <c r="K100"/>
    </row>
    <row r="101" spans="1:11" x14ac:dyDescent="0.3">
      <c r="A101">
        <f>'Section 611 Awards 23'!A101</f>
        <v>2097</v>
      </c>
      <c r="B101" t="s">
        <v>94</v>
      </c>
      <c r="C101" s="3">
        <v>1051261</v>
      </c>
      <c r="D101" s="3">
        <v>297215</v>
      </c>
      <c r="E101" s="3">
        <v>3669</v>
      </c>
      <c r="F101" s="3">
        <v>1835</v>
      </c>
      <c r="G101" s="3">
        <v>0</v>
      </c>
      <c r="H101" s="3">
        <v>113749</v>
      </c>
      <c r="I101" s="3">
        <f t="shared" si="1"/>
        <v>1467729</v>
      </c>
      <c r="J101" s="2"/>
      <c r="K101"/>
    </row>
    <row r="102" spans="1:11" x14ac:dyDescent="0.3">
      <c r="A102">
        <f>'Section 611 Awards 23'!A102</f>
        <v>2012</v>
      </c>
      <c r="B102" t="s">
        <v>50</v>
      </c>
      <c r="C102" s="3">
        <v>5673</v>
      </c>
      <c r="D102" s="3">
        <v>0</v>
      </c>
      <c r="E102" s="3">
        <v>0</v>
      </c>
      <c r="F102" s="3">
        <v>0</v>
      </c>
      <c r="G102" s="3">
        <v>0</v>
      </c>
      <c r="H102" s="3">
        <v>5673</v>
      </c>
      <c r="I102" s="3">
        <f t="shared" si="1"/>
        <v>11346</v>
      </c>
      <c r="J102" s="2"/>
      <c r="K102"/>
    </row>
    <row r="103" spans="1:11" x14ac:dyDescent="0.3">
      <c r="A103">
        <f>'Section 611 Awards 23'!A103</f>
        <v>2092</v>
      </c>
      <c r="B103" t="s">
        <v>89</v>
      </c>
      <c r="C103" s="3">
        <v>210047</v>
      </c>
      <c r="D103" s="3">
        <v>0</v>
      </c>
      <c r="E103" s="3">
        <v>0</v>
      </c>
      <c r="F103" s="3">
        <v>8470</v>
      </c>
      <c r="G103" s="3">
        <v>0</v>
      </c>
      <c r="H103" s="3">
        <v>15245</v>
      </c>
      <c r="I103" s="3">
        <f t="shared" si="1"/>
        <v>233762</v>
      </c>
      <c r="J103" s="2"/>
      <c r="K103"/>
    </row>
    <row r="104" spans="1:11" x14ac:dyDescent="0.3">
      <c r="A104">
        <f>'Section 611 Awards 23'!A104</f>
        <v>2112</v>
      </c>
      <c r="B104" t="s">
        <v>105</v>
      </c>
      <c r="C104" s="3">
        <v>44</v>
      </c>
      <c r="D104" s="3">
        <v>0</v>
      </c>
      <c r="E104" s="3">
        <v>0</v>
      </c>
      <c r="F104" s="3">
        <v>0</v>
      </c>
      <c r="G104" s="3">
        <v>0</v>
      </c>
      <c r="H104" s="3">
        <v>0</v>
      </c>
      <c r="I104" s="3">
        <f t="shared" si="1"/>
        <v>44</v>
      </c>
      <c r="J104" s="2"/>
      <c r="K104"/>
    </row>
    <row r="105" spans="1:11" x14ac:dyDescent="0.3">
      <c r="A105">
        <f>'Section 611 Awards 23'!A105</f>
        <v>2085</v>
      </c>
      <c r="B105" t="s">
        <v>84</v>
      </c>
      <c r="C105" s="3">
        <v>53960</v>
      </c>
      <c r="D105" s="3">
        <v>0</v>
      </c>
      <c r="E105" s="3">
        <v>0</v>
      </c>
      <c r="F105" s="3">
        <v>0</v>
      </c>
      <c r="G105" s="3">
        <v>0</v>
      </c>
      <c r="H105" s="3">
        <v>8993</v>
      </c>
      <c r="I105" s="3">
        <f t="shared" si="1"/>
        <v>62953</v>
      </c>
      <c r="J105" s="2"/>
      <c r="K105"/>
    </row>
    <row r="106" spans="1:11" x14ac:dyDescent="0.3">
      <c r="A106">
        <f>'Section 611 Awards 23'!A106</f>
        <v>2094</v>
      </c>
      <c r="B106" t="s">
        <v>91</v>
      </c>
      <c r="C106" s="3">
        <v>119193</v>
      </c>
      <c r="D106" s="3">
        <v>4584</v>
      </c>
      <c r="E106" s="3">
        <v>0</v>
      </c>
      <c r="F106" s="3">
        <v>0</v>
      </c>
      <c r="G106" s="3">
        <v>0</v>
      </c>
      <c r="H106" s="3">
        <v>7641</v>
      </c>
      <c r="I106" s="3">
        <f t="shared" si="1"/>
        <v>131418</v>
      </c>
      <c r="J106" s="2"/>
      <c r="K106"/>
    </row>
    <row r="107" spans="1:11" x14ac:dyDescent="0.3">
      <c r="A107">
        <f>'Section 611 Awards 23'!A107</f>
        <v>2090</v>
      </c>
      <c r="B107" t="s">
        <v>87</v>
      </c>
      <c r="C107" s="3">
        <v>48333</v>
      </c>
      <c r="D107" s="3">
        <v>1933</v>
      </c>
      <c r="E107" s="3">
        <v>0</v>
      </c>
      <c r="F107" s="3">
        <v>0</v>
      </c>
      <c r="G107" s="3">
        <v>0</v>
      </c>
      <c r="H107" s="3">
        <v>7733</v>
      </c>
      <c r="I107" s="3">
        <f t="shared" si="1"/>
        <v>57999</v>
      </c>
      <c r="J107" s="2"/>
      <c r="K107"/>
    </row>
    <row r="108" spans="1:11" x14ac:dyDescent="0.3">
      <c r="A108">
        <f>'Section 611 Awards 23'!A108</f>
        <v>2256</v>
      </c>
      <c r="B108" t="s">
        <v>165</v>
      </c>
      <c r="C108" s="3">
        <v>1122842</v>
      </c>
      <c r="D108" s="3">
        <v>147665</v>
      </c>
      <c r="E108" s="3">
        <v>0</v>
      </c>
      <c r="F108" s="3">
        <v>0</v>
      </c>
      <c r="G108" s="3">
        <v>0</v>
      </c>
      <c r="H108" s="3">
        <v>102342</v>
      </c>
      <c r="I108" s="3">
        <f t="shared" si="1"/>
        <v>1372849</v>
      </c>
      <c r="J108" s="2"/>
      <c r="K108"/>
    </row>
    <row r="109" spans="1:11" x14ac:dyDescent="0.3">
      <c r="A109">
        <f>'Section 611 Awards 23'!A109</f>
        <v>2048</v>
      </c>
      <c r="B109" t="s">
        <v>68</v>
      </c>
      <c r="C109" s="3">
        <v>2227518</v>
      </c>
      <c r="D109" s="3">
        <v>686222</v>
      </c>
      <c r="E109" s="3">
        <v>1351</v>
      </c>
      <c r="F109" s="3">
        <v>1351</v>
      </c>
      <c r="G109" s="3">
        <v>0</v>
      </c>
      <c r="H109" s="3">
        <v>235044</v>
      </c>
      <c r="I109" s="3">
        <f t="shared" si="1"/>
        <v>3151486</v>
      </c>
      <c r="J109" s="2"/>
      <c r="K109"/>
    </row>
    <row r="110" spans="1:11" x14ac:dyDescent="0.3">
      <c r="A110">
        <f>'Section 611 Awards 23'!A110</f>
        <v>2205</v>
      </c>
      <c r="B110" t="s">
        <v>224</v>
      </c>
      <c r="C110" s="3">
        <v>291334</v>
      </c>
      <c r="D110" s="3">
        <v>51498</v>
      </c>
      <c r="E110" s="3">
        <v>0</v>
      </c>
      <c r="F110" s="3">
        <v>0</v>
      </c>
      <c r="G110" s="3">
        <v>0</v>
      </c>
      <c r="H110" s="3">
        <v>32370</v>
      </c>
      <c r="I110" s="3">
        <f t="shared" si="1"/>
        <v>375202</v>
      </c>
      <c r="J110" s="2"/>
      <c r="K110"/>
    </row>
    <row r="111" spans="1:11" x14ac:dyDescent="0.3">
      <c r="A111">
        <f>'Section 611 Awards 23'!A111</f>
        <v>2249</v>
      </c>
      <c r="B111" t="s">
        <v>160</v>
      </c>
      <c r="C111" s="3">
        <v>172714</v>
      </c>
      <c r="D111" s="3">
        <v>38649</v>
      </c>
      <c r="E111" s="3">
        <v>0</v>
      </c>
      <c r="F111" s="3">
        <v>0</v>
      </c>
      <c r="G111" s="3">
        <v>0</v>
      </c>
      <c r="H111" s="3">
        <v>2416</v>
      </c>
      <c r="I111" s="3">
        <f t="shared" si="1"/>
        <v>213779</v>
      </c>
      <c r="J111" s="2"/>
      <c r="K111"/>
    </row>
    <row r="112" spans="1:11" x14ac:dyDescent="0.3">
      <c r="A112">
        <f>'Section 611 Awards 23'!A112</f>
        <v>1925</v>
      </c>
      <c r="B112" t="s">
        <v>10</v>
      </c>
      <c r="C112" s="3">
        <v>490037</v>
      </c>
      <c r="D112" s="3">
        <v>89623</v>
      </c>
      <c r="E112" s="3">
        <v>0</v>
      </c>
      <c r="F112" s="3">
        <v>0</v>
      </c>
      <c r="G112" s="3">
        <v>0</v>
      </c>
      <c r="H112" s="3">
        <v>52039</v>
      </c>
      <c r="I112" s="3">
        <f t="shared" si="1"/>
        <v>631699</v>
      </c>
      <c r="J112" s="2"/>
      <c r="K112"/>
    </row>
    <row r="113" spans="1:11" x14ac:dyDescent="0.3">
      <c r="A113">
        <f>'Section 611 Awards 23'!A113</f>
        <v>1898</v>
      </c>
      <c r="B113" t="s">
        <v>4</v>
      </c>
      <c r="C113" s="3">
        <v>64459</v>
      </c>
      <c r="D113" s="3">
        <v>18129</v>
      </c>
      <c r="E113" s="3">
        <v>0</v>
      </c>
      <c r="F113" s="3">
        <v>0</v>
      </c>
      <c r="G113" s="3">
        <v>0</v>
      </c>
      <c r="H113" s="3">
        <v>12086</v>
      </c>
      <c r="I113" s="3">
        <f t="shared" si="1"/>
        <v>94674</v>
      </c>
      <c r="J113" s="2"/>
      <c r="K113"/>
    </row>
    <row r="114" spans="1:11" x14ac:dyDescent="0.3">
      <c r="A114">
        <f>'Section 611 Awards 23'!A114</f>
        <v>2010</v>
      </c>
      <c r="B114" t="s">
        <v>48</v>
      </c>
      <c r="C114" s="3">
        <v>8728</v>
      </c>
      <c r="D114" s="3">
        <v>4364</v>
      </c>
      <c r="E114" s="3">
        <v>0</v>
      </c>
      <c r="F114" s="3">
        <v>0</v>
      </c>
      <c r="G114" s="3">
        <v>0</v>
      </c>
      <c r="H114" s="3">
        <v>0</v>
      </c>
      <c r="I114" s="3">
        <f t="shared" si="1"/>
        <v>13092</v>
      </c>
      <c r="J114" s="2"/>
      <c r="K114"/>
    </row>
    <row r="115" spans="1:11" x14ac:dyDescent="0.3">
      <c r="A115">
        <f>'Section 611 Awards 23'!A115</f>
        <v>2147</v>
      </c>
      <c r="B115" t="s">
        <v>120</v>
      </c>
      <c r="C115" s="3">
        <v>392934</v>
      </c>
      <c r="D115" s="3">
        <v>43930</v>
      </c>
      <c r="E115" s="3">
        <v>0</v>
      </c>
      <c r="F115" s="3">
        <v>0</v>
      </c>
      <c r="G115" s="3">
        <v>0</v>
      </c>
      <c r="H115" s="3">
        <v>41490</v>
      </c>
      <c r="I115" s="3">
        <f t="shared" si="1"/>
        <v>478354</v>
      </c>
      <c r="J115" s="2"/>
      <c r="K115"/>
    </row>
    <row r="116" spans="1:11" x14ac:dyDescent="0.3">
      <c r="A116">
        <f>'Section 611 Awards 23'!A116</f>
        <v>2145</v>
      </c>
      <c r="B116" t="s">
        <v>118</v>
      </c>
      <c r="C116" s="3">
        <v>143425</v>
      </c>
      <c r="D116" s="3">
        <v>9313</v>
      </c>
      <c r="E116" s="3">
        <v>0</v>
      </c>
      <c r="F116" s="3">
        <v>0</v>
      </c>
      <c r="G116" s="3">
        <v>0</v>
      </c>
      <c r="H116" s="3">
        <v>7451</v>
      </c>
      <c r="I116" s="3">
        <f t="shared" si="1"/>
        <v>160189</v>
      </c>
      <c r="J116" s="2"/>
      <c r="K116"/>
    </row>
    <row r="117" spans="1:11" x14ac:dyDescent="0.3">
      <c r="A117">
        <f>'Section 611 Awards 23'!A117</f>
        <v>1968</v>
      </c>
      <c r="B117" t="s">
        <v>28</v>
      </c>
      <c r="C117" s="3">
        <v>137412</v>
      </c>
      <c r="D117" s="3">
        <v>10735</v>
      </c>
      <c r="E117" s="3">
        <v>0</v>
      </c>
      <c r="F117" s="3">
        <v>0</v>
      </c>
      <c r="G117" s="3">
        <v>0</v>
      </c>
      <c r="H117" s="3">
        <v>12882</v>
      </c>
      <c r="I117" s="3">
        <f t="shared" si="1"/>
        <v>161029</v>
      </c>
      <c r="J117" s="2"/>
      <c r="K117"/>
    </row>
    <row r="118" spans="1:11" x14ac:dyDescent="0.3">
      <c r="A118">
        <f>'Section 611 Awards 23'!A118</f>
        <v>2198</v>
      </c>
      <c r="B118" t="s">
        <v>134</v>
      </c>
      <c r="C118" s="3">
        <v>130831</v>
      </c>
      <c r="D118" s="3">
        <v>34778</v>
      </c>
      <c r="E118" s="3">
        <v>0</v>
      </c>
      <c r="F118" s="3">
        <v>0</v>
      </c>
      <c r="G118" s="3">
        <v>0</v>
      </c>
      <c r="H118" s="3">
        <v>8280</v>
      </c>
      <c r="I118" s="3">
        <f t="shared" si="1"/>
        <v>173889</v>
      </c>
      <c r="J118" s="2"/>
      <c r="K118"/>
    </row>
    <row r="119" spans="1:11" x14ac:dyDescent="0.3">
      <c r="A119">
        <f>'Section 611 Awards 23'!A119</f>
        <v>2199</v>
      </c>
      <c r="B119" t="s">
        <v>135</v>
      </c>
      <c r="C119" s="3">
        <v>106312</v>
      </c>
      <c r="D119" s="3">
        <v>17147</v>
      </c>
      <c r="E119" s="3">
        <v>0</v>
      </c>
      <c r="F119" s="3">
        <v>0</v>
      </c>
      <c r="G119" s="3">
        <v>0</v>
      </c>
      <c r="H119" s="3">
        <v>13718</v>
      </c>
      <c r="I119" s="3">
        <f t="shared" si="1"/>
        <v>137177</v>
      </c>
      <c r="J119" s="2"/>
      <c r="K119"/>
    </row>
    <row r="120" spans="1:11" x14ac:dyDescent="0.3">
      <c r="A120">
        <f>'Section 611 Awards 23'!A120</f>
        <v>2254</v>
      </c>
      <c r="B120" t="s">
        <v>163</v>
      </c>
      <c r="C120" s="3">
        <v>808931</v>
      </c>
      <c r="D120" s="3">
        <v>169276</v>
      </c>
      <c r="E120" s="3">
        <v>1498</v>
      </c>
      <c r="F120" s="3">
        <v>0</v>
      </c>
      <c r="G120" s="3">
        <v>0</v>
      </c>
      <c r="H120" s="3">
        <v>77897</v>
      </c>
      <c r="I120" s="3">
        <f t="shared" si="1"/>
        <v>1057602</v>
      </c>
      <c r="J120" s="2"/>
      <c r="K120"/>
    </row>
    <row r="121" spans="1:11" x14ac:dyDescent="0.3">
      <c r="A121">
        <f>'Section 611 Awards 23'!A121</f>
        <v>1966</v>
      </c>
      <c r="B121" t="s">
        <v>26</v>
      </c>
      <c r="C121" s="3">
        <v>814371</v>
      </c>
      <c r="D121" s="3">
        <v>151473</v>
      </c>
      <c r="E121" s="3">
        <v>0</v>
      </c>
      <c r="F121" s="3">
        <v>4886</v>
      </c>
      <c r="G121" s="3">
        <v>0</v>
      </c>
      <c r="H121" s="3">
        <v>45605</v>
      </c>
      <c r="I121" s="3">
        <f t="shared" si="1"/>
        <v>1016335</v>
      </c>
      <c r="J121" s="2"/>
      <c r="K121"/>
    </row>
    <row r="122" spans="1:11" x14ac:dyDescent="0.3">
      <c r="A122">
        <f>'Section 611 Awards 23'!A122</f>
        <v>1924</v>
      </c>
      <c r="B122" t="s">
        <v>9</v>
      </c>
      <c r="C122" s="3">
        <v>2683875</v>
      </c>
      <c r="D122" s="3">
        <v>543475</v>
      </c>
      <c r="E122" s="3">
        <v>1241</v>
      </c>
      <c r="F122" s="3">
        <v>0</v>
      </c>
      <c r="G122" s="3">
        <v>0</v>
      </c>
      <c r="H122" s="3">
        <v>305240</v>
      </c>
      <c r="I122" s="3">
        <f t="shared" si="1"/>
        <v>3533831</v>
      </c>
      <c r="J122" s="2"/>
      <c r="K122"/>
    </row>
    <row r="123" spans="1:11" x14ac:dyDescent="0.3">
      <c r="A123">
        <f>'Section 611 Awards 23'!A123</f>
        <v>1996</v>
      </c>
      <c r="B123" t="s">
        <v>36</v>
      </c>
      <c r="C123" s="3">
        <v>61908</v>
      </c>
      <c r="D123" s="3">
        <v>12112</v>
      </c>
      <c r="E123" s="3">
        <v>0</v>
      </c>
      <c r="F123" s="3">
        <v>0</v>
      </c>
      <c r="G123" s="3">
        <v>0</v>
      </c>
      <c r="H123" s="3">
        <v>4037</v>
      </c>
      <c r="I123" s="3">
        <f t="shared" si="1"/>
        <v>78057</v>
      </c>
      <c r="J123" s="2"/>
      <c r="K123"/>
    </row>
    <row r="124" spans="1:11" x14ac:dyDescent="0.3">
      <c r="A124">
        <f>'Section 611 Awards 23'!A124</f>
        <v>2061</v>
      </c>
      <c r="B124" t="s">
        <v>77</v>
      </c>
      <c r="C124" s="3">
        <v>53924</v>
      </c>
      <c r="D124" s="3">
        <v>8824</v>
      </c>
      <c r="E124" s="3">
        <v>0</v>
      </c>
      <c r="F124" s="3">
        <v>0</v>
      </c>
      <c r="G124" s="3">
        <v>0</v>
      </c>
      <c r="H124" s="3">
        <v>4902</v>
      </c>
      <c r="I124" s="3">
        <f t="shared" si="1"/>
        <v>67650</v>
      </c>
      <c r="J124" s="2"/>
      <c r="K124"/>
    </row>
    <row r="125" spans="1:11" x14ac:dyDescent="0.3">
      <c r="A125">
        <f>'Section 611 Awards 23'!A125</f>
        <v>2141</v>
      </c>
      <c r="B125" t="s">
        <v>114</v>
      </c>
      <c r="C125" s="3">
        <v>289114</v>
      </c>
      <c r="D125" s="3">
        <v>78629</v>
      </c>
      <c r="E125" s="3">
        <v>1210</v>
      </c>
      <c r="F125" s="3">
        <v>0</v>
      </c>
      <c r="G125" s="3">
        <v>0</v>
      </c>
      <c r="H125" s="3">
        <v>14516</v>
      </c>
      <c r="I125" s="3">
        <f t="shared" si="1"/>
        <v>383469</v>
      </c>
      <c r="J125" s="2"/>
      <c r="K125"/>
    </row>
    <row r="126" spans="1:11" x14ac:dyDescent="0.3">
      <c r="A126">
        <f>'Section 611 Awards 23'!A126</f>
        <v>2214</v>
      </c>
      <c r="B126" t="s">
        <v>142</v>
      </c>
      <c r="C126" s="3">
        <v>58728</v>
      </c>
      <c r="D126" s="3">
        <v>5339</v>
      </c>
      <c r="E126" s="3">
        <v>0</v>
      </c>
      <c r="F126" s="3">
        <v>0</v>
      </c>
      <c r="G126" s="3">
        <v>0</v>
      </c>
      <c r="H126" s="3">
        <v>1780</v>
      </c>
      <c r="I126" s="3">
        <f t="shared" si="1"/>
        <v>65847</v>
      </c>
      <c r="J126" s="2"/>
      <c r="K126"/>
    </row>
    <row r="127" spans="1:11" x14ac:dyDescent="0.3">
      <c r="A127">
        <f>'Section 611 Awards 23'!A127</f>
        <v>2143</v>
      </c>
      <c r="B127" t="s">
        <v>116</v>
      </c>
      <c r="C127" s="3">
        <v>562405</v>
      </c>
      <c r="D127" s="3">
        <v>57683</v>
      </c>
      <c r="E127" s="3">
        <v>0</v>
      </c>
      <c r="F127" s="3">
        <v>0</v>
      </c>
      <c r="G127" s="3">
        <v>0</v>
      </c>
      <c r="H127" s="3">
        <v>10815</v>
      </c>
      <c r="I127" s="3">
        <f t="shared" si="1"/>
        <v>630903</v>
      </c>
      <c r="J127" s="2"/>
      <c r="K127"/>
    </row>
    <row r="128" spans="1:11" x14ac:dyDescent="0.3">
      <c r="A128">
        <f>'Section 611 Awards 23'!A128</f>
        <v>4131</v>
      </c>
      <c r="B128" t="s">
        <v>225</v>
      </c>
      <c r="C128" s="3">
        <v>587542</v>
      </c>
      <c r="D128" s="3">
        <v>76163</v>
      </c>
      <c r="E128" s="3">
        <v>0</v>
      </c>
      <c r="F128" s="3">
        <v>4663</v>
      </c>
      <c r="G128" s="3">
        <v>0</v>
      </c>
      <c r="H128" s="3">
        <v>82380</v>
      </c>
      <c r="I128" s="3">
        <f t="shared" si="1"/>
        <v>750748</v>
      </c>
      <c r="J128" s="2"/>
      <c r="K128"/>
    </row>
    <row r="129" spans="1:11" x14ac:dyDescent="0.3">
      <c r="A129">
        <f>'Section 611 Awards 23'!A129</f>
        <v>2110</v>
      </c>
      <c r="B129" t="s">
        <v>103</v>
      </c>
      <c r="C129" s="3">
        <v>266225</v>
      </c>
      <c r="D129" s="3">
        <v>3647</v>
      </c>
      <c r="E129" s="3">
        <v>0</v>
      </c>
      <c r="F129" s="3">
        <v>0</v>
      </c>
      <c r="G129" s="3">
        <v>0</v>
      </c>
      <c r="H129" s="3">
        <v>29175</v>
      </c>
      <c r="I129" s="3">
        <f t="shared" si="1"/>
        <v>299047</v>
      </c>
      <c r="J129" s="2"/>
      <c r="K129"/>
    </row>
    <row r="130" spans="1:11" x14ac:dyDescent="0.3">
      <c r="A130">
        <f>'Section 611 Awards 23'!A130</f>
        <v>1990</v>
      </c>
      <c r="B130" t="s">
        <v>33</v>
      </c>
      <c r="C130" s="3">
        <v>109362</v>
      </c>
      <c r="D130" s="3">
        <v>11580</v>
      </c>
      <c r="E130" s="3">
        <v>0</v>
      </c>
      <c r="F130" s="3">
        <v>0</v>
      </c>
      <c r="G130" s="3">
        <v>0</v>
      </c>
      <c r="H130" s="3">
        <v>11580</v>
      </c>
      <c r="I130" s="3">
        <f t="shared" ref="I130:I193" si="2">SUM(C130:H130)</f>
        <v>132522</v>
      </c>
      <c r="J130" s="2"/>
      <c r="K130"/>
    </row>
    <row r="131" spans="1:11" x14ac:dyDescent="0.3">
      <c r="A131">
        <f>'Section 611 Awards 23'!A131</f>
        <v>2093</v>
      </c>
      <c r="B131" t="s">
        <v>90</v>
      </c>
      <c r="C131" s="3">
        <v>145522</v>
      </c>
      <c r="D131" s="3">
        <v>17533</v>
      </c>
      <c r="E131" s="3">
        <v>0</v>
      </c>
      <c r="F131" s="3">
        <v>0</v>
      </c>
      <c r="G131" s="3">
        <v>0</v>
      </c>
      <c r="H131" s="3">
        <v>29806</v>
      </c>
      <c r="I131" s="3">
        <f t="shared" si="2"/>
        <v>192861</v>
      </c>
      <c r="J131" s="2"/>
      <c r="K131"/>
    </row>
    <row r="132" spans="1:11" x14ac:dyDescent="0.3">
      <c r="A132">
        <f>'Section 611 Awards 23'!A132</f>
        <v>2108</v>
      </c>
      <c r="B132" t="s">
        <v>226</v>
      </c>
      <c r="C132" s="3">
        <v>564445</v>
      </c>
      <c r="D132" s="3">
        <v>14613</v>
      </c>
      <c r="E132" s="3">
        <v>0</v>
      </c>
      <c r="F132" s="3">
        <v>0</v>
      </c>
      <c r="G132" s="3">
        <v>0</v>
      </c>
      <c r="H132" s="3">
        <v>84027</v>
      </c>
      <c r="I132" s="3">
        <f t="shared" si="2"/>
        <v>663085</v>
      </c>
      <c r="J132" s="2"/>
      <c r="K132"/>
    </row>
    <row r="133" spans="1:11" x14ac:dyDescent="0.3">
      <c r="A133">
        <f>'Section 611 Awards 23'!A133</f>
        <v>1928</v>
      </c>
      <c r="B133" t="s">
        <v>13</v>
      </c>
      <c r="C133" s="3">
        <v>1361799</v>
      </c>
      <c r="D133" s="3">
        <v>263242</v>
      </c>
      <c r="E133" s="3">
        <v>0</v>
      </c>
      <c r="F133" s="3">
        <v>0</v>
      </c>
      <c r="G133" s="3">
        <v>5883</v>
      </c>
      <c r="H133" s="3">
        <v>155886</v>
      </c>
      <c r="I133" s="3">
        <f t="shared" si="2"/>
        <v>1786810</v>
      </c>
      <c r="J133" s="2"/>
      <c r="K133"/>
    </row>
    <row r="134" spans="1:11" x14ac:dyDescent="0.3">
      <c r="A134">
        <f>'Section 611 Awards 23'!A134</f>
        <v>1926</v>
      </c>
      <c r="B134" t="s">
        <v>11</v>
      </c>
      <c r="C134" s="3">
        <v>714114</v>
      </c>
      <c r="D134" s="3">
        <v>159716</v>
      </c>
      <c r="E134" s="3">
        <v>3072</v>
      </c>
      <c r="F134" s="3">
        <v>0</v>
      </c>
      <c r="G134" s="3">
        <v>0</v>
      </c>
      <c r="H134" s="3">
        <v>76787</v>
      </c>
      <c r="I134" s="3">
        <f t="shared" si="2"/>
        <v>953689</v>
      </c>
      <c r="J134" s="2"/>
      <c r="K134"/>
    </row>
    <row r="135" spans="1:11" x14ac:dyDescent="0.3">
      <c r="A135">
        <f>'Section 611 Awards 23'!A135</f>
        <v>2060</v>
      </c>
      <c r="B135" t="s">
        <v>76</v>
      </c>
      <c r="C135" s="3">
        <v>34193</v>
      </c>
      <c r="D135" s="3">
        <v>3206</v>
      </c>
      <c r="E135" s="3">
        <v>0</v>
      </c>
      <c r="F135" s="3">
        <v>0</v>
      </c>
      <c r="G135" s="3">
        <v>0</v>
      </c>
      <c r="H135" s="3">
        <v>0</v>
      </c>
      <c r="I135" s="3">
        <f t="shared" si="2"/>
        <v>37399</v>
      </c>
      <c r="J135" s="2"/>
      <c r="K135"/>
    </row>
    <row r="136" spans="1:11" x14ac:dyDescent="0.3">
      <c r="A136">
        <f>'Section 611 Awards 23'!A136</f>
        <v>2181</v>
      </c>
      <c r="B136" t="s">
        <v>122</v>
      </c>
      <c r="C136" s="3">
        <v>535325</v>
      </c>
      <c r="D136" s="3">
        <v>144006</v>
      </c>
      <c r="E136" s="3">
        <v>0</v>
      </c>
      <c r="F136" s="3">
        <v>3130</v>
      </c>
      <c r="G136" s="3">
        <v>0</v>
      </c>
      <c r="H136" s="3">
        <v>68872</v>
      </c>
      <c r="I136" s="3">
        <f t="shared" si="2"/>
        <v>751333</v>
      </c>
      <c r="J136" s="2"/>
      <c r="K136"/>
    </row>
    <row r="137" spans="1:11" x14ac:dyDescent="0.3">
      <c r="A137">
        <f>'Section 611 Awards 23'!A137</f>
        <v>2207</v>
      </c>
      <c r="B137" t="s">
        <v>227</v>
      </c>
      <c r="C137" s="3">
        <v>597687</v>
      </c>
      <c r="D137" s="3">
        <v>87254</v>
      </c>
      <c r="E137" s="3">
        <v>1454</v>
      </c>
      <c r="F137" s="3">
        <v>11634</v>
      </c>
      <c r="G137" s="3">
        <v>0</v>
      </c>
      <c r="H137" s="3">
        <v>65440</v>
      </c>
      <c r="I137" s="3">
        <f t="shared" si="2"/>
        <v>763469</v>
      </c>
      <c r="J137" s="2"/>
      <c r="K137"/>
    </row>
    <row r="138" spans="1:11" x14ac:dyDescent="0.3">
      <c r="A138">
        <f>'Section 611 Awards 23'!A138</f>
        <v>2192</v>
      </c>
      <c r="B138" t="s">
        <v>131</v>
      </c>
      <c r="C138" s="3">
        <v>36288</v>
      </c>
      <c r="D138" s="3">
        <v>14112</v>
      </c>
      <c r="E138" s="3">
        <v>0</v>
      </c>
      <c r="F138" s="3">
        <v>0</v>
      </c>
      <c r="G138" s="3">
        <v>0</v>
      </c>
      <c r="H138" s="3">
        <v>0</v>
      </c>
      <c r="I138" s="3">
        <f t="shared" si="2"/>
        <v>50400</v>
      </c>
      <c r="J138" s="2"/>
      <c r="K138"/>
    </row>
    <row r="139" spans="1:11" x14ac:dyDescent="0.3">
      <c r="A139">
        <f>'Section 611 Awards 23'!A139</f>
        <v>1900</v>
      </c>
      <c r="B139" t="s">
        <v>6</v>
      </c>
      <c r="C139" s="3">
        <v>259811</v>
      </c>
      <c r="D139" s="3">
        <v>66512</v>
      </c>
      <c r="E139" s="3">
        <v>0</v>
      </c>
      <c r="F139" s="3">
        <v>0</v>
      </c>
      <c r="G139" s="3">
        <v>0</v>
      </c>
      <c r="H139" s="3">
        <v>18706</v>
      </c>
      <c r="I139" s="3">
        <f t="shared" si="2"/>
        <v>345029</v>
      </c>
      <c r="J139" s="2"/>
      <c r="K139"/>
    </row>
    <row r="140" spans="1:11" x14ac:dyDescent="0.3">
      <c r="A140">
        <f>'Section 611 Awards 23'!A140</f>
        <v>2039</v>
      </c>
      <c r="B140" t="s">
        <v>60</v>
      </c>
      <c r="C140" s="3">
        <v>568124</v>
      </c>
      <c r="D140" s="3">
        <v>30407</v>
      </c>
      <c r="E140" s="3">
        <v>0</v>
      </c>
      <c r="F140" s="3">
        <v>0</v>
      </c>
      <c r="G140" s="3">
        <v>0</v>
      </c>
      <c r="H140" s="3">
        <v>40009</v>
      </c>
      <c r="I140" s="3">
        <f t="shared" si="2"/>
        <v>638540</v>
      </c>
      <c r="J140" s="2"/>
      <c r="K140"/>
    </row>
    <row r="141" spans="1:11" x14ac:dyDescent="0.3">
      <c r="A141">
        <f>'Section 611 Awards 23'!A141</f>
        <v>2202</v>
      </c>
      <c r="B141" t="s">
        <v>137</v>
      </c>
      <c r="C141" s="3">
        <v>76949</v>
      </c>
      <c r="D141" s="3">
        <v>1877</v>
      </c>
      <c r="E141" s="3">
        <v>0</v>
      </c>
      <c r="F141" s="3">
        <v>0</v>
      </c>
      <c r="G141" s="3">
        <v>0</v>
      </c>
      <c r="H141" s="3">
        <v>3754</v>
      </c>
      <c r="I141" s="3">
        <f t="shared" si="2"/>
        <v>82580</v>
      </c>
      <c r="J141" s="2"/>
      <c r="K141"/>
    </row>
    <row r="142" spans="1:11" x14ac:dyDescent="0.3">
      <c r="A142">
        <f>'Section 611 Awards 23'!A142</f>
        <v>2016</v>
      </c>
      <c r="B142" t="s">
        <v>53</v>
      </c>
      <c r="C142" s="3">
        <v>1903</v>
      </c>
      <c r="D142" s="3">
        <v>0</v>
      </c>
      <c r="E142" s="3">
        <v>0</v>
      </c>
      <c r="F142" s="3">
        <v>0</v>
      </c>
      <c r="G142" s="3">
        <v>0</v>
      </c>
      <c r="H142" s="3">
        <v>0</v>
      </c>
      <c r="I142" s="3">
        <f t="shared" si="2"/>
        <v>1903</v>
      </c>
      <c r="J142" s="2"/>
      <c r="K142"/>
    </row>
    <row r="143" spans="1:11" x14ac:dyDescent="0.3">
      <c r="A143">
        <f>'Section 611 Awards 23'!A143</f>
        <v>1897</v>
      </c>
      <c r="B143" t="s">
        <v>228</v>
      </c>
      <c r="C143" s="3">
        <v>42903</v>
      </c>
      <c r="D143" s="3">
        <v>4022</v>
      </c>
      <c r="E143" s="3">
        <v>0</v>
      </c>
      <c r="F143" s="3">
        <v>0</v>
      </c>
      <c r="G143" s="3">
        <v>0</v>
      </c>
      <c r="H143" s="3">
        <v>2681</v>
      </c>
      <c r="I143" s="3">
        <f t="shared" si="2"/>
        <v>49606</v>
      </c>
      <c r="J143" s="2"/>
      <c r="K143"/>
    </row>
    <row r="144" spans="1:11" x14ac:dyDescent="0.3">
      <c r="A144">
        <f>'Section 611 Awards 23'!A144</f>
        <v>2047</v>
      </c>
      <c r="B144" t="s">
        <v>67</v>
      </c>
      <c r="C144" s="3">
        <v>7836</v>
      </c>
      <c r="D144" s="3">
        <v>0</v>
      </c>
      <c r="E144" s="3">
        <v>0</v>
      </c>
      <c r="F144" s="3">
        <v>0</v>
      </c>
      <c r="G144" s="3">
        <v>0</v>
      </c>
      <c r="H144" s="3">
        <v>0</v>
      </c>
      <c r="I144" s="3">
        <f t="shared" si="2"/>
        <v>7836</v>
      </c>
      <c r="J144" s="2"/>
      <c r="K144"/>
    </row>
    <row r="145" spans="1:11" x14ac:dyDescent="0.3">
      <c r="A145">
        <f>'Section 611 Awards 23'!A145</f>
        <v>2081</v>
      </c>
      <c r="B145" t="s">
        <v>80</v>
      </c>
      <c r="C145" s="3">
        <v>210065</v>
      </c>
      <c r="D145" s="3">
        <v>16284</v>
      </c>
      <c r="E145" s="3">
        <v>0</v>
      </c>
      <c r="F145" s="3">
        <v>0</v>
      </c>
      <c r="G145" s="3">
        <v>0</v>
      </c>
      <c r="H145" s="3">
        <v>19541</v>
      </c>
      <c r="I145" s="3">
        <f t="shared" si="2"/>
        <v>245890</v>
      </c>
      <c r="J145" s="2"/>
      <c r="K145"/>
    </row>
    <row r="146" spans="1:11" x14ac:dyDescent="0.3">
      <c r="A146">
        <f>'Section 611 Awards 23'!A146</f>
        <v>2062</v>
      </c>
      <c r="B146" t="s">
        <v>78</v>
      </c>
      <c r="C146" s="3">
        <v>3801</v>
      </c>
      <c r="D146" s="3">
        <v>0</v>
      </c>
      <c r="E146" s="3">
        <v>0</v>
      </c>
      <c r="F146" s="3">
        <v>0</v>
      </c>
      <c r="G146" s="3">
        <v>0</v>
      </c>
      <c r="H146" s="3">
        <v>0</v>
      </c>
      <c r="I146" s="3">
        <f t="shared" si="2"/>
        <v>3801</v>
      </c>
      <c r="J146" s="2"/>
      <c r="K146"/>
    </row>
    <row r="147" spans="1:11" x14ac:dyDescent="0.3">
      <c r="A147">
        <f>'Section 611 Awards 23'!A147</f>
        <v>1973</v>
      </c>
      <c r="B147" t="s">
        <v>229</v>
      </c>
      <c r="C147" s="3">
        <v>56858</v>
      </c>
      <c r="D147" s="3">
        <v>15794</v>
      </c>
      <c r="E147" s="3">
        <v>0</v>
      </c>
      <c r="F147" s="3">
        <v>0</v>
      </c>
      <c r="G147" s="3">
        <v>0</v>
      </c>
      <c r="H147" s="3">
        <v>6318</v>
      </c>
      <c r="I147" s="3">
        <f t="shared" si="2"/>
        <v>78970</v>
      </c>
      <c r="J147" s="2"/>
      <c r="K147"/>
    </row>
    <row r="148" spans="1:11" x14ac:dyDescent="0.3">
      <c r="A148">
        <f>'Section 611 Awards 23'!A148</f>
        <v>2180</v>
      </c>
      <c r="B148" t="s">
        <v>121</v>
      </c>
      <c r="C148" s="3">
        <v>8896408</v>
      </c>
      <c r="D148" s="3">
        <v>1731300</v>
      </c>
      <c r="E148" s="3">
        <v>7640</v>
      </c>
      <c r="F148" s="3">
        <v>47370</v>
      </c>
      <c r="G148" s="3">
        <v>6112</v>
      </c>
      <c r="H148" s="3">
        <v>933649</v>
      </c>
      <c r="I148" s="3">
        <f t="shared" si="2"/>
        <v>11622479</v>
      </c>
      <c r="J148" s="2"/>
      <c r="K148"/>
    </row>
    <row r="149" spans="1:11" x14ac:dyDescent="0.3">
      <c r="A149">
        <f>'Section 611 Awards 23'!A149</f>
        <v>1967</v>
      </c>
      <c r="B149" t="s">
        <v>27</v>
      </c>
      <c r="C149" s="3">
        <v>36571</v>
      </c>
      <c r="D149" s="3">
        <v>0</v>
      </c>
      <c r="E149" s="3">
        <v>0</v>
      </c>
      <c r="F149" s="3">
        <v>0</v>
      </c>
      <c r="G149" s="3">
        <v>0</v>
      </c>
      <c r="H149" s="3">
        <v>0</v>
      </c>
      <c r="I149" s="3">
        <f t="shared" si="2"/>
        <v>36571</v>
      </c>
      <c r="J149" s="2"/>
      <c r="K149"/>
    </row>
    <row r="150" spans="1:11" x14ac:dyDescent="0.3">
      <c r="A150">
        <f>'Section 611 Awards 23'!A150</f>
        <v>2009</v>
      </c>
      <c r="B150" t="s">
        <v>47</v>
      </c>
      <c r="C150" s="3">
        <v>49615</v>
      </c>
      <c r="D150" s="3">
        <v>0</v>
      </c>
      <c r="E150" s="3">
        <v>0</v>
      </c>
      <c r="F150" s="3">
        <v>0</v>
      </c>
      <c r="G150" s="3">
        <v>0</v>
      </c>
      <c r="H150" s="3">
        <v>455</v>
      </c>
      <c r="I150" s="3">
        <f t="shared" si="2"/>
        <v>50070</v>
      </c>
      <c r="J150" s="2"/>
      <c r="K150"/>
    </row>
    <row r="151" spans="1:11" x14ac:dyDescent="0.3">
      <c r="A151">
        <f>'Section 611 Awards 23'!A151</f>
        <v>2045</v>
      </c>
      <c r="B151" t="s">
        <v>65</v>
      </c>
      <c r="C151" s="3">
        <v>35794</v>
      </c>
      <c r="D151" s="3">
        <v>4295</v>
      </c>
      <c r="E151" s="3">
        <v>0</v>
      </c>
      <c r="F151" s="3">
        <v>0</v>
      </c>
      <c r="G151" s="3">
        <v>0</v>
      </c>
      <c r="H151" s="3">
        <v>2864</v>
      </c>
      <c r="I151" s="3">
        <f t="shared" si="2"/>
        <v>42953</v>
      </c>
      <c r="J151" s="2"/>
      <c r="K151"/>
    </row>
    <row r="152" spans="1:11" x14ac:dyDescent="0.3">
      <c r="A152">
        <f>'Section 611 Awards 23'!A152</f>
        <v>1946</v>
      </c>
      <c r="B152" t="s">
        <v>21</v>
      </c>
      <c r="C152" s="3">
        <v>181628</v>
      </c>
      <c r="D152" s="3">
        <v>8591</v>
      </c>
      <c r="E152" s="3">
        <v>0</v>
      </c>
      <c r="F152" s="3">
        <v>0</v>
      </c>
      <c r="G152" s="3">
        <v>0</v>
      </c>
      <c r="H152" s="3">
        <v>19635</v>
      </c>
      <c r="I152" s="3">
        <f t="shared" si="2"/>
        <v>209854</v>
      </c>
      <c r="J152" s="2"/>
      <c r="K152"/>
    </row>
    <row r="153" spans="1:11" x14ac:dyDescent="0.3">
      <c r="A153">
        <f>'Section 611 Awards 23'!A153</f>
        <v>1977</v>
      </c>
      <c r="B153" t="s">
        <v>31</v>
      </c>
      <c r="C153" s="3">
        <v>1120829</v>
      </c>
      <c r="D153" s="3">
        <v>203787</v>
      </c>
      <c r="E153" s="3">
        <v>1498</v>
      </c>
      <c r="F153" s="3">
        <v>8991</v>
      </c>
      <c r="G153" s="3">
        <v>0</v>
      </c>
      <c r="H153" s="3">
        <v>139354</v>
      </c>
      <c r="I153" s="3">
        <f t="shared" si="2"/>
        <v>1474459</v>
      </c>
      <c r="J153" s="2"/>
      <c r="K153"/>
    </row>
    <row r="154" spans="1:11" x14ac:dyDescent="0.3">
      <c r="A154">
        <f>'Section 611 Awards 23'!A154</f>
        <v>2001</v>
      </c>
      <c r="B154" t="s">
        <v>41</v>
      </c>
      <c r="C154" s="3">
        <v>133057</v>
      </c>
      <c r="D154" s="3">
        <v>20470</v>
      </c>
      <c r="E154" s="3">
        <v>0</v>
      </c>
      <c r="F154" s="3">
        <v>0</v>
      </c>
      <c r="G154" s="3">
        <v>0</v>
      </c>
      <c r="H154" s="3">
        <v>21932</v>
      </c>
      <c r="I154" s="3">
        <f t="shared" si="2"/>
        <v>175459</v>
      </c>
      <c r="J154" s="2"/>
      <c r="K154"/>
    </row>
    <row r="155" spans="1:11" x14ac:dyDescent="0.3">
      <c r="A155">
        <f>'Section 611 Awards 23'!A155</f>
        <v>2182</v>
      </c>
      <c r="B155" t="s">
        <v>123</v>
      </c>
      <c r="C155" s="3">
        <v>1784475</v>
      </c>
      <c r="D155" s="3">
        <v>404481</v>
      </c>
      <c r="E155" s="3">
        <v>1400</v>
      </c>
      <c r="F155" s="3">
        <v>1400</v>
      </c>
      <c r="G155" s="3">
        <v>0</v>
      </c>
      <c r="H155" s="3">
        <v>232332</v>
      </c>
      <c r="I155" s="3">
        <f t="shared" si="2"/>
        <v>2424088</v>
      </c>
      <c r="J155" s="2"/>
      <c r="K155"/>
    </row>
    <row r="156" spans="1:11" x14ac:dyDescent="0.3">
      <c r="A156">
        <f>'Section 611 Awards 23'!A156</f>
        <v>1999</v>
      </c>
      <c r="B156" t="s">
        <v>39</v>
      </c>
      <c r="C156" s="3">
        <v>81412</v>
      </c>
      <c r="D156" s="3">
        <v>11229</v>
      </c>
      <c r="E156" s="3">
        <v>0</v>
      </c>
      <c r="F156" s="3">
        <v>0</v>
      </c>
      <c r="G156" s="3">
        <v>0</v>
      </c>
      <c r="H156" s="3">
        <v>11229</v>
      </c>
      <c r="I156" s="3">
        <f t="shared" si="2"/>
        <v>103870</v>
      </c>
      <c r="J156" s="2"/>
      <c r="K156"/>
    </row>
    <row r="157" spans="1:11" x14ac:dyDescent="0.3">
      <c r="A157">
        <f>'Section 611 Awards 23'!A157</f>
        <v>2188</v>
      </c>
      <c r="B157" t="s">
        <v>128</v>
      </c>
      <c r="C157" s="3">
        <v>91036</v>
      </c>
      <c r="D157" s="3">
        <v>0</v>
      </c>
      <c r="E157" s="3">
        <v>0</v>
      </c>
      <c r="F157" s="3">
        <v>0</v>
      </c>
      <c r="G157" s="3">
        <v>0</v>
      </c>
      <c r="H157" s="3">
        <v>3035</v>
      </c>
      <c r="I157" s="3">
        <f t="shared" si="2"/>
        <v>94071</v>
      </c>
      <c r="J157" s="2"/>
      <c r="K157"/>
    </row>
    <row r="158" spans="1:11" x14ac:dyDescent="0.3">
      <c r="A158">
        <f>'Section 611 Awards 23'!A158</f>
        <v>2044</v>
      </c>
      <c r="B158" t="s">
        <v>64</v>
      </c>
      <c r="C158" s="3">
        <v>195558</v>
      </c>
      <c r="D158" s="3">
        <v>43637</v>
      </c>
      <c r="E158" s="3">
        <v>0</v>
      </c>
      <c r="F158" s="3">
        <v>0</v>
      </c>
      <c r="G158" s="3">
        <v>0</v>
      </c>
      <c r="H158" s="3">
        <v>19394</v>
      </c>
      <c r="I158" s="3">
        <f t="shared" si="2"/>
        <v>258589</v>
      </c>
      <c r="J158" s="2"/>
      <c r="K158"/>
    </row>
    <row r="159" spans="1:11" x14ac:dyDescent="0.3">
      <c r="A159">
        <f>'Section 611 Awards 23'!A159</f>
        <v>2142</v>
      </c>
      <c r="B159" t="s">
        <v>115</v>
      </c>
      <c r="C159" s="3">
        <v>8516227</v>
      </c>
      <c r="D159" s="3">
        <v>294395</v>
      </c>
      <c r="E159" s="3">
        <v>30500</v>
      </c>
      <c r="F159" s="3">
        <v>0</v>
      </c>
      <c r="G159" s="3">
        <v>3978</v>
      </c>
      <c r="H159" s="3">
        <v>409766</v>
      </c>
      <c r="I159" s="3">
        <f t="shared" si="2"/>
        <v>9254866</v>
      </c>
      <c r="J159" s="2"/>
      <c r="K159"/>
    </row>
    <row r="160" spans="1:11" x14ac:dyDescent="0.3">
      <c r="A160">
        <f>'Section 611 Awards 23'!A160</f>
        <v>2104</v>
      </c>
      <c r="B160" t="s">
        <v>99</v>
      </c>
      <c r="C160" s="3">
        <v>668709</v>
      </c>
      <c r="D160" s="3">
        <v>88242</v>
      </c>
      <c r="E160" s="3">
        <v>0</v>
      </c>
      <c r="F160" s="3">
        <v>0</v>
      </c>
      <c r="G160" s="3">
        <v>0</v>
      </c>
      <c r="H160" s="3">
        <v>1379</v>
      </c>
      <c r="I160" s="3">
        <f t="shared" si="2"/>
        <v>758330</v>
      </c>
      <c r="J160" s="2"/>
      <c r="K160"/>
    </row>
    <row r="161" spans="1:11" x14ac:dyDescent="0.3">
      <c r="A161">
        <f>'Section 611 Awards 23'!A161</f>
        <v>1944</v>
      </c>
      <c r="B161" t="s">
        <v>19</v>
      </c>
      <c r="C161" s="3">
        <v>383119</v>
      </c>
      <c r="D161" s="3">
        <v>50508</v>
      </c>
      <c r="E161" s="3">
        <v>1232</v>
      </c>
      <c r="F161" s="3">
        <v>0</v>
      </c>
      <c r="G161" s="3">
        <v>0</v>
      </c>
      <c r="H161" s="3">
        <v>41884</v>
      </c>
      <c r="I161" s="3">
        <f t="shared" si="2"/>
        <v>476743</v>
      </c>
      <c r="J161" s="2"/>
      <c r="K161"/>
    </row>
    <row r="162" spans="1:11" x14ac:dyDescent="0.3">
      <c r="A162">
        <f>'Section 611 Awards 23'!A162</f>
        <v>2103</v>
      </c>
      <c r="B162" t="s">
        <v>98</v>
      </c>
      <c r="C162" s="3">
        <v>386162</v>
      </c>
      <c r="D162" s="3">
        <v>16090</v>
      </c>
      <c r="E162" s="3">
        <v>0</v>
      </c>
      <c r="F162" s="3">
        <v>0</v>
      </c>
      <c r="G162" s="3">
        <v>0</v>
      </c>
      <c r="H162" s="3">
        <v>2925</v>
      </c>
      <c r="I162" s="3">
        <f t="shared" si="2"/>
        <v>405177</v>
      </c>
      <c r="J162" s="2"/>
      <c r="K162"/>
    </row>
    <row r="163" spans="1:11" x14ac:dyDescent="0.3">
      <c r="A163">
        <f>'Section 611 Awards 23'!A163</f>
        <v>1935</v>
      </c>
      <c r="B163" t="s">
        <v>18</v>
      </c>
      <c r="C163" s="3">
        <v>305189</v>
      </c>
      <c r="D163" s="3">
        <v>16537</v>
      </c>
      <c r="E163" s="3">
        <v>0</v>
      </c>
      <c r="F163" s="3">
        <v>0</v>
      </c>
      <c r="G163" s="3">
        <v>0</v>
      </c>
      <c r="H163" s="3">
        <v>36082</v>
      </c>
      <c r="I163" s="3">
        <f t="shared" si="2"/>
        <v>357808</v>
      </c>
      <c r="J163" s="2"/>
      <c r="K163"/>
    </row>
    <row r="164" spans="1:11" x14ac:dyDescent="0.3">
      <c r="A164">
        <f>'Section 611 Awards 23'!A164</f>
        <v>2257</v>
      </c>
      <c r="B164" t="s">
        <v>166</v>
      </c>
      <c r="C164" s="3">
        <v>172643</v>
      </c>
      <c r="D164" s="3">
        <v>39237</v>
      </c>
      <c r="E164" s="3">
        <v>0</v>
      </c>
      <c r="F164" s="3">
        <v>0</v>
      </c>
      <c r="G164" s="3">
        <v>0</v>
      </c>
      <c r="H164" s="3">
        <v>3139</v>
      </c>
      <c r="I164" s="3">
        <f t="shared" si="2"/>
        <v>215019</v>
      </c>
      <c r="J164" s="2"/>
      <c r="K164"/>
    </row>
    <row r="165" spans="1:11" x14ac:dyDescent="0.3">
      <c r="A165">
        <f>'Section 611 Awards 23'!A165</f>
        <v>2195</v>
      </c>
      <c r="B165" t="s">
        <v>230</v>
      </c>
      <c r="C165" s="3">
        <v>43755</v>
      </c>
      <c r="D165" s="3">
        <v>12306</v>
      </c>
      <c r="E165" s="3">
        <v>0</v>
      </c>
      <c r="F165" s="3">
        <v>0</v>
      </c>
      <c r="G165" s="3">
        <v>0</v>
      </c>
      <c r="H165" s="3">
        <v>10939</v>
      </c>
      <c r="I165" s="3">
        <f t="shared" si="2"/>
        <v>67000</v>
      </c>
      <c r="J165" s="2"/>
      <c r="K165"/>
    </row>
    <row r="166" spans="1:11" x14ac:dyDescent="0.3">
      <c r="A166">
        <f>'Section 611 Awards 23'!A166</f>
        <v>2244</v>
      </c>
      <c r="B166" t="s">
        <v>156</v>
      </c>
      <c r="C166" s="3">
        <v>698485</v>
      </c>
      <c r="D166" s="3">
        <v>151153</v>
      </c>
      <c r="E166" s="3">
        <v>3182</v>
      </c>
      <c r="F166" s="3">
        <v>0</v>
      </c>
      <c r="G166" s="3">
        <v>0</v>
      </c>
      <c r="H166" s="3">
        <v>39777</v>
      </c>
      <c r="I166" s="3">
        <f t="shared" si="2"/>
        <v>892597</v>
      </c>
      <c r="J166" s="2"/>
      <c r="K166"/>
    </row>
    <row r="167" spans="1:11" x14ac:dyDescent="0.3">
      <c r="A167">
        <f>'Section 611 Awards 23'!A167</f>
        <v>2138</v>
      </c>
      <c r="B167" t="s">
        <v>111</v>
      </c>
      <c r="C167" s="3">
        <v>637627</v>
      </c>
      <c r="D167" s="3">
        <v>76766</v>
      </c>
      <c r="E167" s="3">
        <v>0</v>
      </c>
      <c r="F167" s="3">
        <v>0</v>
      </c>
      <c r="G167" s="3">
        <v>0</v>
      </c>
      <c r="H167" s="3">
        <v>25066</v>
      </c>
      <c r="I167" s="3">
        <f t="shared" si="2"/>
        <v>739459</v>
      </c>
      <c r="J167" s="2"/>
      <c r="K167"/>
    </row>
    <row r="168" spans="1:11" x14ac:dyDescent="0.3">
      <c r="A168">
        <f>'Section 611 Awards 23'!A168</f>
        <v>1978</v>
      </c>
      <c r="B168" t="s">
        <v>32</v>
      </c>
      <c r="C168" s="3">
        <v>203371</v>
      </c>
      <c r="D168" s="3">
        <v>11863</v>
      </c>
      <c r="E168" s="3">
        <v>0</v>
      </c>
      <c r="F168" s="3">
        <v>0</v>
      </c>
      <c r="G168" s="3">
        <v>0</v>
      </c>
      <c r="H168" s="3">
        <v>16948</v>
      </c>
      <c r="I168" s="3">
        <f t="shared" si="2"/>
        <v>232182</v>
      </c>
      <c r="J168" s="2"/>
      <c r="K168"/>
    </row>
    <row r="169" spans="1:11" x14ac:dyDescent="0.3">
      <c r="A169">
        <f>'Section 611 Awards 23'!A169</f>
        <v>2096</v>
      </c>
      <c r="B169" t="s">
        <v>93</v>
      </c>
      <c r="C169" s="3">
        <v>277800</v>
      </c>
      <c r="D169" s="3">
        <v>0</v>
      </c>
      <c r="E169" s="3">
        <v>0</v>
      </c>
      <c r="F169" s="3">
        <v>0</v>
      </c>
      <c r="G169" s="3">
        <v>0</v>
      </c>
      <c r="H169" s="3">
        <v>35327</v>
      </c>
      <c r="I169" s="3">
        <f t="shared" si="2"/>
        <v>313127</v>
      </c>
      <c r="J169" s="2"/>
      <c r="K169"/>
    </row>
    <row r="170" spans="1:11" x14ac:dyDescent="0.3">
      <c r="A170">
        <f>'Section 611 Awards 23'!A170</f>
        <v>2022</v>
      </c>
      <c r="B170" t="s">
        <v>59</v>
      </c>
      <c r="C170" s="3">
        <v>3935</v>
      </c>
      <c r="D170" s="3">
        <v>0</v>
      </c>
      <c r="E170" s="3">
        <v>0</v>
      </c>
      <c r="F170" s="3">
        <v>0</v>
      </c>
      <c r="G170" s="3">
        <v>0</v>
      </c>
      <c r="H170" s="3">
        <v>0</v>
      </c>
      <c r="I170" s="3">
        <f t="shared" si="2"/>
        <v>3935</v>
      </c>
      <c r="J170" s="2"/>
      <c r="K170"/>
    </row>
    <row r="171" spans="1:11" x14ac:dyDescent="0.3">
      <c r="A171">
        <f>'Section 611 Awards 23'!A171</f>
        <v>2087</v>
      </c>
      <c r="B171" t="s">
        <v>231</v>
      </c>
      <c r="C171" s="3">
        <v>604561</v>
      </c>
      <c r="D171" s="3">
        <v>0</v>
      </c>
      <c r="E171" s="3">
        <v>0</v>
      </c>
      <c r="F171" s="3">
        <v>0</v>
      </c>
      <c r="G171" s="3">
        <v>0</v>
      </c>
      <c r="H171" s="3">
        <v>67721</v>
      </c>
      <c r="I171" s="3">
        <f t="shared" si="2"/>
        <v>672282</v>
      </c>
      <c r="J171" s="2"/>
      <c r="K171"/>
    </row>
    <row r="172" spans="1:11" x14ac:dyDescent="0.3">
      <c r="A172">
        <f>'Section 611 Awards 23'!A172</f>
        <v>1994</v>
      </c>
      <c r="B172" t="s">
        <v>35</v>
      </c>
      <c r="C172" s="3">
        <v>322453</v>
      </c>
      <c r="D172" s="3">
        <v>37495</v>
      </c>
      <c r="E172" s="3">
        <v>0</v>
      </c>
      <c r="F172" s="3">
        <v>0</v>
      </c>
      <c r="G172" s="3">
        <v>0</v>
      </c>
      <c r="H172" s="3">
        <v>34495</v>
      </c>
      <c r="I172" s="3">
        <f t="shared" si="2"/>
        <v>394443</v>
      </c>
      <c r="J172" s="2"/>
      <c r="K172"/>
    </row>
    <row r="173" spans="1:11" x14ac:dyDescent="0.3">
      <c r="A173">
        <f>'Section 611 Awards 23'!A173</f>
        <v>2225</v>
      </c>
      <c r="B173" t="s">
        <v>232</v>
      </c>
      <c r="C173" s="3">
        <v>48787</v>
      </c>
      <c r="D173" s="3">
        <v>13135</v>
      </c>
      <c r="E173" s="3">
        <v>0</v>
      </c>
      <c r="F173" s="3">
        <v>0</v>
      </c>
      <c r="G173" s="3">
        <v>0</v>
      </c>
      <c r="H173" s="3">
        <v>11259</v>
      </c>
      <c r="I173" s="3">
        <f t="shared" si="2"/>
        <v>73181</v>
      </c>
      <c r="J173" s="2"/>
      <c r="K173"/>
    </row>
    <row r="174" spans="1:11" x14ac:dyDescent="0.3">
      <c r="A174">
        <f>'Section 611 Awards 23'!A174</f>
        <v>2247</v>
      </c>
      <c r="B174" t="s">
        <v>158</v>
      </c>
      <c r="C174" s="3">
        <v>5506</v>
      </c>
      <c r="D174" s="3">
        <v>2753</v>
      </c>
      <c r="E174" s="3">
        <v>0</v>
      </c>
      <c r="F174" s="3">
        <v>0</v>
      </c>
      <c r="G174" s="3">
        <v>0</v>
      </c>
      <c r="H174" s="3">
        <v>2753</v>
      </c>
      <c r="I174" s="3">
        <f t="shared" si="2"/>
        <v>11012</v>
      </c>
      <c r="J174" s="2"/>
      <c r="K174"/>
    </row>
    <row r="175" spans="1:11" x14ac:dyDescent="0.3">
      <c r="A175">
        <f>'Section 611 Awards 23'!A175</f>
        <v>2083</v>
      </c>
      <c r="B175" t="s">
        <v>82</v>
      </c>
      <c r="C175" s="3">
        <v>2126552</v>
      </c>
      <c r="D175" s="3">
        <v>23687</v>
      </c>
      <c r="E175" s="3">
        <v>9212</v>
      </c>
      <c r="F175" s="3">
        <v>38162</v>
      </c>
      <c r="G175" s="3">
        <v>0</v>
      </c>
      <c r="H175" s="3">
        <v>294770</v>
      </c>
      <c r="I175" s="3">
        <f t="shared" si="2"/>
        <v>2492383</v>
      </c>
      <c r="J175" s="2"/>
      <c r="K175"/>
    </row>
    <row r="176" spans="1:11" x14ac:dyDescent="0.3">
      <c r="A176">
        <f>'Section 611 Awards 23'!A176</f>
        <v>1948</v>
      </c>
      <c r="B176" t="s">
        <v>23</v>
      </c>
      <c r="C176" s="3">
        <v>525362</v>
      </c>
      <c r="D176" s="3">
        <v>86658</v>
      </c>
      <c r="E176" s="3">
        <v>1354</v>
      </c>
      <c r="F176" s="3">
        <v>0</v>
      </c>
      <c r="G176" s="3">
        <v>0</v>
      </c>
      <c r="H176" s="3">
        <v>77180</v>
      </c>
      <c r="I176" s="3">
        <f t="shared" si="2"/>
        <v>690554</v>
      </c>
      <c r="J176" s="2"/>
      <c r="K176"/>
    </row>
    <row r="177" spans="1:11" x14ac:dyDescent="0.3">
      <c r="A177">
        <f>'Section 611 Awards 23'!A177</f>
        <v>2144</v>
      </c>
      <c r="B177" t="s">
        <v>117</v>
      </c>
      <c r="C177" s="3">
        <v>47929</v>
      </c>
      <c r="D177" s="3">
        <v>11982</v>
      </c>
      <c r="E177" s="3">
        <v>0</v>
      </c>
      <c r="F177" s="3">
        <v>0</v>
      </c>
      <c r="G177" s="3">
        <v>0</v>
      </c>
      <c r="H177" s="3">
        <v>2996</v>
      </c>
      <c r="I177" s="3">
        <f t="shared" si="2"/>
        <v>62907</v>
      </c>
      <c r="J177" s="2"/>
      <c r="K177"/>
    </row>
    <row r="178" spans="1:11" x14ac:dyDescent="0.3">
      <c r="A178">
        <f>'Section 611 Awards 23'!A178</f>
        <v>2209</v>
      </c>
      <c r="B178" t="s">
        <v>139</v>
      </c>
      <c r="C178" s="3">
        <v>96369</v>
      </c>
      <c r="D178" s="3">
        <v>13141</v>
      </c>
      <c r="E178" s="3">
        <v>0</v>
      </c>
      <c r="F178" s="3">
        <v>0</v>
      </c>
      <c r="G178" s="3">
        <v>0</v>
      </c>
      <c r="H178" s="3">
        <v>4380</v>
      </c>
      <c r="I178" s="3">
        <f t="shared" si="2"/>
        <v>113890</v>
      </c>
      <c r="J178" s="2"/>
      <c r="K178"/>
    </row>
    <row r="179" spans="1:11" x14ac:dyDescent="0.3">
      <c r="A179">
        <f>'Section 611 Awards 23'!A179</f>
        <v>2018</v>
      </c>
      <c r="B179" t="s">
        <v>55</v>
      </c>
      <c r="C179" s="3">
        <v>1425</v>
      </c>
      <c r="D179" s="3">
        <v>0</v>
      </c>
      <c r="E179" s="3">
        <v>0</v>
      </c>
      <c r="F179" s="3">
        <v>0</v>
      </c>
      <c r="G179" s="3">
        <v>0</v>
      </c>
      <c r="H179" s="3">
        <v>0</v>
      </c>
      <c r="I179" s="3">
        <f t="shared" si="2"/>
        <v>1425</v>
      </c>
      <c r="J179" s="2"/>
      <c r="K179"/>
    </row>
    <row r="180" spans="1:11" x14ac:dyDescent="0.3">
      <c r="A180">
        <f>'Section 611 Awards 23'!A180</f>
        <v>2003</v>
      </c>
      <c r="B180" t="s">
        <v>43</v>
      </c>
      <c r="C180" s="3">
        <v>240458</v>
      </c>
      <c r="D180" s="3">
        <v>36591</v>
      </c>
      <c r="E180" s="3">
        <v>0</v>
      </c>
      <c r="F180" s="3">
        <v>0</v>
      </c>
      <c r="G180" s="3">
        <v>0</v>
      </c>
      <c r="H180" s="3">
        <v>40512</v>
      </c>
      <c r="I180" s="3">
        <f t="shared" si="2"/>
        <v>317561</v>
      </c>
      <c r="J180" s="2"/>
      <c r="K180"/>
    </row>
    <row r="181" spans="1:11" x14ac:dyDescent="0.3">
      <c r="A181">
        <f>'Section 611 Awards 23'!A181</f>
        <v>2102</v>
      </c>
      <c r="B181" t="s">
        <v>97</v>
      </c>
      <c r="C181" s="3">
        <v>469773</v>
      </c>
      <c r="D181" s="3">
        <v>71863</v>
      </c>
      <c r="E181" s="3">
        <v>0</v>
      </c>
      <c r="F181" s="3">
        <v>0</v>
      </c>
      <c r="G181" s="3">
        <v>0</v>
      </c>
      <c r="H181" s="3">
        <v>34601</v>
      </c>
      <c r="I181" s="3">
        <f t="shared" si="2"/>
        <v>576237</v>
      </c>
      <c r="J181" s="2"/>
      <c r="K181"/>
    </row>
    <row r="182" spans="1:11" x14ac:dyDescent="0.3">
      <c r="A182">
        <f>'Section 611 Awards 23'!A182</f>
        <v>2055</v>
      </c>
      <c r="B182" t="s">
        <v>233</v>
      </c>
      <c r="C182" s="3">
        <v>939384</v>
      </c>
      <c r="D182" s="3">
        <v>237745</v>
      </c>
      <c r="E182" s="3">
        <v>3866</v>
      </c>
      <c r="F182" s="3">
        <v>0</v>
      </c>
      <c r="G182" s="3">
        <v>0</v>
      </c>
      <c r="H182" s="3">
        <v>90846</v>
      </c>
      <c r="I182" s="3">
        <f t="shared" si="2"/>
        <v>1271841</v>
      </c>
      <c r="J182" s="2"/>
      <c r="K182"/>
    </row>
    <row r="183" spans="1:11" x14ac:dyDescent="0.3">
      <c r="A183">
        <f>'Section 611 Awards 23'!A183</f>
        <v>2242</v>
      </c>
      <c r="B183" t="s">
        <v>154</v>
      </c>
      <c r="C183" s="3">
        <v>1754812</v>
      </c>
      <c r="D183" s="3">
        <v>430274</v>
      </c>
      <c r="E183" s="3">
        <v>3211</v>
      </c>
      <c r="F183" s="3">
        <v>41743</v>
      </c>
      <c r="G183" s="3">
        <v>0</v>
      </c>
      <c r="H183" s="3">
        <v>234403</v>
      </c>
      <c r="I183" s="3">
        <f t="shared" si="2"/>
        <v>2464443</v>
      </c>
      <c r="J183" s="2"/>
      <c r="K183"/>
    </row>
    <row r="184" spans="1:11" x14ac:dyDescent="0.3">
      <c r="A184">
        <f>'Section 611 Awards 23'!A184</f>
        <v>2197</v>
      </c>
      <c r="B184" t="s">
        <v>133</v>
      </c>
      <c r="C184" s="3">
        <v>417724</v>
      </c>
      <c r="D184" s="3">
        <v>75442</v>
      </c>
      <c r="E184" s="3">
        <v>0</v>
      </c>
      <c r="F184" s="3">
        <v>0</v>
      </c>
      <c r="G184" s="3">
        <v>0</v>
      </c>
      <c r="H184" s="3">
        <v>32133</v>
      </c>
      <c r="I184" s="3">
        <f t="shared" si="2"/>
        <v>525299</v>
      </c>
      <c r="J184" s="2"/>
      <c r="K184"/>
    </row>
    <row r="185" spans="1:11" x14ac:dyDescent="0.3">
      <c r="A185">
        <f>'Section 611 Awards 23'!A185</f>
        <v>2222</v>
      </c>
      <c r="B185" t="s">
        <v>149</v>
      </c>
      <c r="C185" s="3">
        <v>2469</v>
      </c>
      <c r="D185" s="3">
        <v>0</v>
      </c>
      <c r="E185" s="3">
        <v>0</v>
      </c>
      <c r="F185" s="3">
        <v>0</v>
      </c>
      <c r="G185" s="3">
        <v>0</v>
      </c>
      <c r="H185" s="3">
        <v>0</v>
      </c>
      <c r="I185" s="3">
        <f t="shared" si="2"/>
        <v>2469</v>
      </c>
      <c r="J185" s="2"/>
      <c r="K185"/>
    </row>
    <row r="186" spans="1:11" x14ac:dyDescent="0.3">
      <c r="A186">
        <f>'Section 611 Awards 23'!A186</f>
        <v>2210</v>
      </c>
      <c r="B186" t="s">
        <v>234</v>
      </c>
      <c r="C186" s="3">
        <v>7348</v>
      </c>
      <c r="D186" s="3">
        <v>0</v>
      </c>
      <c r="E186" s="3">
        <v>0</v>
      </c>
      <c r="F186" s="3">
        <v>0</v>
      </c>
      <c r="G186" s="3">
        <v>0</v>
      </c>
      <c r="H186" s="3">
        <v>0</v>
      </c>
      <c r="I186" s="3">
        <f t="shared" si="2"/>
        <v>7348</v>
      </c>
      <c r="J186" s="2"/>
      <c r="K186"/>
    </row>
    <row r="187" spans="1:11" x14ac:dyDescent="0.3">
      <c r="A187">
        <f>'Section 611 Awards 23'!A187</f>
        <v>2204</v>
      </c>
      <c r="B187" t="s">
        <v>235</v>
      </c>
      <c r="C187" s="3">
        <v>212894</v>
      </c>
      <c r="D187" s="3">
        <v>49790</v>
      </c>
      <c r="E187" s="3">
        <v>0</v>
      </c>
      <c r="F187" s="3">
        <v>0</v>
      </c>
      <c r="G187" s="3">
        <v>0</v>
      </c>
      <c r="H187" s="3">
        <v>37772</v>
      </c>
      <c r="I187" s="3">
        <f t="shared" si="2"/>
        <v>300456</v>
      </c>
      <c r="J187" s="2"/>
      <c r="K187"/>
    </row>
    <row r="188" spans="1:11" x14ac:dyDescent="0.3">
      <c r="A188">
        <f>'Section 611 Awards 23'!A188</f>
        <v>2213</v>
      </c>
      <c r="B188" t="s">
        <v>141</v>
      </c>
      <c r="C188" s="3">
        <v>81597</v>
      </c>
      <c r="D188" s="3">
        <v>3138</v>
      </c>
      <c r="E188" s="3">
        <v>0</v>
      </c>
      <c r="F188" s="3">
        <v>0</v>
      </c>
      <c r="G188" s="3">
        <v>0</v>
      </c>
      <c r="H188" s="3">
        <v>4708</v>
      </c>
      <c r="I188" s="3">
        <f t="shared" si="2"/>
        <v>89443</v>
      </c>
      <c r="J188" s="2"/>
      <c r="K188"/>
    </row>
    <row r="189" spans="1:11" x14ac:dyDescent="0.3">
      <c r="A189">
        <f>'Section 611 Awards 23'!A189</f>
        <v>2116</v>
      </c>
      <c r="B189" t="s">
        <v>109</v>
      </c>
      <c r="C189" s="3">
        <v>170540</v>
      </c>
      <c r="D189" s="3">
        <v>7415</v>
      </c>
      <c r="E189" s="3">
        <v>0</v>
      </c>
      <c r="F189" s="3">
        <v>0</v>
      </c>
      <c r="G189" s="3">
        <v>0</v>
      </c>
      <c r="H189" s="3">
        <v>25952</v>
      </c>
      <c r="I189" s="3">
        <f t="shared" si="2"/>
        <v>203907</v>
      </c>
      <c r="J189" s="2"/>
      <c r="K189"/>
    </row>
    <row r="190" spans="1:11" x14ac:dyDescent="0.3">
      <c r="A190">
        <f>'Section 611 Awards 23'!A190</f>
        <v>1947</v>
      </c>
      <c r="B190" t="s">
        <v>22</v>
      </c>
      <c r="C190" s="3">
        <v>119157</v>
      </c>
      <c r="D190" s="3">
        <v>19124</v>
      </c>
      <c r="E190" s="3">
        <v>0</v>
      </c>
      <c r="F190" s="3">
        <v>0</v>
      </c>
      <c r="G190" s="3">
        <v>0</v>
      </c>
      <c r="H190" s="3">
        <v>5884</v>
      </c>
      <c r="I190" s="3">
        <f t="shared" si="2"/>
        <v>144165</v>
      </c>
      <c r="J190" s="2"/>
      <c r="K190"/>
    </row>
    <row r="191" spans="1:11" x14ac:dyDescent="0.3">
      <c r="A191">
        <f>'Section 611 Awards 23'!A191</f>
        <v>2220</v>
      </c>
      <c r="B191" t="s">
        <v>147</v>
      </c>
      <c r="C191" s="3">
        <v>57321</v>
      </c>
      <c r="D191" s="3">
        <v>0</v>
      </c>
      <c r="E191" s="3">
        <v>0</v>
      </c>
      <c r="F191" s="3">
        <v>0</v>
      </c>
      <c r="G191" s="3">
        <v>0</v>
      </c>
      <c r="H191" s="3">
        <v>5930</v>
      </c>
      <c r="I191" s="3">
        <f t="shared" si="2"/>
        <v>63251</v>
      </c>
      <c r="J191" s="2"/>
      <c r="K191"/>
    </row>
    <row r="192" spans="1:11" x14ac:dyDescent="0.3">
      <c r="A192">
        <f>'Section 611 Awards 23'!A192</f>
        <v>1936</v>
      </c>
      <c r="B192" t="s">
        <v>236</v>
      </c>
      <c r="C192" s="3">
        <v>167592</v>
      </c>
      <c r="D192" s="3">
        <v>35140</v>
      </c>
      <c r="E192" s="3">
        <v>0</v>
      </c>
      <c r="F192" s="3">
        <v>0</v>
      </c>
      <c r="G192" s="3">
        <v>0</v>
      </c>
      <c r="H192" s="3">
        <v>22976</v>
      </c>
      <c r="I192" s="3">
        <f t="shared" si="2"/>
        <v>225708</v>
      </c>
      <c r="J192" s="2"/>
      <c r="K192"/>
    </row>
    <row r="193" spans="1:11" x14ac:dyDescent="0.3">
      <c r="A193">
        <f>'Section 611 Awards 23'!A193</f>
        <v>1922</v>
      </c>
      <c r="B193" t="s">
        <v>237</v>
      </c>
      <c r="C193" s="3">
        <v>1375014</v>
      </c>
      <c r="D193" s="3">
        <v>313827</v>
      </c>
      <c r="E193" s="3">
        <v>0</v>
      </c>
      <c r="F193" s="3">
        <v>0</v>
      </c>
      <c r="G193" s="3">
        <v>0</v>
      </c>
      <c r="H193" s="3">
        <v>108383</v>
      </c>
      <c r="I193" s="3">
        <f t="shared" si="2"/>
        <v>1797224</v>
      </c>
      <c r="J193" s="2"/>
      <c r="K193"/>
    </row>
    <row r="194" spans="1:11" x14ac:dyDescent="0.3">
      <c r="A194">
        <f>'Section 611 Awards 23'!A194</f>
        <v>2255</v>
      </c>
      <c r="B194" t="s">
        <v>164</v>
      </c>
      <c r="C194" s="3">
        <v>213756</v>
      </c>
      <c r="D194" s="3">
        <v>24591</v>
      </c>
      <c r="E194" s="3">
        <v>0</v>
      </c>
      <c r="F194" s="3">
        <v>0</v>
      </c>
      <c r="G194" s="3">
        <v>0</v>
      </c>
      <c r="H194" s="3">
        <v>18916</v>
      </c>
      <c r="I194" s="3">
        <f t="shared" ref="I194:I202" si="3">SUM(C194:H194)</f>
        <v>257263</v>
      </c>
      <c r="J194" s="2"/>
      <c r="K194"/>
    </row>
    <row r="195" spans="1:11" x14ac:dyDescent="0.3">
      <c r="A195">
        <f>'Section 611 Awards 23'!A195</f>
        <v>2002</v>
      </c>
      <c r="B195" t="s">
        <v>42</v>
      </c>
      <c r="C195" s="3">
        <v>285577</v>
      </c>
      <c r="D195" s="3">
        <v>24153</v>
      </c>
      <c r="E195" s="3">
        <v>0</v>
      </c>
      <c r="F195" s="3">
        <v>0</v>
      </c>
      <c r="G195" s="3">
        <v>0</v>
      </c>
      <c r="H195" s="3">
        <v>38361</v>
      </c>
      <c r="I195" s="3">
        <f t="shared" si="3"/>
        <v>348091</v>
      </c>
      <c r="J195" s="2"/>
      <c r="K195"/>
    </row>
    <row r="196" spans="1:11" x14ac:dyDescent="0.3">
      <c r="A196">
        <f>'Section 611 Awards 23'!A196</f>
        <v>2146</v>
      </c>
      <c r="B196" t="s">
        <v>119</v>
      </c>
      <c r="C196" s="3">
        <v>901852</v>
      </c>
      <c r="D196" s="3">
        <v>144892</v>
      </c>
      <c r="E196" s="3">
        <v>4062</v>
      </c>
      <c r="F196" s="3">
        <v>0</v>
      </c>
      <c r="G196" s="3">
        <v>0</v>
      </c>
      <c r="H196" s="3">
        <v>70415</v>
      </c>
      <c r="I196" s="3">
        <f t="shared" si="3"/>
        <v>1121221</v>
      </c>
      <c r="J196" s="2"/>
      <c r="K196"/>
    </row>
    <row r="197" spans="1:11" x14ac:dyDescent="0.3">
      <c r="A197">
        <f>'Section 611 Awards 23'!A197</f>
        <v>2251</v>
      </c>
      <c r="B197" t="s">
        <v>238</v>
      </c>
      <c r="C197" s="3">
        <v>199543</v>
      </c>
      <c r="D197" s="3">
        <v>32914</v>
      </c>
      <c r="E197" s="3">
        <v>0</v>
      </c>
      <c r="F197" s="3">
        <v>0</v>
      </c>
      <c r="G197" s="3">
        <v>0</v>
      </c>
      <c r="H197" s="3">
        <v>18514</v>
      </c>
      <c r="I197" s="3">
        <f t="shared" si="3"/>
        <v>250971</v>
      </c>
      <c r="J197" s="2"/>
      <c r="K197"/>
    </row>
    <row r="198" spans="1:11" x14ac:dyDescent="0.3">
      <c r="A198">
        <f>'Section 611 Awards 23'!A198</f>
        <v>1997</v>
      </c>
      <c r="B198" t="s">
        <v>37</v>
      </c>
      <c r="C198" s="3">
        <v>59221</v>
      </c>
      <c r="D198" s="3">
        <v>8973</v>
      </c>
      <c r="E198" s="3">
        <v>0</v>
      </c>
      <c r="F198" s="3">
        <v>0</v>
      </c>
      <c r="G198" s="3">
        <v>0</v>
      </c>
      <c r="H198" s="3">
        <v>3589</v>
      </c>
      <c r="I198" s="3">
        <f t="shared" si="3"/>
        <v>71783</v>
      </c>
      <c r="J198" s="2"/>
      <c r="K198"/>
    </row>
    <row r="199" spans="1:11" x14ac:dyDescent="0.3">
      <c r="A199">
        <f>'Section 611 Awards 23'!A199</f>
        <v>3476</v>
      </c>
      <c r="B199" t="s">
        <v>239</v>
      </c>
      <c r="C199" s="3">
        <v>51220</v>
      </c>
      <c r="D199" s="3">
        <v>0</v>
      </c>
      <c r="E199" s="3">
        <v>0</v>
      </c>
      <c r="F199" s="3">
        <v>0</v>
      </c>
      <c r="G199" s="3">
        <v>0</v>
      </c>
      <c r="H199" s="3">
        <v>0</v>
      </c>
      <c r="I199" s="3">
        <f t="shared" si="3"/>
        <v>51220</v>
      </c>
      <c r="J199" s="2"/>
      <c r="K199"/>
    </row>
    <row r="200" spans="1:11" x14ac:dyDescent="0.3">
      <c r="A200">
        <f>'Section 611 Awards 23'!A200</f>
        <v>3477</v>
      </c>
      <c r="B200" t="s">
        <v>240</v>
      </c>
      <c r="C200" s="3">
        <v>268655</v>
      </c>
      <c r="D200" s="3">
        <v>0</v>
      </c>
      <c r="E200" s="3">
        <v>0</v>
      </c>
      <c r="F200" s="3">
        <v>0</v>
      </c>
      <c r="G200" s="3">
        <v>0</v>
      </c>
      <c r="H200" s="3">
        <v>0</v>
      </c>
      <c r="I200" s="3">
        <f t="shared" si="3"/>
        <v>268655</v>
      </c>
      <c r="J200" s="2"/>
      <c r="K200"/>
    </row>
    <row r="201" spans="1:11" x14ac:dyDescent="0.3">
      <c r="A201">
        <f>'Section 611 Awards 23'!A201</f>
        <v>2332</v>
      </c>
      <c r="B201" t="s">
        <v>241</v>
      </c>
      <c r="C201" s="3">
        <v>41258</v>
      </c>
      <c r="D201" s="3">
        <v>0</v>
      </c>
      <c r="E201" s="3">
        <v>0</v>
      </c>
      <c r="F201" s="3">
        <v>0</v>
      </c>
      <c r="G201" s="3">
        <v>0</v>
      </c>
      <c r="H201" s="3">
        <v>0</v>
      </c>
      <c r="I201" s="3">
        <f t="shared" si="3"/>
        <v>41258</v>
      </c>
      <c r="J201" s="2"/>
      <c r="K201"/>
    </row>
    <row r="202" spans="1:11" x14ac:dyDescent="0.3">
      <c r="A202">
        <f>'Section 611 Awards 23'!A202</f>
        <v>5269</v>
      </c>
      <c r="B202" t="s">
        <v>182</v>
      </c>
      <c r="C202" s="3">
        <v>21285</v>
      </c>
      <c r="D202" s="3">
        <v>0</v>
      </c>
      <c r="E202" s="3">
        <v>0</v>
      </c>
      <c r="F202" s="3">
        <v>0</v>
      </c>
      <c r="G202" s="3">
        <v>0</v>
      </c>
      <c r="H202" s="3">
        <v>0</v>
      </c>
      <c r="I202" s="3">
        <f t="shared" si="3"/>
        <v>21285</v>
      </c>
      <c r="J202" s="2"/>
      <c r="K202"/>
    </row>
    <row r="203" spans="1:11" s="2" customFormat="1" x14ac:dyDescent="0.3">
      <c r="B203" t="s">
        <v>184</v>
      </c>
      <c r="C203" s="4">
        <f>SUBTOTAL(109,Sect611[District])</f>
        <v>103258790</v>
      </c>
      <c r="D203" s="4">
        <f>SUBTOTAL(109,Sect611[Regional])</f>
        <v>16761844</v>
      </c>
      <c r="E203" s="4">
        <f>SUBTOTAL(109,Sect611[OSD])</f>
        <v>129322</v>
      </c>
      <c r="F203" s="4">
        <f>SUBTOTAL(109,Sect611[LTCT])</f>
        <v>337127</v>
      </c>
      <c r="G203" s="4">
        <f>SUBTOTAL(109,Sect611[Hospital])</f>
        <v>15973</v>
      </c>
      <c r="H203" s="4">
        <f>SUBTOTAL(109,Sect611[ECSE])</f>
        <v>10480671</v>
      </c>
      <c r="I203" s="4">
        <f>SUBTOTAL(109,Sect611[Gross Total])</f>
        <v>130983727</v>
      </c>
    </row>
    <row r="204" spans="1:11" hidden="1" x14ac:dyDescent="0.3">
      <c r="B204" s="2"/>
      <c r="C204" s="2"/>
      <c r="D204" s="2"/>
      <c r="E204" s="2"/>
      <c r="F204" s="2"/>
      <c r="G204" s="2"/>
      <c r="H204" s="2"/>
      <c r="I204" s="2"/>
    </row>
  </sheetData>
  <sheetProtection sort="0" autoFilter="0"/>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22FFB-0B50-4FF8-BA7A-C579642ADADD}">
  <sheetPr>
    <tabColor rgb="FF00B050"/>
  </sheetPr>
  <dimension ref="A1:X204"/>
  <sheetViews>
    <sheetView zoomScale="145" zoomScaleNormal="145" workbookViewId="0"/>
  </sheetViews>
  <sheetFormatPr defaultColWidth="0" defaultRowHeight="13" customHeight="1" zeroHeight="1" outlineLevelCol="1" x14ac:dyDescent="0.3"/>
  <cols>
    <col min="1" max="1" width="7.296875" customWidth="1"/>
    <col min="2" max="2" width="30.296875" customWidth="1"/>
    <col min="3" max="3" width="16" bestFit="1" customWidth="1"/>
    <col min="4" max="4" width="17.69921875" bestFit="1" customWidth="1"/>
    <col min="5" max="5" width="23.69921875" customWidth="1"/>
    <col min="6" max="7" width="16.296875" bestFit="1" customWidth="1"/>
    <col min="8" max="8" width="16.296875" hidden="1" customWidth="1" outlineLevel="1"/>
    <col min="9" max="9" width="15.296875" hidden="1" customWidth="1" outlineLevel="1"/>
    <col min="10" max="11" width="12.59765625" hidden="1" customWidth="1" outlineLevel="1"/>
    <col min="12" max="12" width="12.8984375" hidden="1" customWidth="1" outlineLevel="1"/>
    <col min="13" max="13" width="11.5" hidden="1" customWidth="1" outlineLevel="1"/>
    <col min="14" max="14" width="1.69921875" hidden="1" customWidth="1" outlineLevel="1"/>
    <col min="15" max="15" width="16.296875" customWidth="1" collapsed="1"/>
    <col min="16" max="17" width="0" hidden="1" customWidth="1"/>
    <col min="18" max="21" width="16.296875" hidden="1" customWidth="1"/>
    <col min="22" max="24" width="0" hidden="1" customWidth="1"/>
    <col min="25" max="16384" width="7.296875" hidden="1"/>
  </cols>
  <sheetData>
    <row r="1" spans="1:15" x14ac:dyDescent="0.3">
      <c r="A1" t="s">
        <v>254</v>
      </c>
      <c r="B1" t="s">
        <v>0</v>
      </c>
      <c r="C1" s="21" t="s">
        <v>258</v>
      </c>
      <c r="D1" t="s">
        <v>261</v>
      </c>
      <c r="E1" t="s">
        <v>262</v>
      </c>
      <c r="F1" s="20" t="s">
        <v>260</v>
      </c>
      <c r="G1" s="20" t="s">
        <v>263</v>
      </c>
      <c r="H1" s="6" t="s">
        <v>174</v>
      </c>
      <c r="I1" s="6" t="s">
        <v>175</v>
      </c>
      <c r="J1" s="6" t="s">
        <v>170</v>
      </c>
      <c r="K1" s="6" t="s">
        <v>171</v>
      </c>
      <c r="L1" s="6" t="s">
        <v>176</v>
      </c>
      <c r="M1" s="6" t="s">
        <v>257</v>
      </c>
      <c r="N1" s="6" t="s">
        <v>177</v>
      </c>
      <c r="O1" s="22" t="s">
        <v>259</v>
      </c>
    </row>
    <row r="2" spans="1:15" x14ac:dyDescent="0.3">
      <c r="A2">
        <v>2063</v>
      </c>
      <c r="B2" t="s">
        <v>79</v>
      </c>
      <c r="C2">
        <v>-3</v>
      </c>
      <c r="D2" s="4">
        <f>Sect61168[[#This Row],[2023]]-Sect61168[[#This Row],[2022]]</f>
        <v>-635.02461786184085</v>
      </c>
      <c r="E2" s="4">
        <f>Sect61168[[#This Row],[2023]]-Sect61168[[#This Row],[2021]]</f>
        <v>674.97538213815915</v>
      </c>
      <c r="F2" s="3">
        <v>2871</v>
      </c>
      <c r="G2" s="3">
        <v>4181</v>
      </c>
      <c r="H2" s="3">
        <v>3545.9753821381591</v>
      </c>
      <c r="I2" s="3">
        <v>0</v>
      </c>
      <c r="J2" s="3">
        <v>0</v>
      </c>
      <c r="K2" s="3">
        <v>0</v>
      </c>
      <c r="L2" s="3">
        <v>0</v>
      </c>
      <c r="M2" s="3">
        <v>0</v>
      </c>
      <c r="N2" s="3">
        <v>0</v>
      </c>
      <c r="O2" s="3">
        <f t="shared" ref="O2:O65" si="0">SUM(H2:N2)</f>
        <v>3545.9753821381591</v>
      </c>
    </row>
    <row r="3" spans="1:15" x14ac:dyDescent="0.3">
      <c r="A3">
        <v>2113</v>
      </c>
      <c r="B3" t="s">
        <v>106</v>
      </c>
      <c r="C3">
        <v>-6</v>
      </c>
      <c r="D3" s="4">
        <f>Sect61168[[#This Row],[2023]]-Sect61168[[#This Row],[2022]]</f>
        <v>1040.7539096400069</v>
      </c>
      <c r="E3" s="4">
        <f>Sect61168[[#This Row],[2023]]-Sect61168[[#This Row],[2021]]</f>
        <v>-2139.2460903599931</v>
      </c>
      <c r="F3" s="3">
        <v>62934</v>
      </c>
      <c r="G3" s="3">
        <v>59754</v>
      </c>
      <c r="H3" s="3">
        <v>60794.753909640007</v>
      </c>
      <c r="I3" s="3">
        <v>0</v>
      </c>
      <c r="J3" s="3">
        <v>0</v>
      </c>
      <c r="K3" s="3">
        <v>0</v>
      </c>
      <c r="L3" s="3">
        <v>0</v>
      </c>
      <c r="M3" s="3">
        <v>0</v>
      </c>
      <c r="N3" s="3">
        <v>0</v>
      </c>
      <c r="O3" s="3">
        <f t="shared" si="0"/>
        <v>60794.753909640007</v>
      </c>
    </row>
    <row r="4" spans="1:15" x14ac:dyDescent="0.3">
      <c r="A4">
        <v>1899</v>
      </c>
      <c r="B4" t="s">
        <v>5</v>
      </c>
      <c r="C4">
        <v>-26</v>
      </c>
      <c r="D4" s="4">
        <f>Sect61168[[#This Row],[2023]]-Sect61168[[#This Row],[2022]]</f>
        <v>-1574.2104948519118</v>
      </c>
      <c r="E4" s="4">
        <f>Sect61168[[#This Row],[2023]]-Sect61168[[#This Row],[2021]]</f>
        <v>69930.789505148088</v>
      </c>
      <c r="F4" s="3">
        <v>49962</v>
      </c>
      <c r="G4" s="3">
        <v>121467</v>
      </c>
      <c r="H4" s="3">
        <v>94297.699610790645</v>
      </c>
      <c r="I4" s="3">
        <v>24247.979899917591</v>
      </c>
      <c r="J4" s="3">
        <v>0</v>
      </c>
      <c r="K4" s="3">
        <v>0</v>
      </c>
      <c r="L4" s="3">
        <v>0</v>
      </c>
      <c r="M4" s="3">
        <v>0</v>
      </c>
      <c r="N4" s="3">
        <v>1347.1099944398661</v>
      </c>
      <c r="O4" s="3">
        <f t="shared" si="0"/>
        <v>119892.78950514809</v>
      </c>
    </row>
    <row r="5" spans="1:15" x14ac:dyDescent="0.3">
      <c r="A5">
        <v>2252</v>
      </c>
      <c r="B5" t="s">
        <v>161</v>
      </c>
      <c r="C5">
        <v>-1</v>
      </c>
      <c r="D5" s="4">
        <f>Sect61168[[#This Row],[2023]]-Sect61168[[#This Row],[2022]]</f>
        <v>41671.986280675454</v>
      </c>
      <c r="E5" s="4">
        <f>Sect61168[[#This Row],[2023]]-Sect61168[[#This Row],[2021]]</f>
        <v>38614.986280675454</v>
      </c>
      <c r="F5" s="3">
        <v>193019</v>
      </c>
      <c r="G5" s="3">
        <v>189962</v>
      </c>
      <c r="H5" s="3">
        <v>168461.08093140033</v>
      </c>
      <c r="I5" s="3">
        <v>50889.284864693844</v>
      </c>
      <c r="J5" s="3">
        <v>0</v>
      </c>
      <c r="K5" s="3">
        <v>0</v>
      </c>
      <c r="L5" s="3">
        <v>0</v>
      </c>
      <c r="M5" s="3">
        <v>0</v>
      </c>
      <c r="N5" s="3">
        <v>12283.620484581272</v>
      </c>
      <c r="O5" s="3">
        <f t="shared" si="0"/>
        <v>231633.98628067545</v>
      </c>
    </row>
    <row r="6" spans="1:15" x14ac:dyDescent="0.3">
      <c r="A6">
        <v>2111</v>
      </c>
      <c r="B6" t="s">
        <v>104</v>
      </c>
      <c r="C6">
        <v>6</v>
      </c>
      <c r="D6" s="4">
        <f>Sect61168[[#This Row],[2023]]-Sect61168[[#This Row],[2022]]</f>
        <v>-1288.1015742405289</v>
      </c>
      <c r="E6" s="4">
        <f>Sect61168[[#This Row],[2023]]-Sect61168[[#This Row],[2021]]</f>
        <v>169.89842575947114</v>
      </c>
      <c r="F6" s="3">
        <v>23938</v>
      </c>
      <c r="G6" s="3">
        <v>25396</v>
      </c>
      <c r="H6" s="3">
        <v>24107.898425759471</v>
      </c>
      <c r="I6" s="3">
        <v>0</v>
      </c>
      <c r="J6" s="3">
        <v>0</v>
      </c>
      <c r="K6" s="3">
        <v>0</v>
      </c>
      <c r="L6" s="3">
        <v>0</v>
      </c>
      <c r="M6" s="3">
        <v>0</v>
      </c>
      <c r="N6" s="3">
        <v>0</v>
      </c>
      <c r="O6" s="3">
        <f t="shared" si="0"/>
        <v>24107.898425759471</v>
      </c>
    </row>
    <row r="7" spans="1:15" x14ac:dyDescent="0.3">
      <c r="A7">
        <v>2005</v>
      </c>
      <c r="B7" t="s">
        <v>44</v>
      </c>
      <c r="C7">
        <v>5</v>
      </c>
      <c r="D7" s="4">
        <f>Sect61168[[#This Row],[2023]]-Sect61168[[#This Row],[2022]]</f>
        <v>6013.5336184364278</v>
      </c>
      <c r="E7" s="4">
        <f>Sect61168[[#This Row],[2023]]-Sect61168[[#This Row],[2021]]</f>
        <v>5868.5336184364278</v>
      </c>
      <c r="F7" s="3">
        <v>36464</v>
      </c>
      <c r="G7" s="3">
        <v>36319</v>
      </c>
      <c r="H7" s="3">
        <v>32925.303925450557</v>
      </c>
      <c r="I7" s="3">
        <v>1567.8716154976453</v>
      </c>
      <c r="J7" s="3">
        <v>0</v>
      </c>
      <c r="K7" s="3">
        <v>0</v>
      </c>
      <c r="L7" s="3">
        <v>0</v>
      </c>
      <c r="M7" s="3">
        <v>0</v>
      </c>
      <c r="N7" s="3">
        <v>7839.3580774882266</v>
      </c>
      <c r="O7" s="3">
        <f t="shared" si="0"/>
        <v>42332.533618436428</v>
      </c>
    </row>
    <row r="8" spans="1:15" x14ac:dyDescent="0.3">
      <c r="A8">
        <v>2115</v>
      </c>
      <c r="B8" t="s">
        <v>108</v>
      </c>
      <c r="C8">
        <v>0</v>
      </c>
      <c r="D8" s="4">
        <f>Sect61168[[#This Row],[2023]]-Sect61168[[#This Row],[2022]]</f>
        <v>-2677</v>
      </c>
      <c r="E8" s="4">
        <f>Sect61168[[#This Row],[2023]]-Sect61168[[#This Row],[2021]]</f>
        <v>-3003</v>
      </c>
      <c r="F8" s="3">
        <v>4558</v>
      </c>
      <c r="G8" s="3">
        <v>4232</v>
      </c>
      <c r="H8" s="3">
        <v>1555</v>
      </c>
      <c r="I8" s="3">
        <v>0</v>
      </c>
      <c r="J8" s="3">
        <v>0</v>
      </c>
      <c r="K8" s="3">
        <v>0</v>
      </c>
      <c r="L8" s="3">
        <v>0</v>
      </c>
      <c r="M8" s="3">
        <v>0</v>
      </c>
      <c r="N8" s="3">
        <v>0</v>
      </c>
      <c r="O8" s="3">
        <f t="shared" si="0"/>
        <v>1555</v>
      </c>
    </row>
    <row r="9" spans="1:15" x14ac:dyDescent="0.3">
      <c r="A9">
        <v>2041</v>
      </c>
      <c r="B9" t="s">
        <v>61</v>
      </c>
      <c r="C9">
        <v>16</v>
      </c>
      <c r="D9" s="4">
        <f>Sect61168[[#This Row],[2023]]-Sect61168[[#This Row],[2022]]</f>
        <v>-19112.86343937472</v>
      </c>
      <c r="E9" s="4">
        <f>Sect61168[[#This Row],[2023]]-Sect61168[[#This Row],[2021]]</f>
        <v>-38047.86343937472</v>
      </c>
      <c r="F9" s="3">
        <v>665061</v>
      </c>
      <c r="G9" s="3">
        <v>646126</v>
      </c>
      <c r="H9" s="3">
        <v>457124.10235285806</v>
      </c>
      <c r="I9" s="3">
        <v>136611.80070315296</v>
      </c>
      <c r="J9" s="3">
        <v>0</v>
      </c>
      <c r="K9" s="3">
        <v>8757.1667117405741</v>
      </c>
      <c r="L9" s="3">
        <v>0</v>
      </c>
      <c r="M9" s="3">
        <v>0</v>
      </c>
      <c r="N9" s="3">
        <v>24520.066792873611</v>
      </c>
      <c r="O9" s="3">
        <f t="shared" si="0"/>
        <v>627013.13656062528</v>
      </c>
    </row>
    <row r="10" spans="1:15" x14ac:dyDescent="0.3">
      <c r="A10">
        <v>2051</v>
      </c>
      <c r="B10" t="s">
        <v>70</v>
      </c>
      <c r="C10">
        <v>0</v>
      </c>
      <c r="D10" s="4">
        <f>Sect61168[[#This Row],[2023]]-Sect61168[[#This Row],[2022]]</f>
        <v>-2032</v>
      </c>
      <c r="E10" s="4">
        <f>Sect61168[[#This Row],[2023]]-Sect61168[[#This Row],[2021]]</f>
        <v>-1235</v>
      </c>
      <c r="F10" s="3">
        <v>1235</v>
      </c>
      <c r="G10" s="3">
        <v>2032</v>
      </c>
      <c r="H10" s="3">
        <v>0</v>
      </c>
      <c r="I10" s="3">
        <v>0</v>
      </c>
      <c r="J10" s="3">
        <v>0</v>
      </c>
      <c r="K10" s="3">
        <v>0</v>
      </c>
      <c r="L10" s="3">
        <v>0</v>
      </c>
      <c r="M10" s="3">
        <v>0</v>
      </c>
      <c r="N10" s="3">
        <v>0</v>
      </c>
      <c r="O10" s="3">
        <f t="shared" si="0"/>
        <v>0</v>
      </c>
    </row>
    <row r="11" spans="1:15" x14ac:dyDescent="0.3">
      <c r="A11">
        <v>1933</v>
      </c>
      <c r="B11" t="s">
        <v>209</v>
      </c>
      <c r="C11">
        <v>4</v>
      </c>
      <c r="D11" s="4">
        <f>Sect61168[[#This Row],[2023]]-Sect61168[[#This Row],[2022]]</f>
        <v>52320.525893597573</v>
      </c>
      <c r="E11" s="4">
        <f>Sect61168[[#This Row],[2023]]-Sect61168[[#This Row],[2021]]</f>
        <v>56759.525893597573</v>
      </c>
      <c r="F11" s="3">
        <v>409519</v>
      </c>
      <c r="G11" s="3">
        <v>413958</v>
      </c>
      <c r="H11" s="3">
        <v>339263.58694050286</v>
      </c>
      <c r="I11" s="3">
        <v>78548.712247308547</v>
      </c>
      <c r="J11" s="3">
        <v>3342.4983935024911</v>
      </c>
      <c r="K11" s="3">
        <v>0</v>
      </c>
      <c r="L11" s="3">
        <v>0</v>
      </c>
      <c r="M11" s="3">
        <v>0</v>
      </c>
      <c r="N11" s="3">
        <v>45123.728312283631</v>
      </c>
      <c r="O11" s="3">
        <f t="shared" si="0"/>
        <v>466278.52589359757</v>
      </c>
    </row>
    <row r="12" spans="1:15" x14ac:dyDescent="0.3">
      <c r="A12">
        <v>2208</v>
      </c>
      <c r="B12" t="s">
        <v>210</v>
      </c>
      <c r="C12">
        <v>-10</v>
      </c>
      <c r="D12" s="4">
        <f>Sect61168[[#This Row],[2023]]-Sect61168[[#This Row],[2022]]</f>
        <v>10641.185534735007</v>
      </c>
      <c r="E12" s="4">
        <f>Sect61168[[#This Row],[2023]]-Sect61168[[#This Row],[2021]]</f>
        <v>17469.185534735007</v>
      </c>
      <c r="F12" s="3">
        <v>117845</v>
      </c>
      <c r="G12" s="3">
        <v>124673</v>
      </c>
      <c r="H12" s="3">
        <v>101903.27552615845</v>
      </c>
      <c r="I12" s="3">
        <v>25058.182506432404</v>
      </c>
      <c r="J12" s="3">
        <v>0</v>
      </c>
      <c r="K12" s="3">
        <v>0</v>
      </c>
      <c r="L12" s="3">
        <v>0</v>
      </c>
      <c r="M12" s="3">
        <v>0</v>
      </c>
      <c r="N12" s="3">
        <v>8352.7275021441346</v>
      </c>
      <c r="O12" s="3">
        <f t="shared" si="0"/>
        <v>135314.18553473501</v>
      </c>
    </row>
    <row r="13" spans="1:15" x14ac:dyDescent="0.3">
      <c r="A13">
        <v>1894</v>
      </c>
      <c r="B13" t="s">
        <v>1</v>
      </c>
      <c r="C13">
        <v>11</v>
      </c>
      <c r="D13" s="4">
        <f>Sect61168[[#This Row],[2023]]-Sect61168[[#This Row],[2022]]</f>
        <v>-36394.361382368952</v>
      </c>
      <c r="E13" s="4">
        <f>Sect61168[[#This Row],[2023]]-Sect61168[[#This Row],[2021]]</f>
        <v>84516.638617631048</v>
      </c>
      <c r="F13" s="3">
        <v>756162</v>
      </c>
      <c r="G13" s="3">
        <v>877073</v>
      </c>
      <c r="H13" s="3">
        <v>687291.65894002817</v>
      </c>
      <c r="I13" s="3">
        <v>120939.7339765715</v>
      </c>
      <c r="J13" s="3">
        <v>0</v>
      </c>
      <c r="K13" s="3">
        <v>0</v>
      </c>
      <c r="L13" s="3">
        <v>0</v>
      </c>
      <c r="M13" s="3">
        <v>0</v>
      </c>
      <c r="N13" s="3">
        <v>32447.245701031377</v>
      </c>
      <c r="O13" s="3">
        <f t="shared" si="0"/>
        <v>840678.63861763105</v>
      </c>
    </row>
    <row r="14" spans="1:15" x14ac:dyDescent="0.3">
      <c r="A14">
        <v>1969</v>
      </c>
      <c r="B14" t="s">
        <v>29</v>
      </c>
      <c r="C14">
        <v>7</v>
      </c>
      <c r="D14" s="4">
        <f>Sect61168[[#This Row],[2023]]-Sect61168[[#This Row],[2022]]</f>
        <v>12722.339106907952</v>
      </c>
      <c r="E14" s="4">
        <f>Sect61168[[#This Row],[2023]]-Sect61168[[#This Row],[2021]]</f>
        <v>18888.339106907952</v>
      </c>
      <c r="F14" s="3">
        <v>166963</v>
      </c>
      <c r="G14" s="3">
        <v>173129</v>
      </c>
      <c r="H14" s="3">
        <v>159832.15163194085</v>
      </c>
      <c r="I14" s="3">
        <v>16726.620519621716</v>
      </c>
      <c r="J14" s="3">
        <v>0</v>
      </c>
      <c r="K14" s="3">
        <v>0</v>
      </c>
      <c r="L14" s="3">
        <v>0</v>
      </c>
      <c r="M14" s="3">
        <v>0</v>
      </c>
      <c r="N14" s="3">
        <v>9292.566955345399</v>
      </c>
      <c r="O14" s="3">
        <f t="shared" si="0"/>
        <v>185851.33910690795</v>
      </c>
    </row>
    <row r="15" spans="1:15" x14ac:dyDescent="0.3">
      <c r="A15">
        <v>2240</v>
      </c>
      <c r="B15" t="s">
        <v>152</v>
      </c>
      <c r="C15">
        <v>16</v>
      </c>
      <c r="D15" s="4">
        <f>Sect61168[[#This Row],[2023]]-Sect61168[[#This Row],[2022]]</f>
        <v>34704.570608922164</v>
      </c>
      <c r="E15" s="4">
        <f>Sect61168[[#This Row],[2023]]-Sect61168[[#This Row],[2021]]</f>
        <v>34169.570608922164</v>
      </c>
      <c r="F15" s="3">
        <v>231662</v>
      </c>
      <c r="G15" s="3">
        <v>231127</v>
      </c>
      <c r="H15" s="3">
        <v>226273.30117307062</v>
      </c>
      <c r="I15" s="3">
        <v>30064.284771247148</v>
      </c>
      <c r="J15" s="3">
        <v>0</v>
      </c>
      <c r="K15" s="3">
        <v>0</v>
      </c>
      <c r="L15" s="3">
        <v>0</v>
      </c>
      <c r="M15" s="3">
        <v>0</v>
      </c>
      <c r="N15" s="3">
        <v>9493.9846646043625</v>
      </c>
      <c r="O15" s="3">
        <f t="shared" si="0"/>
        <v>265831.57060892216</v>
      </c>
    </row>
    <row r="16" spans="1:15" x14ac:dyDescent="0.3">
      <c r="A16">
        <v>2243</v>
      </c>
      <c r="B16" t="s">
        <v>155</v>
      </c>
      <c r="C16">
        <v>-15</v>
      </c>
      <c r="D16" s="4">
        <f>Sect61168[[#This Row],[2023]]-Sect61168[[#This Row],[2022]]</f>
        <v>-751603.68640258815</v>
      </c>
      <c r="E16" s="4">
        <f>Sect61168[[#This Row],[2023]]-Sect61168[[#This Row],[2021]]</f>
        <v>-495642.68640258815</v>
      </c>
      <c r="F16" s="3">
        <v>8519993</v>
      </c>
      <c r="G16" s="3">
        <v>8775954</v>
      </c>
      <c r="H16" s="3">
        <v>5701388.0677938154</v>
      </c>
      <c r="I16" s="3">
        <v>1675862.5532606062</v>
      </c>
      <c r="J16" s="3">
        <v>7853.1516085314252</v>
      </c>
      <c r="K16" s="3">
        <v>29841.976112419419</v>
      </c>
      <c r="L16" s="3">
        <v>0</v>
      </c>
      <c r="M16" s="3">
        <v>0</v>
      </c>
      <c r="N16" s="3">
        <v>609404.56482203864</v>
      </c>
      <c r="O16" s="3">
        <f t="shared" si="0"/>
        <v>8024350.3135974118</v>
      </c>
    </row>
    <row r="17" spans="1:15" x14ac:dyDescent="0.3">
      <c r="A17">
        <v>1976</v>
      </c>
      <c r="B17" t="s">
        <v>211</v>
      </c>
      <c r="C17">
        <v>108</v>
      </c>
      <c r="D17" s="4">
        <f>Sect61168[[#This Row],[2023]]-Sect61168[[#This Row],[2022]]</f>
        <v>-594096.81794492807</v>
      </c>
      <c r="E17" s="4">
        <f>Sect61168[[#This Row],[2023]]-Sect61168[[#This Row],[2021]]</f>
        <v>-468875.81794492807</v>
      </c>
      <c r="F17" s="3">
        <v>3760082</v>
      </c>
      <c r="G17" s="3">
        <v>3885303</v>
      </c>
      <c r="H17" s="3">
        <v>2490863.239520588</v>
      </c>
      <c r="I17" s="3">
        <v>540639.82444676361</v>
      </c>
      <c r="J17" s="3">
        <v>0</v>
      </c>
      <c r="K17" s="3">
        <v>0</v>
      </c>
      <c r="L17" s="3">
        <v>0</v>
      </c>
      <c r="M17" s="3">
        <v>0</v>
      </c>
      <c r="N17" s="3">
        <v>259703.1180877203</v>
      </c>
      <c r="O17" s="3">
        <f t="shared" si="0"/>
        <v>3291206.1820550719</v>
      </c>
    </row>
    <row r="18" spans="1:15" x14ac:dyDescent="0.3">
      <c r="A18">
        <v>2088</v>
      </c>
      <c r="B18" t="s">
        <v>86</v>
      </c>
      <c r="C18">
        <v>-43</v>
      </c>
      <c r="D18" s="4">
        <f>Sect61168[[#This Row],[2023]]-Sect61168[[#This Row],[2022]]</f>
        <v>380197.00726258708</v>
      </c>
      <c r="E18" s="4">
        <f>Sect61168[[#This Row],[2023]]-Sect61168[[#This Row],[2021]]</f>
        <v>472690.00726258708</v>
      </c>
      <c r="F18" s="3">
        <v>1214039</v>
      </c>
      <c r="G18" s="3">
        <v>1306532</v>
      </c>
      <c r="H18" s="3">
        <v>1441500.9316493871</v>
      </c>
      <c r="I18" s="3">
        <v>53447.144684928207</v>
      </c>
      <c r="J18" s="3">
        <v>0</v>
      </c>
      <c r="K18" s="3">
        <v>0</v>
      </c>
      <c r="L18" s="3">
        <v>0</v>
      </c>
      <c r="M18" s="3">
        <v>0</v>
      </c>
      <c r="N18" s="3">
        <v>191780.93092827179</v>
      </c>
      <c r="O18" s="3">
        <f t="shared" si="0"/>
        <v>1686729.0072625871</v>
      </c>
    </row>
    <row r="19" spans="1:15" x14ac:dyDescent="0.3">
      <c r="A19">
        <v>2095</v>
      </c>
      <c r="B19" t="s">
        <v>92</v>
      </c>
      <c r="C19">
        <v>9</v>
      </c>
      <c r="D19" s="4">
        <f>Sect61168[[#This Row],[2023]]-Sect61168[[#This Row],[2022]]</f>
        <v>19317.403223732617</v>
      </c>
      <c r="E19" s="4">
        <f>Sect61168[[#This Row],[2023]]-Sect61168[[#This Row],[2021]]</f>
        <v>21549.403223732617</v>
      </c>
      <c r="F19" s="3">
        <v>55929</v>
      </c>
      <c r="G19" s="3">
        <v>58161</v>
      </c>
      <c r="H19" s="3">
        <v>73956.65762265386</v>
      </c>
      <c r="I19" s="3">
        <v>0</v>
      </c>
      <c r="J19" s="3">
        <v>0</v>
      </c>
      <c r="K19" s="3">
        <v>0</v>
      </c>
      <c r="L19" s="3">
        <v>0</v>
      </c>
      <c r="M19" s="3">
        <v>0</v>
      </c>
      <c r="N19" s="3">
        <v>3521.7456010787555</v>
      </c>
      <c r="O19" s="3">
        <f t="shared" si="0"/>
        <v>77478.403223732617</v>
      </c>
    </row>
    <row r="20" spans="1:15" x14ac:dyDescent="0.3">
      <c r="A20">
        <v>2052</v>
      </c>
      <c r="B20" t="s">
        <v>71</v>
      </c>
      <c r="C20">
        <v>1</v>
      </c>
      <c r="D20" s="4">
        <f>Sect61168[[#This Row],[2023]]-Sect61168[[#This Row],[2022]]</f>
        <v>-1678.7046178618407</v>
      </c>
      <c r="E20" s="4">
        <f>Sect61168[[#This Row],[2023]]-Sect61168[[#This Row],[2021]]</f>
        <v>-1228.7046178618407</v>
      </c>
      <c r="F20" s="3">
        <v>4010</v>
      </c>
      <c r="G20" s="3">
        <v>4460</v>
      </c>
      <c r="H20" s="3">
        <v>2781.2953821381593</v>
      </c>
      <c r="I20" s="3">
        <v>0</v>
      </c>
      <c r="J20" s="3">
        <v>0</v>
      </c>
      <c r="K20" s="3">
        <v>0</v>
      </c>
      <c r="L20" s="3">
        <v>0</v>
      </c>
      <c r="M20" s="3">
        <v>0</v>
      </c>
      <c r="N20" s="3">
        <v>0</v>
      </c>
      <c r="O20" s="3">
        <f t="shared" si="0"/>
        <v>2781.2953821381593</v>
      </c>
    </row>
    <row r="21" spans="1:15" x14ac:dyDescent="0.3">
      <c r="A21">
        <v>1974</v>
      </c>
      <c r="B21" t="s">
        <v>212</v>
      </c>
      <c r="C21">
        <v>-4</v>
      </c>
      <c r="D21" s="4">
        <f>Sect61168[[#This Row],[2023]]-Sect61168[[#This Row],[2022]]</f>
        <v>5124.1920812986791</v>
      </c>
      <c r="E21" s="4">
        <f>Sect61168[[#This Row],[2023]]-Sect61168[[#This Row],[2021]]</f>
        <v>24730.192081298679</v>
      </c>
      <c r="F21" s="3">
        <v>366112</v>
      </c>
      <c r="G21" s="3">
        <v>385718</v>
      </c>
      <c r="H21" s="3">
        <v>308999.16895316349</v>
      </c>
      <c r="I21" s="3">
        <v>48437.707565631034</v>
      </c>
      <c r="J21" s="3">
        <v>1670.2657781252083</v>
      </c>
      <c r="K21" s="3">
        <v>0</v>
      </c>
      <c r="L21" s="3">
        <v>0</v>
      </c>
      <c r="M21" s="3">
        <v>0</v>
      </c>
      <c r="N21" s="3">
        <v>31735.049784378956</v>
      </c>
      <c r="O21" s="3">
        <f t="shared" si="0"/>
        <v>390842.19208129868</v>
      </c>
    </row>
    <row r="22" spans="1:15" x14ac:dyDescent="0.3">
      <c r="A22">
        <v>1896</v>
      </c>
      <c r="B22" t="s">
        <v>3</v>
      </c>
      <c r="C22">
        <v>-1</v>
      </c>
      <c r="D22" s="4">
        <f>Sect61168[[#This Row],[2023]]-Sect61168[[#This Row],[2022]]</f>
        <v>-304.20923572368156</v>
      </c>
      <c r="E22" s="4">
        <f>Sect61168[[#This Row],[2023]]-Sect61168[[#This Row],[2021]]</f>
        <v>-1022.2092357236816</v>
      </c>
      <c r="F22" s="3">
        <v>15630</v>
      </c>
      <c r="G22" s="3">
        <v>14912</v>
      </c>
      <c r="H22" s="3">
        <v>14607.790764276318</v>
      </c>
      <c r="I22" s="3">
        <v>0</v>
      </c>
      <c r="J22" s="3">
        <v>0</v>
      </c>
      <c r="K22" s="3">
        <v>0</v>
      </c>
      <c r="L22" s="3">
        <v>0</v>
      </c>
      <c r="M22" s="3">
        <v>0</v>
      </c>
      <c r="N22" s="3">
        <v>0</v>
      </c>
      <c r="O22" s="3">
        <f t="shared" si="0"/>
        <v>14607.790764276318</v>
      </c>
    </row>
    <row r="23" spans="1:15" x14ac:dyDescent="0.3">
      <c r="A23">
        <v>2046</v>
      </c>
      <c r="B23" t="s">
        <v>66</v>
      </c>
      <c r="C23">
        <v>15</v>
      </c>
      <c r="D23" s="4">
        <f>Sect61168[[#This Row],[2023]]-Sect61168[[#This Row],[2022]]</f>
        <v>28049.195278839965</v>
      </c>
      <c r="E23" s="4">
        <f>Sect61168[[#This Row],[2023]]-Sect61168[[#This Row],[2021]]</f>
        <v>31287.195278839965</v>
      </c>
      <c r="F23" s="3">
        <v>43604</v>
      </c>
      <c r="G23" s="3">
        <v>46842</v>
      </c>
      <c r="H23" s="3">
        <v>65183.077372323678</v>
      </c>
      <c r="I23" s="3">
        <v>8321.2439198711072</v>
      </c>
      <c r="J23" s="3">
        <v>0</v>
      </c>
      <c r="K23" s="3">
        <v>0</v>
      </c>
      <c r="L23" s="3">
        <v>0</v>
      </c>
      <c r="M23" s="3">
        <v>0</v>
      </c>
      <c r="N23" s="3">
        <v>1386.8739866451847</v>
      </c>
      <c r="O23" s="3">
        <f t="shared" si="0"/>
        <v>74891.195278839965</v>
      </c>
    </row>
    <row r="24" spans="1:15" x14ac:dyDescent="0.3">
      <c r="A24">
        <v>1995</v>
      </c>
      <c r="B24" t="s">
        <v>213</v>
      </c>
      <c r="C24">
        <v>-6</v>
      </c>
      <c r="D24" s="4">
        <f>Sect61168[[#This Row],[2023]]-Sect61168[[#This Row],[2022]]</f>
        <v>4932.1811410184018</v>
      </c>
      <c r="E24" s="4">
        <f>Sect61168[[#This Row],[2023]]-Sect61168[[#This Row],[2021]]</f>
        <v>9731.1811410184018</v>
      </c>
      <c r="F24" s="3">
        <v>52690</v>
      </c>
      <c r="G24" s="3">
        <v>57489</v>
      </c>
      <c r="H24" s="3">
        <v>56746.528310016729</v>
      </c>
      <c r="I24" s="3">
        <v>3783.1018873344483</v>
      </c>
      <c r="J24" s="3">
        <v>0</v>
      </c>
      <c r="K24" s="3">
        <v>0</v>
      </c>
      <c r="L24" s="3">
        <v>0</v>
      </c>
      <c r="M24" s="3">
        <v>0</v>
      </c>
      <c r="N24" s="3">
        <v>1891.5509436672241</v>
      </c>
      <c r="O24" s="3">
        <f t="shared" si="0"/>
        <v>62421.181141018402</v>
      </c>
    </row>
    <row r="25" spans="1:15" x14ac:dyDescent="0.3">
      <c r="A25">
        <v>1929</v>
      </c>
      <c r="B25" t="s">
        <v>14</v>
      </c>
      <c r="C25">
        <v>44</v>
      </c>
      <c r="D25" s="4">
        <f>Sect61168[[#This Row],[2023]]-Sect61168[[#This Row],[2022]]</f>
        <v>64958.0226970152</v>
      </c>
      <c r="E25" s="4">
        <f>Sect61168[[#This Row],[2023]]-Sect61168[[#This Row],[2021]]</f>
        <v>89984.0226970152</v>
      </c>
      <c r="F25" s="3">
        <v>1024187</v>
      </c>
      <c r="G25" s="3">
        <v>1049213</v>
      </c>
      <c r="H25" s="3">
        <v>817956.37013708369</v>
      </c>
      <c r="I25" s="3">
        <v>220477.95162131268</v>
      </c>
      <c r="J25" s="3">
        <v>0</v>
      </c>
      <c r="K25" s="3">
        <v>0</v>
      </c>
      <c r="L25" s="3">
        <v>0</v>
      </c>
      <c r="M25" s="3">
        <v>0</v>
      </c>
      <c r="N25" s="3">
        <v>75736.700938618873</v>
      </c>
      <c r="O25" s="3">
        <f t="shared" si="0"/>
        <v>1114171.0226970152</v>
      </c>
    </row>
    <row r="26" spans="1:15" x14ac:dyDescent="0.3">
      <c r="A26">
        <v>2139</v>
      </c>
      <c r="B26" t="s">
        <v>112</v>
      </c>
      <c r="C26">
        <v>39</v>
      </c>
      <c r="D26" s="4">
        <f>Sect61168[[#This Row],[2023]]-Sect61168[[#This Row],[2022]]</f>
        <v>55482.346568853944</v>
      </c>
      <c r="E26" s="4">
        <f>Sect61168[[#This Row],[2023]]-Sect61168[[#This Row],[2021]]</f>
        <v>95453.346568853944</v>
      </c>
      <c r="F26" s="3">
        <v>591595</v>
      </c>
      <c r="G26" s="3">
        <v>631566</v>
      </c>
      <c r="H26" s="3">
        <v>545874.02878073324</v>
      </c>
      <c r="I26" s="3">
        <v>125488.28247832946</v>
      </c>
      <c r="J26" s="3">
        <v>1568.6035309791184</v>
      </c>
      <c r="K26" s="3">
        <v>0</v>
      </c>
      <c r="L26" s="3">
        <v>0</v>
      </c>
      <c r="M26" s="3">
        <v>0</v>
      </c>
      <c r="N26" s="3">
        <v>14117.431778812066</v>
      </c>
      <c r="O26" s="3">
        <f t="shared" si="0"/>
        <v>687048.34656885394</v>
      </c>
    </row>
    <row r="27" spans="1:15" x14ac:dyDescent="0.3">
      <c r="A27">
        <v>2185</v>
      </c>
      <c r="B27" t="s">
        <v>125</v>
      </c>
      <c r="C27">
        <v>36</v>
      </c>
      <c r="D27" s="4">
        <f>Sect61168[[#This Row],[2023]]-Sect61168[[#This Row],[2022]]</f>
        <v>20655.149623099482</v>
      </c>
      <c r="E27" s="4">
        <f>Sect61168[[#This Row],[2023]]-Sect61168[[#This Row],[2021]]</f>
        <v>43954.149623099482</v>
      </c>
      <c r="F27" s="3">
        <v>1415716</v>
      </c>
      <c r="G27" s="3">
        <v>1439015</v>
      </c>
      <c r="H27" s="3">
        <v>1027175.2904755145</v>
      </c>
      <c r="I27" s="3">
        <v>314541.71574369818</v>
      </c>
      <c r="J27" s="3">
        <v>3276.4762056635236</v>
      </c>
      <c r="K27" s="3">
        <v>0</v>
      </c>
      <c r="L27" s="3">
        <v>0</v>
      </c>
      <c r="M27" s="3">
        <v>0</v>
      </c>
      <c r="N27" s="3">
        <v>114676.66719822331</v>
      </c>
      <c r="O27" s="3">
        <f t="shared" si="0"/>
        <v>1459670.1496230995</v>
      </c>
    </row>
    <row r="28" spans="1:15" x14ac:dyDescent="0.3">
      <c r="A28">
        <v>1972</v>
      </c>
      <c r="B28" t="s">
        <v>30</v>
      </c>
      <c r="C28">
        <v>-11</v>
      </c>
      <c r="D28" s="4">
        <f>Sect61168[[#This Row],[2023]]-Sect61168[[#This Row],[2022]]</f>
        <v>-15366.750064407854</v>
      </c>
      <c r="E28" s="4">
        <f>Sect61168[[#This Row],[2023]]-Sect61168[[#This Row],[2021]]</f>
        <v>-6498.7500644078536</v>
      </c>
      <c r="F28" s="3">
        <v>132645</v>
      </c>
      <c r="G28" s="3">
        <v>141513</v>
      </c>
      <c r="H28" s="3">
        <v>111590.91340456228</v>
      </c>
      <c r="I28" s="3">
        <v>4851.7788436766214</v>
      </c>
      <c r="J28" s="3">
        <v>0</v>
      </c>
      <c r="K28" s="3">
        <v>0</v>
      </c>
      <c r="L28" s="3">
        <v>0</v>
      </c>
      <c r="M28" s="3">
        <v>0</v>
      </c>
      <c r="N28" s="3">
        <v>9703.5576873532427</v>
      </c>
      <c r="O28" s="3">
        <f t="shared" si="0"/>
        <v>126146.24993559215</v>
      </c>
    </row>
    <row r="29" spans="1:15" x14ac:dyDescent="0.3">
      <c r="A29">
        <v>2105</v>
      </c>
      <c r="B29" t="s">
        <v>100</v>
      </c>
      <c r="C29">
        <v>5</v>
      </c>
      <c r="D29" s="4">
        <f>Sect61168[[#This Row],[2023]]-Sect61168[[#This Row],[2022]]</f>
        <v>16761.374489046109</v>
      </c>
      <c r="E29" s="4">
        <f>Sect61168[[#This Row],[2023]]-Sect61168[[#This Row],[2021]]</f>
        <v>9801.3744890461094</v>
      </c>
      <c r="F29" s="3">
        <v>152513</v>
      </c>
      <c r="G29" s="3">
        <v>145553</v>
      </c>
      <c r="H29" s="3">
        <v>136853.2961378232</v>
      </c>
      <c r="I29" s="3">
        <v>14321.856572562894</v>
      </c>
      <c r="J29" s="3">
        <v>0</v>
      </c>
      <c r="K29" s="3">
        <v>0</v>
      </c>
      <c r="L29" s="3">
        <v>0</v>
      </c>
      <c r="M29" s="3">
        <v>0</v>
      </c>
      <c r="N29" s="3">
        <v>11139.221778660029</v>
      </c>
      <c r="O29" s="3">
        <f t="shared" si="0"/>
        <v>162314.37448904611</v>
      </c>
    </row>
    <row r="30" spans="1:15" x14ac:dyDescent="0.3">
      <c r="A30">
        <v>2042</v>
      </c>
      <c r="B30" t="s">
        <v>62</v>
      </c>
      <c r="C30">
        <v>48</v>
      </c>
      <c r="D30" s="4">
        <f>Sect61168[[#This Row],[2023]]-Sect61168[[#This Row],[2022]]</f>
        <v>109313.75731015531</v>
      </c>
      <c r="E30" s="4">
        <f>Sect61168[[#This Row],[2023]]-Sect61168[[#This Row],[2021]]</f>
        <v>111911.75731015531</v>
      </c>
      <c r="F30" s="3">
        <v>988997</v>
      </c>
      <c r="G30" s="3">
        <v>991595</v>
      </c>
      <c r="H30" s="3">
        <v>890692.79940793326</v>
      </c>
      <c r="I30" s="3">
        <v>154158.36912829615</v>
      </c>
      <c r="J30" s="3">
        <v>0</v>
      </c>
      <c r="K30" s="3">
        <v>0</v>
      </c>
      <c r="L30" s="3">
        <v>0</v>
      </c>
      <c r="M30" s="3">
        <v>0</v>
      </c>
      <c r="N30" s="3">
        <v>56057.588773925869</v>
      </c>
      <c r="O30" s="3">
        <f t="shared" si="0"/>
        <v>1100908.7573101553</v>
      </c>
    </row>
    <row r="31" spans="1:15" x14ac:dyDescent="0.3">
      <c r="A31">
        <v>2191</v>
      </c>
      <c r="B31" t="s">
        <v>130</v>
      </c>
      <c r="C31">
        <v>20</v>
      </c>
      <c r="D31" s="4">
        <f>Sect61168[[#This Row],[2023]]-Sect61168[[#This Row],[2022]]</f>
        <v>28290.797608991852</v>
      </c>
      <c r="E31" s="4">
        <f>Sect61168[[#This Row],[2023]]-Sect61168[[#This Row],[2021]]</f>
        <v>30834.797608991852</v>
      </c>
      <c r="F31" s="3">
        <v>677337</v>
      </c>
      <c r="G31" s="3">
        <v>679881</v>
      </c>
      <c r="H31" s="3">
        <v>518014.55565842928</v>
      </c>
      <c r="I31" s="3">
        <v>144257.21803146129</v>
      </c>
      <c r="J31" s="3">
        <v>4917.8597056179988</v>
      </c>
      <c r="K31" s="3">
        <v>0</v>
      </c>
      <c r="L31" s="3">
        <v>0</v>
      </c>
      <c r="M31" s="3">
        <v>0</v>
      </c>
      <c r="N31" s="3">
        <v>40982.164213483324</v>
      </c>
      <c r="O31" s="3">
        <f t="shared" si="0"/>
        <v>708171.79760899185</v>
      </c>
    </row>
    <row r="32" spans="1:15" x14ac:dyDescent="0.3">
      <c r="A32">
        <v>1945</v>
      </c>
      <c r="B32" t="s">
        <v>20</v>
      </c>
      <c r="C32">
        <v>14</v>
      </c>
      <c r="D32" s="4">
        <f>Sect61168[[#This Row],[2023]]-Sect61168[[#This Row],[2022]]</f>
        <v>64022.364363214292</v>
      </c>
      <c r="E32" s="4">
        <f>Sect61168[[#This Row],[2023]]-Sect61168[[#This Row],[2021]]</f>
        <v>59856.364363214292</v>
      </c>
      <c r="F32" s="3">
        <v>174864</v>
      </c>
      <c r="G32" s="3">
        <v>170698</v>
      </c>
      <c r="H32" s="3">
        <v>165296.0312417002</v>
      </c>
      <c r="I32" s="3">
        <v>36365.126873174042</v>
      </c>
      <c r="J32" s="3">
        <v>0</v>
      </c>
      <c r="K32" s="3">
        <v>0</v>
      </c>
      <c r="L32" s="3">
        <v>0</v>
      </c>
      <c r="M32" s="3">
        <v>0</v>
      </c>
      <c r="N32" s="3">
        <v>33059.206248340037</v>
      </c>
      <c r="O32" s="3">
        <f t="shared" si="0"/>
        <v>234720.36436321429</v>
      </c>
    </row>
    <row r="33" spans="1:15" x14ac:dyDescent="0.3">
      <c r="A33">
        <v>1927</v>
      </c>
      <c r="B33" t="s">
        <v>12</v>
      </c>
      <c r="C33">
        <v>20</v>
      </c>
      <c r="D33" s="4">
        <f>Sect61168[[#This Row],[2023]]-Sect61168[[#This Row],[2022]]</f>
        <v>44353.794143913256</v>
      </c>
      <c r="E33" s="4">
        <f>Sect61168[[#This Row],[2023]]-Sect61168[[#This Row],[2021]]</f>
        <v>38651.794143913256</v>
      </c>
      <c r="F33" s="3">
        <v>149752</v>
      </c>
      <c r="G33" s="3">
        <v>144050</v>
      </c>
      <c r="H33" s="3">
        <v>148031.55254164612</v>
      </c>
      <c r="I33" s="3">
        <v>19224.876953460534</v>
      </c>
      <c r="J33" s="3">
        <v>0</v>
      </c>
      <c r="K33" s="3">
        <v>0</v>
      </c>
      <c r="L33" s="3">
        <v>0</v>
      </c>
      <c r="M33" s="3">
        <v>0</v>
      </c>
      <c r="N33" s="3">
        <v>21147.364648806586</v>
      </c>
      <c r="O33" s="3">
        <f t="shared" si="0"/>
        <v>188403.79414391326</v>
      </c>
    </row>
    <row r="34" spans="1:15" x14ac:dyDescent="0.3">
      <c r="A34">
        <v>2006</v>
      </c>
      <c r="B34" t="s">
        <v>45</v>
      </c>
      <c r="C34">
        <v>3</v>
      </c>
      <c r="D34" s="4">
        <f>Sect61168[[#This Row],[2023]]-Sect61168[[#This Row],[2022]]</f>
        <v>-4987.9788467720209</v>
      </c>
      <c r="E34" s="4">
        <f>Sect61168[[#This Row],[2023]]-Sect61168[[#This Row],[2021]]</f>
        <v>-1913.9788467720209</v>
      </c>
      <c r="F34" s="3">
        <v>30967</v>
      </c>
      <c r="G34" s="3">
        <v>34041</v>
      </c>
      <c r="H34" s="3">
        <v>24902.589559909698</v>
      </c>
      <c r="I34" s="3">
        <v>0</v>
      </c>
      <c r="J34" s="3">
        <v>0</v>
      </c>
      <c r="K34" s="3">
        <v>0</v>
      </c>
      <c r="L34" s="3">
        <v>0</v>
      </c>
      <c r="M34" s="3">
        <v>0</v>
      </c>
      <c r="N34" s="3">
        <v>4150.4315933182825</v>
      </c>
      <c r="O34" s="3">
        <f t="shared" si="0"/>
        <v>29053.021153227979</v>
      </c>
    </row>
    <row r="35" spans="1:15" x14ac:dyDescent="0.3">
      <c r="A35">
        <v>1965</v>
      </c>
      <c r="B35" t="s">
        <v>25</v>
      </c>
      <c r="C35">
        <v>18</v>
      </c>
      <c r="D35" s="4">
        <f>Sect61168[[#This Row],[2023]]-Sect61168[[#This Row],[2022]]</f>
        <v>92773.033674469916</v>
      </c>
      <c r="E35" s="4">
        <f>Sect61168[[#This Row],[2023]]-Sect61168[[#This Row],[2021]]</f>
        <v>106042.03367446992</v>
      </c>
      <c r="F35" s="3">
        <v>909095</v>
      </c>
      <c r="G35" s="3">
        <v>922364</v>
      </c>
      <c r="H35" s="3">
        <v>813241.75002545817</v>
      </c>
      <c r="I35" s="3">
        <v>94343.59049019235</v>
      </c>
      <c r="J35" s="3">
        <v>0</v>
      </c>
      <c r="K35" s="3">
        <v>0</v>
      </c>
      <c r="L35" s="3">
        <v>0</v>
      </c>
      <c r="M35" s="3">
        <v>0</v>
      </c>
      <c r="N35" s="3">
        <v>107551.69315881928</v>
      </c>
      <c r="O35" s="3">
        <f t="shared" si="0"/>
        <v>1015137.0336744699</v>
      </c>
    </row>
    <row r="36" spans="1:15" x14ac:dyDescent="0.3">
      <c r="A36">
        <v>1964</v>
      </c>
      <c r="B36" t="s">
        <v>24</v>
      </c>
      <c r="C36">
        <v>-1</v>
      </c>
      <c r="D36" s="4">
        <f>Sect61168[[#This Row],[2023]]-Sect61168[[#This Row],[2022]]</f>
        <v>4693.7108883072506</v>
      </c>
      <c r="E36" s="4">
        <f>Sect61168[[#This Row],[2023]]-Sect61168[[#This Row],[2021]]</f>
        <v>36436.710888307251</v>
      </c>
      <c r="F36" s="3">
        <v>268104</v>
      </c>
      <c r="G36" s="3">
        <v>299847</v>
      </c>
      <c r="H36" s="3">
        <v>254323.89153970339</v>
      </c>
      <c r="I36" s="3">
        <v>37257.640161867377</v>
      </c>
      <c r="J36" s="3">
        <v>0</v>
      </c>
      <c r="K36" s="3">
        <v>0</v>
      </c>
      <c r="L36" s="3">
        <v>0</v>
      </c>
      <c r="M36" s="3">
        <v>0</v>
      </c>
      <c r="N36" s="3">
        <v>12959.179186736479</v>
      </c>
      <c r="O36" s="3">
        <f t="shared" si="0"/>
        <v>304540.71088830725</v>
      </c>
    </row>
    <row r="37" spans="1:15" x14ac:dyDescent="0.3">
      <c r="A37">
        <v>2186</v>
      </c>
      <c r="B37" t="s">
        <v>126</v>
      </c>
      <c r="C37">
        <v>8</v>
      </c>
      <c r="D37" s="4">
        <f>Sect61168[[#This Row],[2023]]-Sect61168[[#This Row],[2022]]</f>
        <v>43508.536170448584</v>
      </c>
      <c r="E37" s="4">
        <f>Sect61168[[#This Row],[2023]]-Sect61168[[#This Row],[2021]]</f>
        <v>43389.536170448584</v>
      </c>
      <c r="F37" s="3">
        <v>198246</v>
      </c>
      <c r="G37" s="3">
        <v>198127</v>
      </c>
      <c r="H37" s="3">
        <v>197433.91370024456</v>
      </c>
      <c r="I37" s="3">
        <v>38308.072807510143</v>
      </c>
      <c r="J37" s="3">
        <v>0</v>
      </c>
      <c r="K37" s="3">
        <v>0</v>
      </c>
      <c r="L37" s="3">
        <v>0</v>
      </c>
      <c r="M37" s="3">
        <v>0</v>
      </c>
      <c r="N37" s="3">
        <v>5893.5496626938684</v>
      </c>
      <c r="O37" s="3">
        <f t="shared" si="0"/>
        <v>241635.53617044858</v>
      </c>
    </row>
    <row r="38" spans="1:15" x14ac:dyDescent="0.3">
      <c r="A38">
        <v>1901</v>
      </c>
      <c r="B38" t="s">
        <v>7</v>
      </c>
      <c r="C38">
        <v>77</v>
      </c>
      <c r="D38" s="4">
        <f>Sect61168[[#This Row],[2023]]-Sect61168[[#This Row],[2022]]</f>
        <v>-139647.90659207664</v>
      </c>
      <c r="E38" s="4">
        <f>Sect61168[[#This Row],[2023]]-Sect61168[[#This Row],[2021]]</f>
        <v>-63270.906592076644</v>
      </c>
      <c r="F38" s="3">
        <v>1597731</v>
      </c>
      <c r="G38" s="3">
        <v>1674108</v>
      </c>
      <c r="H38" s="3">
        <v>1101076.4160504616</v>
      </c>
      <c r="I38" s="3">
        <v>301254.50743140629</v>
      </c>
      <c r="J38" s="3">
        <v>1761.7222656807385</v>
      </c>
      <c r="K38" s="3">
        <v>36996.167579295507</v>
      </c>
      <c r="L38" s="3">
        <v>0</v>
      </c>
      <c r="M38" s="3">
        <v>0</v>
      </c>
      <c r="N38" s="3">
        <v>93371.280081079138</v>
      </c>
      <c r="O38" s="3">
        <f t="shared" si="0"/>
        <v>1534460.0934079234</v>
      </c>
    </row>
    <row r="39" spans="1:15" x14ac:dyDescent="0.3">
      <c r="A39">
        <v>2216</v>
      </c>
      <c r="B39" t="s">
        <v>144</v>
      </c>
      <c r="C39">
        <v>0</v>
      </c>
      <c r="D39" s="4">
        <f>Sect61168[[#This Row],[2023]]-Sect61168[[#This Row],[2022]]</f>
        <v>-1383.4661010999844</v>
      </c>
      <c r="E39" s="4">
        <f>Sect61168[[#This Row],[2023]]-Sect61168[[#This Row],[2021]]</f>
        <v>3504.5338989000156</v>
      </c>
      <c r="F39" s="3">
        <v>61681</v>
      </c>
      <c r="G39" s="3">
        <v>66569</v>
      </c>
      <c r="H39" s="3">
        <v>58499.838114397447</v>
      </c>
      <c r="I39" s="3">
        <v>5014.2718383769243</v>
      </c>
      <c r="J39" s="3">
        <v>0</v>
      </c>
      <c r="K39" s="3">
        <v>0</v>
      </c>
      <c r="L39" s="3">
        <v>0</v>
      </c>
      <c r="M39" s="3">
        <v>0</v>
      </c>
      <c r="N39" s="3">
        <v>1671.4239461256411</v>
      </c>
      <c r="O39" s="3">
        <f t="shared" si="0"/>
        <v>65185.533898900016</v>
      </c>
    </row>
    <row r="40" spans="1:15" x14ac:dyDescent="0.3">
      <c r="A40">
        <v>2086</v>
      </c>
      <c r="B40" t="s">
        <v>85</v>
      </c>
      <c r="C40">
        <v>37</v>
      </c>
      <c r="D40" s="4">
        <f>Sect61168[[#This Row],[2023]]-Sect61168[[#This Row],[2022]]</f>
        <v>67972.18673809059</v>
      </c>
      <c r="E40" s="4">
        <f>Sect61168[[#This Row],[2023]]-Sect61168[[#This Row],[2021]]</f>
        <v>78833.18673809059</v>
      </c>
      <c r="F40" s="3">
        <v>315001</v>
      </c>
      <c r="G40" s="3">
        <v>325862</v>
      </c>
      <c r="H40" s="3">
        <v>328481.7889387568</v>
      </c>
      <c r="I40" s="3">
        <v>24077.199189228249</v>
      </c>
      <c r="J40" s="3">
        <v>0</v>
      </c>
      <c r="K40" s="3">
        <v>0</v>
      </c>
      <c r="L40" s="3">
        <v>0</v>
      </c>
      <c r="M40" s="3">
        <v>0</v>
      </c>
      <c r="N40" s="3">
        <v>41275.198610105566</v>
      </c>
      <c r="O40" s="3">
        <f t="shared" si="0"/>
        <v>393834.18673809059</v>
      </c>
    </row>
    <row r="41" spans="1:15" x14ac:dyDescent="0.3">
      <c r="A41">
        <v>1970</v>
      </c>
      <c r="B41" t="s">
        <v>214</v>
      </c>
      <c r="C41">
        <v>9</v>
      </c>
      <c r="D41" s="4">
        <f>Sect61168[[#This Row],[2023]]-Sect61168[[#This Row],[2022]]</f>
        <v>87056.056293088594</v>
      </c>
      <c r="E41" s="4">
        <f>Sect61168[[#This Row],[2023]]-Sect61168[[#This Row],[2021]]</f>
        <v>121458.05629308859</v>
      </c>
      <c r="F41" s="3">
        <v>701791</v>
      </c>
      <c r="G41" s="3">
        <v>736193</v>
      </c>
      <c r="H41" s="3">
        <v>739109.37318497733</v>
      </c>
      <c r="I41" s="3">
        <v>8248.9885400109069</v>
      </c>
      <c r="J41" s="3">
        <v>0</v>
      </c>
      <c r="K41" s="3">
        <v>0</v>
      </c>
      <c r="L41" s="3">
        <v>0</v>
      </c>
      <c r="M41" s="3">
        <v>0</v>
      </c>
      <c r="N41" s="3">
        <v>75890.694568100342</v>
      </c>
      <c r="O41" s="3">
        <f t="shared" si="0"/>
        <v>823249.05629308859</v>
      </c>
    </row>
    <row r="42" spans="1:15" x14ac:dyDescent="0.3">
      <c r="A42">
        <v>2089</v>
      </c>
      <c r="B42" t="s">
        <v>215</v>
      </c>
      <c r="C42">
        <v>4</v>
      </c>
      <c r="D42" s="4">
        <f>Sect61168[[#This Row],[2023]]-Sect61168[[#This Row],[2022]]</f>
        <v>12402.933024901329</v>
      </c>
      <c r="E42" s="4">
        <f>Sect61168[[#This Row],[2023]]-Sect61168[[#This Row],[2021]]</f>
        <v>15198.933024901329</v>
      </c>
      <c r="F42" s="3">
        <v>73132</v>
      </c>
      <c r="G42" s="3">
        <v>75928</v>
      </c>
      <c r="H42" s="3">
        <v>77815.345760032127</v>
      </c>
      <c r="I42" s="3">
        <v>0</v>
      </c>
      <c r="J42" s="3">
        <v>0</v>
      </c>
      <c r="K42" s="3">
        <v>0</v>
      </c>
      <c r="L42" s="3">
        <v>0</v>
      </c>
      <c r="M42" s="3">
        <v>0</v>
      </c>
      <c r="N42" s="3">
        <v>10515.587264869208</v>
      </c>
      <c r="O42" s="3">
        <f t="shared" si="0"/>
        <v>88330.933024901329</v>
      </c>
    </row>
    <row r="43" spans="1:15" x14ac:dyDescent="0.3">
      <c r="A43">
        <v>2050</v>
      </c>
      <c r="B43" t="s">
        <v>69</v>
      </c>
      <c r="C43">
        <v>-20</v>
      </c>
      <c r="D43" s="4">
        <f>Sect61168[[#This Row],[2023]]-Sect61168[[#This Row],[2022]]</f>
        <v>11042.105287269806</v>
      </c>
      <c r="E43" s="4">
        <f>Sect61168[[#This Row],[2023]]-Sect61168[[#This Row],[2021]]</f>
        <v>12156.105287269806</v>
      </c>
      <c r="F43" s="3">
        <v>144759</v>
      </c>
      <c r="G43" s="3">
        <v>145873</v>
      </c>
      <c r="H43" s="3">
        <v>137701.01076229798</v>
      </c>
      <c r="I43" s="3">
        <v>14410.570893728862</v>
      </c>
      <c r="J43" s="3">
        <v>0</v>
      </c>
      <c r="K43" s="3">
        <v>0</v>
      </c>
      <c r="L43" s="3">
        <v>0</v>
      </c>
      <c r="M43" s="3">
        <v>0</v>
      </c>
      <c r="N43" s="3">
        <v>4803.5236312429533</v>
      </c>
      <c r="O43" s="3">
        <f t="shared" si="0"/>
        <v>156915.10528726981</v>
      </c>
    </row>
    <row r="44" spans="1:15" x14ac:dyDescent="0.3">
      <c r="A44">
        <v>2190</v>
      </c>
      <c r="B44" t="s">
        <v>129</v>
      </c>
      <c r="C44">
        <v>20</v>
      </c>
      <c r="D44" s="4">
        <f>Sect61168[[#This Row],[2023]]-Sect61168[[#This Row],[2022]]</f>
        <v>134999.75179774873</v>
      </c>
      <c r="E44" s="4">
        <f>Sect61168[[#This Row],[2023]]-Sect61168[[#This Row],[2021]]</f>
        <v>178243.75179774873</v>
      </c>
      <c r="F44" s="3">
        <v>736434</v>
      </c>
      <c r="G44" s="3">
        <v>779678</v>
      </c>
      <c r="H44" s="3">
        <v>697132.77299179765</v>
      </c>
      <c r="I44" s="3">
        <v>163158.73410446328</v>
      </c>
      <c r="J44" s="3">
        <v>1648.0680212572047</v>
      </c>
      <c r="K44" s="3">
        <v>16480.680212572046</v>
      </c>
      <c r="L44" s="3">
        <v>0</v>
      </c>
      <c r="M44" s="3">
        <v>0</v>
      </c>
      <c r="N44" s="3">
        <v>36257.4964676585</v>
      </c>
      <c r="O44" s="3">
        <f t="shared" si="0"/>
        <v>914677.75179774873</v>
      </c>
    </row>
    <row r="45" spans="1:15" x14ac:dyDescent="0.3">
      <c r="A45">
        <v>2187</v>
      </c>
      <c r="B45" t="s">
        <v>127</v>
      </c>
      <c r="C45">
        <v>86</v>
      </c>
      <c r="D45" s="4">
        <f>Sect61168[[#This Row],[2023]]-Sect61168[[#This Row],[2022]]</f>
        <v>-119367.99478602433</v>
      </c>
      <c r="E45" s="4">
        <f>Sect61168[[#This Row],[2023]]-Sect61168[[#This Row],[2021]]</f>
        <v>-55008.994786024326</v>
      </c>
      <c r="F45" s="3">
        <v>2134429</v>
      </c>
      <c r="G45" s="3">
        <v>2198788</v>
      </c>
      <c r="H45" s="3">
        <v>1402509.1122780063</v>
      </c>
      <c r="I45" s="3">
        <v>453891.5268178542</v>
      </c>
      <c r="J45" s="3">
        <v>3141.1178326495101</v>
      </c>
      <c r="K45" s="3">
        <v>6282.2356652990202</v>
      </c>
      <c r="L45" s="3">
        <v>0</v>
      </c>
      <c r="M45" s="3">
        <v>0</v>
      </c>
      <c r="N45" s="3">
        <v>213596.0126201667</v>
      </c>
      <c r="O45" s="3">
        <f t="shared" si="0"/>
        <v>2079420.0052139757</v>
      </c>
    </row>
    <row r="46" spans="1:15" x14ac:dyDescent="0.3">
      <c r="A46">
        <v>2253</v>
      </c>
      <c r="B46" t="s">
        <v>162</v>
      </c>
      <c r="C46">
        <v>10</v>
      </c>
      <c r="D46" s="4">
        <f>Sect61168[[#This Row],[2023]]-Sect61168[[#This Row],[2022]]</f>
        <v>2269.3084765015228</v>
      </c>
      <c r="E46" s="4">
        <f>Sect61168[[#This Row],[2023]]-Sect61168[[#This Row],[2021]]</f>
        <v>7788.3084765015228</v>
      </c>
      <c r="F46" s="3">
        <v>208737</v>
      </c>
      <c r="G46" s="3">
        <v>214256</v>
      </c>
      <c r="H46" s="3">
        <v>171788.67449375326</v>
      </c>
      <c r="I46" s="3">
        <v>39368.237904818459</v>
      </c>
      <c r="J46" s="3">
        <v>0</v>
      </c>
      <c r="K46" s="3">
        <v>0</v>
      </c>
      <c r="L46" s="3">
        <v>0</v>
      </c>
      <c r="M46" s="3">
        <v>0</v>
      </c>
      <c r="N46" s="3">
        <v>5368.3960779297895</v>
      </c>
      <c r="O46" s="3">
        <f t="shared" si="0"/>
        <v>216525.30847650152</v>
      </c>
    </row>
    <row r="47" spans="1:15" x14ac:dyDescent="0.3">
      <c r="A47">
        <v>2011</v>
      </c>
      <c r="B47" t="s">
        <v>49</v>
      </c>
      <c r="C47">
        <v>3</v>
      </c>
      <c r="D47" s="4">
        <f>Sect61168[[#This Row],[2023]]-Sect61168[[#This Row],[2022]]</f>
        <v>2595.4996017598769</v>
      </c>
      <c r="E47" s="4">
        <f>Sect61168[[#This Row],[2023]]-Sect61168[[#This Row],[2021]]</f>
        <v>4703.4996017598769</v>
      </c>
      <c r="F47" s="3">
        <v>11495</v>
      </c>
      <c r="G47" s="3">
        <v>13603</v>
      </c>
      <c r="H47" s="3">
        <v>10308.136110210831</v>
      </c>
      <c r="I47" s="3">
        <v>4417.7726186617838</v>
      </c>
      <c r="J47" s="3">
        <v>0</v>
      </c>
      <c r="K47" s="3">
        <v>0</v>
      </c>
      <c r="L47" s="3">
        <v>0</v>
      </c>
      <c r="M47" s="3">
        <v>0</v>
      </c>
      <c r="N47" s="3">
        <v>1472.5908728872616</v>
      </c>
      <c r="O47" s="3">
        <f t="shared" si="0"/>
        <v>16198.499601759877</v>
      </c>
    </row>
    <row r="48" spans="1:15" x14ac:dyDescent="0.3">
      <c r="A48">
        <v>2017</v>
      </c>
      <c r="B48" t="s">
        <v>54</v>
      </c>
      <c r="C48">
        <v>-1</v>
      </c>
      <c r="D48" s="4">
        <f>Sect61168[[#This Row],[2023]]-Sect61168[[#This Row],[2022]]</f>
        <v>591.9426910690795</v>
      </c>
      <c r="E48" s="4">
        <f>Sect61168[[#This Row],[2023]]-Sect61168[[#This Row],[2021]]</f>
        <v>605.9426910690795</v>
      </c>
      <c r="F48" s="3">
        <v>1927</v>
      </c>
      <c r="G48" s="3">
        <v>1941</v>
      </c>
      <c r="H48" s="3">
        <v>2532.9426910690795</v>
      </c>
      <c r="I48" s="3">
        <v>0</v>
      </c>
      <c r="J48" s="3">
        <v>0</v>
      </c>
      <c r="K48" s="3">
        <v>0</v>
      </c>
      <c r="L48" s="3">
        <v>0</v>
      </c>
      <c r="M48" s="3">
        <v>0</v>
      </c>
      <c r="N48" s="3">
        <v>0</v>
      </c>
      <c r="O48" s="3">
        <f t="shared" si="0"/>
        <v>2532.9426910690795</v>
      </c>
    </row>
    <row r="49" spans="1:15" x14ac:dyDescent="0.3">
      <c r="A49">
        <v>2021</v>
      </c>
      <c r="B49" t="s">
        <v>58</v>
      </c>
      <c r="C49">
        <v>-1</v>
      </c>
      <c r="D49" s="4">
        <f>Sect61168[[#This Row],[2023]]-Sect61168[[#This Row],[2022]]</f>
        <v>-711.67</v>
      </c>
      <c r="E49" s="4">
        <f>Sect61168[[#This Row],[2023]]-Sect61168[[#This Row],[2021]]</f>
        <v>-1034.67</v>
      </c>
      <c r="F49" s="3">
        <v>1553</v>
      </c>
      <c r="G49" s="3">
        <v>1230</v>
      </c>
      <c r="H49" s="3">
        <v>518.33000000000004</v>
      </c>
      <c r="I49" s="3">
        <v>0</v>
      </c>
      <c r="J49" s="3">
        <v>0</v>
      </c>
      <c r="K49" s="3">
        <v>0</v>
      </c>
      <c r="L49" s="3">
        <v>0</v>
      </c>
      <c r="M49" s="3">
        <v>0</v>
      </c>
      <c r="N49" s="3">
        <v>0</v>
      </c>
      <c r="O49" s="3">
        <f t="shared" si="0"/>
        <v>518.33000000000004</v>
      </c>
    </row>
    <row r="50" spans="1:15" x14ac:dyDescent="0.3">
      <c r="A50">
        <v>1993</v>
      </c>
      <c r="B50" t="s">
        <v>216</v>
      </c>
      <c r="C50">
        <v>5</v>
      </c>
      <c r="D50" s="4">
        <f>Sect61168[[#This Row],[2023]]-Sect61168[[#This Row],[2022]]</f>
        <v>8534.9548616198881</v>
      </c>
      <c r="E50" s="4">
        <f>Sect61168[[#This Row],[2023]]-Sect61168[[#This Row],[2021]]</f>
        <v>9908.9548616198881</v>
      </c>
      <c r="F50" s="3">
        <v>64411</v>
      </c>
      <c r="G50" s="3">
        <v>65785</v>
      </c>
      <c r="H50" s="3">
        <v>71016.845756659008</v>
      </c>
      <c r="I50" s="3">
        <v>3303.109104960884</v>
      </c>
      <c r="J50" s="3">
        <v>0</v>
      </c>
      <c r="K50" s="3">
        <v>0</v>
      </c>
      <c r="L50" s="3">
        <v>0</v>
      </c>
      <c r="M50" s="3">
        <v>0</v>
      </c>
      <c r="N50" s="3">
        <v>0</v>
      </c>
      <c r="O50" s="3">
        <f t="shared" si="0"/>
        <v>74319.954861619888</v>
      </c>
    </row>
    <row r="51" spans="1:15" x14ac:dyDescent="0.3">
      <c r="A51">
        <v>1991</v>
      </c>
      <c r="B51" t="s">
        <v>217</v>
      </c>
      <c r="C51">
        <v>84</v>
      </c>
      <c r="D51" s="4">
        <f>Sect61168[[#This Row],[2023]]-Sect61168[[#This Row],[2022]]</f>
        <v>96915.651877295924</v>
      </c>
      <c r="E51" s="4">
        <f>Sect61168[[#This Row],[2023]]-Sect61168[[#This Row],[2021]]</f>
        <v>144211.65187729592</v>
      </c>
      <c r="F51" s="3">
        <v>1363422</v>
      </c>
      <c r="G51" s="3">
        <v>1410718</v>
      </c>
      <c r="H51" s="3">
        <v>1083718.5207371945</v>
      </c>
      <c r="I51" s="3">
        <v>232469.58804457169</v>
      </c>
      <c r="J51" s="3">
        <v>1709.3352062100862</v>
      </c>
      <c r="K51" s="3">
        <v>0</v>
      </c>
      <c r="L51" s="3">
        <v>0</v>
      </c>
      <c r="M51" s="3">
        <v>0</v>
      </c>
      <c r="N51" s="3">
        <v>189736.20788931957</v>
      </c>
      <c r="O51" s="3">
        <f t="shared" si="0"/>
        <v>1507633.6518772959</v>
      </c>
    </row>
    <row r="52" spans="1:15" x14ac:dyDescent="0.3">
      <c r="A52">
        <v>2019</v>
      </c>
      <c r="B52" t="s">
        <v>56</v>
      </c>
      <c r="C52">
        <v>-2</v>
      </c>
      <c r="D52" s="4">
        <f>Sect61168[[#This Row],[2023]]-Sect61168[[#This Row],[2022]]</f>
        <v>-1356.8866666666665</v>
      </c>
      <c r="E52" s="4">
        <f>Sect61168[[#This Row],[2023]]-Sect61168[[#This Row],[2021]]</f>
        <v>-753.88666666666654</v>
      </c>
      <c r="F52" s="3">
        <v>1445</v>
      </c>
      <c r="G52" s="3">
        <v>2048</v>
      </c>
      <c r="H52" s="3">
        <v>691.11333333333346</v>
      </c>
      <c r="I52" s="3">
        <v>0</v>
      </c>
      <c r="J52" s="3">
        <v>0</v>
      </c>
      <c r="K52" s="3">
        <v>0</v>
      </c>
      <c r="L52" s="3">
        <v>0</v>
      </c>
      <c r="M52" s="3">
        <v>0</v>
      </c>
      <c r="N52" s="3">
        <v>0</v>
      </c>
      <c r="O52" s="3">
        <f t="shared" si="0"/>
        <v>691.11333333333346</v>
      </c>
    </row>
    <row r="53" spans="1:15" x14ac:dyDescent="0.3">
      <c r="A53">
        <v>2229</v>
      </c>
      <c r="B53" t="s">
        <v>150</v>
      </c>
      <c r="C53">
        <v>-2</v>
      </c>
      <c r="D53" s="4">
        <f>Sect61168[[#This Row],[2023]]-Sect61168[[#This Row],[2022]]</f>
        <v>20259.506846282922</v>
      </c>
      <c r="E53" s="4">
        <f>Sect61168[[#This Row],[2023]]-Sect61168[[#This Row],[2021]]</f>
        <v>24051.506846282922</v>
      </c>
      <c r="F53" s="3">
        <v>62160</v>
      </c>
      <c r="G53" s="3">
        <v>65952</v>
      </c>
      <c r="H53" s="3">
        <v>77868.457796642644</v>
      </c>
      <c r="I53" s="3">
        <v>6952.5408747002366</v>
      </c>
      <c r="J53" s="3">
        <v>0</v>
      </c>
      <c r="K53" s="3">
        <v>0</v>
      </c>
      <c r="L53" s="3">
        <v>0</v>
      </c>
      <c r="M53" s="3">
        <v>0</v>
      </c>
      <c r="N53" s="3">
        <v>1390.5081749400474</v>
      </c>
      <c r="O53" s="3">
        <f t="shared" si="0"/>
        <v>86211.506846282922</v>
      </c>
    </row>
    <row r="54" spans="1:15" x14ac:dyDescent="0.3">
      <c r="A54">
        <v>2043</v>
      </c>
      <c r="B54" t="s">
        <v>63</v>
      </c>
      <c r="C54">
        <v>8</v>
      </c>
      <c r="D54" s="4">
        <f>Sect61168[[#This Row],[2023]]-Sect61168[[#This Row],[2022]]</f>
        <v>139962.9184762619</v>
      </c>
      <c r="E54" s="4">
        <f>Sect61168[[#This Row],[2023]]-Sect61168[[#This Row],[2021]]</f>
        <v>165518.9184762619</v>
      </c>
      <c r="F54" s="3">
        <v>941610</v>
      </c>
      <c r="G54" s="3">
        <v>967166</v>
      </c>
      <c r="H54" s="3">
        <v>828689.31023672293</v>
      </c>
      <c r="I54" s="3">
        <v>178996.89101113213</v>
      </c>
      <c r="J54" s="3">
        <v>0</v>
      </c>
      <c r="K54" s="3">
        <v>0</v>
      </c>
      <c r="L54" s="3">
        <v>0</v>
      </c>
      <c r="M54" s="3">
        <v>0</v>
      </c>
      <c r="N54" s="3">
        <v>99442.717228406749</v>
      </c>
      <c r="O54" s="3">
        <f t="shared" si="0"/>
        <v>1107128.9184762619</v>
      </c>
    </row>
    <row r="55" spans="1:15" x14ac:dyDescent="0.3">
      <c r="A55">
        <v>2203</v>
      </c>
      <c r="B55" t="s">
        <v>138</v>
      </c>
      <c r="C55">
        <v>-1</v>
      </c>
      <c r="D55" s="4">
        <f>Sect61168[[#This Row],[2023]]-Sect61168[[#This Row],[2022]]</f>
        <v>7123.7203338322652</v>
      </c>
      <c r="E55" s="4">
        <f>Sect61168[[#This Row],[2023]]-Sect61168[[#This Row],[2021]]</f>
        <v>10987.720333832265</v>
      </c>
      <c r="F55" s="3">
        <v>50755</v>
      </c>
      <c r="G55" s="3">
        <v>54619</v>
      </c>
      <c r="H55" s="3">
        <v>54213.120293121014</v>
      </c>
      <c r="I55" s="3">
        <v>6023.6800325690019</v>
      </c>
      <c r="J55" s="3">
        <v>0</v>
      </c>
      <c r="K55" s="3">
        <v>0</v>
      </c>
      <c r="L55" s="3">
        <v>0</v>
      </c>
      <c r="M55" s="3">
        <v>0</v>
      </c>
      <c r="N55" s="3">
        <v>1505.9200081422505</v>
      </c>
      <c r="O55" s="3">
        <f t="shared" si="0"/>
        <v>61742.720333832265</v>
      </c>
    </row>
    <row r="56" spans="1:15" x14ac:dyDescent="0.3">
      <c r="A56">
        <v>2217</v>
      </c>
      <c r="B56" t="s">
        <v>145</v>
      </c>
      <c r="C56">
        <v>1</v>
      </c>
      <c r="D56" s="4">
        <f>Sect61168[[#This Row],[2023]]-Sect61168[[#This Row],[2022]]</f>
        <v>12247.621845853384</v>
      </c>
      <c r="E56" s="4">
        <f>Sect61168[[#This Row],[2023]]-Sect61168[[#This Row],[2021]]</f>
        <v>16977.621845853384</v>
      </c>
      <c r="F56" s="3">
        <v>96239</v>
      </c>
      <c r="G56" s="3">
        <v>100969</v>
      </c>
      <c r="H56" s="3">
        <v>94347.184871544479</v>
      </c>
      <c r="I56" s="3">
        <v>8577.0168065040434</v>
      </c>
      <c r="J56" s="3">
        <v>0</v>
      </c>
      <c r="K56" s="3">
        <v>0</v>
      </c>
      <c r="L56" s="3">
        <v>0</v>
      </c>
      <c r="M56" s="3">
        <v>0</v>
      </c>
      <c r="N56" s="3">
        <v>10292.420167804852</v>
      </c>
      <c r="O56" s="3">
        <f t="shared" si="0"/>
        <v>113216.62184585338</v>
      </c>
    </row>
    <row r="57" spans="1:15" x14ac:dyDescent="0.3">
      <c r="A57">
        <v>1998</v>
      </c>
      <c r="B57" t="s">
        <v>38</v>
      </c>
      <c r="C57">
        <v>-3</v>
      </c>
      <c r="D57" s="4">
        <f>Sect61168[[#This Row],[2023]]-Sect61168[[#This Row],[2022]]</f>
        <v>-6405.6986555075855</v>
      </c>
      <c r="E57" s="4">
        <f>Sect61168[[#This Row],[2023]]-Sect61168[[#This Row],[2021]]</f>
        <v>-4353.6986555075855</v>
      </c>
      <c r="F57" s="3">
        <v>49843</v>
      </c>
      <c r="G57" s="3">
        <v>51895</v>
      </c>
      <c r="H57" s="3">
        <v>45489.301344492415</v>
      </c>
      <c r="I57" s="3">
        <v>0</v>
      </c>
      <c r="J57" s="3">
        <v>0</v>
      </c>
      <c r="K57" s="3">
        <v>0</v>
      </c>
      <c r="L57" s="3">
        <v>0</v>
      </c>
      <c r="M57" s="3">
        <v>0</v>
      </c>
      <c r="N57" s="3">
        <v>0</v>
      </c>
      <c r="O57" s="3">
        <f t="shared" si="0"/>
        <v>45489.301344492415</v>
      </c>
    </row>
    <row r="58" spans="1:15" x14ac:dyDescent="0.3">
      <c r="A58">
        <v>2221</v>
      </c>
      <c r="B58" t="s">
        <v>148</v>
      </c>
      <c r="C58">
        <v>12</v>
      </c>
      <c r="D58" s="4">
        <f>Sect61168[[#This Row],[2023]]-Sect61168[[#This Row],[2022]]</f>
        <v>36086.690928371798</v>
      </c>
      <c r="E58" s="4">
        <f>Sect61168[[#This Row],[2023]]-Sect61168[[#This Row],[2021]]</f>
        <v>37266.690928371798</v>
      </c>
      <c r="F58" s="3">
        <v>108829</v>
      </c>
      <c r="G58" s="3">
        <v>110009</v>
      </c>
      <c r="H58" s="3">
        <v>122032.87124605173</v>
      </c>
      <c r="I58" s="3">
        <v>10312.637006708595</v>
      </c>
      <c r="J58" s="3">
        <v>0</v>
      </c>
      <c r="K58" s="3">
        <v>0</v>
      </c>
      <c r="L58" s="3">
        <v>0</v>
      </c>
      <c r="M58" s="3">
        <v>0</v>
      </c>
      <c r="N58" s="3">
        <v>13750.182675611461</v>
      </c>
      <c r="O58" s="3">
        <f t="shared" si="0"/>
        <v>146095.6909283718</v>
      </c>
    </row>
    <row r="59" spans="1:15" x14ac:dyDescent="0.3">
      <c r="A59">
        <v>1930</v>
      </c>
      <c r="B59" t="s">
        <v>15</v>
      </c>
      <c r="C59">
        <v>20</v>
      </c>
      <c r="D59" s="4">
        <f>Sect61168[[#This Row],[2023]]-Sect61168[[#This Row],[2022]]</f>
        <v>41392.11919460725</v>
      </c>
      <c r="E59" s="4">
        <f>Sect61168[[#This Row],[2023]]-Sect61168[[#This Row],[2021]]</f>
        <v>100745.11919460725</v>
      </c>
      <c r="F59" s="3">
        <v>581937</v>
      </c>
      <c r="G59" s="3">
        <v>641290</v>
      </c>
      <c r="H59" s="3">
        <v>526164.75528169738</v>
      </c>
      <c r="I59" s="3">
        <v>108230.09206743774</v>
      </c>
      <c r="J59" s="3">
        <v>0</v>
      </c>
      <c r="K59" s="3">
        <v>0</v>
      </c>
      <c r="L59" s="3">
        <v>0</v>
      </c>
      <c r="M59" s="3">
        <v>0</v>
      </c>
      <c r="N59" s="3">
        <v>48287.27184547222</v>
      </c>
      <c r="O59" s="3">
        <f t="shared" si="0"/>
        <v>682682.11919460725</v>
      </c>
    </row>
    <row r="60" spans="1:15" x14ac:dyDescent="0.3">
      <c r="A60">
        <v>2082</v>
      </c>
      <c r="B60" t="s">
        <v>81</v>
      </c>
      <c r="C60">
        <v>121</v>
      </c>
      <c r="D60" s="4">
        <f>Sect61168[[#This Row],[2023]]-Sect61168[[#This Row],[2022]]</f>
        <v>94675.539993981831</v>
      </c>
      <c r="E60" s="4">
        <f>Sect61168[[#This Row],[2023]]-Sect61168[[#This Row],[2021]]</f>
        <v>365144.53999398183</v>
      </c>
      <c r="F60" s="3">
        <v>3885023</v>
      </c>
      <c r="G60" s="3">
        <v>4155492</v>
      </c>
      <c r="H60" s="3">
        <v>3606942.9506079191</v>
      </c>
      <c r="I60" s="3">
        <v>115617.58442129222</v>
      </c>
      <c r="J60" s="3">
        <v>3256.8333639800626</v>
      </c>
      <c r="K60" s="3">
        <v>0</v>
      </c>
      <c r="L60" s="3">
        <v>0</v>
      </c>
      <c r="M60" s="3">
        <v>0</v>
      </c>
      <c r="N60" s="3">
        <v>524350.17160079011</v>
      </c>
      <c r="O60" s="3">
        <f t="shared" si="0"/>
        <v>4250167.5399939818</v>
      </c>
    </row>
    <row r="61" spans="1:15" x14ac:dyDescent="0.3">
      <c r="A61">
        <v>2193</v>
      </c>
      <c r="B61" t="s">
        <v>132</v>
      </c>
      <c r="C61">
        <v>-2</v>
      </c>
      <c r="D61" s="4">
        <f>Sect61168[[#This Row],[2023]]-Sect61168[[#This Row],[2022]]</f>
        <v>6482.1588052796214</v>
      </c>
      <c r="E61" s="4">
        <f>Sect61168[[#This Row],[2023]]-Sect61168[[#This Row],[2021]]</f>
        <v>6464.1588052796214</v>
      </c>
      <c r="F61" s="3">
        <v>58718</v>
      </c>
      <c r="G61" s="3">
        <v>58700</v>
      </c>
      <c r="H61" s="3">
        <v>53330.857204319691</v>
      </c>
      <c r="I61" s="3">
        <v>9876.08466746661</v>
      </c>
      <c r="J61" s="3">
        <v>0</v>
      </c>
      <c r="K61" s="3">
        <v>0</v>
      </c>
      <c r="L61" s="3">
        <v>0</v>
      </c>
      <c r="M61" s="3">
        <v>0</v>
      </c>
      <c r="N61" s="3">
        <v>1975.2169334933219</v>
      </c>
      <c r="O61" s="3">
        <f t="shared" si="0"/>
        <v>65182.158805279621</v>
      </c>
    </row>
    <row r="62" spans="1:15" x14ac:dyDescent="0.3">
      <c r="A62">
        <v>2084</v>
      </c>
      <c r="B62" t="s">
        <v>83</v>
      </c>
      <c r="C62">
        <v>6</v>
      </c>
      <c r="D62" s="4">
        <f>Sect61168[[#This Row],[2023]]-Sect61168[[#This Row],[2022]]</f>
        <v>84727.080202662211</v>
      </c>
      <c r="E62" s="4">
        <f>Sect61168[[#This Row],[2023]]-Sect61168[[#This Row],[2021]]</f>
        <v>98155.080202662211</v>
      </c>
      <c r="F62" s="3">
        <v>396152</v>
      </c>
      <c r="G62" s="3">
        <v>409580</v>
      </c>
      <c r="H62" s="3">
        <v>426002.82912011252</v>
      </c>
      <c r="I62" s="3">
        <v>3594.9605832920888</v>
      </c>
      <c r="J62" s="3">
        <v>0</v>
      </c>
      <c r="K62" s="3">
        <v>0</v>
      </c>
      <c r="L62" s="3">
        <v>0</v>
      </c>
      <c r="M62" s="3">
        <v>0</v>
      </c>
      <c r="N62" s="3">
        <v>64709.2904992576</v>
      </c>
      <c r="O62" s="3">
        <f t="shared" si="0"/>
        <v>494307.08020266221</v>
      </c>
    </row>
    <row r="63" spans="1:15" x14ac:dyDescent="0.3">
      <c r="A63">
        <v>2241</v>
      </c>
      <c r="B63" t="s">
        <v>153</v>
      </c>
      <c r="C63">
        <v>25</v>
      </c>
      <c r="D63" s="4">
        <f>Sect61168[[#This Row],[2023]]-Sect61168[[#This Row],[2022]]</f>
        <v>193763.76211019652</v>
      </c>
      <c r="E63" s="4">
        <f>Sect61168[[#This Row],[2023]]-Sect61168[[#This Row],[2021]]</f>
        <v>228381.76211019652</v>
      </c>
      <c r="F63" s="3">
        <v>1297047</v>
      </c>
      <c r="G63" s="3">
        <v>1331665</v>
      </c>
      <c r="H63" s="3">
        <v>1051693.1217033032</v>
      </c>
      <c r="I63" s="3">
        <v>315823.76027126226</v>
      </c>
      <c r="J63" s="3">
        <v>0</v>
      </c>
      <c r="K63" s="3">
        <v>18949.42561627573</v>
      </c>
      <c r="L63" s="3">
        <v>0</v>
      </c>
      <c r="M63" s="3">
        <v>0</v>
      </c>
      <c r="N63" s="3">
        <v>138962.45451935538</v>
      </c>
      <c r="O63" s="3">
        <f t="shared" si="0"/>
        <v>1525428.7621101965</v>
      </c>
    </row>
    <row r="64" spans="1:15" x14ac:dyDescent="0.3">
      <c r="A64">
        <v>2248</v>
      </c>
      <c r="B64" t="s">
        <v>159</v>
      </c>
      <c r="C64">
        <v>3</v>
      </c>
      <c r="D64" s="4">
        <f>Sect61168[[#This Row],[2023]]-Sect61168[[#This Row],[2022]]</f>
        <v>-45700.919699990307</v>
      </c>
      <c r="E64" s="4">
        <f>Sect61168[[#This Row],[2023]]-Sect61168[[#This Row],[2021]]</f>
        <v>7268.080300009693</v>
      </c>
      <c r="F64" s="3">
        <v>135919</v>
      </c>
      <c r="G64" s="3">
        <v>188888</v>
      </c>
      <c r="H64" s="3">
        <v>140675.02625965865</v>
      </c>
      <c r="I64" s="3">
        <v>0</v>
      </c>
      <c r="J64" s="3">
        <v>0</v>
      </c>
      <c r="K64" s="3">
        <v>0</v>
      </c>
      <c r="L64" s="3">
        <v>0</v>
      </c>
      <c r="M64" s="3">
        <v>0</v>
      </c>
      <c r="N64" s="3">
        <v>2512.0540403510472</v>
      </c>
      <c r="O64" s="3">
        <f t="shared" si="0"/>
        <v>143187.08030000969</v>
      </c>
    </row>
    <row r="65" spans="1:15" x14ac:dyDescent="0.3">
      <c r="A65">
        <v>2020</v>
      </c>
      <c r="B65" t="s">
        <v>57</v>
      </c>
      <c r="C65">
        <v>1</v>
      </c>
      <c r="D65" s="4">
        <f>Sect61168[[#This Row],[2023]]-Sect61168[[#This Row],[2022]]</f>
        <v>932.83538213815882</v>
      </c>
      <c r="E65" s="4">
        <f>Sect61168[[#This Row],[2023]]-Sect61168[[#This Row],[2021]]</f>
        <v>1901.8353821381588</v>
      </c>
      <c r="F65" s="3">
        <v>1554</v>
      </c>
      <c r="G65" s="3">
        <v>2523</v>
      </c>
      <c r="H65" s="3">
        <v>3455.8353821381588</v>
      </c>
      <c r="I65" s="3">
        <v>0</v>
      </c>
      <c r="J65" s="3">
        <v>0</v>
      </c>
      <c r="K65" s="3">
        <v>0</v>
      </c>
      <c r="L65" s="3">
        <v>0</v>
      </c>
      <c r="M65" s="3">
        <v>0</v>
      </c>
      <c r="N65" s="3">
        <v>0</v>
      </c>
      <c r="O65" s="3">
        <f t="shared" si="0"/>
        <v>3455.8353821381588</v>
      </c>
    </row>
    <row r="66" spans="1:15" x14ac:dyDescent="0.3">
      <c r="A66">
        <v>2245</v>
      </c>
      <c r="B66" t="s">
        <v>157</v>
      </c>
      <c r="C66">
        <v>7</v>
      </c>
      <c r="D66" s="4">
        <f>Sect61168[[#This Row],[2023]]-Sect61168[[#This Row],[2022]]</f>
        <v>39556.380695572821</v>
      </c>
      <c r="E66" s="4">
        <f>Sect61168[[#This Row],[2023]]-Sect61168[[#This Row],[2021]]</f>
        <v>39042.380695572821</v>
      </c>
      <c r="F66" s="3">
        <v>117700</v>
      </c>
      <c r="G66" s="3">
        <v>117186</v>
      </c>
      <c r="H66" s="3">
        <v>124087.71805066182</v>
      </c>
      <c r="I66" s="3">
        <v>21225.530719192153</v>
      </c>
      <c r="J66" s="3">
        <v>0</v>
      </c>
      <c r="K66" s="3">
        <v>0</v>
      </c>
      <c r="L66" s="3">
        <v>0</v>
      </c>
      <c r="M66" s="3">
        <v>0</v>
      </c>
      <c r="N66" s="3">
        <v>11429.131925718852</v>
      </c>
      <c r="O66" s="3">
        <f t="shared" ref="O66:O129" si="1">SUM(H66:N66)</f>
        <v>156742.38069557282</v>
      </c>
    </row>
    <row r="67" spans="1:15" x14ac:dyDescent="0.3">
      <c r="A67">
        <v>2137</v>
      </c>
      <c r="B67" t="s">
        <v>110</v>
      </c>
      <c r="C67">
        <v>8</v>
      </c>
      <c r="D67" s="4">
        <f>Sect61168[[#This Row],[2023]]-Sect61168[[#This Row],[2022]]</f>
        <v>-47803.351938112173</v>
      </c>
      <c r="E67" s="4">
        <f>Sect61168[[#This Row],[2023]]-Sect61168[[#This Row],[2021]]</f>
        <v>15700.648061887827</v>
      </c>
      <c r="F67" s="3">
        <v>301693</v>
      </c>
      <c r="G67" s="3">
        <v>365197</v>
      </c>
      <c r="H67" s="3">
        <v>272712.01799492305</v>
      </c>
      <c r="I67" s="3">
        <v>35437.154880696224</v>
      </c>
      <c r="J67" s="3">
        <v>0</v>
      </c>
      <c r="K67" s="3">
        <v>0</v>
      </c>
      <c r="L67" s="3">
        <v>0</v>
      </c>
      <c r="M67" s="3">
        <v>0</v>
      </c>
      <c r="N67" s="3">
        <v>9244.4751862685789</v>
      </c>
      <c r="O67" s="3">
        <f t="shared" si="1"/>
        <v>317393.64806188783</v>
      </c>
    </row>
    <row r="68" spans="1:15" x14ac:dyDescent="0.3">
      <c r="A68">
        <v>1931</v>
      </c>
      <c r="B68" t="s">
        <v>16</v>
      </c>
      <c r="C68">
        <v>-11</v>
      </c>
      <c r="D68" s="4">
        <f>Sect61168[[#This Row],[2023]]-Sect61168[[#This Row],[2022]]</f>
        <v>77401.402687596157</v>
      </c>
      <c r="E68" s="4">
        <f>Sect61168[[#This Row],[2023]]-Sect61168[[#This Row],[2021]]</f>
        <v>58648.402687596157</v>
      </c>
      <c r="F68" s="3">
        <v>440167</v>
      </c>
      <c r="G68" s="3">
        <v>421414</v>
      </c>
      <c r="H68" s="3">
        <v>365570.19238063553</v>
      </c>
      <c r="I68" s="3">
        <v>104204.58754775123</v>
      </c>
      <c r="J68" s="3">
        <v>0</v>
      </c>
      <c r="K68" s="3">
        <v>0</v>
      </c>
      <c r="L68" s="3">
        <v>0</v>
      </c>
      <c r="M68" s="3">
        <v>0</v>
      </c>
      <c r="N68" s="3">
        <v>29040.62275920936</v>
      </c>
      <c r="O68" s="3">
        <f t="shared" si="1"/>
        <v>498815.40268759616</v>
      </c>
    </row>
    <row r="69" spans="1:15" x14ac:dyDescent="0.3">
      <c r="A69">
        <v>2000</v>
      </c>
      <c r="B69" t="s">
        <v>40</v>
      </c>
      <c r="C69">
        <v>-3</v>
      </c>
      <c r="D69" s="4">
        <f>Sect61168[[#This Row],[2023]]-Sect61168[[#This Row],[2022]]</f>
        <v>9663.559935592144</v>
      </c>
      <c r="E69" s="4">
        <f>Sect61168[[#This Row],[2023]]-Sect61168[[#This Row],[2021]]</f>
        <v>14974.559935592144</v>
      </c>
      <c r="F69" s="3">
        <v>75925</v>
      </c>
      <c r="G69" s="3">
        <v>81236</v>
      </c>
      <c r="H69" s="3">
        <v>76915.012253193359</v>
      </c>
      <c r="I69" s="3">
        <v>8740.3423014992459</v>
      </c>
      <c r="J69" s="3">
        <v>0</v>
      </c>
      <c r="K69" s="3">
        <v>0</v>
      </c>
      <c r="L69" s="3">
        <v>0</v>
      </c>
      <c r="M69" s="3">
        <v>0</v>
      </c>
      <c r="N69" s="3">
        <v>5244.2053808995479</v>
      </c>
      <c r="O69" s="3">
        <f t="shared" si="1"/>
        <v>90899.559935592144</v>
      </c>
    </row>
    <row r="70" spans="1:15" x14ac:dyDescent="0.3">
      <c r="A70">
        <v>1992</v>
      </c>
      <c r="B70" t="s">
        <v>34</v>
      </c>
      <c r="C70">
        <v>28</v>
      </c>
      <c r="D70" s="4">
        <f>Sect61168[[#This Row],[2023]]-Sect61168[[#This Row],[2022]]</f>
        <v>11798.543201284047</v>
      </c>
      <c r="E70" s="4">
        <f>Sect61168[[#This Row],[2023]]-Sect61168[[#This Row],[2021]]</f>
        <v>29654.543201284047</v>
      </c>
      <c r="F70" s="3">
        <v>198725</v>
      </c>
      <c r="G70" s="3">
        <v>216581</v>
      </c>
      <c r="H70" s="3">
        <v>200647.74152684241</v>
      </c>
      <c r="I70" s="3">
        <v>21206.671868690661</v>
      </c>
      <c r="J70" s="3">
        <v>0</v>
      </c>
      <c r="K70" s="3">
        <v>0</v>
      </c>
      <c r="L70" s="3">
        <v>0</v>
      </c>
      <c r="M70" s="3">
        <v>0</v>
      </c>
      <c r="N70" s="3">
        <v>6525.1298057509721</v>
      </c>
      <c r="O70" s="3">
        <f t="shared" si="1"/>
        <v>228379.54320128405</v>
      </c>
    </row>
    <row r="71" spans="1:15" x14ac:dyDescent="0.3">
      <c r="A71">
        <v>2054</v>
      </c>
      <c r="B71" t="s">
        <v>73</v>
      </c>
      <c r="C71">
        <v>95</v>
      </c>
      <c r="D71" s="4">
        <f>Sect61168[[#This Row],[2023]]-Sect61168[[#This Row],[2022]]</f>
        <v>55567.059637139086</v>
      </c>
      <c r="E71" s="4">
        <f>Sect61168[[#This Row],[2023]]-Sect61168[[#This Row],[2021]]</f>
        <v>71621.059637139086</v>
      </c>
      <c r="F71" s="3">
        <v>1262122</v>
      </c>
      <c r="G71" s="3">
        <v>1278176</v>
      </c>
      <c r="H71" s="3">
        <v>1027303.1881668991</v>
      </c>
      <c r="I71" s="3">
        <v>207211.72261320977</v>
      </c>
      <c r="J71" s="3">
        <v>0</v>
      </c>
      <c r="K71" s="3">
        <v>2918.4749663832358</v>
      </c>
      <c r="L71" s="3">
        <v>0</v>
      </c>
      <c r="M71" s="3">
        <v>0</v>
      </c>
      <c r="N71" s="3">
        <v>96309.673890646794</v>
      </c>
      <c r="O71" s="3">
        <f t="shared" si="1"/>
        <v>1333743.0596371391</v>
      </c>
    </row>
    <row r="72" spans="1:15" x14ac:dyDescent="0.3">
      <c r="A72">
        <v>2100</v>
      </c>
      <c r="B72" t="s">
        <v>218</v>
      </c>
      <c r="C72">
        <v>7</v>
      </c>
      <c r="D72" s="4">
        <f>Sect61168[[#This Row],[2023]]-Sect61168[[#This Row],[2022]]</f>
        <v>273039.64705319982</v>
      </c>
      <c r="E72" s="4">
        <f>Sect61168[[#This Row],[2023]]-Sect61168[[#This Row],[2021]]</f>
        <v>322421.64705319982</v>
      </c>
      <c r="F72" s="3">
        <v>2024455</v>
      </c>
      <c r="G72" s="3">
        <v>2073837</v>
      </c>
      <c r="H72" s="3">
        <v>1709015.8699543206</v>
      </c>
      <c r="I72" s="3">
        <v>422018.99898966262</v>
      </c>
      <c r="J72" s="3">
        <v>4832.2786143854501</v>
      </c>
      <c r="K72" s="3">
        <v>0</v>
      </c>
      <c r="L72" s="3">
        <v>0</v>
      </c>
      <c r="M72" s="3">
        <v>0</v>
      </c>
      <c r="N72" s="3">
        <v>211009.49949483131</v>
      </c>
      <c r="O72" s="3">
        <f t="shared" si="1"/>
        <v>2346876.6470531998</v>
      </c>
    </row>
    <row r="73" spans="1:15" x14ac:dyDescent="0.3">
      <c r="A73">
        <v>2183</v>
      </c>
      <c r="B73" t="s">
        <v>124</v>
      </c>
      <c r="C73">
        <v>93</v>
      </c>
      <c r="D73" s="4">
        <f>Sect61168[[#This Row],[2023]]-Sect61168[[#This Row],[2022]]</f>
        <v>159809.35844402574</v>
      </c>
      <c r="E73" s="4">
        <f>Sect61168[[#This Row],[2023]]-Sect61168[[#This Row],[2021]]</f>
        <v>356569.35844402574</v>
      </c>
      <c r="F73" s="3">
        <v>2513028</v>
      </c>
      <c r="G73" s="3">
        <v>2709788</v>
      </c>
      <c r="H73" s="3">
        <v>2036024.836959451</v>
      </c>
      <c r="I73" s="3">
        <v>613202.77442543465</v>
      </c>
      <c r="J73" s="3">
        <v>0</v>
      </c>
      <c r="K73" s="3">
        <v>0</v>
      </c>
      <c r="L73" s="3">
        <v>0</v>
      </c>
      <c r="M73" s="3">
        <v>0</v>
      </c>
      <c r="N73" s="3">
        <v>220369.74705914056</v>
      </c>
      <c r="O73" s="3">
        <f t="shared" si="1"/>
        <v>2869597.3584440257</v>
      </c>
    </row>
    <row r="74" spans="1:15" x14ac:dyDescent="0.3">
      <c r="A74">
        <v>2014</v>
      </c>
      <c r="B74" t="s">
        <v>51</v>
      </c>
      <c r="C74">
        <v>2</v>
      </c>
      <c r="D74" s="4">
        <f>Sect61168[[#This Row],[2023]]-Sect61168[[#This Row],[2022]]</f>
        <v>26992.999196716177</v>
      </c>
      <c r="E74" s="4">
        <f>Sect61168[[#This Row],[2023]]-Sect61168[[#This Row],[2021]]</f>
        <v>33449.999196716177</v>
      </c>
      <c r="F74" s="3">
        <v>228215</v>
      </c>
      <c r="G74" s="3">
        <v>234672</v>
      </c>
      <c r="H74" s="3">
        <v>199744.27419596654</v>
      </c>
      <c r="I74" s="3">
        <v>21971.870161556319</v>
      </c>
      <c r="J74" s="3">
        <v>0</v>
      </c>
      <c r="K74" s="3">
        <v>0</v>
      </c>
      <c r="L74" s="3">
        <v>0</v>
      </c>
      <c r="M74" s="3">
        <v>0</v>
      </c>
      <c r="N74" s="3">
        <v>39948.8548391933</v>
      </c>
      <c r="O74" s="3">
        <f t="shared" si="1"/>
        <v>261664.99919671618</v>
      </c>
    </row>
    <row r="75" spans="1:15" x14ac:dyDescent="0.3">
      <c r="A75">
        <v>2015</v>
      </c>
      <c r="B75" t="s">
        <v>52</v>
      </c>
      <c r="C75">
        <v>-1</v>
      </c>
      <c r="D75" s="4">
        <f>Sect61168[[#This Row],[2023]]-Sect61168[[#This Row],[2022]]</f>
        <v>8350.3510337007319</v>
      </c>
      <c r="E75" s="4">
        <f>Sect61168[[#This Row],[2023]]-Sect61168[[#This Row],[2021]]</f>
        <v>37816.351033700732</v>
      </c>
      <c r="F75" s="3">
        <v>84857</v>
      </c>
      <c r="G75" s="3">
        <v>114323</v>
      </c>
      <c r="H75" s="3">
        <v>110026.61381373159</v>
      </c>
      <c r="I75" s="3">
        <v>12646.737219969147</v>
      </c>
      <c r="J75" s="3">
        <v>0</v>
      </c>
      <c r="K75" s="3">
        <v>0</v>
      </c>
      <c r="L75" s="3">
        <v>0</v>
      </c>
      <c r="M75" s="3">
        <v>0</v>
      </c>
      <c r="N75" s="3">
        <v>0</v>
      </c>
      <c r="O75" s="3">
        <f t="shared" si="1"/>
        <v>122673.35103370073</v>
      </c>
    </row>
    <row r="76" spans="1:15" x14ac:dyDescent="0.3">
      <c r="A76">
        <v>2023</v>
      </c>
      <c r="B76" t="s">
        <v>219</v>
      </c>
      <c r="C76">
        <v>12</v>
      </c>
      <c r="D76" s="4">
        <f>Sect61168[[#This Row],[2023]]-Sect61168[[#This Row],[2022]]</f>
        <v>-42255.044348437426</v>
      </c>
      <c r="E76" s="4">
        <f>Sect61168[[#This Row],[2023]]-Sect61168[[#This Row],[2021]]</f>
        <v>27458.955651562574</v>
      </c>
      <c r="F76" s="3">
        <v>90243</v>
      </c>
      <c r="G76" s="3">
        <v>159957</v>
      </c>
      <c r="H76" s="3">
        <v>90444.660658569133</v>
      </c>
      <c r="I76" s="3">
        <v>27257.294992993437</v>
      </c>
      <c r="J76" s="3">
        <v>0</v>
      </c>
      <c r="K76" s="3">
        <v>0</v>
      </c>
      <c r="L76" s="3">
        <v>0</v>
      </c>
      <c r="M76" s="3">
        <v>0</v>
      </c>
      <c r="N76" s="3">
        <v>0</v>
      </c>
      <c r="O76" s="3">
        <f t="shared" si="1"/>
        <v>117701.95565156257</v>
      </c>
    </row>
    <row r="77" spans="1:15" x14ac:dyDescent="0.3">
      <c r="A77">
        <v>2114</v>
      </c>
      <c r="B77" t="s">
        <v>107</v>
      </c>
      <c r="C77">
        <v>-5</v>
      </c>
      <c r="D77" s="4">
        <f>Sect61168[[#This Row],[2023]]-Sect61168[[#This Row],[2022]]</f>
        <v>-6248.4734487030873</v>
      </c>
      <c r="E77" s="4">
        <f>Sect61168[[#This Row],[2023]]-Sect61168[[#This Row],[2021]]</f>
        <v>7803.5265512969127</v>
      </c>
      <c r="F77" s="3">
        <v>24501</v>
      </c>
      <c r="G77" s="3">
        <v>38553</v>
      </c>
      <c r="H77" s="3">
        <v>32304.526551296913</v>
      </c>
      <c r="I77" s="3">
        <v>0</v>
      </c>
      <c r="J77" s="3">
        <v>0</v>
      </c>
      <c r="K77" s="3">
        <v>0</v>
      </c>
      <c r="L77" s="3">
        <v>0</v>
      </c>
      <c r="M77" s="3">
        <v>0</v>
      </c>
      <c r="N77" s="3">
        <v>0</v>
      </c>
      <c r="O77" s="3">
        <f t="shared" si="1"/>
        <v>32304.526551296913</v>
      </c>
    </row>
    <row r="78" spans="1:15" x14ac:dyDescent="0.3">
      <c r="A78">
        <v>2099</v>
      </c>
      <c r="B78" t="s">
        <v>95</v>
      </c>
      <c r="C78">
        <v>13</v>
      </c>
      <c r="D78" s="4">
        <f>Sect61168[[#This Row],[2023]]-Sect61168[[#This Row],[2022]]</f>
        <v>17045.288211076695</v>
      </c>
      <c r="E78" s="4">
        <f>Sect61168[[#This Row],[2023]]-Sect61168[[#This Row],[2021]]</f>
        <v>7970.288211076695</v>
      </c>
      <c r="F78" s="3">
        <v>175334</v>
      </c>
      <c r="G78" s="3">
        <v>166259</v>
      </c>
      <c r="H78" s="3">
        <v>135552.7509460063</v>
      </c>
      <c r="I78" s="3">
        <v>35428.559906342562</v>
      </c>
      <c r="J78" s="3">
        <v>0</v>
      </c>
      <c r="K78" s="3">
        <v>0</v>
      </c>
      <c r="L78" s="3">
        <v>0</v>
      </c>
      <c r="M78" s="3">
        <v>0</v>
      </c>
      <c r="N78" s="3">
        <v>12322.977358727845</v>
      </c>
      <c r="O78" s="3">
        <f t="shared" si="1"/>
        <v>183304.2882110767</v>
      </c>
    </row>
    <row r="79" spans="1:15" x14ac:dyDescent="0.3">
      <c r="A79">
        <v>2201</v>
      </c>
      <c r="B79" t="s">
        <v>136</v>
      </c>
      <c r="C79">
        <v>-1</v>
      </c>
      <c r="D79" s="4">
        <f>Sect61168[[#This Row],[2023]]-Sect61168[[#This Row],[2022]]</f>
        <v>-2741.3342518256468</v>
      </c>
      <c r="E79" s="4">
        <f>Sect61168[[#This Row],[2023]]-Sect61168[[#This Row],[2021]]</f>
        <v>-3669.3342518256468</v>
      </c>
      <c r="F79" s="3">
        <v>28562</v>
      </c>
      <c r="G79" s="3">
        <v>27634</v>
      </c>
      <c r="H79" s="3">
        <v>23428.391292399392</v>
      </c>
      <c r="I79" s="3">
        <v>1464.274455774962</v>
      </c>
      <c r="J79" s="3">
        <v>0</v>
      </c>
      <c r="K79" s="3">
        <v>0</v>
      </c>
      <c r="L79" s="3">
        <v>0</v>
      </c>
      <c r="M79" s="3">
        <v>0</v>
      </c>
      <c r="N79" s="3">
        <v>0</v>
      </c>
      <c r="O79" s="3">
        <f t="shared" si="1"/>
        <v>24892.665748174353</v>
      </c>
    </row>
    <row r="80" spans="1:15" x14ac:dyDescent="0.3">
      <c r="A80">
        <v>2206</v>
      </c>
      <c r="B80" t="s">
        <v>220</v>
      </c>
      <c r="C80">
        <v>-4</v>
      </c>
      <c r="D80" s="4">
        <f>Sect61168[[#This Row],[2023]]-Sect61168[[#This Row],[2022]]</f>
        <v>16453.911757155089</v>
      </c>
      <c r="E80" s="4">
        <f>Sect61168[[#This Row],[2023]]-Sect61168[[#This Row],[2021]]</f>
        <v>41129.911757155089</v>
      </c>
      <c r="F80" s="3">
        <v>1120530</v>
      </c>
      <c r="G80" s="3">
        <v>1145206</v>
      </c>
      <c r="H80" s="3">
        <v>864705.7886192333</v>
      </c>
      <c r="I80" s="3">
        <v>161555.35196622688</v>
      </c>
      <c r="J80" s="3">
        <v>1538.622399678351</v>
      </c>
      <c r="K80" s="3">
        <v>0</v>
      </c>
      <c r="L80" s="3">
        <v>0</v>
      </c>
      <c r="M80" s="3">
        <v>0</v>
      </c>
      <c r="N80" s="3">
        <v>133860.14877201655</v>
      </c>
      <c r="O80" s="3">
        <f t="shared" si="1"/>
        <v>1161659.9117571551</v>
      </c>
    </row>
    <row r="81" spans="1:15" x14ac:dyDescent="0.3">
      <c r="A81">
        <v>2239</v>
      </c>
      <c r="B81" t="s">
        <v>151</v>
      </c>
      <c r="C81">
        <v>-95</v>
      </c>
      <c r="D81" s="4">
        <f>Sect61168[[#This Row],[2023]]-Sect61168[[#This Row],[2022]]</f>
        <v>536573.00748082809</v>
      </c>
      <c r="E81" s="4">
        <f>Sect61168[[#This Row],[2023]]-Sect61168[[#This Row],[2021]]</f>
        <v>701499.00748082809</v>
      </c>
      <c r="F81" s="3">
        <v>3994637</v>
      </c>
      <c r="G81" s="3">
        <v>4159563</v>
      </c>
      <c r="H81" s="3">
        <v>3338623.2823167131</v>
      </c>
      <c r="I81" s="3">
        <v>962209.92257682234</v>
      </c>
      <c r="J81" s="3">
        <v>4596.5442161313167</v>
      </c>
      <c r="K81" s="3">
        <v>0</v>
      </c>
      <c r="L81" s="3">
        <v>0</v>
      </c>
      <c r="M81" s="3">
        <v>0</v>
      </c>
      <c r="N81" s="3">
        <v>390706.25837116194</v>
      </c>
      <c r="O81" s="3">
        <f t="shared" si="1"/>
        <v>4696136.0074808281</v>
      </c>
    </row>
    <row r="82" spans="1:15" x14ac:dyDescent="0.3">
      <c r="A82">
        <v>2024</v>
      </c>
      <c r="B82" t="s">
        <v>221</v>
      </c>
      <c r="C82">
        <v>37</v>
      </c>
      <c r="D82" s="4">
        <f>Sect61168[[#This Row],[2023]]-Sect61168[[#This Row],[2022]]</f>
        <v>88218.980438404949</v>
      </c>
      <c r="E82" s="4">
        <f>Sect61168[[#This Row],[2023]]-Sect61168[[#This Row],[2021]]</f>
        <v>120402.98043840495</v>
      </c>
      <c r="F82" s="3">
        <v>839439</v>
      </c>
      <c r="G82" s="3">
        <v>871623</v>
      </c>
      <c r="H82" s="3">
        <v>739188.65160198999</v>
      </c>
      <c r="I82" s="3">
        <v>111902.75962418184</v>
      </c>
      <c r="J82" s="3">
        <v>0</v>
      </c>
      <c r="K82" s="3">
        <v>3152.1904119487849</v>
      </c>
      <c r="L82" s="3">
        <v>0</v>
      </c>
      <c r="M82" s="3">
        <v>0</v>
      </c>
      <c r="N82" s="3">
        <v>105598.37880028429</v>
      </c>
      <c r="O82" s="3">
        <f t="shared" si="1"/>
        <v>959841.98043840495</v>
      </c>
    </row>
    <row r="83" spans="1:15" x14ac:dyDescent="0.3">
      <c r="A83">
        <v>1895</v>
      </c>
      <c r="B83" t="s">
        <v>2</v>
      </c>
      <c r="C83">
        <v>-2</v>
      </c>
      <c r="D83" s="4">
        <f>Sect61168[[#This Row],[2023]]-Sect61168[[#This Row],[2022]]</f>
        <v>-5738.7584714473633</v>
      </c>
      <c r="E83" s="4">
        <f>Sect61168[[#This Row],[2023]]-Sect61168[[#This Row],[2021]]</f>
        <v>-4827.7584714473633</v>
      </c>
      <c r="F83" s="3">
        <v>21085</v>
      </c>
      <c r="G83" s="3">
        <v>21996</v>
      </c>
      <c r="H83" s="3">
        <v>16257.241528552637</v>
      </c>
      <c r="I83" s="3">
        <v>0</v>
      </c>
      <c r="J83" s="3">
        <v>0</v>
      </c>
      <c r="K83" s="3">
        <v>0</v>
      </c>
      <c r="L83" s="3">
        <v>0</v>
      </c>
      <c r="M83" s="3">
        <v>0</v>
      </c>
      <c r="N83" s="3">
        <v>0</v>
      </c>
      <c r="O83" s="3">
        <f t="shared" si="1"/>
        <v>16257.241528552637</v>
      </c>
    </row>
    <row r="84" spans="1:15" x14ac:dyDescent="0.3">
      <c r="A84">
        <v>2215</v>
      </c>
      <c r="B84" t="s">
        <v>143</v>
      </c>
      <c r="C84">
        <v>-1</v>
      </c>
      <c r="D84" s="4">
        <f>Sect61168[[#This Row],[2023]]-Sect61168[[#This Row],[2022]]</f>
        <v>-6842.3723514814192</v>
      </c>
      <c r="E84" s="4">
        <f>Sect61168[[#This Row],[2023]]-Sect61168[[#This Row],[2021]]</f>
        <v>-2431.3723514814192</v>
      </c>
      <c r="F84" s="3">
        <v>79316</v>
      </c>
      <c r="G84" s="3">
        <v>83727</v>
      </c>
      <c r="H84" s="3">
        <v>66633.343962049446</v>
      </c>
      <c r="I84" s="3">
        <v>7688.4627648518581</v>
      </c>
      <c r="J84" s="3">
        <v>0</v>
      </c>
      <c r="K84" s="3">
        <v>0</v>
      </c>
      <c r="L84" s="3">
        <v>0</v>
      </c>
      <c r="M84" s="3">
        <v>0</v>
      </c>
      <c r="N84" s="3">
        <v>2562.8209216172863</v>
      </c>
      <c r="O84" s="3">
        <f t="shared" si="1"/>
        <v>76884.627648518581</v>
      </c>
    </row>
    <row r="85" spans="1:15" x14ac:dyDescent="0.3">
      <c r="A85">
        <v>3997</v>
      </c>
      <c r="B85" t="s">
        <v>222</v>
      </c>
      <c r="C85">
        <v>-2</v>
      </c>
      <c r="D85" s="4">
        <f>Sect61168[[#This Row],[2023]]-Sect61168[[#This Row],[2022]]</f>
        <v>3379.9856732491608</v>
      </c>
      <c r="E85" s="4">
        <f>Sect61168[[#This Row],[2023]]-Sect61168[[#This Row],[2021]]</f>
        <v>1603.9856732491608</v>
      </c>
      <c r="F85" s="3">
        <v>32924</v>
      </c>
      <c r="G85" s="3">
        <v>31148</v>
      </c>
      <c r="H85" s="3">
        <v>27951.226497392177</v>
      </c>
      <c r="I85" s="3">
        <v>6576.7591758569833</v>
      </c>
      <c r="J85" s="3">
        <v>0</v>
      </c>
      <c r="K85" s="3">
        <v>0</v>
      </c>
      <c r="L85" s="3">
        <v>0</v>
      </c>
      <c r="M85" s="3">
        <v>0</v>
      </c>
      <c r="N85" s="3">
        <v>0</v>
      </c>
      <c r="O85" s="3">
        <f t="shared" si="1"/>
        <v>34527.985673249161</v>
      </c>
    </row>
    <row r="86" spans="1:15" x14ac:dyDescent="0.3">
      <c r="A86">
        <v>2053</v>
      </c>
      <c r="B86" t="s">
        <v>72</v>
      </c>
      <c r="C86">
        <v>-20</v>
      </c>
      <c r="D86" s="4">
        <f>Sect61168[[#This Row],[2023]]-Sect61168[[#This Row],[2022]]</f>
        <v>146154.71088447399</v>
      </c>
      <c r="E86" s="4">
        <f>Sect61168[[#This Row],[2023]]-Sect61168[[#This Row],[2021]]</f>
        <v>164428.71088447399</v>
      </c>
      <c r="F86" s="3">
        <v>684629</v>
      </c>
      <c r="G86" s="3">
        <v>702903</v>
      </c>
      <c r="H86" s="3">
        <v>680211.00701540243</v>
      </c>
      <c r="I86" s="3">
        <v>106132.21386055925</v>
      </c>
      <c r="J86" s="3">
        <v>1608.0638463721098</v>
      </c>
      <c r="K86" s="3">
        <v>0</v>
      </c>
      <c r="L86" s="3">
        <v>0</v>
      </c>
      <c r="M86" s="3">
        <v>0</v>
      </c>
      <c r="N86" s="3">
        <v>61106.426162140182</v>
      </c>
      <c r="O86" s="3">
        <f t="shared" si="1"/>
        <v>849057.71088447399</v>
      </c>
    </row>
    <row r="87" spans="1:15" x14ac:dyDescent="0.3">
      <c r="A87">
        <v>2140</v>
      </c>
      <c r="B87" t="s">
        <v>113</v>
      </c>
      <c r="C87">
        <v>2</v>
      </c>
      <c r="D87" s="4">
        <f>Sect61168[[#This Row],[2023]]-Sect61168[[#This Row],[2022]]</f>
        <v>16023.142164013232</v>
      </c>
      <c r="E87" s="4">
        <f>Sect61168[[#This Row],[2023]]-Sect61168[[#This Row],[2021]]</f>
        <v>26761.142164013232</v>
      </c>
      <c r="F87" s="3">
        <v>178128</v>
      </c>
      <c r="G87" s="3">
        <v>188866</v>
      </c>
      <c r="H87" s="3">
        <v>153666.85662300992</v>
      </c>
      <c r="I87" s="3">
        <v>47689.714124382386</v>
      </c>
      <c r="J87" s="3">
        <v>0</v>
      </c>
      <c r="K87" s="3">
        <v>0</v>
      </c>
      <c r="L87" s="3">
        <v>0</v>
      </c>
      <c r="M87" s="3">
        <v>0</v>
      </c>
      <c r="N87" s="3">
        <v>3532.5714166209182</v>
      </c>
      <c r="O87" s="3">
        <f t="shared" si="1"/>
        <v>204889.14216401323</v>
      </c>
    </row>
    <row r="88" spans="1:15" x14ac:dyDescent="0.3">
      <c r="A88">
        <v>1934</v>
      </c>
      <c r="B88" t="s">
        <v>17</v>
      </c>
      <c r="C88">
        <v>0</v>
      </c>
      <c r="D88" s="4">
        <f>Sect61168[[#This Row],[2023]]-Sect61168[[#This Row],[2022]]</f>
        <v>10646.237276726992</v>
      </c>
      <c r="E88" s="4">
        <f>Sect61168[[#This Row],[2023]]-Sect61168[[#This Row],[2021]]</f>
        <v>3851.2372767269917</v>
      </c>
      <c r="F88" s="3">
        <v>33152</v>
      </c>
      <c r="G88" s="3">
        <v>26357</v>
      </c>
      <c r="H88" s="3">
        <v>31082.719312450674</v>
      </c>
      <c r="I88" s="3">
        <v>5920.5179642763196</v>
      </c>
      <c r="J88" s="3">
        <v>0</v>
      </c>
      <c r="K88" s="3">
        <v>0</v>
      </c>
      <c r="L88" s="3">
        <v>0</v>
      </c>
      <c r="M88" s="3">
        <v>0</v>
      </c>
      <c r="N88" s="3">
        <v>0</v>
      </c>
      <c r="O88" s="3">
        <f t="shared" si="1"/>
        <v>37003.237276726992</v>
      </c>
    </row>
    <row r="89" spans="1:15" x14ac:dyDescent="0.3">
      <c r="A89">
        <v>2008</v>
      </c>
      <c r="B89" t="s">
        <v>46</v>
      </c>
      <c r="C89">
        <v>-12</v>
      </c>
      <c r="D89" s="4">
        <f>Sect61168[[#This Row],[2023]]-Sect61168[[#This Row],[2022]]</f>
        <v>-6208.4954787499155</v>
      </c>
      <c r="E89" s="4">
        <f>Sect61168[[#This Row],[2023]]-Sect61168[[#This Row],[2021]]</f>
        <v>-2428.4954787499155</v>
      </c>
      <c r="F89" s="3">
        <v>179606</v>
      </c>
      <c r="G89" s="3">
        <v>183386</v>
      </c>
      <c r="H89" s="3">
        <v>144539.54316207243</v>
      </c>
      <c r="I89" s="3">
        <v>25644.11249649672</v>
      </c>
      <c r="J89" s="3">
        <v>0</v>
      </c>
      <c r="K89" s="3">
        <v>0</v>
      </c>
      <c r="L89" s="3">
        <v>0</v>
      </c>
      <c r="M89" s="3">
        <v>0</v>
      </c>
      <c r="N89" s="3">
        <v>6993.848862680923</v>
      </c>
      <c r="O89" s="3">
        <f t="shared" si="1"/>
        <v>177177.50452125008</v>
      </c>
    </row>
    <row r="90" spans="1:15" x14ac:dyDescent="0.3">
      <c r="A90">
        <v>2107</v>
      </c>
      <c r="B90" t="s">
        <v>101</v>
      </c>
      <c r="C90">
        <v>0</v>
      </c>
      <c r="D90" s="4">
        <f>Sect61168[[#This Row],[2023]]-Sect61168[[#This Row],[2022]]</f>
        <v>-4540.8792357236816</v>
      </c>
      <c r="E90" s="4">
        <f>Sect61168[[#This Row],[2023]]-Sect61168[[#This Row],[2021]]</f>
        <v>-4236.8792357236816</v>
      </c>
      <c r="F90" s="3">
        <v>17808</v>
      </c>
      <c r="G90" s="3">
        <v>18112</v>
      </c>
      <c r="H90" s="3">
        <v>13571.120764276318</v>
      </c>
      <c r="I90" s="3">
        <v>0</v>
      </c>
      <c r="J90" s="3">
        <v>0</v>
      </c>
      <c r="K90" s="3">
        <v>0</v>
      </c>
      <c r="L90" s="3">
        <v>0</v>
      </c>
      <c r="M90" s="3">
        <v>0</v>
      </c>
      <c r="N90" s="3">
        <v>0</v>
      </c>
      <c r="O90" s="3">
        <f t="shared" si="1"/>
        <v>13571.120764276318</v>
      </c>
    </row>
    <row r="91" spans="1:15" x14ac:dyDescent="0.3">
      <c r="A91">
        <v>2219</v>
      </c>
      <c r="B91" t="s">
        <v>146</v>
      </c>
      <c r="C91">
        <v>-8</v>
      </c>
      <c r="D91" s="4">
        <f>Sect61168[[#This Row],[2023]]-Sect61168[[#This Row],[2022]]</f>
        <v>-7719.731455427609</v>
      </c>
      <c r="E91" s="4">
        <f>Sect61168[[#This Row],[2023]]-Sect61168[[#This Row],[2021]]</f>
        <v>-356.73145542760903</v>
      </c>
      <c r="F91" s="3">
        <v>69882</v>
      </c>
      <c r="G91" s="3">
        <v>77245</v>
      </c>
      <c r="H91" s="3">
        <v>55620.214835657913</v>
      </c>
      <c r="I91" s="3">
        <v>6952.5268544572391</v>
      </c>
      <c r="J91" s="3">
        <v>0</v>
      </c>
      <c r="K91" s="3">
        <v>0</v>
      </c>
      <c r="L91" s="3">
        <v>0</v>
      </c>
      <c r="M91" s="3">
        <v>0</v>
      </c>
      <c r="N91" s="3">
        <v>6952.5268544572391</v>
      </c>
      <c r="O91" s="3">
        <f t="shared" si="1"/>
        <v>69525.268544572391</v>
      </c>
    </row>
    <row r="92" spans="1:15" x14ac:dyDescent="0.3">
      <c r="A92">
        <v>2091</v>
      </c>
      <c r="B92" t="s">
        <v>88</v>
      </c>
      <c r="C92">
        <v>27</v>
      </c>
      <c r="D92" s="4">
        <f>Sect61168[[#This Row],[2023]]-Sect61168[[#This Row],[2022]]</f>
        <v>113688.82286163606</v>
      </c>
      <c r="E92" s="4">
        <f>Sect61168[[#This Row],[2023]]-Sect61168[[#This Row],[2021]]</f>
        <v>127723.82286163606</v>
      </c>
      <c r="F92" s="3">
        <v>408789</v>
      </c>
      <c r="G92" s="3">
        <v>422824</v>
      </c>
      <c r="H92" s="3">
        <v>444539.19608535559</v>
      </c>
      <c r="I92" s="3">
        <v>28954.660281421631</v>
      </c>
      <c r="J92" s="3">
        <v>0</v>
      </c>
      <c r="K92" s="3">
        <v>0</v>
      </c>
      <c r="L92" s="3">
        <v>0</v>
      </c>
      <c r="M92" s="3">
        <v>0</v>
      </c>
      <c r="N92" s="3">
        <v>63018.966494858832</v>
      </c>
      <c r="O92" s="3">
        <f t="shared" si="1"/>
        <v>536512.82286163606</v>
      </c>
    </row>
    <row r="93" spans="1:15" x14ac:dyDescent="0.3">
      <c r="A93">
        <v>2109</v>
      </c>
      <c r="B93" t="s">
        <v>102</v>
      </c>
      <c r="C93">
        <v>0</v>
      </c>
      <c r="D93" s="4">
        <f>Sect61168[[#This Row],[2023]]-Sect61168[[#This Row],[2022]]</f>
        <v>-1048.5533333333333</v>
      </c>
      <c r="E93" s="4">
        <f>Sect61168[[#This Row],[2023]]-Sect61168[[#This Row],[2021]]</f>
        <v>-312.55333333333328</v>
      </c>
      <c r="F93" s="3">
        <v>1211</v>
      </c>
      <c r="G93" s="3">
        <v>1947</v>
      </c>
      <c r="H93" s="3">
        <v>898.44666666666672</v>
      </c>
      <c r="I93" s="3">
        <v>0</v>
      </c>
      <c r="J93" s="3">
        <v>0</v>
      </c>
      <c r="K93" s="3">
        <v>0</v>
      </c>
      <c r="L93" s="3">
        <v>0</v>
      </c>
      <c r="M93" s="3">
        <v>0</v>
      </c>
      <c r="N93" s="3">
        <v>0</v>
      </c>
      <c r="O93" s="3">
        <f t="shared" si="1"/>
        <v>898.44666666666672</v>
      </c>
    </row>
    <row r="94" spans="1:15" x14ac:dyDescent="0.3">
      <c r="A94">
        <v>2057</v>
      </c>
      <c r="B94" t="s">
        <v>74</v>
      </c>
      <c r="C94">
        <v>42</v>
      </c>
      <c r="D94" s="4">
        <f>Sect61168[[#This Row],[2023]]-Sect61168[[#This Row],[2022]]</f>
        <v>192217.04581353813</v>
      </c>
      <c r="E94" s="4">
        <f>Sect61168[[#This Row],[2023]]-Sect61168[[#This Row],[2021]]</f>
        <v>291293.04581353813</v>
      </c>
      <c r="F94" s="3">
        <v>1675397</v>
      </c>
      <c r="G94" s="3">
        <v>1774473</v>
      </c>
      <c r="H94" s="3">
        <v>1592696.5289047342</v>
      </c>
      <c r="I94" s="3">
        <v>240194.11215263701</v>
      </c>
      <c r="J94" s="3">
        <v>0</v>
      </c>
      <c r="K94" s="3">
        <v>0</v>
      </c>
      <c r="L94" s="3">
        <v>0</v>
      </c>
      <c r="M94" s="3">
        <v>0</v>
      </c>
      <c r="N94" s="3">
        <v>133799.40475616694</v>
      </c>
      <c r="O94" s="3">
        <f t="shared" si="1"/>
        <v>1966690.0458135381</v>
      </c>
    </row>
    <row r="95" spans="1:15" x14ac:dyDescent="0.3">
      <c r="A95">
        <v>2056</v>
      </c>
      <c r="B95" t="s">
        <v>223</v>
      </c>
      <c r="C95">
        <v>2</v>
      </c>
      <c r="D95" s="4">
        <f>Sect61168[[#This Row],[2023]]-Sect61168[[#This Row],[2022]]</f>
        <v>69438.09919077903</v>
      </c>
      <c r="E95" s="4">
        <f>Sect61168[[#This Row],[2023]]-Sect61168[[#This Row],[2021]]</f>
        <v>96250.09919077903</v>
      </c>
      <c r="F95" s="3">
        <v>864447</v>
      </c>
      <c r="G95" s="3">
        <v>891259</v>
      </c>
      <c r="H95" s="3">
        <v>654850.17112808966</v>
      </c>
      <c r="I95" s="3">
        <v>165119.81392341515</v>
      </c>
      <c r="J95" s="3">
        <v>0</v>
      </c>
      <c r="K95" s="3">
        <v>18763.615218569903</v>
      </c>
      <c r="L95" s="3">
        <v>0</v>
      </c>
      <c r="M95" s="3">
        <v>0</v>
      </c>
      <c r="N95" s="3">
        <v>121963.49892070438</v>
      </c>
      <c r="O95" s="3">
        <f t="shared" si="1"/>
        <v>960697.09919077903</v>
      </c>
    </row>
    <row r="96" spans="1:15" x14ac:dyDescent="0.3">
      <c r="A96">
        <v>2262</v>
      </c>
      <c r="B96" t="s">
        <v>167</v>
      </c>
      <c r="C96">
        <v>-3</v>
      </c>
      <c r="D96" s="4">
        <f>Sect61168[[#This Row],[2023]]-Sect61168[[#This Row],[2022]]</f>
        <v>55641.926017598773</v>
      </c>
      <c r="E96" s="4">
        <f>Sect61168[[#This Row],[2023]]-Sect61168[[#This Row],[2021]]</f>
        <v>62323.926017598773</v>
      </c>
      <c r="F96" s="3">
        <v>101216</v>
      </c>
      <c r="G96" s="3">
        <v>107898</v>
      </c>
      <c r="H96" s="3">
        <v>126371.76101359904</v>
      </c>
      <c r="I96" s="3">
        <v>22300.89900239983</v>
      </c>
      <c r="J96" s="3">
        <v>0</v>
      </c>
      <c r="K96" s="3">
        <v>0</v>
      </c>
      <c r="L96" s="3">
        <v>0</v>
      </c>
      <c r="M96" s="3">
        <v>0</v>
      </c>
      <c r="N96" s="3">
        <v>14867.266001599888</v>
      </c>
      <c r="O96" s="3">
        <f t="shared" si="1"/>
        <v>163539.92601759877</v>
      </c>
    </row>
    <row r="97" spans="1:15" x14ac:dyDescent="0.3">
      <c r="A97">
        <v>2212</v>
      </c>
      <c r="B97" t="s">
        <v>140</v>
      </c>
      <c r="C97">
        <v>20</v>
      </c>
      <c r="D97" s="4">
        <f>Sect61168[[#This Row],[2023]]-Sect61168[[#This Row],[2022]]</f>
        <v>102237.757824837</v>
      </c>
      <c r="E97" s="4">
        <f>Sect61168[[#This Row],[2023]]-Sect61168[[#This Row],[2021]]</f>
        <v>110588.757824837</v>
      </c>
      <c r="F97" s="3">
        <v>603843</v>
      </c>
      <c r="G97" s="3">
        <v>612194</v>
      </c>
      <c r="H97" s="3">
        <v>576912.02979282616</v>
      </c>
      <c r="I97" s="3">
        <v>82176.422848396745</v>
      </c>
      <c r="J97" s="3">
        <v>0</v>
      </c>
      <c r="K97" s="3">
        <v>10062.419124293479</v>
      </c>
      <c r="L97" s="3">
        <v>0</v>
      </c>
      <c r="M97" s="3">
        <v>0</v>
      </c>
      <c r="N97" s="3">
        <v>45280.886059320655</v>
      </c>
      <c r="O97" s="3">
        <f t="shared" si="1"/>
        <v>714431.757824837</v>
      </c>
    </row>
    <row r="98" spans="1:15" x14ac:dyDescent="0.3">
      <c r="A98">
        <v>2059</v>
      </c>
      <c r="B98" t="s">
        <v>75</v>
      </c>
      <c r="C98">
        <v>5</v>
      </c>
      <c r="D98" s="4">
        <f>Sect61168[[#This Row],[2023]]-Sect61168[[#This Row],[2022]]</f>
        <v>22753.380237220525</v>
      </c>
      <c r="E98" s="4">
        <f>Sect61168[[#This Row],[2023]]-Sect61168[[#This Row],[2021]]</f>
        <v>21241.380237220525</v>
      </c>
      <c r="F98" s="3">
        <v>175814</v>
      </c>
      <c r="G98" s="3">
        <v>174302</v>
      </c>
      <c r="H98" s="3">
        <v>167248.68406688463</v>
      </c>
      <c r="I98" s="3">
        <v>19871.130780223917</v>
      </c>
      <c r="J98" s="3">
        <v>0</v>
      </c>
      <c r="K98" s="3">
        <v>0</v>
      </c>
      <c r="L98" s="3">
        <v>0</v>
      </c>
      <c r="M98" s="3">
        <v>0</v>
      </c>
      <c r="N98" s="3">
        <v>9935.5653901119585</v>
      </c>
      <c r="O98" s="3">
        <f t="shared" si="1"/>
        <v>197055.38023722052</v>
      </c>
    </row>
    <row r="99" spans="1:15" x14ac:dyDescent="0.3">
      <c r="A99">
        <v>1923</v>
      </c>
      <c r="B99" t="s">
        <v>8</v>
      </c>
      <c r="C99">
        <v>52</v>
      </c>
      <c r="D99" s="4">
        <f>Sect61168[[#This Row],[2023]]-Sect61168[[#This Row],[2022]]</f>
        <v>-204618.28930215235</v>
      </c>
      <c r="E99" s="4">
        <f>Sect61168[[#This Row],[2023]]-Sect61168[[#This Row],[2021]]</f>
        <v>-105078.28930215235</v>
      </c>
      <c r="F99" s="3">
        <v>1514828</v>
      </c>
      <c r="G99" s="3">
        <v>1614368</v>
      </c>
      <c r="H99" s="3">
        <v>1008938.5184406165</v>
      </c>
      <c r="I99" s="3">
        <v>333433.4487312311</v>
      </c>
      <c r="J99" s="3">
        <v>0</v>
      </c>
      <c r="K99" s="3">
        <v>0</v>
      </c>
      <c r="L99" s="3">
        <v>0</v>
      </c>
      <c r="M99" s="3">
        <v>0</v>
      </c>
      <c r="N99" s="3">
        <v>67377.743526000064</v>
      </c>
      <c r="O99" s="3">
        <f t="shared" si="1"/>
        <v>1409749.7106978477</v>
      </c>
    </row>
    <row r="100" spans="1:15" x14ac:dyDescent="0.3">
      <c r="A100">
        <v>2101</v>
      </c>
      <c r="B100" t="s">
        <v>96</v>
      </c>
      <c r="C100">
        <v>61</v>
      </c>
      <c r="D100" s="4">
        <f>Sect61168[[#This Row],[2023]]-Sect61168[[#This Row],[2022]]</f>
        <v>283237.35225698282</v>
      </c>
      <c r="E100" s="4">
        <f>Sect61168[[#This Row],[2023]]-Sect61168[[#This Row],[2021]]</f>
        <v>259308.35225698282</v>
      </c>
      <c r="F100" s="3">
        <v>1010091</v>
      </c>
      <c r="G100" s="3">
        <v>986162</v>
      </c>
      <c r="H100" s="3">
        <v>1024850.9345851687</v>
      </c>
      <c r="I100" s="3">
        <v>125491.95117369412</v>
      </c>
      <c r="J100" s="3">
        <v>3217.7423377870286</v>
      </c>
      <c r="K100" s="3">
        <v>0</v>
      </c>
      <c r="L100" s="3">
        <v>0</v>
      </c>
      <c r="M100" s="3">
        <v>0</v>
      </c>
      <c r="N100" s="3">
        <v>115838.72416033303</v>
      </c>
      <c r="O100" s="3">
        <f t="shared" si="1"/>
        <v>1269399.3522569828</v>
      </c>
    </row>
    <row r="101" spans="1:15" x14ac:dyDescent="0.3">
      <c r="A101">
        <v>2097</v>
      </c>
      <c r="B101" t="s">
        <v>94</v>
      </c>
      <c r="C101">
        <v>-9</v>
      </c>
      <c r="D101" s="4">
        <f>Sect61168[[#This Row],[2023]]-Sect61168[[#This Row],[2022]]</f>
        <v>9916.6955306762829</v>
      </c>
      <c r="E101" s="4">
        <f>Sect61168[[#This Row],[2023]]-Sect61168[[#This Row],[2021]]</f>
        <v>40917.695530676283</v>
      </c>
      <c r="F101" s="3">
        <v>1436728</v>
      </c>
      <c r="G101" s="3">
        <v>1467729</v>
      </c>
      <c r="H101" s="3">
        <v>1047988.9193333873</v>
      </c>
      <c r="I101" s="3">
        <v>323176.61861796078</v>
      </c>
      <c r="J101" s="3">
        <v>3736.145879976425</v>
      </c>
      <c r="K101" s="3">
        <v>3736.145879976425</v>
      </c>
      <c r="L101" s="3">
        <v>0</v>
      </c>
      <c r="M101" s="3">
        <v>0</v>
      </c>
      <c r="N101" s="3">
        <v>99007.865819375264</v>
      </c>
      <c r="O101" s="3">
        <f t="shared" si="1"/>
        <v>1477645.6955306763</v>
      </c>
    </row>
    <row r="102" spans="1:15" x14ac:dyDescent="0.3">
      <c r="A102">
        <v>2012</v>
      </c>
      <c r="B102" t="s">
        <v>50</v>
      </c>
      <c r="C102">
        <v>-1</v>
      </c>
      <c r="D102" s="4">
        <f>Sect61168[[#This Row],[2023]]-Sect61168[[#This Row],[2022]]</f>
        <v>-6527.7973089309198</v>
      </c>
      <c r="E102" s="4">
        <f>Sect61168[[#This Row],[2023]]-Sect61168[[#This Row],[2021]]</f>
        <v>-6293.7973089309198</v>
      </c>
      <c r="F102" s="3">
        <v>11112</v>
      </c>
      <c r="G102" s="3">
        <v>11346</v>
      </c>
      <c r="H102" s="3">
        <v>4818.2026910690802</v>
      </c>
      <c r="I102" s="3">
        <v>0</v>
      </c>
      <c r="J102" s="3">
        <v>0</v>
      </c>
      <c r="K102" s="3">
        <v>0</v>
      </c>
      <c r="L102" s="3">
        <v>0</v>
      </c>
      <c r="M102" s="3">
        <v>0</v>
      </c>
      <c r="N102" s="3">
        <v>0</v>
      </c>
      <c r="O102" s="3">
        <f t="shared" si="1"/>
        <v>4818.2026910690802</v>
      </c>
    </row>
    <row r="103" spans="1:15" x14ac:dyDescent="0.3">
      <c r="A103">
        <v>2092</v>
      </c>
      <c r="B103" t="s">
        <v>89</v>
      </c>
      <c r="C103">
        <v>-9</v>
      </c>
      <c r="D103" s="4">
        <f>Sect61168[[#This Row],[2023]]-Sect61168[[#This Row],[2022]]</f>
        <v>-45541.35285208869</v>
      </c>
      <c r="E103" s="4">
        <f>Sect61168[[#This Row],[2023]]-Sect61168[[#This Row],[2021]]</f>
        <v>21712.64714791131</v>
      </c>
      <c r="F103" s="3">
        <v>166508</v>
      </c>
      <c r="G103" s="3">
        <v>233762</v>
      </c>
      <c r="H103" s="3">
        <v>176548.04887517262</v>
      </c>
      <c r="I103" s="3">
        <v>1459.0747840923357</v>
      </c>
      <c r="J103" s="3">
        <v>0</v>
      </c>
      <c r="K103" s="3">
        <v>1459.0747840923357</v>
      </c>
      <c r="L103" s="3">
        <v>0</v>
      </c>
      <c r="M103" s="3">
        <v>0</v>
      </c>
      <c r="N103" s="3">
        <v>8754.4487045540136</v>
      </c>
      <c r="O103" s="3">
        <f t="shared" si="1"/>
        <v>188220.64714791131</v>
      </c>
    </row>
    <row r="104" spans="1:15" x14ac:dyDescent="0.3">
      <c r="A104">
        <v>2112</v>
      </c>
      <c r="B104" t="s">
        <v>105</v>
      </c>
      <c r="C104">
        <v>0</v>
      </c>
      <c r="D104" s="4">
        <f>Sect61168[[#This Row],[2023]]-Sect61168[[#This Row],[2022]]</f>
        <v>-44</v>
      </c>
      <c r="E104" s="4">
        <f>Sect61168[[#This Row],[2023]]-Sect61168[[#This Row],[2021]]</f>
        <v>-502</v>
      </c>
      <c r="F104" s="3">
        <v>502</v>
      </c>
      <c r="G104" s="3">
        <v>44</v>
      </c>
      <c r="H104" s="3">
        <v>0</v>
      </c>
      <c r="I104" s="3">
        <v>0</v>
      </c>
      <c r="J104" s="3">
        <v>0</v>
      </c>
      <c r="K104" s="3">
        <v>0</v>
      </c>
      <c r="L104" s="3">
        <v>0</v>
      </c>
      <c r="M104" s="3">
        <v>0</v>
      </c>
      <c r="N104" s="3">
        <v>0</v>
      </c>
      <c r="O104" s="3">
        <f t="shared" si="1"/>
        <v>0</v>
      </c>
    </row>
    <row r="105" spans="1:15" x14ac:dyDescent="0.3">
      <c r="A105">
        <v>2085</v>
      </c>
      <c r="B105" t="s">
        <v>84</v>
      </c>
      <c r="C105">
        <v>11</v>
      </c>
      <c r="D105" s="4">
        <f>Sect61168[[#This Row],[2023]]-Sect61168[[#This Row],[2022]]</f>
        <v>12960.976114210556</v>
      </c>
      <c r="E105" s="4">
        <f>Sect61168[[#This Row],[2023]]-Sect61168[[#This Row],[2021]]</f>
        <v>15189.976114210556</v>
      </c>
      <c r="F105" s="3">
        <v>60724</v>
      </c>
      <c r="G105" s="3">
        <v>62953</v>
      </c>
      <c r="H105" s="3">
        <v>61680.10559279607</v>
      </c>
      <c r="I105" s="3">
        <v>0</v>
      </c>
      <c r="J105" s="3">
        <v>0</v>
      </c>
      <c r="K105" s="3">
        <v>0</v>
      </c>
      <c r="L105" s="3">
        <v>0</v>
      </c>
      <c r="M105" s="3">
        <v>0</v>
      </c>
      <c r="N105" s="3">
        <v>14233.870521414479</v>
      </c>
      <c r="O105" s="3">
        <f t="shared" si="1"/>
        <v>75913.976114210556</v>
      </c>
    </row>
    <row r="106" spans="1:15" x14ac:dyDescent="0.3">
      <c r="A106">
        <v>2094</v>
      </c>
      <c r="B106" t="s">
        <v>91</v>
      </c>
      <c r="C106">
        <v>15</v>
      </c>
      <c r="D106" s="4">
        <f>Sect61168[[#This Row],[2023]]-Sect61168[[#This Row],[2022]]</f>
        <v>14156.48179797706</v>
      </c>
      <c r="E106" s="4">
        <f>Sect61168[[#This Row],[2023]]-Sect61168[[#This Row],[2021]]</f>
        <v>37533.48179797706</v>
      </c>
      <c r="F106" s="3">
        <v>108041</v>
      </c>
      <c r="G106" s="3">
        <v>131418</v>
      </c>
      <c r="H106" s="3">
        <v>135485.16127732518</v>
      </c>
      <c r="I106" s="3">
        <v>5765.3260118010712</v>
      </c>
      <c r="J106" s="3">
        <v>0</v>
      </c>
      <c r="K106" s="3">
        <v>0</v>
      </c>
      <c r="L106" s="3">
        <v>0</v>
      </c>
      <c r="M106" s="3">
        <v>0</v>
      </c>
      <c r="N106" s="3">
        <v>4323.994508850803</v>
      </c>
      <c r="O106" s="3">
        <f t="shared" si="1"/>
        <v>145574.48179797706</v>
      </c>
    </row>
    <row r="107" spans="1:15" x14ac:dyDescent="0.3">
      <c r="A107">
        <v>2090</v>
      </c>
      <c r="B107" t="s">
        <v>87</v>
      </c>
      <c r="C107">
        <v>4</v>
      </c>
      <c r="D107" s="4">
        <f>Sect61168[[#This Row],[2023]]-Sect61168[[#This Row],[2022]]</f>
        <v>8373.0214963486942</v>
      </c>
      <c r="E107" s="4">
        <f>Sect61168[[#This Row],[2023]]-Sect61168[[#This Row],[2021]]</f>
        <v>7944.0214963486942</v>
      </c>
      <c r="F107" s="3">
        <v>58428</v>
      </c>
      <c r="G107" s="3">
        <v>57999</v>
      </c>
      <c r="H107" s="3">
        <v>62467.784937739954</v>
      </c>
      <c r="I107" s="3">
        <v>1952.1182793043736</v>
      </c>
      <c r="J107" s="3">
        <v>0</v>
      </c>
      <c r="K107" s="3">
        <v>0</v>
      </c>
      <c r="L107" s="3">
        <v>0</v>
      </c>
      <c r="M107" s="3">
        <v>0</v>
      </c>
      <c r="N107" s="3">
        <v>1952.1182793043736</v>
      </c>
      <c r="O107" s="3">
        <f t="shared" si="1"/>
        <v>66372.021496348694</v>
      </c>
    </row>
    <row r="108" spans="1:15" x14ac:dyDescent="0.3">
      <c r="A108">
        <v>2256</v>
      </c>
      <c r="B108" t="s">
        <v>165</v>
      </c>
      <c r="C108">
        <v>32</v>
      </c>
      <c r="D108" s="4">
        <f>Sect61168[[#This Row],[2023]]-Sect61168[[#This Row],[2022]]</f>
        <v>133794.53798343334</v>
      </c>
      <c r="E108" s="4">
        <f>Sect61168[[#This Row],[2023]]-Sect61168[[#This Row],[2021]]</f>
        <v>201571.53798343334</v>
      </c>
      <c r="F108" s="3">
        <v>1305072</v>
      </c>
      <c r="G108" s="3">
        <v>1372849</v>
      </c>
      <c r="H108" s="3">
        <v>1196315.3118282463</v>
      </c>
      <c r="I108" s="3">
        <v>229642.88735483849</v>
      </c>
      <c r="J108" s="3">
        <v>0</v>
      </c>
      <c r="K108" s="3">
        <v>0</v>
      </c>
      <c r="L108" s="3">
        <v>0</v>
      </c>
      <c r="M108" s="3">
        <v>0</v>
      </c>
      <c r="N108" s="3">
        <v>80685.338800348647</v>
      </c>
      <c r="O108" s="3">
        <f t="shared" si="1"/>
        <v>1506643.5379834333</v>
      </c>
    </row>
    <row r="109" spans="1:15" x14ac:dyDescent="0.3">
      <c r="A109">
        <v>2048</v>
      </c>
      <c r="B109" t="s">
        <v>68</v>
      </c>
      <c r="C109">
        <v>-20</v>
      </c>
      <c r="D109" s="4">
        <f>Sect61168[[#This Row],[2023]]-Sect61168[[#This Row],[2022]]</f>
        <v>369418.89071877254</v>
      </c>
      <c r="E109" s="4">
        <f>Sect61168[[#This Row],[2023]]-Sect61168[[#This Row],[2021]]</f>
        <v>398876.89071877254</v>
      </c>
      <c r="F109" s="3">
        <v>3122028</v>
      </c>
      <c r="G109" s="3">
        <v>3151486</v>
      </c>
      <c r="H109" s="3">
        <v>2400547.7789293146</v>
      </c>
      <c r="I109" s="3">
        <v>933123.51837899163</v>
      </c>
      <c r="J109" s="3">
        <v>1522.2243366704593</v>
      </c>
      <c r="K109" s="3">
        <v>3044.4486733409185</v>
      </c>
      <c r="L109" s="3">
        <v>0</v>
      </c>
      <c r="M109" s="3">
        <v>0</v>
      </c>
      <c r="N109" s="3">
        <v>182666.92040045516</v>
      </c>
      <c r="O109" s="3">
        <f t="shared" si="1"/>
        <v>3520904.8907187725</v>
      </c>
    </row>
    <row r="110" spans="1:15" x14ac:dyDescent="0.3">
      <c r="A110">
        <v>2205</v>
      </c>
      <c r="B110" t="s">
        <v>224</v>
      </c>
      <c r="C110">
        <v>4</v>
      </c>
      <c r="D110" s="4">
        <f>Sect61168[[#This Row],[2023]]-Sect61168[[#This Row],[2022]]</f>
        <v>37228.426388601074</v>
      </c>
      <c r="E110" s="4">
        <f>Sect61168[[#This Row],[2023]]-Sect61168[[#This Row],[2021]]</f>
        <v>47233.426388601074</v>
      </c>
      <c r="F110" s="3">
        <v>365197</v>
      </c>
      <c r="G110" s="3">
        <v>375202</v>
      </c>
      <c r="H110" s="3">
        <v>307332.32545559847</v>
      </c>
      <c r="I110" s="3">
        <v>70065.400622001718</v>
      </c>
      <c r="J110" s="3">
        <v>0</v>
      </c>
      <c r="K110" s="3">
        <v>0</v>
      </c>
      <c r="L110" s="3">
        <v>0</v>
      </c>
      <c r="M110" s="3">
        <v>0</v>
      </c>
      <c r="N110" s="3">
        <v>35032.700311000859</v>
      </c>
      <c r="O110" s="3">
        <f t="shared" si="1"/>
        <v>412430.42638860107</v>
      </c>
    </row>
    <row r="111" spans="1:15" x14ac:dyDescent="0.3">
      <c r="A111">
        <v>2249</v>
      </c>
      <c r="B111" t="s">
        <v>160</v>
      </c>
      <c r="C111">
        <v>-16</v>
      </c>
      <c r="D111" s="4">
        <f>Sect61168[[#This Row],[2023]]-Sect61168[[#This Row],[2022]]</f>
        <v>-17027.776737878157</v>
      </c>
      <c r="E111" s="4">
        <f>Sect61168[[#This Row],[2023]]-Sect61168[[#This Row],[2021]]</f>
        <v>125233.22326212184</v>
      </c>
      <c r="F111" s="3">
        <v>71518</v>
      </c>
      <c r="G111" s="3">
        <v>213779</v>
      </c>
      <c r="H111" s="3">
        <v>195529.16597477946</v>
      </c>
      <c r="I111" s="3">
        <v>1222.0572873423714</v>
      </c>
      <c r="J111" s="3">
        <v>0</v>
      </c>
      <c r="K111" s="3">
        <v>0</v>
      </c>
      <c r="L111" s="3">
        <v>0</v>
      </c>
      <c r="M111" s="3">
        <v>0</v>
      </c>
      <c r="N111" s="3">
        <v>0</v>
      </c>
      <c r="O111" s="3">
        <f t="shared" si="1"/>
        <v>196751.22326212184</v>
      </c>
    </row>
    <row r="112" spans="1:15" x14ac:dyDescent="0.3">
      <c r="A112">
        <v>1925</v>
      </c>
      <c r="B112" t="s">
        <v>10</v>
      </c>
      <c r="C112">
        <v>42</v>
      </c>
      <c r="D112" s="4">
        <f>Sect61168[[#This Row],[2023]]-Sect61168[[#This Row],[2022]]</f>
        <v>128166.48157457449</v>
      </c>
      <c r="E112" s="4">
        <f>Sect61168[[#This Row],[2023]]-Sect61168[[#This Row],[2021]]</f>
        <v>155191.48157457449</v>
      </c>
      <c r="F112" s="3">
        <v>604674</v>
      </c>
      <c r="G112" s="3">
        <v>631699</v>
      </c>
      <c r="H112" s="3">
        <v>579020.669675824</v>
      </c>
      <c r="I112" s="3">
        <v>122149.56593161219</v>
      </c>
      <c r="J112" s="3">
        <v>0</v>
      </c>
      <c r="K112" s="3">
        <v>0</v>
      </c>
      <c r="L112" s="3">
        <v>0</v>
      </c>
      <c r="M112" s="3">
        <v>0</v>
      </c>
      <c r="N112" s="3">
        <v>58695.245967138326</v>
      </c>
      <c r="O112" s="3">
        <f t="shared" si="1"/>
        <v>759865.48157457449</v>
      </c>
    </row>
    <row r="113" spans="1:15" x14ac:dyDescent="0.3">
      <c r="A113">
        <v>1898</v>
      </c>
      <c r="B113" t="s">
        <v>4</v>
      </c>
      <c r="C113">
        <v>11</v>
      </c>
      <c r="D113" s="4">
        <f>Sect61168[[#This Row],[2023]]-Sect61168[[#This Row],[2022]]</f>
        <v>11545.766582006618</v>
      </c>
      <c r="E113" s="4">
        <f>Sect61168[[#This Row],[2023]]-Sect61168[[#This Row],[2021]]</f>
        <v>12920.766582006618</v>
      </c>
      <c r="F113" s="3">
        <v>93299</v>
      </c>
      <c r="G113" s="3">
        <v>94674</v>
      </c>
      <c r="H113" s="3">
        <v>71423.636149969971</v>
      </c>
      <c r="I113" s="3">
        <v>21976.503430759989</v>
      </c>
      <c r="J113" s="3">
        <v>0</v>
      </c>
      <c r="K113" s="3">
        <v>0</v>
      </c>
      <c r="L113" s="3">
        <v>0</v>
      </c>
      <c r="M113" s="3">
        <v>0</v>
      </c>
      <c r="N113" s="3">
        <v>12819.627001276662</v>
      </c>
      <c r="O113" s="3">
        <f t="shared" si="1"/>
        <v>106219.76658200662</v>
      </c>
    </row>
    <row r="114" spans="1:15" x14ac:dyDescent="0.3">
      <c r="A114">
        <v>2010</v>
      </c>
      <c r="B114" t="s">
        <v>48</v>
      </c>
      <c r="C114">
        <v>0</v>
      </c>
      <c r="D114" s="4">
        <f>Sect61168[[#This Row],[2023]]-Sect61168[[#This Row],[2022]]</f>
        <v>3318.4342196217185</v>
      </c>
      <c r="E114" s="4">
        <f>Sect61168[[#This Row],[2023]]-Sect61168[[#This Row],[2021]]</f>
        <v>3201.4342196217185</v>
      </c>
      <c r="F114" s="3">
        <v>13209</v>
      </c>
      <c r="G114" s="3">
        <v>13092</v>
      </c>
      <c r="H114" s="3">
        <v>10940.289479747811</v>
      </c>
      <c r="I114" s="3">
        <v>5470.1447398739056</v>
      </c>
      <c r="J114" s="3">
        <v>0</v>
      </c>
      <c r="K114" s="3">
        <v>0</v>
      </c>
      <c r="L114" s="3">
        <v>0</v>
      </c>
      <c r="M114" s="3">
        <v>0</v>
      </c>
      <c r="N114" s="3">
        <v>0</v>
      </c>
      <c r="O114" s="3">
        <f t="shared" si="1"/>
        <v>16410.434219621719</v>
      </c>
    </row>
    <row r="115" spans="1:15" x14ac:dyDescent="0.3">
      <c r="A115">
        <v>2147</v>
      </c>
      <c r="B115" t="s">
        <v>120</v>
      </c>
      <c r="C115">
        <v>12</v>
      </c>
      <c r="D115" s="4">
        <f>Sect61168[[#This Row],[2023]]-Sect61168[[#This Row],[2022]]</f>
        <v>117105.0059706117</v>
      </c>
      <c r="E115" s="4">
        <f>Sect61168[[#This Row],[2023]]-Sect61168[[#This Row],[2021]]</f>
        <v>147213.0059706117</v>
      </c>
      <c r="F115" s="3">
        <v>448246</v>
      </c>
      <c r="G115" s="3">
        <v>478354</v>
      </c>
      <c r="H115" s="3">
        <v>465755.064076023</v>
      </c>
      <c r="I115" s="3">
        <v>78117.146822877272</v>
      </c>
      <c r="J115" s="3">
        <v>0</v>
      </c>
      <c r="K115" s="3">
        <v>0</v>
      </c>
      <c r="L115" s="3">
        <v>0</v>
      </c>
      <c r="M115" s="3">
        <v>0</v>
      </c>
      <c r="N115" s="3">
        <v>51586.7950717114</v>
      </c>
      <c r="O115" s="3">
        <f t="shared" si="1"/>
        <v>595459.0059706117</v>
      </c>
    </row>
    <row r="116" spans="1:15" x14ac:dyDescent="0.3">
      <c r="A116">
        <v>2145</v>
      </c>
      <c r="B116" t="s">
        <v>118</v>
      </c>
      <c r="C116">
        <v>16</v>
      </c>
      <c r="D116" s="4">
        <f>Sect61168[[#This Row],[2023]]-Sect61168[[#This Row],[2022]]</f>
        <v>22858.714489046135</v>
      </c>
      <c r="E116" s="4">
        <f>Sect61168[[#This Row],[2023]]-Sect61168[[#This Row],[2021]]</f>
        <v>25034.714489046135</v>
      </c>
      <c r="F116" s="3">
        <v>158013</v>
      </c>
      <c r="G116" s="3">
        <v>160189</v>
      </c>
      <c r="H116" s="3">
        <v>154334.34751037223</v>
      </c>
      <c r="I116" s="3">
        <v>23329.610670172544</v>
      </c>
      <c r="J116" s="3">
        <v>0</v>
      </c>
      <c r="K116" s="3">
        <v>0</v>
      </c>
      <c r="L116" s="3">
        <v>0</v>
      </c>
      <c r="M116" s="3">
        <v>0</v>
      </c>
      <c r="N116" s="3">
        <v>5383.7563085013571</v>
      </c>
      <c r="O116" s="3">
        <f t="shared" si="1"/>
        <v>183047.71448904613</v>
      </c>
    </row>
    <row r="117" spans="1:15" x14ac:dyDescent="0.3">
      <c r="A117">
        <v>1968</v>
      </c>
      <c r="B117" t="s">
        <v>28</v>
      </c>
      <c r="C117">
        <v>10</v>
      </c>
      <c r="D117" s="4">
        <f>Sect61168[[#This Row],[2023]]-Sect61168[[#This Row],[2022]]</f>
        <v>19932.738740871748</v>
      </c>
      <c r="E117" s="4">
        <f>Sect61168[[#This Row],[2023]]-Sect61168[[#This Row],[2021]]</f>
        <v>23162.738740871748</v>
      </c>
      <c r="F117" s="3">
        <v>157799</v>
      </c>
      <c r="G117" s="3">
        <v>161029</v>
      </c>
      <c r="H117" s="3">
        <v>159672.12241841626</v>
      </c>
      <c r="I117" s="3">
        <v>12773.769793473302</v>
      </c>
      <c r="J117" s="3">
        <v>0</v>
      </c>
      <c r="K117" s="3">
        <v>0</v>
      </c>
      <c r="L117" s="3">
        <v>0</v>
      </c>
      <c r="M117" s="3">
        <v>0</v>
      </c>
      <c r="N117" s="3">
        <v>8515.8465289822016</v>
      </c>
      <c r="O117" s="3">
        <f t="shared" si="1"/>
        <v>180961.73874087175</v>
      </c>
    </row>
    <row r="118" spans="1:15" x14ac:dyDescent="0.3">
      <c r="A118">
        <v>2198</v>
      </c>
      <c r="B118" t="s">
        <v>134</v>
      </c>
      <c r="C118">
        <v>6</v>
      </c>
      <c r="D118" s="4">
        <f>Sect61168[[#This Row],[2023]]-Sect61168[[#This Row],[2022]]</f>
        <v>18312.478708667855</v>
      </c>
      <c r="E118" s="4">
        <f>Sect61168[[#This Row],[2023]]-Sect61168[[#This Row],[2021]]</f>
        <v>13888.478708667855</v>
      </c>
      <c r="F118" s="3">
        <v>178313</v>
      </c>
      <c r="G118" s="3">
        <v>173889</v>
      </c>
      <c r="H118" s="3">
        <v>150644.40223111806</v>
      </c>
      <c r="I118" s="3">
        <v>29436.26250493111</v>
      </c>
      <c r="J118" s="3">
        <v>0</v>
      </c>
      <c r="K118" s="3">
        <v>0</v>
      </c>
      <c r="L118" s="3">
        <v>0</v>
      </c>
      <c r="M118" s="3">
        <v>0</v>
      </c>
      <c r="N118" s="3">
        <v>12120.813972618693</v>
      </c>
      <c r="O118" s="3">
        <f t="shared" si="1"/>
        <v>192201.47870866786</v>
      </c>
    </row>
    <row r="119" spans="1:15" x14ac:dyDescent="0.3">
      <c r="A119">
        <v>2199</v>
      </c>
      <c r="B119" t="s">
        <v>135</v>
      </c>
      <c r="C119">
        <v>-9</v>
      </c>
      <c r="D119" s="4">
        <f>Sect61168[[#This Row],[2023]]-Sect61168[[#This Row],[2022]]</f>
        <v>5356.6410659046669</v>
      </c>
      <c r="E119" s="4">
        <f>Sect61168[[#This Row],[2023]]-Sect61168[[#This Row],[2021]]</f>
        <v>11945.641065904667</v>
      </c>
      <c r="F119" s="3">
        <v>130588</v>
      </c>
      <c r="G119" s="3">
        <v>137177</v>
      </c>
      <c r="H119" s="3">
        <v>122458.48035239695</v>
      </c>
      <c r="I119" s="3">
        <v>16060.128570806159</v>
      </c>
      <c r="J119" s="3">
        <v>2007.5160713507698</v>
      </c>
      <c r="K119" s="3">
        <v>0</v>
      </c>
      <c r="L119" s="3">
        <v>0</v>
      </c>
      <c r="M119" s="3">
        <v>0</v>
      </c>
      <c r="N119" s="3">
        <v>2007.5160713507698</v>
      </c>
      <c r="O119" s="3">
        <f t="shared" si="1"/>
        <v>142533.64106590467</v>
      </c>
    </row>
    <row r="120" spans="1:15" x14ac:dyDescent="0.3">
      <c r="A120">
        <v>2254</v>
      </c>
      <c r="B120" t="s">
        <v>163</v>
      </c>
      <c r="C120">
        <v>-11</v>
      </c>
      <c r="D120" s="4">
        <f>Sect61168[[#This Row],[2023]]-Sect61168[[#This Row],[2022]]</f>
        <v>105797.61842771759</v>
      </c>
      <c r="E120" s="4">
        <f>Sect61168[[#This Row],[2023]]-Sect61168[[#This Row],[2021]]</f>
        <v>102463.61842771759</v>
      </c>
      <c r="F120" s="3">
        <v>1060936</v>
      </c>
      <c r="G120" s="3">
        <v>1057602</v>
      </c>
      <c r="H120" s="3">
        <v>878827.04989144136</v>
      </c>
      <c r="I120" s="3">
        <v>220962.22968699102</v>
      </c>
      <c r="J120" s="3">
        <v>1673.9562855075076</v>
      </c>
      <c r="K120" s="3">
        <v>0</v>
      </c>
      <c r="L120" s="3">
        <v>0</v>
      </c>
      <c r="M120" s="3">
        <v>0</v>
      </c>
      <c r="N120" s="3">
        <v>61936.382563777777</v>
      </c>
      <c r="O120" s="3">
        <f t="shared" si="1"/>
        <v>1163399.6184277176</v>
      </c>
    </row>
    <row r="121" spans="1:15" x14ac:dyDescent="0.3">
      <c r="A121">
        <v>1966</v>
      </c>
      <c r="B121" t="s">
        <v>26</v>
      </c>
      <c r="C121">
        <v>-32</v>
      </c>
      <c r="D121" s="4">
        <f>Sect61168[[#This Row],[2023]]-Sect61168[[#This Row],[2022]]</f>
        <v>-78842.927023921977</v>
      </c>
      <c r="E121" s="4">
        <f>Sect61168[[#This Row],[2023]]-Sect61168[[#This Row],[2021]]</f>
        <v>121057.07297607802</v>
      </c>
      <c r="F121" s="3">
        <v>816435</v>
      </c>
      <c r="G121" s="3">
        <v>1016335</v>
      </c>
      <c r="H121" s="3">
        <v>744292.69307222415</v>
      </c>
      <c r="I121" s="3">
        <v>148858.53861444478</v>
      </c>
      <c r="J121" s="3">
        <v>0</v>
      </c>
      <c r="K121" s="3">
        <v>7918.0073731087668</v>
      </c>
      <c r="L121" s="3">
        <v>0</v>
      </c>
      <c r="M121" s="3">
        <v>0</v>
      </c>
      <c r="N121" s="3">
        <v>36422.833916300326</v>
      </c>
      <c r="O121" s="3">
        <f t="shared" si="1"/>
        <v>937492.07297607802</v>
      </c>
    </row>
    <row r="122" spans="1:15" x14ac:dyDescent="0.3">
      <c r="A122">
        <v>1924</v>
      </c>
      <c r="B122" t="s">
        <v>9</v>
      </c>
      <c r="C122">
        <v>266</v>
      </c>
      <c r="D122" s="4">
        <f>Sect61168[[#This Row],[2023]]-Sect61168[[#This Row],[2022]]</f>
        <v>1040322.2596332394</v>
      </c>
      <c r="E122" s="4">
        <f>Sect61168[[#This Row],[2023]]-Sect61168[[#This Row],[2021]]</f>
        <v>1157163.2596332394</v>
      </c>
      <c r="F122" s="3">
        <v>3416990</v>
      </c>
      <c r="G122" s="3">
        <v>3533831</v>
      </c>
      <c r="H122" s="3">
        <v>3410708.0881791371</v>
      </c>
      <c r="I122" s="3">
        <v>827240.48312516045</v>
      </c>
      <c r="J122" s="3">
        <v>2949.1639327100193</v>
      </c>
      <c r="K122" s="3">
        <v>0</v>
      </c>
      <c r="L122" s="3">
        <v>0</v>
      </c>
      <c r="M122" s="3">
        <v>0</v>
      </c>
      <c r="N122" s="3">
        <v>333255.52439623215</v>
      </c>
      <c r="O122" s="3">
        <f t="shared" si="1"/>
        <v>4574153.2596332394</v>
      </c>
    </row>
    <row r="123" spans="1:15" x14ac:dyDescent="0.3">
      <c r="A123">
        <v>1996</v>
      </c>
      <c r="B123" t="s">
        <v>36</v>
      </c>
      <c r="C123">
        <v>24</v>
      </c>
      <c r="D123" s="4">
        <f>Sect61168[[#This Row],[2023]]-Sect61168[[#This Row],[2022]]</f>
        <v>41924.040232881947</v>
      </c>
      <c r="E123" s="4">
        <f>Sect61168[[#This Row],[2023]]-Sect61168[[#This Row],[2021]]</f>
        <v>53126.040232881947</v>
      </c>
      <c r="F123" s="3">
        <v>66855</v>
      </c>
      <c r="G123" s="3">
        <v>78057</v>
      </c>
      <c r="H123" s="3">
        <v>95106.922135821049</v>
      </c>
      <c r="I123" s="3">
        <v>13168.650757267527</v>
      </c>
      <c r="J123" s="3">
        <v>0</v>
      </c>
      <c r="K123" s="3">
        <v>0</v>
      </c>
      <c r="L123" s="3">
        <v>0</v>
      </c>
      <c r="M123" s="3">
        <v>0</v>
      </c>
      <c r="N123" s="3">
        <v>11705.46733979336</v>
      </c>
      <c r="O123" s="3">
        <f t="shared" si="1"/>
        <v>119981.04023288195</v>
      </c>
    </row>
    <row r="124" spans="1:15" x14ac:dyDescent="0.3">
      <c r="A124">
        <v>2061</v>
      </c>
      <c r="B124" t="s">
        <v>77</v>
      </c>
      <c r="C124">
        <v>-14</v>
      </c>
      <c r="D124" s="4">
        <f>Sect61168[[#This Row],[2023]]-Sect61168[[#This Row],[2022]]</f>
        <v>18007.468008799391</v>
      </c>
      <c r="E124" s="4">
        <f>Sect61168[[#This Row],[2023]]-Sect61168[[#This Row],[2021]]</f>
        <v>28329.468008799391</v>
      </c>
      <c r="F124" s="3">
        <v>57328</v>
      </c>
      <c r="G124" s="3">
        <v>67650</v>
      </c>
      <c r="H124" s="3">
        <v>62296.340370035912</v>
      </c>
      <c r="I124" s="3">
        <v>15574.085092508978</v>
      </c>
      <c r="J124" s="3">
        <v>0</v>
      </c>
      <c r="K124" s="3">
        <v>0</v>
      </c>
      <c r="L124" s="3">
        <v>0</v>
      </c>
      <c r="M124" s="3">
        <v>0</v>
      </c>
      <c r="N124" s="3">
        <v>7787.042546254489</v>
      </c>
      <c r="O124" s="3">
        <f t="shared" si="1"/>
        <v>85657.468008799391</v>
      </c>
    </row>
    <row r="125" spans="1:15" x14ac:dyDescent="0.3">
      <c r="A125">
        <v>2141</v>
      </c>
      <c r="B125" t="s">
        <v>114</v>
      </c>
      <c r="C125">
        <v>-34</v>
      </c>
      <c r="D125" s="4">
        <f>Sect61168[[#This Row],[2023]]-Sect61168[[#This Row],[2022]]</f>
        <v>56540.64651636983</v>
      </c>
      <c r="E125" s="4">
        <f>Sect61168[[#This Row],[2023]]-Sect61168[[#This Row],[2021]]</f>
        <v>80879.64651636983</v>
      </c>
      <c r="F125" s="3">
        <v>359130</v>
      </c>
      <c r="G125" s="3">
        <v>383469</v>
      </c>
      <c r="H125" s="3">
        <v>335837.75140472042</v>
      </c>
      <c r="I125" s="3">
        <v>94843.068683740494</v>
      </c>
      <c r="J125" s="3">
        <v>3109.6088093029666</v>
      </c>
      <c r="K125" s="3">
        <v>0</v>
      </c>
      <c r="L125" s="3">
        <v>0</v>
      </c>
      <c r="M125" s="3">
        <v>0</v>
      </c>
      <c r="N125" s="3">
        <v>6219.2176186059332</v>
      </c>
      <c r="O125" s="3">
        <f t="shared" si="1"/>
        <v>440009.64651636983</v>
      </c>
    </row>
    <row r="126" spans="1:15" x14ac:dyDescent="0.3">
      <c r="A126">
        <v>2214</v>
      </c>
      <c r="B126" t="s">
        <v>142</v>
      </c>
      <c r="C126">
        <v>0</v>
      </c>
      <c r="D126" s="4">
        <f>Sect61168[[#This Row],[2023]]-Sect61168[[#This Row],[2022]]</f>
        <v>407.05737308626703</v>
      </c>
      <c r="E126" s="4">
        <f>Sect61168[[#This Row],[2023]]-Sect61168[[#This Row],[2021]]</f>
        <v>2784.057373086267</v>
      </c>
      <c r="F126" s="3">
        <v>63470</v>
      </c>
      <c r="G126" s="3">
        <v>65847</v>
      </c>
      <c r="H126" s="3">
        <v>60882.106775268461</v>
      </c>
      <c r="I126" s="3">
        <v>3581.3003985452037</v>
      </c>
      <c r="J126" s="3">
        <v>0</v>
      </c>
      <c r="K126" s="3">
        <v>0</v>
      </c>
      <c r="L126" s="3">
        <v>0</v>
      </c>
      <c r="M126" s="3">
        <v>0</v>
      </c>
      <c r="N126" s="3">
        <v>1790.6501992726019</v>
      </c>
      <c r="O126" s="3">
        <f t="shared" si="1"/>
        <v>66254.057373086267</v>
      </c>
    </row>
    <row r="127" spans="1:15" x14ac:dyDescent="0.3">
      <c r="A127">
        <v>2143</v>
      </c>
      <c r="B127" t="s">
        <v>116</v>
      </c>
      <c r="C127">
        <v>16</v>
      </c>
      <c r="D127" s="4">
        <f>Sect61168[[#This Row],[2023]]-Sect61168[[#This Row],[2022]]</f>
        <v>1212.8533206044231</v>
      </c>
      <c r="E127" s="4">
        <f>Sect61168[[#This Row],[2023]]-Sect61168[[#This Row],[2021]]</f>
        <v>49890.853320604423</v>
      </c>
      <c r="F127" s="3">
        <v>582225</v>
      </c>
      <c r="G127" s="3">
        <v>630903</v>
      </c>
      <c r="H127" s="3">
        <v>531944.48858673812</v>
      </c>
      <c r="I127" s="3">
        <v>84627.53227516287</v>
      </c>
      <c r="J127" s="3">
        <v>0</v>
      </c>
      <c r="K127" s="3">
        <v>0</v>
      </c>
      <c r="L127" s="3">
        <v>0</v>
      </c>
      <c r="M127" s="3">
        <v>0</v>
      </c>
      <c r="N127" s="3">
        <v>15543.832458703386</v>
      </c>
      <c r="O127" s="3">
        <f t="shared" si="1"/>
        <v>632115.85332060442</v>
      </c>
    </row>
    <row r="128" spans="1:15" x14ac:dyDescent="0.3">
      <c r="A128">
        <v>4131</v>
      </c>
      <c r="B128" t="s">
        <v>225</v>
      </c>
      <c r="C128">
        <v>36</v>
      </c>
      <c r="D128" s="4">
        <f>Sect61168[[#This Row],[2023]]-Sect61168[[#This Row],[2022]]</f>
        <v>114050.46735388844</v>
      </c>
      <c r="E128" s="4">
        <f>Sect61168[[#This Row],[2023]]-Sect61168[[#This Row],[2021]]</f>
        <v>144568.46735388844</v>
      </c>
      <c r="F128" s="3">
        <v>720230</v>
      </c>
      <c r="G128" s="3">
        <v>750748</v>
      </c>
      <c r="H128" s="3">
        <v>658179.95106895175</v>
      </c>
      <c r="I128" s="3">
        <v>103309.25814246837</v>
      </c>
      <c r="J128" s="3">
        <v>0</v>
      </c>
      <c r="K128" s="3">
        <v>4998.8350714097587</v>
      </c>
      <c r="L128" s="3">
        <v>0</v>
      </c>
      <c r="M128" s="3">
        <v>0</v>
      </c>
      <c r="N128" s="3">
        <v>98310.423071058583</v>
      </c>
      <c r="O128" s="3">
        <f t="shared" si="1"/>
        <v>864798.46735388844</v>
      </c>
    </row>
    <row r="129" spans="1:15" x14ac:dyDescent="0.3">
      <c r="A129">
        <v>2110</v>
      </c>
      <c r="B129" t="s">
        <v>103</v>
      </c>
      <c r="C129">
        <v>4</v>
      </c>
      <c r="D129" s="4">
        <f>Sect61168[[#This Row],[2023]]-Sect61168[[#This Row],[2022]]</f>
        <v>-4813.3079003946041</v>
      </c>
      <c r="E129" s="4">
        <f>Sect61168[[#This Row],[2023]]-Sect61168[[#This Row],[2021]]</f>
        <v>8129.6920996053959</v>
      </c>
      <c r="F129" s="3">
        <v>286104</v>
      </c>
      <c r="G129" s="3">
        <v>299047</v>
      </c>
      <c r="H129" s="3">
        <v>259205.87161155712</v>
      </c>
      <c r="I129" s="3">
        <v>3502.7820488048255</v>
      </c>
      <c r="J129" s="3">
        <v>0</v>
      </c>
      <c r="K129" s="3">
        <v>0</v>
      </c>
      <c r="L129" s="3">
        <v>0</v>
      </c>
      <c r="M129" s="3">
        <v>0</v>
      </c>
      <c r="N129" s="3">
        <v>31525.038439243432</v>
      </c>
      <c r="O129" s="3">
        <f t="shared" si="1"/>
        <v>294233.6920996054</v>
      </c>
    </row>
    <row r="130" spans="1:15" x14ac:dyDescent="0.3">
      <c r="A130">
        <v>1990</v>
      </c>
      <c r="B130" t="s">
        <v>33</v>
      </c>
      <c r="C130">
        <v>21</v>
      </c>
      <c r="D130" s="4">
        <f>Sect61168[[#This Row],[2023]]-Sect61168[[#This Row],[2022]]</f>
        <v>56487.673692565877</v>
      </c>
      <c r="E130" s="4">
        <f>Sect61168[[#This Row],[2023]]-Sect61168[[#This Row],[2021]]</f>
        <v>54606.673692565877</v>
      </c>
      <c r="F130" s="3">
        <v>134403</v>
      </c>
      <c r="G130" s="3">
        <v>132522</v>
      </c>
      <c r="H130" s="3">
        <v>163097.0571379399</v>
      </c>
      <c r="I130" s="3">
        <v>15242.715620368213</v>
      </c>
      <c r="J130" s="3">
        <v>0</v>
      </c>
      <c r="K130" s="3">
        <v>0</v>
      </c>
      <c r="L130" s="3">
        <v>0</v>
      </c>
      <c r="M130" s="3">
        <v>0</v>
      </c>
      <c r="N130" s="3">
        <v>10669.90093425775</v>
      </c>
      <c r="O130" s="3">
        <f t="shared" ref="O130:O193" si="2">SUM(H130:N130)</f>
        <v>189009.67369256588</v>
      </c>
    </row>
    <row r="131" spans="1:15" x14ac:dyDescent="0.3">
      <c r="A131">
        <v>2093</v>
      </c>
      <c r="B131" t="s">
        <v>90</v>
      </c>
      <c r="C131">
        <v>5</v>
      </c>
      <c r="D131" s="4">
        <f>Sect61168[[#This Row],[2023]]-Sect61168[[#This Row],[2022]]</f>
        <v>26388.289472944132</v>
      </c>
      <c r="E131" s="4">
        <f>Sect61168[[#This Row],[2023]]-Sect61168[[#This Row],[2021]]</f>
        <v>33630.289472944132</v>
      </c>
      <c r="F131" s="3">
        <v>185619</v>
      </c>
      <c r="G131" s="3">
        <v>192861</v>
      </c>
      <c r="H131" s="3">
        <v>169679.88489645242</v>
      </c>
      <c r="I131" s="3">
        <v>15252.124485074379</v>
      </c>
      <c r="J131" s="3">
        <v>0</v>
      </c>
      <c r="K131" s="3">
        <v>0</v>
      </c>
      <c r="L131" s="3">
        <v>0</v>
      </c>
      <c r="M131" s="3">
        <v>0</v>
      </c>
      <c r="N131" s="3">
        <v>34317.280091417349</v>
      </c>
      <c r="O131" s="3">
        <f t="shared" si="2"/>
        <v>219249.28947294413</v>
      </c>
    </row>
    <row r="132" spans="1:15" x14ac:dyDescent="0.3">
      <c r="A132">
        <v>2108</v>
      </c>
      <c r="B132" t="s">
        <v>226</v>
      </c>
      <c r="C132">
        <v>43</v>
      </c>
      <c r="D132" s="4">
        <f>Sect61168[[#This Row],[2023]]-Sect61168[[#This Row],[2022]]</f>
        <v>-13571.849382854416</v>
      </c>
      <c r="E132" s="4">
        <f>Sect61168[[#This Row],[2023]]-Sect61168[[#This Row],[2021]]</f>
        <v>23693.150617145584</v>
      </c>
      <c r="F132" s="3">
        <v>625820</v>
      </c>
      <c r="G132" s="3">
        <v>663085</v>
      </c>
      <c r="H132" s="3">
        <v>574323.20460974204</v>
      </c>
      <c r="I132" s="3">
        <v>9598.7165115834323</v>
      </c>
      <c r="J132" s="3">
        <v>0</v>
      </c>
      <c r="K132" s="3">
        <v>0</v>
      </c>
      <c r="L132" s="3">
        <v>0</v>
      </c>
      <c r="M132" s="3">
        <v>0</v>
      </c>
      <c r="N132" s="3">
        <v>65591.229495820124</v>
      </c>
      <c r="O132" s="3">
        <f t="shared" si="2"/>
        <v>649513.15061714558</v>
      </c>
    </row>
    <row r="133" spans="1:15" x14ac:dyDescent="0.3">
      <c r="A133">
        <v>1928</v>
      </c>
      <c r="B133" t="s">
        <v>13</v>
      </c>
      <c r="C133">
        <v>37</v>
      </c>
      <c r="D133" s="4">
        <f>Sect61168[[#This Row],[2023]]-Sect61168[[#This Row],[2022]]</f>
        <v>259094.18465851387</v>
      </c>
      <c r="E133" s="4">
        <f>Sect61168[[#This Row],[2023]]-Sect61168[[#This Row],[2021]]</f>
        <v>344494.18465851387</v>
      </c>
      <c r="F133" s="3">
        <v>1701410</v>
      </c>
      <c r="G133" s="3">
        <v>1786810</v>
      </c>
      <c r="H133" s="3">
        <v>1495209.5279253516</v>
      </c>
      <c r="I133" s="3">
        <v>370942.6916273823</v>
      </c>
      <c r="J133" s="3">
        <v>0</v>
      </c>
      <c r="K133" s="3">
        <v>0</v>
      </c>
      <c r="L133" s="3">
        <v>4902.3263210667265</v>
      </c>
      <c r="M133" s="3">
        <v>0</v>
      </c>
      <c r="N133" s="3">
        <v>174849.63878471323</v>
      </c>
      <c r="O133" s="3">
        <f t="shared" si="2"/>
        <v>2045904.1846585139</v>
      </c>
    </row>
    <row r="134" spans="1:15" x14ac:dyDescent="0.3">
      <c r="A134">
        <v>1926</v>
      </c>
      <c r="B134" t="s">
        <v>11</v>
      </c>
      <c r="C134">
        <v>30</v>
      </c>
      <c r="D134" s="4">
        <f>Sect61168[[#This Row],[2023]]-Sect61168[[#This Row],[2022]]</f>
        <v>98720.421650632285</v>
      </c>
      <c r="E134" s="4">
        <f>Sect61168[[#This Row],[2023]]-Sect61168[[#This Row],[2021]]</f>
        <v>151546.42165063228</v>
      </c>
      <c r="F134" s="3">
        <v>900863</v>
      </c>
      <c r="G134" s="3">
        <v>953689</v>
      </c>
      <c r="H134" s="3">
        <v>780819.89348272723</v>
      </c>
      <c r="I134" s="3">
        <v>205308.75046026162</v>
      </c>
      <c r="J134" s="3">
        <v>4849.8130029983058</v>
      </c>
      <c r="K134" s="3">
        <v>0</v>
      </c>
      <c r="L134" s="3">
        <v>0</v>
      </c>
      <c r="M134" s="3">
        <v>0</v>
      </c>
      <c r="N134" s="3">
        <v>61430.964704645216</v>
      </c>
      <c r="O134" s="3">
        <f t="shared" si="2"/>
        <v>1052409.4216506323</v>
      </c>
    </row>
    <row r="135" spans="1:15" x14ac:dyDescent="0.3">
      <c r="A135">
        <v>2060</v>
      </c>
      <c r="B135" t="s">
        <v>76</v>
      </c>
      <c r="C135">
        <v>-9</v>
      </c>
      <c r="D135" s="4">
        <f>Sect61168[[#This Row],[2023]]-Sect61168[[#This Row],[2022]]</f>
        <v>3291.1311056286213</v>
      </c>
      <c r="E135" s="4">
        <f>Sect61168[[#This Row],[2023]]-Sect61168[[#This Row],[2021]]</f>
        <v>3958.1311056286213</v>
      </c>
      <c r="F135" s="3">
        <v>36732</v>
      </c>
      <c r="G135" s="3">
        <v>37399</v>
      </c>
      <c r="H135" s="3">
        <v>35995.115978056085</v>
      </c>
      <c r="I135" s="3">
        <v>4695.0151275725329</v>
      </c>
      <c r="J135" s="3">
        <v>0</v>
      </c>
      <c r="K135" s="3">
        <v>0</v>
      </c>
      <c r="L135" s="3">
        <v>0</v>
      </c>
      <c r="M135" s="3">
        <v>0</v>
      </c>
      <c r="N135" s="3">
        <v>0</v>
      </c>
      <c r="O135" s="3">
        <f t="shared" si="2"/>
        <v>40690.131105628621</v>
      </c>
    </row>
    <row r="136" spans="1:15" x14ac:dyDescent="0.3">
      <c r="A136">
        <v>2181</v>
      </c>
      <c r="B136" t="s">
        <v>122</v>
      </c>
      <c r="C136">
        <v>-12</v>
      </c>
      <c r="D136" s="4">
        <f>Sect61168[[#This Row],[2023]]-Sect61168[[#This Row],[2022]]</f>
        <v>22273.693011599244</v>
      </c>
      <c r="E136" s="4">
        <f>Sect61168[[#This Row],[2023]]-Sect61168[[#This Row],[2021]]</f>
        <v>41139.693011599244</v>
      </c>
      <c r="F136" s="3">
        <v>732467</v>
      </c>
      <c r="G136" s="3">
        <v>751333</v>
      </c>
      <c r="H136" s="3">
        <v>514084.78958676779</v>
      </c>
      <c r="I136" s="3">
        <v>180177.62721851349</v>
      </c>
      <c r="J136" s="3">
        <v>0</v>
      </c>
      <c r="K136" s="3">
        <v>4959.0172628948667</v>
      </c>
      <c r="L136" s="3">
        <v>0</v>
      </c>
      <c r="M136" s="3">
        <v>0</v>
      </c>
      <c r="N136" s="3">
        <v>74385.258943423003</v>
      </c>
      <c r="O136" s="3">
        <f t="shared" si="2"/>
        <v>773606.69301159924</v>
      </c>
    </row>
    <row r="137" spans="1:15" x14ac:dyDescent="0.3">
      <c r="A137">
        <v>2207</v>
      </c>
      <c r="B137" t="s">
        <v>227</v>
      </c>
      <c r="C137">
        <v>-11</v>
      </c>
      <c r="D137" s="4">
        <f>Sect61168[[#This Row],[2023]]-Sect61168[[#This Row],[2022]]</f>
        <v>133664.99850125751</v>
      </c>
      <c r="E137" s="4">
        <f>Sect61168[[#This Row],[2023]]-Sect61168[[#This Row],[2021]]</f>
        <v>144111.99850125751</v>
      </c>
      <c r="F137" s="3">
        <v>753022</v>
      </c>
      <c r="G137" s="3">
        <v>763469</v>
      </c>
      <c r="H137" s="3">
        <v>678959.38797079597</v>
      </c>
      <c r="I137" s="3">
        <v>113450.79747583995</v>
      </c>
      <c r="J137" s="3">
        <v>0</v>
      </c>
      <c r="K137" s="3">
        <v>6981.5875369747664</v>
      </c>
      <c r="L137" s="3">
        <v>0</v>
      </c>
      <c r="M137" s="3">
        <v>0</v>
      </c>
      <c r="N137" s="3">
        <v>97742.22551764673</v>
      </c>
      <c r="O137" s="3">
        <f t="shared" si="2"/>
        <v>897133.99850125751</v>
      </c>
    </row>
    <row r="138" spans="1:15" x14ac:dyDescent="0.3">
      <c r="A138">
        <v>2192</v>
      </c>
      <c r="B138" t="s">
        <v>131</v>
      </c>
      <c r="C138">
        <v>5</v>
      </c>
      <c r="D138" s="4">
        <f>Sect61168[[#This Row],[2023]]-Sect61168[[#This Row],[2022]]</f>
        <v>-6929.1092679276189</v>
      </c>
      <c r="E138" s="4">
        <f>Sect61168[[#This Row],[2023]]-Sect61168[[#This Row],[2021]]</f>
        <v>-6181.1092679276189</v>
      </c>
      <c r="F138" s="3">
        <v>49652</v>
      </c>
      <c r="G138" s="3">
        <v>50400</v>
      </c>
      <c r="H138" s="3">
        <v>31878.653203519749</v>
      </c>
      <c r="I138" s="3">
        <v>11592.237528552636</v>
      </c>
      <c r="J138" s="3">
        <v>0</v>
      </c>
      <c r="K138" s="3">
        <v>0</v>
      </c>
      <c r="L138" s="3">
        <v>0</v>
      </c>
      <c r="M138" s="3">
        <v>0</v>
      </c>
      <c r="N138" s="3">
        <v>0</v>
      </c>
      <c r="O138" s="3">
        <f t="shared" si="2"/>
        <v>43470.890732072381</v>
      </c>
    </row>
    <row r="139" spans="1:15" x14ac:dyDescent="0.3">
      <c r="A139">
        <v>1900</v>
      </c>
      <c r="B139" t="s">
        <v>6</v>
      </c>
      <c r="C139">
        <v>33</v>
      </c>
      <c r="D139" s="4">
        <f>Sect61168[[#This Row],[2023]]-Sect61168[[#This Row],[2022]]</f>
        <v>436.27811871119775</v>
      </c>
      <c r="E139" s="4">
        <f>Sect61168[[#This Row],[2023]]-Sect61168[[#This Row],[2021]]</f>
        <v>11578.278118711198</v>
      </c>
      <c r="F139" s="3">
        <v>333887</v>
      </c>
      <c r="G139" s="3">
        <v>345029</v>
      </c>
      <c r="H139" s="3">
        <v>267344.98909689207</v>
      </c>
      <c r="I139" s="3">
        <v>62496.231217455279</v>
      </c>
      <c r="J139" s="3">
        <v>0</v>
      </c>
      <c r="K139" s="3">
        <v>0</v>
      </c>
      <c r="L139" s="3">
        <v>0</v>
      </c>
      <c r="M139" s="3">
        <v>0</v>
      </c>
      <c r="N139" s="3">
        <v>15624.05780436382</v>
      </c>
      <c r="O139" s="3">
        <f t="shared" si="2"/>
        <v>345465.2781187112</v>
      </c>
    </row>
    <row r="140" spans="1:15" x14ac:dyDescent="0.3">
      <c r="A140">
        <v>2039</v>
      </c>
      <c r="B140" t="s">
        <v>60</v>
      </c>
      <c r="C140">
        <v>-2</v>
      </c>
      <c r="D140" s="4">
        <f>Sect61168[[#This Row],[2023]]-Sect61168[[#This Row],[2022]]</f>
        <v>607.4775156659307</v>
      </c>
      <c r="E140" s="4">
        <f>Sect61168[[#This Row],[2023]]-Sect61168[[#This Row],[2021]]</f>
        <v>-7757.5224843340693</v>
      </c>
      <c r="F140" s="3">
        <v>646905</v>
      </c>
      <c r="G140" s="3">
        <v>638540</v>
      </c>
      <c r="H140" s="3">
        <v>552210.54102738888</v>
      </c>
      <c r="I140" s="3">
        <v>46688.354780741327</v>
      </c>
      <c r="J140" s="3">
        <v>0</v>
      </c>
      <c r="K140" s="3">
        <v>0</v>
      </c>
      <c r="L140" s="3">
        <v>0</v>
      </c>
      <c r="M140" s="3">
        <v>0</v>
      </c>
      <c r="N140" s="3">
        <v>40248.581707535632</v>
      </c>
      <c r="O140" s="3">
        <f t="shared" si="2"/>
        <v>639147.47751566593</v>
      </c>
    </row>
    <row r="141" spans="1:15" x14ac:dyDescent="0.3">
      <c r="A141">
        <v>2202</v>
      </c>
      <c r="B141" t="s">
        <v>137</v>
      </c>
      <c r="C141">
        <v>3</v>
      </c>
      <c r="D141" s="4">
        <f>Sect61168[[#This Row],[2023]]-Sect61168[[#This Row],[2022]]</f>
        <v>12736.916480246742</v>
      </c>
      <c r="E141" s="4">
        <f>Sect61168[[#This Row],[2023]]-Sect61168[[#This Row],[2021]]</f>
        <v>13876.916480246742</v>
      </c>
      <c r="F141" s="3">
        <v>81440</v>
      </c>
      <c r="G141" s="3">
        <v>82580</v>
      </c>
      <c r="H141" s="3">
        <v>87204.838481927873</v>
      </c>
      <c r="I141" s="3">
        <v>6084.0584987391539</v>
      </c>
      <c r="J141" s="3">
        <v>0</v>
      </c>
      <c r="K141" s="3">
        <v>0</v>
      </c>
      <c r="L141" s="3">
        <v>0</v>
      </c>
      <c r="M141" s="3">
        <v>0</v>
      </c>
      <c r="N141" s="3">
        <v>2028.0194995797183</v>
      </c>
      <c r="O141" s="3">
        <f t="shared" si="2"/>
        <v>95316.916480246742</v>
      </c>
    </row>
    <row r="142" spans="1:15" x14ac:dyDescent="0.3">
      <c r="A142">
        <v>2016</v>
      </c>
      <c r="B142" t="s">
        <v>53</v>
      </c>
      <c r="C142">
        <v>0</v>
      </c>
      <c r="D142" s="4">
        <f>Sect61168[[#This Row],[2023]]-Sect61168[[#This Row],[2022]]</f>
        <v>-759.8599999999999</v>
      </c>
      <c r="E142" s="4">
        <f>Sect61168[[#This Row],[2023]]-Sect61168[[#This Row],[2021]]</f>
        <v>-793.8599999999999</v>
      </c>
      <c r="F142" s="3">
        <v>1937</v>
      </c>
      <c r="G142" s="3">
        <v>1903</v>
      </c>
      <c r="H142" s="3">
        <v>1143.1400000000001</v>
      </c>
      <c r="I142" s="3">
        <v>0</v>
      </c>
      <c r="J142" s="3">
        <v>0</v>
      </c>
      <c r="K142" s="3">
        <v>0</v>
      </c>
      <c r="L142" s="3">
        <v>0</v>
      </c>
      <c r="M142" s="3">
        <v>0</v>
      </c>
      <c r="N142" s="3">
        <v>0</v>
      </c>
      <c r="O142" s="3">
        <f t="shared" si="2"/>
        <v>1143.1400000000001</v>
      </c>
    </row>
    <row r="143" spans="1:15" x14ac:dyDescent="0.3">
      <c r="A143">
        <v>1897</v>
      </c>
      <c r="B143" t="s">
        <v>228</v>
      </c>
      <c r="C143">
        <v>1</v>
      </c>
      <c r="D143" s="4">
        <f>Sect61168[[#This Row],[2023]]-Sect61168[[#This Row],[2022]]</f>
        <v>9532.9128589156244</v>
      </c>
      <c r="E143" s="4">
        <f>Sect61168[[#This Row],[2023]]-Sect61168[[#This Row],[2021]]</f>
        <v>10385.912858915624</v>
      </c>
      <c r="F143" s="3">
        <v>48753</v>
      </c>
      <c r="G143" s="3">
        <v>49606</v>
      </c>
      <c r="H143" s="3">
        <v>54470.051317422287</v>
      </c>
      <c r="I143" s="3">
        <v>3112.5743609955589</v>
      </c>
      <c r="J143" s="3">
        <v>0</v>
      </c>
      <c r="K143" s="3">
        <v>0</v>
      </c>
      <c r="L143" s="3">
        <v>0</v>
      </c>
      <c r="M143" s="3">
        <v>0</v>
      </c>
      <c r="N143" s="3">
        <v>1556.2871804977794</v>
      </c>
      <c r="O143" s="3">
        <f t="shared" si="2"/>
        <v>59138.912858915624</v>
      </c>
    </row>
    <row r="144" spans="1:15" x14ac:dyDescent="0.3">
      <c r="A144">
        <v>2047</v>
      </c>
      <c r="B144" t="s">
        <v>67</v>
      </c>
      <c r="C144">
        <v>-1</v>
      </c>
      <c r="D144" s="4">
        <f>Sect61168[[#This Row],[2023]]-Sect61168[[#This Row],[2022]]</f>
        <v>-1309.5946178618406</v>
      </c>
      <c r="E144" s="4">
        <f>Sect61168[[#This Row],[2023]]-Sect61168[[#This Row],[2021]]</f>
        <v>178.40538213815944</v>
      </c>
      <c r="F144" s="3">
        <v>6348</v>
      </c>
      <c r="G144" s="3">
        <v>7836</v>
      </c>
      <c r="H144" s="3">
        <v>6526.4053821381594</v>
      </c>
      <c r="I144" s="3">
        <v>0</v>
      </c>
      <c r="J144" s="3">
        <v>0</v>
      </c>
      <c r="K144" s="3">
        <v>0</v>
      </c>
      <c r="L144" s="3">
        <v>0</v>
      </c>
      <c r="M144" s="3">
        <v>0</v>
      </c>
      <c r="N144" s="3">
        <v>0</v>
      </c>
      <c r="O144" s="3">
        <f t="shared" si="2"/>
        <v>6526.4053821381594</v>
      </c>
    </row>
    <row r="145" spans="1:15" x14ac:dyDescent="0.3">
      <c r="A145">
        <v>2081</v>
      </c>
      <c r="B145" t="s">
        <v>80</v>
      </c>
      <c r="C145">
        <v>10</v>
      </c>
      <c r="D145" s="4">
        <f>Sect61168[[#This Row],[2023]]-Sect61168[[#This Row],[2022]]</f>
        <v>23506.13871301891</v>
      </c>
      <c r="E145" s="4">
        <f>Sect61168[[#This Row],[2023]]-Sect61168[[#This Row],[2021]]</f>
        <v>37274.13871301891</v>
      </c>
      <c r="F145" s="3">
        <v>232122</v>
      </c>
      <c r="G145" s="3">
        <v>245890</v>
      </c>
      <c r="H145" s="3">
        <v>225891.17221277981</v>
      </c>
      <c r="I145" s="3">
        <v>26772.287077070199</v>
      </c>
      <c r="J145" s="3">
        <v>0</v>
      </c>
      <c r="K145" s="3">
        <v>0</v>
      </c>
      <c r="L145" s="3">
        <v>0</v>
      </c>
      <c r="M145" s="3">
        <v>0</v>
      </c>
      <c r="N145" s="3">
        <v>16732.679423168876</v>
      </c>
      <c r="O145" s="3">
        <f t="shared" si="2"/>
        <v>269396.13871301891</v>
      </c>
    </row>
    <row r="146" spans="1:15" x14ac:dyDescent="0.3">
      <c r="A146">
        <v>2062</v>
      </c>
      <c r="B146" t="s">
        <v>78</v>
      </c>
      <c r="C146">
        <v>-3</v>
      </c>
      <c r="D146" s="4">
        <f>Sect61168[[#This Row],[2023]]-Sect61168[[#This Row],[2022]]</f>
        <v>-537.79730893092028</v>
      </c>
      <c r="E146" s="4">
        <f>Sect61168[[#This Row],[2023]]-Sect61168[[#This Row],[2021]]</f>
        <v>-368.79730893092028</v>
      </c>
      <c r="F146" s="3">
        <v>3632</v>
      </c>
      <c r="G146" s="3">
        <v>3801</v>
      </c>
      <c r="H146" s="3">
        <v>3263.2026910690797</v>
      </c>
      <c r="I146" s="3">
        <v>0</v>
      </c>
      <c r="J146" s="3">
        <v>0</v>
      </c>
      <c r="K146" s="3">
        <v>0</v>
      </c>
      <c r="L146" s="3">
        <v>0</v>
      </c>
      <c r="M146" s="3">
        <v>0</v>
      </c>
      <c r="N146" s="3">
        <v>0</v>
      </c>
      <c r="O146" s="3">
        <f t="shared" si="2"/>
        <v>3263.2026910690797</v>
      </c>
    </row>
    <row r="147" spans="1:15" x14ac:dyDescent="0.3">
      <c r="A147">
        <v>1973</v>
      </c>
      <c r="B147" t="s">
        <v>229</v>
      </c>
      <c r="C147">
        <v>8</v>
      </c>
      <c r="D147" s="4">
        <f>Sect61168[[#This Row],[2023]]-Sect61168[[#This Row],[2022]]</f>
        <v>1243.8488052796165</v>
      </c>
      <c r="E147" s="4">
        <f>Sect61168[[#This Row],[2023]]-Sect61168[[#This Row],[2021]]</f>
        <v>-1573.1511947203835</v>
      </c>
      <c r="F147" s="3">
        <v>81787</v>
      </c>
      <c r="G147" s="3">
        <v>78970</v>
      </c>
      <c r="H147" s="3">
        <v>63198.789967796067</v>
      </c>
      <c r="I147" s="3">
        <v>17015.058837483557</v>
      </c>
      <c r="J147" s="3">
        <v>0</v>
      </c>
      <c r="K147" s="3">
        <v>0</v>
      </c>
      <c r="L147" s="3">
        <v>0</v>
      </c>
      <c r="M147" s="3">
        <v>0</v>
      </c>
      <c r="N147" s="3">
        <v>0</v>
      </c>
      <c r="O147" s="3">
        <f t="shared" si="2"/>
        <v>80213.848805279616</v>
      </c>
    </row>
    <row r="148" spans="1:15" x14ac:dyDescent="0.3">
      <c r="A148">
        <v>2180</v>
      </c>
      <c r="B148" t="s">
        <v>121</v>
      </c>
      <c r="C148">
        <v>460</v>
      </c>
      <c r="D148" s="4">
        <f>Sect61168[[#This Row],[2023]]-Sect61168[[#This Row],[2022]]</f>
        <v>1282747.0529787727</v>
      </c>
      <c r="E148" s="4">
        <f>Sect61168[[#This Row],[2023]]-Sect61168[[#This Row],[2021]]</f>
        <v>1736867.0529787727</v>
      </c>
      <c r="F148" s="3">
        <v>11168359</v>
      </c>
      <c r="G148" s="3">
        <v>11622479</v>
      </c>
      <c r="H148" s="3">
        <v>9750507.9914116599</v>
      </c>
      <c r="I148" s="3">
        <v>2228090.0128865121</v>
      </c>
      <c r="J148" s="3">
        <v>8043.6462559079846</v>
      </c>
      <c r="K148" s="3">
        <v>48261.877535447908</v>
      </c>
      <c r="L148" s="3">
        <v>4826.1877535447911</v>
      </c>
      <c r="M148" s="3">
        <v>0</v>
      </c>
      <c r="N148" s="3">
        <v>865496.33713569923</v>
      </c>
      <c r="O148" s="3">
        <f t="shared" si="2"/>
        <v>12905226.052978773</v>
      </c>
    </row>
    <row r="149" spans="1:15" x14ac:dyDescent="0.3">
      <c r="A149">
        <v>1967</v>
      </c>
      <c r="B149" t="s">
        <v>27</v>
      </c>
      <c r="C149">
        <v>1</v>
      </c>
      <c r="D149" s="4">
        <f>Sect61168[[#This Row],[2023]]-Sect61168[[#This Row],[2022]]</f>
        <v>856.13651245067012</v>
      </c>
      <c r="E149" s="4">
        <f>Sect61168[[#This Row],[2023]]-Sect61168[[#This Row],[2021]]</f>
        <v>4992.1365124506701</v>
      </c>
      <c r="F149" s="3">
        <v>32435</v>
      </c>
      <c r="G149" s="3">
        <v>36571</v>
      </c>
      <c r="H149" s="3">
        <v>32080.402724957719</v>
      </c>
      <c r="I149" s="3">
        <v>3564.4891916619686</v>
      </c>
      <c r="J149" s="3">
        <v>0</v>
      </c>
      <c r="K149" s="3">
        <v>0</v>
      </c>
      <c r="L149" s="3">
        <v>0</v>
      </c>
      <c r="M149" s="3">
        <v>0</v>
      </c>
      <c r="N149" s="3">
        <v>1782.2445958309843</v>
      </c>
      <c r="O149" s="3">
        <f t="shared" si="2"/>
        <v>37427.13651245067</v>
      </c>
    </row>
    <row r="150" spans="1:15" x14ac:dyDescent="0.3">
      <c r="A150">
        <v>2009</v>
      </c>
      <c r="B150" t="s">
        <v>47</v>
      </c>
      <c r="C150">
        <v>37</v>
      </c>
      <c r="D150" s="4">
        <f>Sect61168[[#This Row],[2023]]-Sect61168[[#This Row],[2022]]</f>
        <v>138316.49558715473</v>
      </c>
      <c r="E150" s="4">
        <f>Sect61168[[#This Row],[2023]]-Sect61168[[#This Row],[2021]]</f>
        <v>146829.49558715473</v>
      </c>
      <c r="F150" s="3">
        <v>41557</v>
      </c>
      <c r="G150" s="3">
        <v>50070</v>
      </c>
      <c r="H150" s="3">
        <v>184541.87322823319</v>
      </c>
      <c r="I150" s="3">
        <v>2563.0815726143496</v>
      </c>
      <c r="J150" s="3">
        <v>0</v>
      </c>
      <c r="K150" s="3">
        <v>0</v>
      </c>
      <c r="L150" s="3">
        <v>0</v>
      </c>
      <c r="M150" s="3">
        <v>0</v>
      </c>
      <c r="N150" s="3">
        <v>1281.5407863071748</v>
      </c>
      <c r="O150" s="3">
        <f t="shared" si="2"/>
        <v>188386.49558715473</v>
      </c>
    </row>
    <row r="151" spans="1:15" x14ac:dyDescent="0.3">
      <c r="A151">
        <v>2045</v>
      </c>
      <c r="B151" t="s">
        <v>65</v>
      </c>
      <c r="C151">
        <v>3</v>
      </c>
      <c r="D151" s="4">
        <f>Sect61168[[#This Row],[2023]]-Sect61168[[#This Row],[2022]]</f>
        <v>5642.4788052796357</v>
      </c>
      <c r="E151" s="4">
        <f>Sect61168[[#This Row],[2023]]-Sect61168[[#This Row],[2021]]</f>
        <v>7788.4788052796357</v>
      </c>
      <c r="F151" s="3">
        <v>40807</v>
      </c>
      <c r="G151" s="3">
        <v>42953</v>
      </c>
      <c r="H151" s="3">
        <v>33869.576137013079</v>
      </c>
      <c r="I151" s="3">
        <v>14725.902668266554</v>
      </c>
      <c r="J151" s="3">
        <v>0</v>
      </c>
      <c r="K151" s="3">
        <v>0</v>
      </c>
      <c r="L151" s="3">
        <v>0</v>
      </c>
      <c r="M151" s="3">
        <v>0</v>
      </c>
      <c r="N151" s="3">
        <v>0</v>
      </c>
      <c r="O151" s="3">
        <f t="shared" si="2"/>
        <v>48595.478805279636</v>
      </c>
    </row>
    <row r="152" spans="1:15" x14ac:dyDescent="0.3">
      <c r="A152">
        <v>1946</v>
      </c>
      <c r="B152" t="s">
        <v>21</v>
      </c>
      <c r="C152">
        <v>-2</v>
      </c>
      <c r="D152" s="4">
        <f>Sect61168[[#This Row],[2023]]-Sect61168[[#This Row],[2022]]</f>
        <v>93344.554790674476</v>
      </c>
      <c r="E152" s="4">
        <f>Sect61168[[#This Row],[2023]]-Sect61168[[#This Row],[2021]]</f>
        <v>71338.554790674476</v>
      </c>
      <c r="F152" s="3">
        <v>231860</v>
      </c>
      <c r="G152" s="3">
        <v>209854</v>
      </c>
      <c r="H152" s="3">
        <v>254758.54899571463</v>
      </c>
      <c r="I152" s="3">
        <v>25117.040041831024</v>
      </c>
      <c r="J152" s="3">
        <v>0</v>
      </c>
      <c r="K152" s="3">
        <v>0</v>
      </c>
      <c r="L152" s="3">
        <v>0</v>
      </c>
      <c r="M152" s="3">
        <v>0</v>
      </c>
      <c r="N152" s="3">
        <v>23322.965753128807</v>
      </c>
      <c r="O152" s="3">
        <f t="shared" si="2"/>
        <v>303198.55479067448</v>
      </c>
    </row>
    <row r="153" spans="1:15" x14ac:dyDescent="0.3">
      <c r="A153">
        <v>1977</v>
      </c>
      <c r="B153" t="s">
        <v>31</v>
      </c>
      <c r="C153">
        <v>14</v>
      </c>
      <c r="D153" s="4">
        <f>Sect61168[[#This Row],[2023]]-Sect61168[[#This Row],[2022]]</f>
        <v>21057.686542135198</v>
      </c>
      <c r="E153" s="4">
        <f>Sect61168[[#This Row],[2023]]-Sect61168[[#This Row],[2021]]</f>
        <v>56375.686542135198</v>
      </c>
      <c r="F153" s="3">
        <v>1439141</v>
      </c>
      <c r="G153" s="3">
        <v>1474459</v>
      </c>
      <c r="H153" s="3">
        <v>1111857.9792300179</v>
      </c>
      <c r="I153" s="3">
        <v>240727.03203897545</v>
      </c>
      <c r="J153" s="3">
        <v>3009.0879004871931</v>
      </c>
      <c r="K153" s="3">
        <v>6018.1758009743862</v>
      </c>
      <c r="L153" s="3">
        <v>0</v>
      </c>
      <c r="M153" s="3">
        <v>0</v>
      </c>
      <c r="N153" s="3">
        <v>133904.4115716801</v>
      </c>
      <c r="O153" s="3">
        <f t="shared" si="2"/>
        <v>1495516.6865421352</v>
      </c>
    </row>
    <row r="154" spans="1:15" x14ac:dyDescent="0.3">
      <c r="A154">
        <v>2001</v>
      </c>
      <c r="B154" t="s">
        <v>41</v>
      </c>
      <c r="C154">
        <v>9</v>
      </c>
      <c r="D154" s="4">
        <f>Sect61168[[#This Row],[2023]]-Sect61168[[#This Row],[2022]]</f>
        <v>50600.017147911305</v>
      </c>
      <c r="E154" s="4">
        <f>Sect61168[[#This Row],[2023]]-Sect61168[[#This Row],[2021]]</f>
        <v>57607.017147911305</v>
      </c>
      <c r="F154" s="3">
        <v>168452</v>
      </c>
      <c r="G154" s="3">
        <v>175459</v>
      </c>
      <c r="H154" s="3">
        <v>185753.92106727595</v>
      </c>
      <c r="I154" s="3">
        <v>22781.141262967802</v>
      </c>
      <c r="J154" s="3">
        <v>0</v>
      </c>
      <c r="K154" s="3">
        <v>0</v>
      </c>
      <c r="L154" s="3">
        <v>0</v>
      </c>
      <c r="M154" s="3">
        <v>0</v>
      </c>
      <c r="N154" s="3">
        <v>17523.954817667542</v>
      </c>
      <c r="O154" s="3">
        <f t="shared" si="2"/>
        <v>226059.01714791131</v>
      </c>
    </row>
    <row r="155" spans="1:15" x14ac:dyDescent="0.3">
      <c r="A155">
        <v>2182</v>
      </c>
      <c r="B155" t="s">
        <v>123</v>
      </c>
      <c r="C155">
        <v>75</v>
      </c>
      <c r="D155" s="4">
        <f>Sect61168[[#This Row],[2023]]-Sect61168[[#This Row],[2022]]</f>
        <v>359866.89887570543</v>
      </c>
      <c r="E155" s="4">
        <f>Sect61168[[#This Row],[2023]]-Sect61168[[#This Row],[2021]]</f>
        <v>443359.89887570543</v>
      </c>
      <c r="F155" s="3">
        <v>2340595</v>
      </c>
      <c r="G155" s="3">
        <v>2424088</v>
      </c>
      <c r="H155" s="3">
        <v>1933515.9923016105</v>
      </c>
      <c r="I155" s="3">
        <v>571581.22162860364</v>
      </c>
      <c r="J155" s="3">
        <v>4621.9505792070377</v>
      </c>
      <c r="K155" s="3">
        <v>0</v>
      </c>
      <c r="L155" s="3">
        <v>0</v>
      </c>
      <c r="M155" s="3">
        <v>0</v>
      </c>
      <c r="N155" s="3">
        <v>274235.73436628422</v>
      </c>
      <c r="O155" s="3">
        <f t="shared" si="2"/>
        <v>2783954.8988757054</v>
      </c>
    </row>
    <row r="156" spans="1:15" x14ac:dyDescent="0.3">
      <c r="A156">
        <v>1999</v>
      </c>
      <c r="B156" t="s">
        <v>39</v>
      </c>
      <c r="C156">
        <v>7</v>
      </c>
      <c r="D156" s="4">
        <f>Sect61168[[#This Row],[2023]]-Sect61168[[#This Row],[2022]]</f>
        <v>23746.693886137204</v>
      </c>
      <c r="E156" s="4">
        <f>Sect61168[[#This Row],[2023]]-Sect61168[[#This Row],[2021]]</f>
        <v>29628.693886137204</v>
      </c>
      <c r="F156" s="3">
        <v>97988</v>
      </c>
      <c r="G156" s="3">
        <v>103870</v>
      </c>
      <c r="H156" s="3">
        <v>105559.48753544682</v>
      </c>
      <c r="I156" s="3">
        <v>12604.117914680217</v>
      </c>
      <c r="J156" s="3">
        <v>0</v>
      </c>
      <c r="K156" s="3">
        <v>0</v>
      </c>
      <c r="L156" s="3">
        <v>0</v>
      </c>
      <c r="M156" s="3">
        <v>0</v>
      </c>
      <c r="N156" s="3">
        <v>9453.0884360101627</v>
      </c>
      <c r="O156" s="3">
        <f t="shared" si="2"/>
        <v>127616.6938861372</v>
      </c>
    </row>
    <row r="157" spans="1:15" x14ac:dyDescent="0.3">
      <c r="A157">
        <v>2188</v>
      </c>
      <c r="B157" t="s">
        <v>128</v>
      </c>
      <c r="C157">
        <v>-5</v>
      </c>
      <c r="D157" s="4">
        <f>Sect61168[[#This Row],[2023]]-Sect61168[[#This Row],[2022]]</f>
        <v>-6033.8066090624634</v>
      </c>
      <c r="E157" s="4">
        <f>Sect61168[[#This Row],[2023]]-Sect61168[[#This Row],[2021]]</f>
        <v>-7961.8066090624634</v>
      </c>
      <c r="F157" s="3">
        <v>95999</v>
      </c>
      <c r="G157" s="3">
        <v>94071</v>
      </c>
      <c r="H157" s="3">
        <v>88037.193390937537</v>
      </c>
      <c r="I157" s="3">
        <v>0</v>
      </c>
      <c r="J157" s="3">
        <v>0</v>
      </c>
      <c r="K157" s="3">
        <v>0</v>
      </c>
      <c r="L157" s="3">
        <v>0</v>
      </c>
      <c r="M157" s="3">
        <v>0</v>
      </c>
      <c r="N157" s="3">
        <v>0</v>
      </c>
      <c r="O157" s="3">
        <f t="shared" si="2"/>
        <v>88037.193390937537</v>
      </c>
    </row>
    <row r="158" spans="1:15" x14ac:dyDescent="0.3">
      <c r="A158">
        <v>2044</v>
      </c>
      <c r="B158" t="s">
        <v>64</v>
      </c>
      <c r="C158">
        <v>2</v>
      </c>
      <c r="D158" s="4">
        <f>Sect61168[[#This Row],[2023]]-Sect61168[[#This Row],[2022]]</f>
        <v>12575.182343723427</v>
      </c>
      <c r="E158" s="4">
        <f>Sect61168[[#This Row],[2023]]-Sect61168[[#This Row],[2021]]</f>
        <v>22599.182343723427</v>
      </c>
      <c r="F158" s="3">
        <v>248565</v>
      </c>
      <c r="G158" s="3">
        <v>258589</v>
      </c>
      <c r="H158" s="3">
        <v>215927.03408852051</v>
      </c>
      <c r="I158" s="3">
        <v>46867.883368050963</v>
      </c>
      <c r="J158" s="3">
        <v>0</v>
      </c>
      <c r="K158" s="3">
        <v>0</v>
      </c>
      <c r="L158" s="3">
        <v>0</v>
      </c>
      <c r="M158" s="3">
        <v>0</v>
      </c>
      <c r="N158" s="3">
        <v>8369.2648871519577</v>
      </c>
      <c r="O158" s="3">
        <f t="shared" si="2"/>
        <v>271164.18234372343</v>
      </c>
    </row>
    <row r="159" spans="1:15" x14ac:dyDescent="0.3">
      <c r="A159">
        <v>2142</v>
      </c>
      <c r="B159" t="s">
        <v>115</v>
      </c>
      <c r="C159">
        <v>93</v>
      </c>
      <c r="D159" s="4">
        <f>Sect61168[[#This Row],[2023]]-Sect61168[[#This Row],[2022]]</f>
        <v>1151653.6564963963</v>
      </c>
      <c r="E159" s="4">
        <f>Sect61168[[#This Row],[2023]]-Sect61168[[#This Row],[2021]]</f>
        <v>1971643.6564963963</v>
      </c>
      <c r="F159" s="3">
        <v>8434876</v>
      </c>
      <c r="G159" s="3">
        <v>9254866</v>
      </c>
      <c r="H159" s="3">
        <v>9538076.8020233512</v>
      </c>
      <c r="I159" s="3">
        <v>461591.43201974331</v>
      </c>
      <c r="J159" s="3">
        <v>31068.654078251955</v>
      </c>
      <c r="K159" s="3">
        <v>0</v>
      </c>
      <c r="L159" s="3">
        <v>2958.9194360239953</v>
      </c>
      <c r="M159" s="3">
        <v>0</v>
      </c>
      <c r="N159" s="3">
        <v>372823.84893902345</v>
      </c>
      <c r="O159" s="3">
        <f t="shared" si="2"/>
        <v>10406519.656496396</v>
      </c>
    </row>
    <row r="160" spans="1:15" x14ac:dyDescent="0.3">
      <c r="A160">
        <v>2104</v>
      </c>
      <c r="B160" t="s">
        <v>99</v>
      </c>
      <c r="C160">
        <v>-47</v>
      </c>
      <c r="D160" s="4">
        <f>Sect61168[[#This Row],[2023]]-Sect61168[[#This Row],[2022]]</f>
        <v>-46426.881102590938</v>
      </c>
      <c r="E160" s="4">
        <f>Sect61168[[#This Row],[2023]]-Sect61168[[#This Row],[2021]]</f>
        <v>58733.118897409062</v>
      </c>
      <c r="F160" s="3">
        <v>653170</v>
      </c>
      <c r="G160" s="3">
        <v>758330</v>
      </c>
      <c r="H160" s="3">
        <v>601508.59946600161</v>
      </c>
      <c r="I160" s="3">
        <v>108979.20507972264</v>
      </c>
      <c r="J160" s="3">
        <v>0</v>
      </c>
      <c r="K160" s="3">
        <v>0</v>
      </c>
      <c r="L160" s="3">
        <v>0</v>
      </c>
      <c r="M160" s="3">
        <v>0</v>
      </c>
      <c r="N160" s="3">
        <v>1415.3143516847094</v>
      </c>
      <c r="O160" s="3">
        <f t="shared" si="2"/>
        <v>711903.11889740906</v>
      </c>
    </row>
    <row r="161" spans="1:15" x14ac:dyDescent="0.3">
      <c r="A161">
        <v>1944</v>
      </c>
      <c r="B161" t="s">
        <v>19</v>
      </c>
      <c r="C161">
        <v>14</v>
      </c>
      <c r="D161" s="4">
        <f>Sect61168[[#This Row],[2023]]-Sect61168[[#This Row],[2022]]</f>
        <v>121251.9523101903</v>
      </c>
      <c r="E161" s="4">
        <f>Sect61168[[#This Row],[2023]]-Sect61168[[#This Row],[2021]]</f>
        <v>136815.9523101903</v>
      </c>
      <c r="F161" s="3">
        <v>461179</v>
      </c>
      <c r="G161" s="3">
        <v>476743</v>
      </c>
      <c r="H161" s="3">
        <v>489133.02832354722</v>
      </c>
      <c r="I161" s="3">
        <v>56667.850842362168</v>
      </c>
      <c r="J161" s="3">
        <v>1491.2592326937415</v>
      </c>
      <c r="K161" s="3">
        <v>0</v>
      </c>
      <c r="L161" s="3">
        <v>0</v>
      </c>
      <c r="M161" s="3">
        <v>0</v>
      </c>
      <c r="N161" s="3">
        <v>50702.813911587211</v>
      </c>
      <c r="O161" s="3">
        <f t="shared" si="2"/>
        <v>597994.9523101903</v>
      </c>
    </row>
    <row r="162" spans="1:15" x14ac:dyDescent="0.3">
      <c r="A162">
        <v>2103</v>
      </c>
      <c r="B162" t="s">
        <v>98</v>
      </c>
      <c r="C162">
        <v>-24</v>
      </c>
      <c r="D162" s="4">
        <f>Sect61168[[#This Row],[2023]]-Sect61168[[#This Row],[2022]]</f>
        <v>-88843.340712920937</v>
      </c>
      <c r="E162" s="4">
        <f>Sect61168[[#This Row],[2023]]-Sect61168[[#This Row],[2021]]</f>
        <v>153403.65928707906</v>
      </c>
      <c r="F162" s="3">
        <v>162930</v>
      </c>
      <c r="G162" s="3">
        <v>405177</v>
      </c>
      <c r="H162" s="3">
        <v>301329.69125765242</v>
      </c>
      <c r="I162" s="3">
        <v>11252.976022070008</v>
      </c>
      <c r="J162" s="3">
        <v>0</v>
      </c>
      <c r="K162" s="3">
        <v>0</v>
      </c>
      <c r="L162" s="3">
        <v>0</v>
      </c>
      <c r="M162" s="3">
        <v>0</v>
      </c>
      <c r="N162" s="3">
        <v>3750.9920073566686</v>
      </c>
      <c r="O162" s="3">
        <f t="shared" si="2"/>
        <v>316333.65928707906</v>
      </c>
    </row>
    <row r="163" spans="1:15" x14ac:dyDescent="0.3">
      <c r="A163">
        <v>1935</v>
      </c>
      <c r="B163" t="s">
        <v>18</v>
      </c>
      <c r="C163">
        <v>-22</v>
      </c>
      <c r="D163" s="4">
        <f>Sect61168[[#This Row],[2023]]-Sect61168[[#This Row],[2022]]</f>
        <v>14790.781270921172</v>
      </c>
      <c r="E163" s="4">
        <f>Sect61168[[#This Row],[2023]]-Sect61168[[#This Row],[2021]]</f>
        <v>21381.781270921172</v>
      </c>
      <c r="F163" s="3">
        <v>351217</v>
      </c>
      <c r="G163" s="3">
        <v>357808</v>
      </c>
      <c r="H163" s="3">
        <v>294974.03517281258</v>
      </c>
      <c r="I163" s="3">
        <v>51749.830732072398</v>
      </c>
      <c r="J163" s="3">
        <v>0</v>
      </c>
      <c r="K163" s="3">
        <v>0</v>
      </c>
      <c r="L163" s="3">
        <v>0</v>
      </c>
      <c r="M163" s="3">
        <v>0</v>
      </c>
      <c r="N163" s="3">
        <v>25874.915366036199</v>
      </c>
      <c r="O163" s="3">
        <f t="shared" si="2"/>
        <v>372598.78127092117</v>
      </c>
    </row>
    <row r="164" spans="1:15" x14ac:dyDescent="0.3">
      <c r="A164">
        <v>2257</v>
      </c>
      <c r="B164" t="s">
        <v>166</v>
      </c>
      <c r="C164">
        <v>6</v>
      </c>
      <c r="D164" s="4">
        <f>Sect61168[[#This Row],[2023]]-Sect61168[[#This Row],[2022]]</f>
        <v>23523.639611635765</v>
      </c>
      <c r="E164" s="4">
        <f>Sect61168[[#This Row],[2023]]-Sect61168[[#This Row],[2021]]</f>
        <v>38998.639611635765</v>
      </c>
      <c r="F164" s="3">
        <v>199544</v>
      </c>
      <c r="G164" s="3">
        <v>215019</v>
      </c>
      <c r="H164" s="3">
        <v>180158.07746892772</v>
      </c>
      <c r="I164" s="3">
        <v>51712.040754969988</v>
      </c>
      <c r="J164" s="3">
        <v>0</v>
      </c>
      <c r="K164" s="3">
        <v>0</v>
      </c>
      <c r="L164" s="3">
        <v>0</v>
      </c>
      <c r="M164" s="3">
        <v>0</v>
      </c>
      <c r="N164" s="3">
        <v>6672.5213877380638</v>
      </c>
      <c r="O164" s="3">
        <f t="shared" si="2"/>
        <v>238542.63961163576</v>
      </c>
    </row>
    <row r="165" spans="1:15" x14ac:dyDescent="0.3">
      <c r="A165">
        <v>2195</v>
      </c>
      <c r="B165" t="s">
        <v>230</v>
      </c>
      <c r="C165">
        <v>2</v>
      </c>
      <c r="D165" s="4">
        <f>Sect61168[[#This Row],[2023]]-Sect61168[[#This Row],[2022]]</f>
        <v>20456.069418436105</v>
      </c>
      <c r="E165" s="4">
        <f>Sect61168[[#This Row],[2023]]-Sect61168[[#This Row],[2021]]</f>
        <v>20573.069418436105</v>
      </c>
      <c r="F165" s="3">
        <v>66883</v>
      </c>
      <c r="G165" s="3">
        <v>67000</v>
      </c>
      <c r="H165" s="3">
        <v>70307.820512860402</v>
      </c>
      <c r="I165" s="3">
        <v>0</v>
      </c>
      <c r="J165" s="3">
        <v>0</v>
      </c>
      <c r="K165" s="3">
        <v>0</v>
      </c>
      <c r="L165" s="3">
        <v>0</v>
      </c>
      <c r="M165" s="3">
        <v>0</v>
      </c>
      <c r="N165" s="3">
        <v>17148.248905575707</v>
      </c>
      <c r="O165" s="3">
        <f t="shared" si="2"/>
        <v>87456.069418436105</v>
      </c>
    </row>
    <row r="166" spans="1:15" x14ac:dyDescent="0.3">
      <c r="A166">
        <v>2244</v>
      </c>
      <c r="B166" t="s">
        <v>156</v>
      </c>
      <c r="C166">
        <v>37</v>
      </c>
      <c r="D166" s="4">
        <f>Sect61168[[#This Row],[2023]]-Sect61168[[#This Row],[2022]]</f>
        <v>-45329.069441474625</v>
      </c>
      <c r="E166" s="4">
        <f>Sect61168[[#This Row],[2023]]-Sect61168[[#This Row],[2021]]</f>
        <v>-29236.069441474625</v>
      </c>
      <c r="F166" s="3">
        <v>876504</v>
      </c>
      <c r="G166" s="3">
        <v>892597</v>
      </c>
      <c r="H166" s="3">
        <v>639016.89038757468</v>
      </c>
      <c r="I166" s="3">
        <v>158327.84560942143</v>
      </c>
      <c r="J166" s="3">
        <v>2852.7539749445295</v>
      </c>
      <c r="K166" s="3">
        <v>0</v>
      </c>
      <c r="L166" s="3">
        <v>0</v>
      </c>
      <c r="M166" s="3">
        <v>0</v>
      </c>
      <c r="N166" s="3">
        <v>47070.440586584737</v>
      </c>
      <c r="O166" s="3">
        <f t="shared" si="2"/>
        <v>847267.93055852538</v>
      </c>
    </row>
    <row r="167" spans="1:15" x14ac:dyDescent="0.3">
      <c r="A167">
        <v>2138</v>
      </c>
      <c r="B167" t="s">
        <v>111</v>
      </c>
      <c r="C167">
        <v>23</v>
      </c>
      <c r="D167" s="4">
        <f>Sect61168[[#This Row],[2023]]-Sect61168[[#This Row],[2022]]</f>
        <v>43517.094255665084</v>
      </c>
      <c r="E167" s="4">
        <f>Sect61168[[#This Row],[2023]]-Sect61168[[#This Row],[2021]]</f>
        <v>59334.094255665084</v>
      </c>
      <c r="F167" s="3">
        <v>723642</v>
      </c>
      <c r="G167" s="3">
        <v>739459</v>
      </c>
      <c r="H167" s="3">
        <v>665925.12258916162</v>
      </c>
      <c r="I167" s="3">
        <v>102815.04268003683</v>
      </c>
      <c r="J167" s="3">
        <v>0</v>
      </c>
      <c r="K167" s="3">
        <v>0</v>
      </c>
      <c r="L167" s="3">
        <v>0</v>
      </c>
      <c r="M167" s="3">
        <v>0</v>
      </c>
      <c r="N167" s="3">
        <v>14235.928986466635</v>
      </c>
      <c r="O167" s="3">
        <f t="shared" si="2"/>
        <v>782976.09425566508</v>
      </c>
    </row>
    <row r="168" spans="1:15" x14ac:dyDescent="0.3">
      <c r="A168">
        <v>1978</v>
      </c>
      <c r="B168" t="s">
        <v>32</v>
      </c>
      <c r="C168">
        <v>20</v>
      </c>
      <c r="D168" s="4">
        <f>Sect61168[[#This Row],[2023]]-Sect61168[[#This Row],[2022]]</f>
        <v>19936.502497845533</v>
      </c>
      <c r="E168" s="4">
        <f>Sect61168[[#This Row],[2023]]-Sect61168[[#This Row],[2021]]</f>
        <v>37768.502497845533</v>
      </c>
      <c r="F168" s="3">
        <v>214350</v>
      </c>
      <c r="G168" s="3">
        <v>232182</v>
      </c>
      <c r="H168" s="3">
        <v>205548.84280079126</v>
      </c>
      <c r="I168" s="3">
        <v>35328.707356385996</v>
      </c>
      <c r="J168" s="3">
        <v>0</v>
      </c>
      <c r="K168" s="3">
        <v>0</v>
      </c>
      <c r="L168" s="3">
        <v>0</v>
      </c>
      <c r="M168" s="3">
        <v>0</v>
      </c>
      <c r="N168" s="3">
        <v>11240.952340668269</v>
      </c>
      <c r="O168" s="3">
        <f t="shared" si="2"/>
        <v>252118.50249784553</v>
      </c>
    </row>
    <row r="169" spans="1:15" x14ac:dyDescent="0.3">
      <c r="A169">
        <v>2096</v>
      </c>
      <c r="B169" t="s">
        <v>93</v>
      </c>
      <c r="C169">
        <v>23</v>
      </c>
      <c r="D169" s="4">
        <f>Sect61168[[#This Row],[2023]]-Sect61168[[#This Row],[2022]]</f>
        <v>34112.030091676686</v>
      </c>
      <c r="E169" s="4">
        <f>Sect61168[[#This Row],[2023]]-Sect61168[[#This Row],[2021]]</f>
        <v>47665.030091676686</v>
      </c>
      <c r="F169" s="3">
        <v>299574</v>
      </c>
      <c r="G169" s="3">
        <v>313127</v>
      </c>
      <c r="H169" s="3">
        <v>309010.87998984067</v>
      </c>
      <c r="I169" s="3">
        <v>3185.6791751529972</v>
      </c>
      <c r="J169" s="3">
        <v>0</v>
      </c>
      <c r="K169" s="3">
        <v>0</v>
      </c>
      <c r="L169" s="3">
        <v>0</v>
      </c>
      <c r="M169" s="3">
        <v>0</v>
      </c>
      <c r="N169" s="3">
        <v>35042.470926682974</v>
      </c>
      <c r="O169" s="3">
        <f t="shared" si="2"/>
        <v>347239.03009167669</v>
      </c>
    </row>
    <row r="170" spans="1:15" x14ac:dyDescent="0.3">
      <c r="A170">
        <v>2022</v>
      </c>
      <c r="B170" t="s">
        <v>59</v>
      </c>
      <c r="C170">
        <v>-1</v>
      </c>
      <c r="D170" s="4">
        <f>Sect61168[[#This Row],[2023]]-Sect61168[[#This Row],[2022]]</f>
        <v>-1190.1373089309204</v>
      </c>
      <c r="E170" s="4">
        <f>Sect61168[[#This Row],[2023]]-Sect61168[[#This Row],[2021]]</f>
        <v>-736.13730893092043</v>
      </c>
      <c r="F170" s="3">
        <v>3481</v>
      </c>
      <c r="G170" s="3">
        <v>3935</v>
      </c>
      <c r="H170" s="3">
        <v>2744.8626910690796</v>
      </c>
      <c r="I170" s="3">
        <v>0</v>
      </c>
      <c r="J170" s="3">
        <v>0</v>
      </c>
      <c r="K170" s="3">
        <v>0</v>
      </c>
      <c r="L170" s="3">
        <v>0</v>
      </c>
      <c r="M170" s="3">
        <v>0</v>
      </c>
      <c r="N170" s="3">
        <v>0</v>
      </c>
      <c r="O170" s="3">
        <f t="shared" si="2"/>
        <v>2744.8626910690796</v>
      </c>
    </row>
    <row r="171" spans="1:15" x14ac:dyDescent="0.3">
      <c r="A171">
        <v>2087</v>
      </c>
      <c r="B171" t="s">
        <v>231</v>
      </c>
      <c r="C171">
        <v>17</v>
      </c>
      <c r="D171" s="4">
        <f>Sect61168[[#This Row],[2023]]-Sect61168[[#This Row],[2022]]</f>
        <v>222118.54936330894</v>
      </c>
      <c r="E171" s="4">
        <f>Sect61168[[#This Row],[2023]]-Sect61168[[#This Row],[2021]]</f>
        <v>266007.54936330894</v>
      </c>
      <c r="F171" s="3">
        <v>628393</v>
      </c>
      <c r="G171" s="3">
        <v>672282</v>
      </c>
      <c r="H171" s="3">
        <v>807025.71772035689</v>
      </c>
      <c r="I171" s="3">
        <v>0</v>
      </c>
      <c r="J171" s="3">
        <v>0</v>
      </c>
      <c r="K171" s="3">
        <v>0</v>
      </c>
      <c r="L171" s="3">
        <v>0</v>
      </c>
      <c r="M171" s="3">
        <v>0</v>
      </c>
      <c r="N171" s="3">
        <v>87374.831642952049</v>
      </c>
      <c r="O171" s="3">
        <f t="shared" si="2"/>
        <v>894400.54936330894</v>
      </c>
    </row>
    <row r="172" spans="1:15" x14ac:dyDescent="0.3">
      <c r="A172">
        <v>1994</v>
      </c>
      <c r="B172" t="s">
        <v>35</v>
      </c>
      <c r="C172">
        <v>-11</v>
      </c>
      <c r="D172" s="4">
        <f>Sect61168[[#This Row],[2023]]-Sect61168[[#This Row],[2022]]</f>
        <v>59857.83720440988</v>
      </c>
      <c r="E172" s="4">
        <f>Sect61168[[#This Row],[2023]]-Sect61168[[#This Row],[2021]]</f>
        <v>64281.83720440988</v>
      </c>
      <c r="F172" s="3">
        <v>390019</v>
      </c>
      <c r="G172" s="3">
        <v>394443</v>
      </c>
      <c r="H172" s="3">
        <v>356950.65780346491</v>
      </c>
      <c r="I172" s="3">
        <v>55886.214100542493</v>
      </c>
      <c r="J172" s="3">
        <v>0</v>
      </c>
      <c r="K172" s="3">
        <v>0</v>
      </c>
      <c r="L172" s="3">
        <v>0</v>
      </c>
      <c r="M172" s="3">
        <v>0</v>
      </c>
      <c r="N172" s="3">
        <v>41463.965300402488</v>
      </c>
      <c r="O172" s="3">
        <f t="shared" si="2"/>
        <v>454300.83720440988</v>
      </c>
    </row>
    <row r="173" spans="1:15" x14ac:dyDescent="0.3">
      <c r="A173">
        <v>2225</v>
      </c>
      <c r="B173" t="s">
        <v>232</v>
      </c>
      <c r="C173">
        <v>8</v>
      </c>
      <c r="D173" s="4">
        <f>Sect61168[[#This Row],[2023]]-Sect61168[[#This Row],[2022]]</f>
        <v>13842.576480246731</v>
      </c>
      <c r="E173" s="4">
        <f>Sect61168[[#This Row],[2023]]-Sect61168[[#This Row],[2021]]</f>
        <v>21594.576480246731</v>
      </c>
      <c r="F173" s="3">
        <v>65429</v>
      </c>
      <c r="G173" s="3">
        <v>73181</v>
      </c>
      <c r="H173" s="3">
        <v>66656.356452954948</v>
      </c>
      <c r="I173" s="3">
        <v>16664.089113238737</v>
      </c>
      <c r="J173" s="3">
        <v>0</v>
      </c>
      <c r="K173" s="3">
        <v>0</v>
      </c>
      <c r="L173" s="3">
        <v>0</v>
      </c>
      <c r="M173" s="3">
        <v>0</v>
      </c>
      <c r="N173" s="3">
        <v>3703.1309140530529</v>
      </c>
      <c r="O173" s="3">
        <f t="shared" si="2"/>
        <v>87023.576480246731</v>
      </c>
    </row>
    <row r="174" spans="1:15" x14ac:dyDescent="0.3">
      <c r="A174">
        <v>2247</v>
      </c>
      <c r="B174" t="s">
        <v>158</v>
      </c>
      <c r="C174">
        <v>2</v>
      </c>
      <c r="D174" s="4">
        <f>Sect61168[[#This Row],[2023]]-Sect61168[[#This Row],[2022]]</f>
        <v>-1799.4838535855215</v>
      </c>
      <c r="E174" s="4">
        <f>Sect61168[[#This Row],[2023]]-Sect61168[[#This Row],[2021]]</f>
        <v>-1245.4838535855215</v>
      </c>
      <c r="F174" s="3">
        <v>10458</v>
      </c>
      <c r="G174" s="3">
        <v>11012</v>
      </c>
      <c r="H174" s="3">
        <v>9212.5161464144785</v>
      </c>
      <c r="I174" s="3">
        <v>0</v>
      </c>
      <c r="J174" s="3">
        <v>0</v>
      </c>
      <c r="K174" s="3">
        <v>0</v>
      </c>
      <c r="L174" s="3">
        <v>0</v>
      </c>
      <c r="M174" s="3">
        <v>0</v>
      </c>
      <c r="N174" s="3">
        <v>0</v>
      </c>
      <c r="O174" s="3">
        <f t="shared" si="2"/>
        <v>9212.5161464144785</v>
      </c>
    </row>
    <row r="175" spans="1:15" x14ac:dyDescent="0.3">
      <c r="A175">
        <v>2083</v>
      </c>
      <c r="B175" t="s">
        <v>82</v>
      </c>
      <c r="C175">
        <v>-17</v>
      </c>
      <c r="D175" s="4">
        <f>Sect61168[[#This Row],[2023]]-Sect61168[[#This Row],[2022]]</f>
        <v>588273.80767336674</v>
      </c>
      <c r="E175" s="4">
        <f>Sect61168[[#This Row],[2023]]-Sect61168[[#This Row],[2021]]</f>
        <v>685901.80767336674</v>
      </c>
      <c r="F175" s="3">
        <v>2394755</v>
      </c>
      <c r="G175" s="3">
        <v>2492383</v>
      </c>
      <c r="H175" s="3">
        <v>2558734.1306141601</v>
      </c>
      <c r="I175" s="3">
        <v>24618.994200905967</v>
      </c>
      <c r="J175" s="3">
        <v>9847.5976803623853</v>
      </c>
      <c r="K175" s="3">
        <v>49237.988401811934</v>
      </c>
      <c r="L175" s="3">
        <v>0</v>
      </c>
      <c r="M175" s="3">
        <v>0</v>
      </c>
      <c r="N175" s="3">
        <v>438218.09677612624</v>
      </c>
      <c r="O175" s="3">
        <f t="shared" si="2"/>
        <v>3080656.8076733667</v>
      </c>
    </row>
    <row r="176" spans="1:15" x14ac:dyDescent="0.3">
      <c r="A176">
        <v>1948</v>
      </c>
      <c r="B176" t="s">
        <v>23</v>
      </c>
      <c r="C176">
        <v>38</v>
      </c>
      <c r="D176" s="4">
        <f>Sect61168[[#This Row],[2023]]-Sect61168[[#This Row],[2022]]</f>
        <v>214437.65470585588</v>
      </c>
      <c r="E176" s="4">
        <f>Sect61168[[#This Row],[2023]]-Sect61168[[#This Row],[2021]]</f>
        <v>237516.65470585588</v>
      </c>
      <c r="F176" s="3">
        <v>667475</v>
      </c>
      <c r="G176" s="3">
        <v>690554</v>
      </c>
      <c r="H176" s="3">
        <v>672137.96252788929</v>
      </c>
      <c r="I176" s="3">
        <v>165144.46253756492</v>
      </c>
      <c r="J176" s="3">
        <v>1651.4446253756491</v>
      </c>
      <c r="K176" s="3">
        <v>0</v>
      </c>
      <c r="L176" s="3">
        <v>0</v>
      </c>
      <c r="M176" s="3">
        <v>0</v>
      </c>
      <c r="N176" s="3">
        <v>66057.785015025962</v>
      </c>
      <c r="O176" s="3">
        <f t="shared" si="2"/>
        <v>904991.65470585588</v>
      </c>
    </row>
    <row r="177" spans="1:15" x14ac:dyDescent="0.3">
      <c r="A177">
        <v>2144</v>
      </c>
      <c r="B177" t="s">
        <v>117</v>
      </c>
      <c r="C177">
        <v>14</v>
      </c>
      <c r="D177" s="4">
        <f>Sect61168[[#This Row],[2023]]-Sect61168[[#This Row],[2022]]</f>
        <v>-10895.125812582213</v>
      </c>
      <c r="E177" s="4">
        <f>Sect61168[[#This Row],[2023]]-Sect61168[[#This Row],[2021]]</f>
        <v>-4785.1258125822133</v>
      </c>
      <c r="F177" s="3">
        <v>56797</v>
      </c>
      <c r="G177" s="3">
        <v>62907</v>
      </c>
      <c r="H177" s="3">
        <v>43095.552898146168</v>
      </c>
      <c r="I177" s="3">
        <v>7430.2677410596825</v>
      </c>
      <c r="J177" s="3">
        <v>0</v>
      </c>
      <c r="K177" s="3">
        <v>0</v>
      </c>
      <c r="L177" s="3">
        <v>0</v>
      </c>
      <c r="M177" s="3">
        <v>0</v>
      </c>
      <c r="N177" s="3">
        <v>1486.0535482119367</v>
      </c>
      <c r="O177" s="3">
        <f t="shared" si="2"/>
        <v>52011.874187417787</v>
      </c>
    </row>
    <row r="178" spans="1:15" x14ac:dyDescent="0.3">
      <c r="A178">
        <v>2209</v>
      </c>
      <c r="B178" t="s">
        <v>139</v>
      </c>
      <c r="C178">
        <v>-4</v>
      </c>
      <c r="D178" s="4">
        <f>Sect61168[[#This Row],[2023]]-Sect61168[[#This Row],[2022]]</f>
        <v>14119.762394925841</v>
      </c>
      <c r="E178" s="4">
        <f>Sect61168[[#This Row],[2023]]-Sect61168[[#This Row],[2021]]</f>
        <v>13597.762394925841</v>
      </c>
      <c r="F178" s="3">
        <v>114412</v>
      </c>
      <c r="G178" s="3">
        <v>113890</v>
      </c>
      <c r="H178" s="3">
        <v>105521.56089311454</v>
      </c>
      <c r="I178" s="3">
        <v>17298.616539854844</v>
      </c>
      <c r="J178" s="3">
        <v>0</v>
      </c>
      <c r="K178" s="3">
        <v>0</v>
      </c>
      <c r="L178" s="3">
        <v>0</v>
      </c>
      <c r="M178" s="3">
        <v>0</v>
      </c>
      <c r="N178" s="3">
        <v>5189.5849619564542</v>
      </c>
      <c r="O178" s="3">
        <f t="shared" si="2"/>
        <v>128009.76239492584</v>
      </c>
    </row>
    <row r="179" spans="1:15" x14ac:dyDescent="0.3">
      <c r="A179">
        <v>2018</v>
      </c>
      <c r="B179" t="s">
        <v>55</v>
      </c>
      <c r="C179">
        <v>0</v>
      </c>
      <c r="D179" s="4">
        <f>Sect61168[[#This Row],[2023]]-Sect61168[[#This Row],[2022]]</f>
        <v>-388.32999999999993</v>
      </c>
      <c r="E179" s="4">
        <f>Sect61168[[#This Row],[2023]]-Sect61168[[#This Row],[2021]]</f>
        <v>-536.32999999999993</v>
      </c>
      <c r="F179" s="3">
        <v>1573</v>
      </c>
      <c r="G179" s="3">
        <v>1425</v>
      </c>
      <c r="H179" s="3">
        <v>1036.67</v>
      </c>
      <c r="I179" s="3">
        <v>0</v>
      </c>
      <c r="J179" s="3">
        <v>0</v>
      </c>
      <c r="K179" s="3">
        <v>0</v>
      </c>
      <c r="L179" s="3">
        <v>0</v>
      </c>
      <c r="M179" s="3">
        <v>0</v>
      </c>
      <c r="N179" s="3">
        <v>0</v>
      </c>
      <c r="O179" s="3">
        <f t="shared" si="2"/>
        <v>1036.67</v>
      </c>
    </row>
    <row r="180" spans="1:15" x14ac:dyDescent="0.3">
      <c r="A180">
        <v>2003</v>
      </c>
      <c r="B180" t="s">
        <v>43</v>
      </c>
      <c r="C180">
        <v>6</v>
      </c>
      <c r="D180" s="4">
        <f>Sect61168[[#This Row],[2023]]-Sect61168[[#This Row],[2022]]</f>
        <v>73618.529720264312</v>
      </c>
      <c r="E180" s="4">
        <f>Sect61168[[#This Row],[2023]]-Sect61168[[#This Row],[2021]]</f>
        <v>84249.529720264312</v>
      </c>
      <c r="F180" s="3">
        <v>306930</v>
      </c>
      <c r="G180" s="3">
        <v>317561</v>
      </c>
      <c r="H180" s="3">
        <v>317342.42973290518</v>
      </c>
      <c r="I180" s="3">
        <v>42417.057439546727</v>
      </c>
      <c r="J180" s="3">
        <v>0</v>
      </c>
      <c r="K180" s="3">
        <v>0</v>
      </c>
      <c r="L180" s="3">
        <v>0</v>
      </c>
      <c r="M180" s="3">
        <v>0</v>
      </c>
      <c r="N180" s="3">
        <v>31420.042547812391</v>
      </c>
      <c r="O180" s="3">
        <f t="shared" si="2"/>
        <v>391179.52972026431</v>
      </c>
    </row>
    <row r="181" spans="1:15" x14ac:dyDescent="0.3">
      <c r="A181">
        <v>2102</v>
      </c>
      <c r="B181" t="s">
        <v>97</v>
      </c>
      <c r="C181">
        <v>19</v>
      </c>
      <c r="D181" s="4">
        <f>Sect61168[[#This Row],[2023]]-Sect61168[[#This Row],[2022]]</f>
        <v>182391.14636322414</v>
      </c>
      <c r="E181" s="4">
        <f>Sect61168[[#This Row],[2023]]-Sect61168[[#This Row],[2021]]</f>
        <v>191067.14636322414</v>
      </c>
      <c r="F181" s="3">
        <v>567561</v>
      </c>
      <c r="G181" s="3">
        <v>576237</v>
      </c>
      <c r="H181" s="3">
        <v>617644.15456120903</v>
      </c>
      <c r="I181" s="3">
        <v>100702.85128715364</v>
      </c>
      <c r="J181" s="3">
        <v>0</v>
      </c>
      <c r="K181" s="3">
        <v>0</v>
      </c>
      <c r="L181" s="3">
        <v>0</v>
      </c>
      <c r="M181" s="3">
        <v>0</v>
      </c>
      <c r="N181" s="3">
        <v>40281.14051486145</v>
      </c>
      <c r="O181" s="3">
        <f t="shared" si="2"/>
        <v>758628.14636322414</v>
      </c>
    </row>
    <row r="182" spans="1:15" x14ac:dyDescent="0.3">
      <c r="A182">
        <v>2055</v>
      </c>
      <c r="B182" t="s">
        <v>233</v>
      </c>
      <c r="C182">
        <v>18</v>
      </c>
      <c r="D182" s="4">
        <f>Sect61168[[#This Row],[2023]]-Sect61168[[#This Row],[2022]]</f>
        <v>-50476.643657795154</v>
      </c>
      <c r="E182" s="4">
        <f>Sect61168[[#This Row],[2023]]-Sect61168[[#This Row],[2021]]</f>
        <v>-24007.643657795154</v>
      </c>
      <c r="F182" s="3">
        <v>1245372</v>
      </c>
      <c r="G182" s="3">
        <v>1271841</v>
      </c>
      <c r="H182" s="3">
        <v>906989.50722453673</v>
      </c>
      <c r="I182" s="3">
        <v>229457.50481576924</v>
      </c>
      <c r="J182" s="3">
        <v>3613.5040128467599</v>
      </c>
      <c r="K182" s="3">
        <v>0</v>
      </c>
      <c r="L182" s="3">
        <v>0</v>
      </c>
      <c r="M182" s="3">
        <v>0</v>
      </c>
      <c r="N182" s="3">
        <v>81303.84028905211</v>
      </c>
      <c r="O182" s="3">
        <f t="shared" si="2"/>
        <v>1221364.3563422048</v>
      </c>
    </row>
    <row r="183" spans="1:15" x14ac:dyDescent="0.3">
      <c r="A183">
        <v>2242</v>
      </c>
      <c r="B183" t="s">
        <v>154</v>
      </c>
      <c r="C183">
        <v>14</v>
      </c>
      <c r="D183" s="4">
        <f>Sect61168[[#This Row],[2023]]-Sect61168[[#This Row],[2022]]</f>
        <v>47555.19032194186</v>
      </c>
      <c r="E183" s="4">
        <f>Sect61168[[#This Row],[2023]]-Sect61168[[#This Row],[2021]]</f>
        <v>57676.19032194186</v>
      </c>
      <c r="F183" s="3">
        <v>2454322</v>
      </c>
      <c r="G183" s="3">
        <v>2464443</v>
      </c>
      <c r="H183" s="3">
        <v>1720613.3505045709</v>
      </c>
      <c r="I183" s="3">
        <v>552996.37372484326</v>
      </c>
      <c r="J183" s="3">
        <v>4865.0707365821991</v>
      </c>
      <c r="K183" s="3">
        <v>51894.087856876788</v>
      </c>
      <c r="L183" s="3">
        <v>0</v>
      </c>
      <c r="M183" s="3">
        <v>0</v>
      </c>
      <c r="N183" s="3">
        <v>181629.30749906879</v>
      </c>
      <c r="O183" s="3">
        <f t="shared" si="2"/>
        <v>2511998.1903219419</v>
      </c>
    </row>
    <row r="184" spans="1:15" x14ac:dyDescent="0.3">
      <c r="A184">
        <v>2197</v>
      </c>
      <c r="B184" t="s">
        <v>133</v>
      </c>
      <c r="C184">
        <v>-30</v>
      </c>
      <c r="D184" s="4">
        <f>Sect61168[[#This Row],[2023]]-Sect61168[[#This Row],[2022]]</f>
        <v>64028.798418832594</v>
      </c>
      <c r="E184" s="4">
        <f>Sect61168[[#This Row],[2023]]-Sect61168[[#This Row],[2021]]</f>
        <v>68208.798418832594</v>
      </c>
      <c r="F184" s="3">
        <v>521119</v>
      </c>
      <c r="G184" s="3">
        <v>525299</v>
      </c>
      <c r="H184" s="3">
        <v>468045.84570075397</v>
      </c>
      <c r="I184" s="3">
        <v>90534.415409269932</v>
      </c>
      <c r="J184" s="3">
        <v>0</v>
      </c>
      <c r="K184" s="3">
        <v>0</v>
      </c>
      <c r="L184" s="3">
        <v>0</v>
      </c>
      <c r="M184" s="3">
        <v>0</v>
      </c>
      <c r="N184" s="3">
        <v>30747.537308808649</v>
      </c>
      <c r="O184" s="3">
        <f t="shared" si="2"/>
        <v>589327.79841883259</v>
      </c>
    </row>
    <row r="185" spans="1:15" x14ac:dyDescent="0.3">
      <c r="A185">
        <v>2222</v>
      </c>
      <c r="B185" t="s">
        <v>149</v>
      </c>
      <c r="C185">
        <v>1</v>
      </c>
      <c r="D185" s="4">
        <f>Sect61168[[#This Row],[2023]]-Sect61168[[#This Row],[2022]]</f>
        <v>794.20269106907972</v>
      </c>
      <c r="E185" s="4">
        <f>Sect61168[[#This Row],[2023]]-Sect61168[[#This Row],[2021]]</f>
        <v>984.20269106907972</v>
      </c>
      <c r="F185" s="3">
        <v>2279</v>
      </c>
      <c r="G185" s="3">
        <v>2469</v>
      </c>
      <c r="H185" s="3">
        <v>3263.2026910690797</v>
      </c>
      <c r="I185" s="3">
        <v>0</v>
      </c>
      <c r="J185" s="3">
        <v>0</v>
      </c>
      <c r="K185" s="3">
        <v>0</v>
      </c>
      <c r="L185" s="3">
        <v>0</v>
      </c>
      <c r="M185" s="3">
        <v>0</v>
      </c>
      <c r="N185" s="3">
        <v>0</v>
      </c>
      <c r="O185" s="3">
        <f t="shared" si="2"/>
        <v>3263.2026910690797</v>
      </c>
    </row>
    <row r="186" spans="1:15" x14ac:dyDescent="0.3">
      <c r="A186">
        <v>2210</v>
      </c>
      <c r="B186" t="s">
        <v>234</v>
      </c>
      <c r="C186">
        <v>0</v>
      </c>
      <c r="D186" s="4">
        <f>Sect61168[[#This Row],[2023]]-Sect61168[[#This Row],[2022]]</f>
        <v>-668.40192679276061</v>
      </c>
      <c r="E186" s="4">
        <f>Sect61168[[#This Row],[2023]]-Sect61168[[#This Row],[2021]]</f>
        <v>-166.40192679276061</v>
      </c>
      <c r="F186" s="3">
        <v>6846</v>
      </c>
      <c r="G186" s="3">
        <v>7348</v>
      </c>
      <c r="H186" s="3">
        <v>6679.5980732072394</v>
      </c>
      <c r="I186" s="3">
        <v>0</v>
      </c>
      <c r="J186" s="3">
        <v>0</v>
      </c>
      <c r="K186" s="3">
        <v>0</v>
      </c>
      <c r="L186" s="3">
        <v>0</v>
      </c>
      <c r="M186" s="3">
        <v>0</v>
      </c>
      <c r="N186" s="3">
        <v>0</v>
      </c>
      <c r="O186" s="3">
        <f t="shared" si="2"/>
        <v>6679.5980732072394</v>
      </c>
    </row>
    <row r="187" spans="1:15" x14ac:dyDescent="0.3">
      <c r="A187">
        <v>2204</v>
      </c>
      <c r="B187" t="s">
        <v>235</v>
      </c>
      <c r="C187">
        <v>-15</v>
      </c>
      <c r="D187" s="4">
        <f>Sect61168[[#This Row],[2023]]-Sect61168[[#This Row],[2022]]</f>
        <v>-44767.909428947256</v>
      </c>
      <c r="E187" s="4">
        <f>Sect61168[[#This Row],[2023]]-Sect61168[[#This Row],[2021]]</f>
        <v>-32229.909428947256</v>
      </c>
      <c r="F187" s="3">
        <v>287918</v>
      </c>
      <c r="G187" s="3">
        <v>300456</v>
      </c>
      <c r="H187" s="3">
        <v>183775.81509794417</v>
      </c>
      <c r="I187" s="3">
        <v>46343.466416003306</v>
      </c>
      <c r="J187" s="3">
        <v>0</v>
      </c>
      <c r="K187" s="3">
        <v>0</v>
      </c>
      <c r="L187" s="3">
        <v>0</v>
      </c>
      <c r="M187" s="3">
        <v>0</v>
      </c>
      <c r="N187" s="3">
        <v>25568.809057105278</v>
      </c>
      <c r="O187" s="3">
        <f t="shared" si="2"/>
        <v>255688.09057105274</v>
      </c>
    </row>
    <row r="188" spans="1:15" x14ac:dyDescent="0.3">
      <c r="A188">
        <v>2213</v>
      </c>
      <c r="B188" t="s">
        <v>141</v>
      </c>
      <c r="C188">
        <v>7</v>
      </c>
      <c r="D188" s="4">
        <f>Sect61168[[#This Row],[2023]]-Sect61168[[#This Row],[2022]]</f>
        <v>18775.793561754414</v>
      </c>
      <c r="E188" s="4">
        <f>Sect61168[[#This Row],[2023]]-Sect61168[[#This Row],[2021]]</f>
        <v>24547.793561754414</v>
      </c>
      <c r="F188" s="3">
        <v>83671</v>
      </c>
      <c r="G188" s="3">
        <v>89443</v>
      </c>
      <c r="H188" s="3">
        <v>96382.363015937532</v>
      </c>
      <c r="I188" s="3">
        <v>3381.8372988048259</v>
      </c>
      <c r="J188" s="3">
        <v>0</v>
      </c>
      <c r="K188" s="3">
        <v>0</v>
      </c>
      <c r="L188" s="3">
        <v>0</v>
      </c>
      <c r="M188" s="3">
        <v>0</v>
      </c>
      <c r="N188" s="3">
        <v>8454.5932470120642</v>
      </c>
      <c r="O188" s="3">
        <f t="shared" si="2"/>
        <v>108218.79356175441</v>
      </c>
    </row>
    <row r="189" spans="1:15" x14ac:dyDescent="0.3">
      <c r="A189">
        <v>2116</v>
      </c>
      <c r="B189" t="s">
        <v>109</v>
      </c>
      <c r="C189">
        <v>33</v>
      </c>
      <c r="D189" s="4">
        <f>Sect61168[[#This Row],[2023]]-Sect61168[[#This Row],[2022]]</f>
        <v>28357.75060800233</v>
      </c>
      <c r="E189" s="4">
        <f>Sect61168[[#This Row],[2023]]-Sect61168[[#This Row],[2021]]</f>
        <v>27974.75060800233</v>
      </c>
      <c r="F189" s="3">
        <v>204290</v>
      </c>
      <c r="G189" s="3">
        <v>203907</v>
      </c>
      <c r="H189" s="3">
        <v>209525.54425477135</v>
      </c>
      <c r="I189" s="3">
        <v>1624.2290252307855</v>
      </c>
      <c r="J189" s="3">
        <v>0</v>
      </c>
      <c r="K189" s="3">
        <v>0</v>
      </c>
      <c r="L189" s="3">
        <v>0</v>
      </c>
      <c r="M189" s="3">
        <v>0</v>
      </c>
      <c r="N189" s="3">
        <v>21114.977328000212</v>
      </c>
      <c r="O189" s="3">
        <f t="shared" si="2"/>
        <v>232264.75060800233</v>
      </c>
    </row>
    <row r="190" spans="1:15" x14ac:dyDescent="0.3">
      <c r="A190">
        <v>1947</v>
      </c>
      <c r="B190" t="s">
        <v>22</v>
      </c>
      <c r="C190">
        <v>-18</v>
      </c>
      <c r="D190" s="4">
        <f>Sect61168[[#This Row],[2023]]-Sect61168[[#This Row],[2022]]</f>
        <v>11453.347176405194</v>
      </c>
      <c r="E190" s="4">
        <f>Sect61168[[#This Row],[2023]]-Sect61168[[#This Row],[2021]]</f>
        <v>11929.347176405194</v>
      </c>
      <c r="F190" s="3">
        <v>143689</v>
      </c>
      <c r="G190" s="3">
        <v>144165</v>
      </c>
      <c r="H190" s="3">
        <v>126439.9070808292</v>
      </c>
      <c r="I190" s="3">
        <v>21397.522736755713</v>
      </c>
      <c r="J190" s="3">
        <v>0</v>
      </c>
      <c r="K190" s="3">
        <v>0</v>
      </c>
      <c r="L190" s="3">
        <v>0</v>
      </c>
      <c r="M190" s="3">
        <v>0</v>
      </c>
      <c r="N190" s="3">
        <v>7780.9173588202593</v>
      </c>
      <c r="O190" s="3">
        <f t="shared" si="2"/>
        <v>155618.34717640519</v>
      </c>
    </row>
    <row r="191" spans="1:15" x14ac:dyDescent="0.3">
      <c r="A191">
        <v>2220</v>
      </c>
      <c r="B191" t="s">
        <v>147</v>
      </c>
      <c r="C191">
        <v>1</v>
      </c>
      <c r="D191" s="4">
        <f>Sect61168[[#This Row],[2023]]-Sect61168[[#This Row],[2022]]</f>
        <v>9706.1688052796235</v>
      </c>
      <c r="E191" s="4">
        <f>Sect61168[[#This Row],[2023]]-Sect61168[[#This Row],[2021]]</f>
        <v>9035.1688052796235</v>
      </c>
      <c r="F191" s="3">
        <v>63922</v>
      </c>
      <c r="G191" s="3">
        <v>63251</v>
      </c>
      <c r="H191" s="3">
        <v>66324.698913890563</v>
      </c>
      <c r="I191" s="3">
        <v>0</v>
      </c>
      <c r="J191" s="3">
        <v>0</v>
      </c>
      <c r="K191" s="3">
        <v>0</v>
      </c>
      <c r="L191" s="3">
        <v>0</v>
      </c>
      <c r="M191" s="3">
        <v>0</v>
      </c>
      <c r="N191" s="3">
        <v>6632.469891389057</v>
      </c>
      <c r="O191" s="3">
        <f t="shared" si="2"/>
        <v>72957.168805279623</v>
      </c>
    </row>
    <row r="192" spans="1:15" x14ac:dyDescent="0.3">
      <c r="A192">
        <v>1936</v>
      </c>
      <c r="B192" t="s">
        <v>236</v>
      </c>
      <c r="C192">
        <v>-6</v>
      </c>
      <c r="D192" s="4">
        <f>Sect61168[[#This Row],[2023]]-Sect61168[[#This Row],[2022]]</f>
        <v>35316.623262121808</v>
      </c>
      <c r="E192" s="4">
        <f>Sect61168[[#This Row],[2023]]-Sect61168[[#This Row],[2021]]</f>
        <v>36488.623262121808</v>
      </c>
      <c r="F192" s="3">
        <v>224536</v>
      </c>
      <c r="G192" s="3">
        <v>225708</v>
      </c>
      <c r="H192" s="3">
        <v>192931.24328069872</v>
      </c>
      <c r="I192" s="3">
        <v>40531.773798466122</v>
      </c>
      <c r="J192" s="3">
        <v>0</v>
      </c>
      <c r="K192" s="3">
        <v>0</v>
      </c>
      <c r="L192" s="3">
        <v>0</v>
      </c>
      <c r="M192" s="3">
        <v>0</v>
      </c>
      <c r="N192" s="3">
        <v>27561.606182956966</v>
      </c>
      <c r="O192" s="3">
        <f t="shared" si="2"/>
        <v>261024.62326212181</v>
      </c>
    </row>
    <row r="193" spans="1:15" x14ac:dyDescent="0.3">
      <c r="A193">
        <v>1922</v>
      </c>
      <c r="B193" t="s">
        <v>237</v>
      </c>
      <c r="C193">
        <v>52</v>
      </c>
      <c r="D193" s="4">
        <f>Sect61168[[#This Row],[2023]]-Sect61168[[#This Row],[2022]]</f>
        <v>34113.516195076518</v>
      </c>
      <c r="E193" s="4">
        <f>Sect61168[[#This Row],[2023]]-Sect61168[[#This Row],[2021]]</f>
        <v>70266.516195076518</v>
      </c>
      <c r="F193" s="3">
        <v>1761071</v>
      </c>
      <c r="G193" s="3">
        <v>1797224</v>
      </c>
      <c r="H193" s="3">
        <v>1392005.4723271262</v>
      </c>
      <c r="I193" s="3">
        <v>357449.36902517831</v>
      </c>
      <c r="J193" s="3">
        <v>0</v>
      </c>
      <c r="K193" s="3">
        <v>0</v>
      </c>
      <c r="L193" s="3">
        <v>0</v>
      </c>
      <c r="M193" s="3">
        <v>0</v>
      </c>
      <c r="N193" s="3">
        <v>81882.674842772132</v>
      </c>
      <c r="O193" s="3">
        <f t="shared" si="2"/>
        <v>1831337.5161950765</v>
      </c>
    </row>
    <row r="194" spans="1:15" x14ac:dyDescent="0.3">
      <c r="A194">
        <v>2255</v>
      </c>
      <c r="B194" t="s">
        <v>164</v>
      </c>
      <c r="C194">
        <v>-5</v>
      </c>
      <c r="D194" s="4">
        <f>Sect61168[[#This Row],[2023]]-Sect61168[[#This Row],[2022]]</f>
        <v>-15347.567469950591</v>
      </c>
      <c r="E194" s="4">
        <f>Sect61168[[#This Row],[2023]]-Sect61168[[#This Row],[2021]]</f>
        <v>-13250.567469950591</v>
      </c>
      <c r="F194" s="3">
        <v>255166</v>
      </c>
      <c r="G194" s="3">
        <v>257263</v>
      </c>
      <c r="H194" s="3">
        <v>203135.09601759876</v>
      </c>
      <c r="I194" s="3">
        <v>27700.240366036196</v>
      </c>
      <c r="J194" s="3">
        <v>0</v>
      </c>
      <c r="K194" s="3">
        <v>0</v>
      </c>
      <c r="L194" s="3">
        <v>0</v>
      </c>
      <c r="M194" s="3">
        <v>0</v>
      </c>
      <c r="N194" s="3">
        <v>11080.096146414478</v>
      </c>
      <c r="O194" s="3">
        <f t="shared" ref="O194:O202" si="3">SUM(H194:N194)</f>
        <v>241915.43253004941</v>
      </c>
    </row>
    <row r="195" spans="1:15" x14ac:dyDescent="0.3">
      <c r="A195">
        <v>2002</v>
      </c>
      <c r="B195" t="s">
        <v>42</v>
      </c>
      <c r="C195">
        <v>31</v>
      </c>
      <c r="D195" s="4">
        <f>Sect61168[[#This Row],[2023]]-Sect61168[[#This Row],[2022]]</f>
        <v>111316.97706632374</v>
      </c>
      <c r="E195" s="4">
        <f>Sect61168[[#This Row],[2023]]-Sect61168[[#This Row],[2021]]</f>
        <v>125145.97706632374</v>
      </c>
      <c r="F195" s="3">
        <v>334262</v>
      </c>
      <c r="G195" s="3">
        <v>348091</v>
      </c>
      <c r="H195" s="3">
        <v>364530.24267219164</v>
      </c>
      <c r="I195" s="3">
        <v>26632.346496598479</v>
      </c>
      <c r="J195" s="3">
        <v>0</v>
      </c>
      <c r="K195" s="3">
        <v>0</v>
      </c>
      <c r="L195" s="3">
        <v>0</v>
      </c>
      <c r="M195" s="3">
        <v>0</v>
      </c>
      <c r="N195" s="3">
        <v>68245.387897533597</v>
      </c>
      <c r="O195" s="3">
        <f t="shared" si="3"/>
        <v>459407.97706632374</v>
      </c>
    </row>
    <row r="196" spans="1:15" x14ac:dyDescent="0.3">
      <c r="A196">
        <v>2146</v>
      </c>
      <c r="B196" t="s">
        <v>119</v>
      </c>
      <c r="C196">
        <v>28</v>
      </c>
      <c r="D196" s="4">
        <f>Sect61168[[#This Row],[2023]]-Sect61168[[#This Row],[2022]]</f>
        <v>73851.998223603237</v>
      </c>
      <c r="E196" s="4">
        <f>Sect61168[[#This Row],[2023]]-Sect61168[[#This Row],[2021]]</f>
        <v>133950.99822360324</v>
      </c>
      <c r="F196" s="3">
        <v>1061122</v>
      </c>
      <c r="G196" s="3">
        <v>1121221</v>
      </c>
      <c r="H196" s="3">
        <v>924227.01498133794</v>
      </c>
      <c r="I196" s="3">
        <v>203832.54408953976</v>
      </c>
      <c r="J196" s="3">
        <v>6980.566578408896</v>
      </c>
      <c r="K196" s="3">
        <v>0</v>
      </c>
      <c r="L196" s="3">
        <v>0</v>
      </c>
      <c r="M196" s="3">
        <v>0</v>
      </c>
      <c r="N196" s="3">
        <v>60032.872574316512</v>
      </c>
      <c r="O196" s="3">
        <f t="shared" si="3"/>
        <v>1195072.9982236032</v>
      </c>
    </row>
    <row r="197" spans="1:15" x14ac:dyDescent="0.3">
      <c r="A197">
        <v>2251</v>
      </c>
      <c r="B197" t="s">
        <v>238</v>
      </c>
      <c r="C197">
        <v>35</v>
      </c>
      <c r="D197" s="4">
        <f>Sect61168[[#This Row],[2023]]-Sect61168[[#This Row],[2022]]</f>
        <v>40581.744617036544</v>
      </c>
      <c r="E197" s="4">
        <f>Sect61168[[#This Row],[2023]]-Sect61168[[#This Row],[2021]]</f>
        <v>48080.744617036544</v>
      </c>
      <c r="F197" s="3">
        <v>243472</v>
      </c>
      <c r="G197" s="3">
        <v>250971</v>
      </c>
      <c r="H197" s="3">
        <v>258126.31529788586</v>
      </c>
      <c r="I197" s="3">
        <v>27855.35776595891</v>
      </c>
      <c r="J197" s="3">
        <v>0</v>
      </c>
      <c r="K197" s="3">
        <v>0</v>
      </c>
      <c r="L197" s="3">
        <v>0</v>
      </c>
      <c r="M197" s="3">
        <v>0</v>
      </c>
      <c r="N197" s="3">
        <v>5571.0715531917813</v>
      </c>
      <c r="O197" s="3">
        <f t="shared" si="3"/>
        <v>291552.74461703654</v>
      </c>
    </row>
    <row r="198" spans="1:15" x14ac:dyDescent="0.3">
      <c r="A198">
        <v>1997</v>
      </c>
      <c r="B198" t="s">
        <v>37</v>
      </c>
      <c r="C198">
        <v>9</v>
      </c>
      <c r="D198" s="4">
        <f>Sect61168[[#This Row],[2023]]-Sect61168[[#This Row],[2022]]</f>
        <v>14365.646746105835</v>
      </c>
      <c r="E198" s="4">
        <f>Sect61168[[#This Row],[2023]]-Sect61168[[#This Row],[2021]]</f>
        <v>19388.646746105835</v>
      </c>
      <c r="F198" s="3">
        <v>66760</v>
      </c>
      <c r="G198" s="3">
        <v>71783</v>
      </c>
      <c r="H198" s="3">
        <v>68567.290267308723</v>
      </c>
      <c r="I198" s="3">
        <v>5274.4069436391328</v>
      </c>
      <c r="J198" s="3">
        <v>0</v>
      </c>
      <c r="K198" s="3">
        <v>0</v>
      </c>
      <c r="L198" s="3">
        <v>0</v>
      </c>
      <c r="M198" s="3">
        <v>0</v>
      </c>
      <c r="N198" s="3">
        <v>12306.949535157977</v>
      </c>
      <c r="O198" s="3">
        <f t="shared" si="3"/>
        <v>86148.646746105835</v>
      </c>
    </row>
    <row r="199" spans="1:15" x14ac:dyDescent="0.3">
      <c r="A199">
        <v>3476</v>
      </c>
      <c r="B199" t="s">
        <v>239</v>
      </c>
      <c r="C199">
        <v>-3</v>
      </c>
      <c r="D199" s="4">
        <f>Sect61168[[#This Row],[2023]]-Sect61168[[#This Row],[2022]]</f>
        <v>3442.2861142105467</v>
      </c>
      <c r="E199" s="4">
        <f>Sect61168[[#This Row],[2023]]-Sect61168[[#This Row],[2021]]</f>
        <v>-6165.7138857894533</v>
      </c>
      <c r="F199" s="3">
        <v>60828</v>
      </c>
      <c r="G199" s="3">
        <v>51220</v>
      </c>
      <c r="H199" s="3">
        <v>54662.286114210547</v>
      </c>
      <c r="I199" s="3">
        <v>0</v>
      </c>
      <c r="J199" s="3">
        <v>0</v>
      </c>
      <c r="K199" s="3">
        <v>0</v>
      </c>
      <c r="L199" s="3">
        <v>0</v>
      </c>
      <c r="M199" s="3">
        <v>0</v>
      </c>
      <c r="N199" s="3">
        <v>0</v>
      </c>
      <c r="O199" s="3">
        <f t="shared" si="3"/>
        <v>54662.286114210547</v>
      </c>
    </row>
    <row r="200" spans="1:15" x14ac:dyDescent="0.3">
      <c r="A200">
        <v>3477</v>
      </c>
      <c r="B200" t="s">
        <v>240</v>
      </c>
      <c r="C200">
        <v>1</v>
      </c>
      <c r="D200" s="4">
        <f>Sect61168[[#This Row],[2023]]-Sect61168[[#This Row],[2022]]</f>
        <v>23973.099106907961</v>
      </c>
      <c r="E200" s="4">
        <f>Sect61168[[#This Row],[2023]]-Sect61168[[#This Row],[2021]]</f>
        <v>27373.099106907961</v>
      </c>
      <c r="F200" s="3">
        <v>265255</v>
      </c>
      <c r="G200" s="3">
        <v>268655</v>
      </c>
      <c r="H200" s="3">
        <v>292628.09910690796</v>
      </c>
      <c r="I200" s="3">
        <v>0</v>
      </c>
      <c r="J200" s="3">
        <v>0</v>
      </c>
      <c r="K200" s="3">
        <v>0</v>
      </c>
      <c r="L200" s="3">
        <v>0</v>
      </c>
      <c r="M200" s="3">
        <v>0</v>
      </c>
      <c r="N200" s="3">
        <v>0</v>
      </c>
      <c r="O200" s="3">
        <f t="shared" si="3"/>
        <v>292628.09910690796</v>
      </c>
    </row>
    <row r="201" spans="1:15" x14ac:dyDescent="0.3">
      <c r="A201">
        <v>2332</v>
      </c>
      <c r="B201" t="s">
        <v>241</v>
      </c>
      <c r="C201">
        <v>-4</v>
      </c>
      <c r="D201" s="4">
        <f>Sect61168[[#This Row],[2023]]-Sect61168[[#This Row],[2022]]</f>
        <v>-33329.797308930923</v>
      </c>
      <c r="E201" s="4">
        <f>Sect61168[[#This Row],[2023]]-Sect61168[[#This Row],[2021]]</f>
        <v>-45878.797308930923</v>
      </c>
      <c r="F201" s="3">
        <v>53807</v>
      </c>
      <c r="G201" s="3">
        <v>41258</v>
      </c>
      <c r="H201" s="3">
        <v>7928.2026910690802</v>
      </c>
      <c r="I201" s="3">
        <v>0</v>
      </c>
      <c r="J201" s="3">
        <v>0</v>
      </c>
      <c r="K201" s="3">
        <v>0</v>
      </c>
      <c r="L201" s="3">
        <v>0</v>
      </c>
      <c r="M201" s="3">
        <v>0</v>
      </c>
      <c r="N201" s="3">
        <v>0</v>
      </c>
      <c r="O201" s="3">
        <f t="shared" si="3"/>
        <v>7928.2026910690802</v>
      </c>
    </row>
    <row r="202" spans="1:15" x14ac:dyDescent="0.3">
      <c r="A202">
        <v>5269</v>
      </c>
      <c r="B202" t="s">
        <v>182</v>
      </c>
      <c r="C202">
        <v>0</v>
      </c>
      <c r="D202" s="4">
        <f>Sect61168[[#This Row],[2023]]-Sect61168[[#This Row],[2022]]</f>
        <v>11581.748476155335</v>
      </c>
      <c r="E202" s="4">
        <f>Sect61168[[#This Row],[2023]]-Sect61168[[#This Row],[2021]]</f>
        <v>12959.748476155335</v>
      </c>
      <c r="F202" s="3">
        <v>19907</v>
      </c>
      <c r="G202" s="3">
        <v>21285</v>
      </c>
      <c r="H202" s="3">
        <v>0</v>
      </c>
      <c r="I202" s="3">
        <v>0</v>
      </c>
      <c r="J202" s="3">
        <v>0</v>
      </c>
      <c r="K202" s="3">
        <v>0</v>
      </c>
      <c r="L202" s="3">
        <v>0</v>
      </c>
      <c r="M202" s="3">
        <v>32866.748476155335</v>
      </c>
      <c r="N202" s="3">
        <v>0</v>
      </c>
      <c r="O202" s="3">
        <f t="shared" si="3"/>
        <v>32866.748476155335</v>
      </c>
    </row>
    <row r="203" spans="1:15" s="2" customFormat="1" x14ac:dyDescent="0.3">
      <c r="B203" s="23"/>
      <c r="C203" s="2">
        <v>0</v>
      </c>
      <c r="D203" s="24">
        <f>Sect61168[[#This Row],[2023]]-Sect61168[[#This Row],[2022]]</f>
        <v>10190539.00000006</v>
      </c>
      <c r="E203" s="24">
        <f>Sect61168[[#This Row],[2023]]-Sect61168[[#This Row],[2021]]</f>
        <v>16056908.00000006</v>
      </c>
      <c r="F203" s="4">
        <f>SUBTOTAL(109,F2:F202)</f>
        <v>125117358</v>
      </c>
      <c r="G203" s="4">
        <f>SUBTOTAL(109,G2:G202)</f>
        <v>130983727</v>
      </c>
      <c r="H203" s="25">
        <v>0</v>
      </c>
      <c r="I203" s="25">
        <v>0</v>
      </c>
      <c r="J203" s="25">
        <v>0</v>
      </c>
      <c r="K203" s="25">
        <v>0</v>
      </c>
      <c r="L203" s="25">
        <v>0</v>
      </c>
      <c r="M203" s="5">
        <v>0</v>
      </c>
      <c r="N203" s="25">
        <v>0</v>
      </c>
      <c r="O203" s="25">
        <f>SUBTOTAL(109,O2:O202)</f>
        <v>141174266.00000006</v>
      </c>
    </row>
    <row r="204" spans="1:15" hidden="1" x14ac:dyDescent="0.3">
      <c r="B204" t="s">
        <v>184</v>
      </c>
      <c r="C204" s="26">
        <f>SUBTOTAL(109,Sect61168[Kid Count (+/-)])</f>
        <v>2629</v>
      </c>
      <c r="D204" s="26"/>
      <c r="E204" s="27">
        <f>SUBTOTAL(109,Sect61168[Variance to 2021])</f>
        <v>32113816.000000063</v>
      </c>
      <c r="F204" s="27">
        <f>SUBTOTAL(109,Sect61168[2021])</f>
        <v>125117358</v>
      </c>
      <c r="G204" s="27"/>
      <c r="H204" s="4">
        <f>SUBTOTAL(109,Sect61168[District])</f>
        <v>109553557.61526054</v>
      </c>
      <c r="I204" s="4">
        <f>SUBTOTAL(109,Sect61168[Regional])</f>
        <v>20779417.35836149</v>
      </c>
      <c r="J204" s="4">
        <f>SUBTOTAL(109,Sect61168[OSD])</f>
        <v>147833.14730013642</v>
      </c>
      <c r="K204" s="4">
        <f>SUBTOTAL(109,Sect61168[LTCT])</f>
        <v>340713.59779570653</v>
      </c>
      <c r="L204" s="4">
        <f>SUBTOTAL(109,Sect61168[Hospital])</f>
        <v>12687.433510635514</v>
      </c>
      <c r="M204" s="4">
        <f>SUBTOTAL(109,Sect61168[PNF])</f>
        <v>32866.748476155335</v>
      </c>
      <c r="N204" s="4">
        <f>SUBTOTAL(109,Sect61168[ECSE])</f>
        <v>10307190.099295314</v>
      </c>
      <c r="O204" s="4">
        <f>SUBTOTAL(109,Sect61168[2023])</f>
        <v>141174266.00000006</v>
      </c>
    </row>
  </sheetData>
  <sheetProtection sort="0" autoFilter="0"/>
  <phoneticPr fontId="9" type="noConversion"/>
  <conditionalFormatting sqref="D2:D203">
    <cfRule type="cellIs" dxfId="7" priority="4" operator="lessThan">
      <formula>0</formula>
    </cfRule>
    <cfRule type="cellIs" dxfId="6" priority="5" operator="greaterThan">
      <formula>1</formula>
    </cfRule>
  </conditionalFormatting>
  <conditionalFormatting sqref="E2:E203">
    <cfRule type="cellIs" dxfId="5" priority="2" operator="lessThan">
      <formula>1</formula>
    </cfRule>
    <cfRule type="cellIs" dxfId="4" priority="3" operator="greaterThan">
      <formula>1</formula>
    </cfRule>
  </conditionalFormatting>
  <conditionalFormatting sqref="C2:C203">
    <cfRule type="iconSet" priority="1">
      <iconSet iconSet="3Arrows">
        <cfvo type="percent" val="0"/>
        <cfvo type="num" val="-1"/>
        <cfvo type="num" val="1"/>
      </iconSet>
    </cfRule>
  </conditionalFormatting>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AE8F-35CE-4D1D-822A-90A8C4E7016D}">
  <sheetPr>
    <tabColor rgb="FF00B050"/>
  </sheetPr>
  <dimension ref="A1:BS204"/>
  <sheetViews>
    <sheetView zoomScaleNormal="100" workbookViewId="0">
      <pane ySplit="1" topLeftCell="A2" activePane="bottomLeft" state="frozen"/>
      <selection pane="bottomLeft"/>
    </sheetView>
  </sheetViews>
  <sheetFormatPr defaultColWidth="0" defaultRowHeight="13" zeroHeight="1" outlineLevelCol="1" x14ac:dyDescent="0.3"/>
  <cols>
    <col min="1" max="1" width="7.296875" customWidth="1"/>
    <col min="2" max="2" width="30.296875" customWidth="1"/>
    <col min="3" max="3" width="16.296875" customWidth="1"/>
    <col min="4" max="4" width="17.69921875" bestFit="1" customWidth="1"/>
    <col min="5" max="5" width="16.296875" customWidth="1"/>
    <col min="6" max="6" width="17.69921875" bestFit="1" customWidth="1"/>
    <col min="7" max="7" width="17.69921875" customWidth="1"/>
    <col min="8" max="8" width="14.5" hidden="1" customWidth="1" outlineLevel="1"/>
    <col min="9" max="9" width="14.09765625" hidden="1" customWidth="1" outlineLevel="1"/>
    <col min="10" max="10" width="10.296875" hidden="1" customWidth="1" outlineLevel="1"/>
    <col min="11" max="11" width="10.796875" hidden="1" customWidth="1" outlineLevel="1"/>
    <col min="12" max="12" width="13.796875" hidden="1" customWidth="1" outlineLevel="1"/>
    <col min="13" max="13" width="12.8984375" hidden="1" customWidth="1" outlineLevel="1"/>
    <col min="14" max="14" width="15.8984375" bestFit="1" customWidth="1" collapsed="1"/>
    <col min="15" max="15" width="7.296875" customWidth="1"/>
    <col min="16" max="71" width="0" hidden="1" customWidth="1"/>
    <col min="72" max="16384" width="7.296875" hidden="1"/>
  </cols>
  <sheetData>
    <row r="1" spans="1:15" x14ac:dyDescent="0.3">
      <c r="A1" t="s">
        <v>254</v>
      </c>
      <c r="B1" t="s">
        <v>0</v>
      </c>
      <c r="C1" s="21" t="s">
        <v>258</v>
      </c>
      <c r="D1" t="s">
        <v>261</v>
      </c>
      <c r="E1" t="s">
        <v>262</v>
      </c>
      <c r="F1" s="20" t="s">
        <v>260</v>
      </c>
      <c r="G1" s="20" t="s">
        <v>263</v>
      </c>
      <c r="H1" s="6" t="s">
        <v>174</v>
      </c>
      <c r="I1" s="6" t="s">
        <v>175</v>
      </c>
      <c r="J1" s="6" t="s">
        <v>170</v>
      </c>
      <c r="K1" s="6" t="s">
        <v>171</v>
      </c>
      <c r="L1" s="6" t="s">
        <v>176</v>
      </c>
      <c r="M1" s="6" t="s">
        <v>177</v>
      </c>
      <c r="N1" s="22" t="s">
        <v>259</v>
      </c>
      <c r="O1" s="2"/>
    </row>
    <row r="2" spans="1:15" x14ac:dyDescent="0.3">
      <c r="A2">
        <v>2063</v>
      </c>
      <c r="B2" t="s">
        <v>79</v>
      </c>
      <c r="C2">
        <v>0</v>
      </c>
      <c r="D2" s="4">
        <f>Sect6197[[#This Row],[2023]]-Sect6197[[#This Row],[2022]]</f>
        <v>10.411624622860302</v>
      </c>
      <c r="E2" s="4">
        <f>Sect6197[[#This Row],[2023]]-Sect6197[[#This Row],[2021]]</f>
        <v>-6.5883753771396982</v>
      </c>
      <c r="F2" s="3">
        <v>491</v>
      </c>
      <c r="G2" s="3">
        <v>474</v>
      </c>
      <c r="H2" s="3">
        <v>484.4116246228603</v>
      </c>
      <c r="I2" s="3">
        <v>0</v>
      </c>
      <c r="J2" s="3">
        <v>0</v>
      </c>
      <c r="K2" s="3">
        <v>0</v>
      </c>
      <c r="L2" s="3">
        <v>0</v>
      </c>
      <c r="M2" s="3">
        <v>0</v>
      </c>
      <c r="N2" s="3">
        <f t="shared" ref="N2:N65" si="0">SUM(H2:M2)</f>
        <v>484.4116246228603</v>
      </c>
      <c r="O2" s="2"/>
    </row>
    <row r="3" spans="1:15" x14ac:dyDescent="0.3">
      <c r="A3">
        <v>2113</v>
      </c>
      <c r="B3" t="s">
        <v>106</v>
      </c>
      <c r="C3">
        <v>0</v>
      </c>
      <c r="D3" s="4">
        <f>Sect6197[[#This Row],[2023]]-Sect6197[[#This Row],[2022]]</f>
        <v>-68.086702885316754</v>
      </c>
      <c r="E3" s="4">
        <f>Sect6197[[#This Row],[2023]]-Sect6197[[#This Row],[2021]]</f>
        <v>-88.086702885316754</v>
      </c>
      <c r="F3" s="3">
        <v>442</v>
      </c>
      <c r="G3" s="3">
        <v>422</v>
      </c>
      <c r="H3" s="3">
        <v>353.91329711468325</v>
      </c>
      <c r="I3" s="3">
        <v>0</v>
      </c>
      <c r="J3" s="3">
        <v>0</v>
      </c>
      <c r="K3" s="3">
        <v>0</v>
      </c>
      <c r="L3" s="3">
        <v>0</v>
      </c>
      <c r="M3" s="3">
        <v>0</v>
      </c>
      <c r="N3" s="3">
        <f t="shared" si="0"/>
        <v>353.91329711468325</v>
      </c>
      <c r="O3" s="2"/>
    </row>
    <row r="4" spans="1:15" x14ac:dyDescent="0.3">
      <c r="A4">
        <v>1899</v>
      </c>
      <c r="B4" t="s">
        <v>5</v>
      </c>
      <c r="C4">
        <v>-2</v>
      </c>
      <c r="D4" s="4">
        <f>Sect6197[[#This Row],[2023]]-Sect6197[[#This Row],[2022]]</f>
        <v>-239.76233595284748</v>
      </c>
      <c r="E4" s="4">
        <f>Sect6197[[#This Row],[2023]]-Sect6197[[#This Row],[2021]]</f>
        <v>-16.762335952847479</v>
      </c>
      <c r="F4" s="3">
        <v>1593</v>
      </c>
      <c r="G4" s="3">
        <v>1816</v>
      </c>
      <c r="H4" s="3">
        <v>0</v>
      </c>
      <c r="I4" s="3">
        <v>1050.8251093647684</v>
      </c>
      <c r="J4" s="3">
        <v>0</v>
      </c>
      <c r="K4" s="3">
        <v>0</v>
      </c>
      <c r="L4" s="3">
        <v>0</v>
      </c>
      <c r="M4" s="3">
        <v>525.41255468238421</v>
      </c>
      <c r="N4" s="3">
        <f t="shared" si="0"/>
        <v>1576.2376640471525</v>
      </c>
      <c r="O4" s="2"/>
    </row>
    <row r="5" spans="1:15" x14ac:dyDescent="0.3">
      <c r="A5">
        <v>2252</v>
      </c>
      <c r="B5" t="s">
        <v>161</v>
      </c>
      <c r="C5">
        <v>0</v>
      </c>
      <c r="D5" s="4">
        <f>Sect6197[[#This Row],[2023]]-Sect6197[[#This Row],[2022]]</f>
        <v>435.59808473957492</v>
      </c>
      <c r="E5" s="4">
        <f>Sect6197[[#This Row],[2023]]-Sect6197[[#This Row],[2021]]</f>
        <v>71.598084739574915</v>
      </c>
      <c r="F5" s="3">
        <v>8212</v>
      </c>
      <c r="G5" s="3">
        <v>7848</v>
      </c>
      <c r="H5" s="3">
        <v>0</v>
      </c>
      <c r="I5" s="3">
        <v>3823.1991160336497</v>
      </c>
      <c r="J5" s="3">
        <v>0</v>
      </c>
      <c r="K5" s="3">
        <v>0</v>
      </c>
      <c r="L5" s="3">
        <v>0</v>
      </c>
      <c r="M5" s="3">
        <v>4460.3989687059247</v>
      </c>
      <c r="N5" s="3">
        <f t="shared" si="0"/>
        <v>8283.5980847395749</v>
      </c>
      <c r="O5" s="2"/>
    </row>
    <row r="6" spans="1:15" x14ac:dyDescent="0.3">
      <c r="A6">
        <v>2111</v>
      </c>
      <c r="B6" t="s">
        <v>104</v>
      </c>
      <c r="C6">
        <v>0</v>
      </c>
      <c r="D6" s="4">
        <f>Sect6197[[#This Row],[2023]]-Sect6197[[#This Row],[2022]]</f>
        <v>15.002355835338108</v>
      </c>
      <c r="E6" s="4">
        <f>Sect6197[[#This Row],[2023]]-Sect6197[[#This Row],[2021]]</f>
        <v>-13.997644164661892</v>
      </c>
      <c r="F6" s="3">
        <v>828</v>
      </c>
      <c r="G6" s="3">
        <v>799</v>
      </c>
      <c r="H6" s="3">
        <v>814.00235583533811</v>
      </c>
      <c r="I6" s="3">
        <v>0</v>
      </c>
      <c r="J6" s="3">
        <v>0</v>
      </c>
      <c r="K6" s="3">
        <v>0</v>
      </c>
      <c r="L6" s="3">
        <v>0</v>
      </c>
      <c r="M6" s="3">
        <v>0</v>
      </c>
      <c r="N6" s="3">
        <f t="shared" si="0"/>
        <v>814.00235583533811</v>
      </c>
      <c r="O6" s="2"/>
    </row>
    <row r="7" spans="1:15" x14ac:dyDescent="0.3">
      <c r="A7">
        <v>2005</v>
      </c>
      <c r="B7" t="s">
        <v>44</v>
      </c>
      <c r="C7">
        <v>2</v>
      </c>
      <c r="D7" s="4">
        <f>Sect6197[[#This Row],[2023]]-Sect6197[[#This Row],[2022]]</f>
        <v>166.60069963088768</v>
      </c>
      <c r="E7" s="4">
        <f>Sect6197[[#This Row],[2023]]-Sect6197[[#This Row],[2021]]</f>
        <v>143.60069963088768</v>
      </c>
      <c r="F7" s="3">
        <v>643</v>
      </c>
      <c r="G7" s="3">
        <v>620</v>
      </c>
      <c r="H7" s="3">
        <v>0</v>
      </c>
      <c r="I7" s="3">
        <v>131.10011660514792</v>
      </c>
      <c r="J7" s="3">
        <v>0</v>
      </c>
      <c r="K7" s="3">
        <v>0</v>
      </c>
      <c r="L7" s="3">
        <v>0</v>
      </c>
      <c r="M7" s="3">
        <v>655.50058302573973</v>
      </c>
      <c r="N7" s="3">
        <f t="shared" si="0"/>
        <v>786.60069963088768</v>
      </c>
      <c r="O7" s="2"/>
    </row>
    <row r="8" spans="1:15" x14ac:dyDescent="0.3">
      <c r="A8">
        <v>2115</v>
      </c>
      <c r="B8" t="s">
        <v>108</v>
      </c>
      <c r="C8">
        <v>0</v>
      </c>
      <c r="D8" s="4">
        <f>Sect6197[[#This Row],[2023]]-Sect6197[[#This Row],[2022]]</f>
        <v>-11</v>
      </c>
      <c r="E8" s="4">
        <f>Sect6197[[#This Row],[2023]]-Sect6197[[#This Row],[2021]]</f>
        <v>-12</v>
      </c>
      <c r="F8" s="3">
        <v>12</v>
      </c>
      <c r="G8" s="3">
        <v>11</v>
      </c>
      <c r="H8" s="3">
        <v>0</v>
      </c>
      <c r="I8" s="3">
        <v>0</v>
      </c>
      <c r="J8" s="3">
        <v>0</v>
      </c>
      <c r="K8" s="3">
        <v>0</v>
      </c>
      <c r="L8" s="3">
        <v>0</v>
      </c>
      <c r="M8" s="3">
        <v>0</v>
      </c>
      <c r="N8" s="3">
        <f t="shared" si="0"/>
        <v>0</v>
      </c>
      <c r="O8" s="2"/>
    </row>
    <row r="9" spans="1:15" x14ac:dyDescent="0.3">
      <c r="A9">
        <v>2041</v>
      </c>
      <c r="B9" t="s">
        <v>61</v>
      </c>
      <c r="C9">
        <v>0</v>
      </c>
      <c r="D9" s="4">
        <f>Sect6197[[#This Row],[2023]]-Sect6197[[#This Row],[2022]]</f>
        <v>-158.62986994513994</v>
      </c>
      <c r="E9" s="4">
        <f>Sect6197[[#This Row],[2023]]-Sect6197[[#This Row],[2021]]</f>
        <v>-863.62986994513994</v>
      </c>
      <c r="F9" s="3">
        <v>16339</v>
      </c>
      <c r="G9" s="3">
        <v>15634</v>
      </c>
      <c r="H9" s="3">
        <v>4709.8952569732182</v>
      </c>
      <c r="I9" s="3">
        <v>1345.6843591352051</v>
      </c>
      <c r="J9" s="3">
        <v>0</v>
      </c>
      <c r="K9" s="3">
        <v>0</v>
      </c>
      <c r="L9" s="3">
        <v>0</v>
      </c>
      <c r="M9" s="3">
        <v>9419.7905139464365</v>
      </c>
      <c r="N9" s="3">
        <f t="shared" si="0"/>
        <v>15475.37013005486</v>
      </c>
      <c r="O9" s="2"/>
    </row>
    <row r="10" spans="1:15" x14ac:dyDescent="0.3">
      <c r="A10">
        <v>2051</v>
      </c>
      <c r="B10" t="s">
        <v>70</v>
      </c>
      <c r="C10">
        <v>0</v>
      </c>
      <c r="D10" s="4">
        <f>Sect6197[[#This Row],[2023]]-Sect6197[[#This Row],[2022]]</f>
        <v>-8</v>
      </c>
      <c r="E10" s="4">
        <f>Sect6197[[#This Row],[2023]]-Sect6197[[#This Row],[2021]]</f>
        <v>-5</v>
      </c>
      <c r="F10" s="3">
        <v>5</v>
      </c>
      <c r="G10" s="3">
        <v>8</v>
      </c>
      <c r="H10" s="3">
        <v>0</v>
      </c>
      <c r="I10" s="3">
        <v>0</v>
      </c>
      <c r="J10" s="3">
        <v>0</v>
      </c>
      <c r="K10" s="3">
        <v>0</v>
      </c>
      <c r="L10" s="3">
        <v>0</v>
      </c>
      <c r="M10" s="3">
        <v>0</v>
      </c>
      <c r="N10" s="3">
        <f t="shared" si="0"/>
        <v>0</v>
      </c>
      <c r="O10" s="2"/>
    </row>
    <row r="11" spans="1:15" x14ac:dyDescent="0.3">
      <c r="A11">
        <v>1933</v>
      </c>
      <c r="B11" t="s">
        <v>209</v>
      </c>
      <c r="C11">
        <v>3</v>
      </c>
      <c r="D11" s="4">
        <f>Sect6197[[#This Row],[2023]]-Sect6197[[#This Row],[2022]]</f>
        <v>718.61947610862262</v>
      </c>
      <c r="E11" s="4">
        <f>Sect6197[[#This Row],[2023]]-Sect6197[[#This Row],[2021]]</f>
        <v>405.61947610862262</v>
      </c>
      <c r="F11" s="3">
        <v>8821</v>
      </c>
      <c r="G11" s="3">
        <v>8508</v>
      </c>
      <c r="H11" s="3">
        <v>1537.7699126847704</v>
      </c>
      <c r="I11" s="3">
        <v>768.88495634238518</v>
      </c>
      <c r="J11" s="3">
        <v>0</v>
      </c>
      <c r="K11" s="3">
        <v>0</v>
      </c>
      <c r="L11" s="3">
        <v>0</v>
      </c>
      <c r="M11" s="3">
        <v>6919.964607081467</v>
      </c>
      <c r="N11" s="3">
        <f t="shared" si="0"/>
        <v>9226.6194761086226</v>
      </c>
      <c r="O11" s="2"/>
    </row>
    <row r="12" spans="1:15" x14ac:dyDescent="0.3">
      <c r="A12">
        <v>2208</v>
      </c>
      <c r="B12" t="s">
        <v>210</v>
      </c>
      <c r="C12">
        <v>3</v>
      </c>
      <c r="D12" s="4">
        <f>Sect6197[[#This Row],[2023]]-Sect6197[[#This Row],[2022]]</f>
        <v>212.12368670479464</v>
      </c>
      <c r="E12" s="4">
        <f>Sect6197[[#This Row],[2023]]-Sect6197[[#This Row],[2021]]</f>
        <v>21.123686704794636</v>
      </c>
      <c r="F12" s="3">
        <v>5151</v>
      </c>
      <c r="G12" s="3">
        <v>4960</v>
      </c>
      <c r="H12" s="3">
        <v>1939.5463825142976</v>
      </c>
      <c r="I12" s="3">
        <v>0</v>
      </c>
      <c r="J12" s="3">
        <v>0</v>
      </c>
      <c r="K12" s="3">
        <v>0</v>
      </c>
      <c r="L12" s="3">
        <v>0</v>
      </c>
      <c r="M12" s="3">
        <v>3232.5773041904968</v>
      </c>
      <c r="N12" s="3">
        <f t="shared" si="0"/>
        <v>5172.1236867047946</v>
      </c>
      <c r="O12" s="2"/>
    </row>
    <row r="13" spans="1:15" x14ac:dyDescent="0.3">
      <c r="A13">
        <v>1894</v>
      </c>
      <c r="B13" t="s">
        <v>1</v>
      </c>
      <c r="C13">
        <v>14</v>
      </c>
      <c r="D13" s="4">
        <f>Sect6197[[#This Row],[2023]]-Sect6197[[#This Row],[2022]]</f>
        <v>-524.02475349657107</v>
      </c>
      <c r="E13" s="4">
        <f>Sect6197[[#This Row],[2023]]-Sect6197[[#This Row],[2021]]</f>
        <v>-630.02475349657107</v>
      </c>
      <c r="F13" s="3">
        <v>16359</v>
      </c>
      <c r="G13" s="3">
        <v>16253</v>
      </c>
      <c r="H13" s="3">
        <v>6905.4037667576022</v>
      </c>
      <c r="I13" s="3">
        <v>383.63354259764458</v>
      </c>
      <c r="J13" s="3">
        <v>0</v>
      </c>
      <c r="K13" s="3">
        <v>0</v>
      </c>
      <c r="L13" s="3">
        <v>0</v>
      </c>
      <c r="M13" s="3">
        <v>8439.9379371481809</v>
      </c>
      <c r="N13" s="3">
        <f t="shared" si="0"/>
        <v>15728.975246503429</v>
      </c>
      <c r="O13" s="2"/>
    </row>
    <row r="14" spans="1:15" x14ac:dyDescent="0.3">
      <c r="A14">
        <v>1969</v>
      </c>
      <c r="B14" t="s">
        <v>29</v>
      </c>
      <c r="C14">
        <v>1</v>
      </c>
      <c r="D14" s="4">
        <f>Sect6197[[#This Row],[2023]]-Sect6197[[#This Row],[2022]]</f>
        <v>193.53624138717805</v>
      </c>
      <c r="E14" s="4">
        <f>Sect6197[[#This Row],[2023]]-Sect6197[[#This Row],[2021]]</f>
        <v>-21.463758612821948</v>
      </c>
      <c r="F14" s="3">
        <v>5719</v>
      </c>
      <c r="G14" s="3">
        <v>5504</v>
      </c>
      <c r="H14" s="3">
        <v>1899.178747129059</v>
      </c>
      <c r="I14" s="3">
        <v>633.05958237635309</v>
      </c>
      <c r="J14" s="3">
        <v>0</v>
      </c>
      <c r="K14" s="3">
        <v>0</v>
      </c>
      <c r="L14" s="3">
        <v>0</v>
      </c>
      <c r="M14" s="3">
        <v>3165.2979118817657</v>
      </c>
      <c r="N14" s="3">
        <f t="shared" si="0"/>
        <v>5697.5362413871781</v>
      </c>
      <c r="O14" s="2"/>
    </row>
    <row r="15" spans="1:15" x14ac:dyDescent="0.3">
      <c r="A15">
        <v>2240</v>
      </c>
      <c r="B15" t="s">
        <v>152</v>
      </c>
      <c r="C15">
        <v>6</v>
      </c>
      <c r="D15" s="4">
        <f>Sect6197[[#This Row],[2023]]-Sect6197[[#This Row],[2022]]</f>
        <v>103.25068488048601</v>
      </c>
      <c r="E15" s="4">
        <f>Sect6197[[#This Row],[2023]]-Sect6197[[#This Row],[2021]]</f>
        <v>53.250684880486006</v>
      </c>
      <c r="F15" s="3">
        <v>2097</v>
      </c>
      <c r="G15" s="3">
        <v>2047</v>
      </c>
      <c r="H15" s="3">
        <v>885.39734083314124</v>
      </c>
      <c r="I15" s="3">
        <v>505.94133761893789</v>
      </c>
      <c r="J15" s="3">
        <v>0</v>
      </c>
      <c r="K15" s="3">
        <v>0</v>
      </c>
      <c r="L15" s="3">
        <v>0</v>
      </c>
      <c r="M15" s="3">
        <v>758.91200642840693</v>
      </c>
      <c r="N15" s="3">
        <f t="shared" si="0"/>
        <v>2150.250684880486</v>
      </c>
      <c r="O15" s="2"/>
    </row>
    <row r="16" spans="1:15" x14ac:dyDescent="0.3">
      <c r="A16">
        <v>2243</v>
      </c>
      <c r="B16" t="s">
        <v>155</v>
      </c>
      <c r="C16">
        <v>51</v>
      </c>
      <c r="D16" s="4">
        <f>Sect6197[[#This Row],[2023]]-Sect6197[[#This Row],[2022]]</f>
        <v>5129.2368199054617</v>
      </c>
      <c r="E16" s="4">
        <f>Sect6197[[#This Row],[2023]]-Sect6197[[#This Row],[2021]]</f>
        <v>1809.2368199054617</v>
      </c>
      <c r="F16" s="3">
        <v>134572</v>
      </c>
      <c r="G16" s="3">
        <v>131252</v>
      </c>
      <c r="H16" s="3">
        <v>28378.730416118055</v>
      </c>
      <c r="I16" s="3">
        <v>28787.05747246508</v>
      </c>
      <c r="J16" s="3">
        <v>0</v>
      </c>
      <c r="K16" s="3">
        <v>0</v>
      </c>
      <c r="L16" s="3">
        <v>0</v>
      </c>
      <c r="M16" s="3">
        <v>79215.448931322346</v>
      </c>
      <c r="N16" s="3">
        <f t="shared" si="0"/>
        <v>136381.23681990546</v>
      </c>
      <c r="O16" s="2"/>
    </row>
    <row r="17" spans="1:15" x14ac:dyDescent="0.3">
      <c r="A17">
        <v>1976</v>
      </c>
      <c r="B17" t="s">
        <v>211</v>
      </c>
      <c r="C17">
        <v>33</v>
      </c>
      <c r="D17" s="4">
        <f>Sect6197[[#This Row],[2023]]-Sect6197[[#This Row],[2022]]</f>
        <v>179.25350680611155</v>
      </c>
      <c r="E17" s="4">
        <f>Sect6197[[#This Row],[2023]]-Sect6197[[#This Row],[2021]]</f>
        <v>-1805.7464931938885</v>
      </c>
      <c r="F17" s="3">
        <v>71221</v>
      </c>
      <c r="G17" s="3">
        <v>69236</v>
      </c>
      <c r="H17" s="3">
        <v>11569.208917801017</v>
      </c>
      <c r="I17" s="3">
        <v>9438.0388539955675</v>
      </c>
      <c r="J17" s="3">
        <v>0</v>
      </c>
      <c r="K17" s="3">
        <v>0</v>
      </c>
      <c r="L17" s="3">
        <v>0</v>
      </c>
      <c r="M17" s="3">
        <v>48408.005735009523</v>
      </c>
      <c r="N17" s="3">
        <f t="shared" si="0"/>
        <v>69415.253506806112</v>
      </c>
      <c r="O17" s="2"/>
    </row>
    <row r="18" spans="1:15" x14ac:dyDescent="0.3">
      <c r="A18">
        <v>2088</v>
      </c>
      <c r="B18" t="s">
        <v>86</v>
      </c>
      <c r="C18">
        <v>-7</v>
      </c>
      <c r="D18" s="4">
        <f>Sect6197[[#This Row],[2023]]-Sect6197[[#This Row],[2022]]</f>
        <v>4627.7974643763664</v>
      </c>
      <c r="E18" s="4">
        <f>Sect6197[[#This Row],[2023]]-Sect6197[[#This Row],[2021]]</f>
        <v>3840.7974643763664</v>
      </c>
      <c r="F18" s="3">
        <v>29772</v>
      </c>
      <c r="G18" s="3">
        <v>28985</v>
      </c>
      <c r="H18" s="3">
        <v>8897.50521115845</v>
      </c>
      <c r="I18" s="3">
        <v>593.16701407722996</v>
      </c>
      <c r="J18" s="3">
        <v>0</v>
      </c>
      <c r="K18" s="3">
        <v>0</v>
      </c>
      <c r="L18" s="3">
        <v>0</v>
      </c>
      <c r="M18" s="3">
        <v>24122.125239140685</v>
      </c>
      <c r="N18" s="3">
        <f t="shared" si="0"/>
        <v>33612.797464376366</v>
      </c>
      <c r="O18" s="2"/>
    </row>
    <row r="19" spans="1:15" x14ac:dyDescent="0.3">
      <c r="A19">
        <v>2095</v>
      </c>
      <c r="B19" t="s">
        <v>92</v>
      </c>
      <c r="C19">
        <v>3</v>
      </c>
      <c r="D19" s="4">
        <f>Sect6197[[#This Row],[2023]]-Sect6197[[#This Row],[2022]]</f>
        <v>54.415344860955543</v>
      </c>
      <c r="E19" s="4">
        <f>Sect6197[[#This Row],[2023]]-Sect6197[[#This Row],[2021]]</f>
        <v>44.415344860955543</v>
      </c>
      <c r="F19" s="3">
        <v>604</v>
      </c>
      <c r="G19" s="3">
        <v>594</v>
      </c>
      <c r="H19" s="3">
        <v>324.20767243047777</v>
      </c>
      <c r="I19" s="3">
        <v>0</v>
      </c>
      <c r="J19" s="3">
        <v>0</v>
      </c>
      <c r="K19" s="3">
        <v>0</v>
      </c>
      <c r="L19" s="3">
        <v>0</v>
      </c>
      <c r="M19" s="3">
        <v>324.20767243047777</v>
      </c>
      <c r="N19" s="3">
        <f t="shared" si="0"/>
        <v>648.41534486095554</v>
      </c>
      <c r="O19" s="2"/>
    </row>
    <row r="20" spans="1:15" x14ac:dyDescent="0.3">
      <c r="A20">
        <v>2052</v>
      </c>
      <c r="B20" t="s">
        <v>71</v>
      </c>
      <c r="C20">
        <v>0</v>
      </c>
      <c r="D20" s="4">
        <f>Sect6197[[#This Row],[2023]]-Sect6197[[#This Row],[2022]]</f>
        <v>-16</v>
      </c>
      <c r="E20" s="4">
        <f>Sect6197[[#This Row],[2023]]-Sect6197[[#This Row],[2021]]</f>
        <v>-14</v>
      </c>
      <c r="F20" s="3">
        <v>14</v>
      </c>
      <c r="G20" s="3">
        <v>16</v>
      </c>
      <c r="H20" s="3">
        <v>0</v>
      </c>
      <c r="I20" s="3">
        <v>0</v>
      </c>
      <c r="J20" s="3">
        <v>0</v>
      </c>
      <c r="K20" s="3">
        <v>0</v>
      </c>
      <c r="L20" s="3">
        <v>0</v>
      </c>
      <c r="M20" s="3">
        <v>0</v>
      </c>
      <c r="N20" s="3">
        <f t="shared" si="0"/>
        <v>0</v>
      </c>
      <c r="O20" s="2"/>
    </row>
    <row r="21" spans="1:15" x14ac:dyDescent="0.3">
      <c r="A21">
        <v>1974</v>
      </c>
      <c r="B21" t="s">
        <v>212</v>
      </c>
      <c r="C21">
        <v>-6</v>
      </c>
      <c r="D21" s="4">
        <f>Sect6197[[#This Row],[2023]]-Sect6197[[#This Row],[2022]]</f>
        <v>589.96036555104729</v>
      </c>
      <c r="E21" s="4">
        <f>Sect6197[[#This Row],[2023]]-Sect6197[[#This Row],[2021]]</f>
        <v>36.960365551047289</v>
      </c>
      <c r="F21" s="3">
        <v>15036</v>
      </c>
      <c r="G21" s="3">
        <v>14483</v>
      </c>
      <c r="H21" s="3">
        <v>1205.8368292440839</v>
      </c>
      <c r="I21" s="3">
        <v>2411.6736584881678</v>
      </c>
      <c r="J21" s="3">
        <v>0</v>
      </c>
      <c r="K21" s="3">
        <v>0</v>
      </c>
      <c r="L21" s="3">
        <v>0</v>
      </c>
      <c r="M21" s="3">
        <v>11455.449877818795</v>
      </c>
      <c r="N21" s="3">
        <f t="shared" si="0"/>
        <v>15072.960365551047</v>
      </c>
      <c r="O21" s="2"/>
    </row>
    <row r="22" spans="1:15" x14ac:dyDescent="0.3">
      <c r="A22">
        <v>1896</v>
      </c>
      <c r="B22" t="s">
        <v>3</v>
      </c>
      <c r="C22">
        <v>0</v>
      </c>
      <c r="D22" s="4">
        <f>Sect6197[[#This Row],[2023]]-Sect6197[[#This Row],[2022]]</f>
        <v>-7.7024403631276073</v>
      </c>
      <c r="E22" s="4">
        <f>Sect6197[[#This Row],[2023]]-Sect6197[[#This Row],[2021]]</f>
        <v>-22.702440363127607</v>
      </c>
      <c r="F22" s="3">
        <v>293</v>
      </c>
      <c r="G22" s="3">
        <v>278</v>
      </c>
      <c r="H22" s="3">
        <v>270.29755963687239</v>
      </c>
      <c r="I22" s="3">
        <v>0</v>
      </c>
      <c r="J22" s="3">
        <v>0</v>
      </c>
      <c r="K22" s="3">
        <v>0</v>
      </c>
      <c r="L22" s="3">
        <v>0</v>
      </c>
      <c r="M22" s="3">
        <v>0</v>
      </c>
      <c r="N22" s="3">
        <f t="shared" si="0"/>
        <v>270.29755963687239</v>
      </c>
      <c r="O22" s="2"/>
    </row>
    <row r="23" spans="1:15" x14ac:dyDescent="0.3">
      <c r="A23">
        <v>2046</v>
      </c>
      <c r="B23" t="s">
        <v>66</v>
      </c>
      <c r="C23">
        <v>-1</v>
      </c>
      <c r="D23" s="4">
        <f>Sect6197[[#This Row],[2023]]-Sect6197[[#This Row],[2022]]</f>
        <v>-80.587445317615902</v>
      </c>
      <c r="E23" s="4">
        <f>Sect6197[[#This Row],[2023]]-Sect6197[[#This Row],[2021]]</f>
        <v>-87.587445317615902</v>
      </c>
      <c r="F23" s="3">
        <v>613</v>
      </c>
      <c r="G23" s="3">
        <v>606</v>
      </c>
      <c r="H23" s="3">
        <v>0</v>
      </c>
      <c r="I23" s="3">
        <v>0</v>
      </c>
      <c r="J23" s="3">
        <v>0</v>
      </c>
      <c r="K23" s="3">
        <v>0</v>
      </c>
      <c r="L23" s="3">
        <v>0</v>
      </c>
      <c r="M23" s="3">
        <v>525.4125546823841</v>
      </c>
      <c r="N23" s="3">
        <f t="shared" si="0"/>
        <v>525.4125546823841</v>
      </c>
      <c r="O23" s="2"/>
    </row>
    <row r="24" spans="1:15" x14ac:dyDescent="0.3">
      <c r="A24">
        <v>1995</v>
      </c>
      <c r="B24" t="s">
        <v>213</v>
      </c>
      <c r="C24">
        <v>1</v>
      </c>
      <c r="D24" s="4">
        <f>Sect6197[[#This Row],[2023]]-Sect6197[[#This Row],[2022]]</f>
        <v>-43.086702885316754</v>
      </c>
      <c r="E24" s="4">
        <f>Sect6197[[#This Row],[2023]]-Sect6197[[#This Row],[2021]]</f>
        <v>-32.086702885316754</v>
      </c>
      <c r="F24" s="3">
        <v>386</v>
      </c>
      <c r="G24" s="3">
        <v>397</v>
      </c>
      <c r="H24" s="3">
        <v>176.95664855734162</v>
      </c>
      <c r="I24" s="3">
        <v>0</v>
      </c>
      <c r="J24" s="3">
        <v>0</v>
      </c>
      <c r="K24" s="3">
        <v>0</v>
      </c>
      <c r="L24" s="3">
        <v>0</v>
      </c>
      <c r="M24" s="3">
        <v>176.95664855734162</v>
      </c>
      <c r="N24" s="3">
        <f t="shared" si="0"/>
        <v>353.91329711468325</v>
      </c>
      <c r="O24" s="2"/>
    </row>
    <row r="25" spans="1:15" x14ac:dyDescent="0.3">
      <c r="A25">
        <v>1929</v>
      </c>
      <c r="B25" t="s">
        <v>14</v>
      </c>
      <c r="C25">
        <v>22</v>
      </c>
      <c r="D25" s="4">
        <f>Sect6197[[#This Row],[2023]]-Sect6197[[#This Row],[2022]]</f>
        <v>1230.4268636858105</v>
      </c>
      <c r="E25" s="4">
        <f>Sect6197[[#This Row],[2023]]-Sect6197[[#This Row],[2021]]</f>
        <v>729.42686368581053</v>
      </c>
      <c r="F25" s="3">
        <v>17247</v>
      </c>
      <c r="G25" s="3">
        <v>16746</v>
      </c>
      <c r="H25" s="3">
        <v>3638.0863890792716</v>
      </c>
      <c r="I25" s="3">
        <v>4708.1117976319983</v>
      </c>
      <c r="J25" s="3">
        <v>0</v>
      </c>
      <c r="K25" s="3">
        <v>0</v>
      </c>
      <c r="L25" s="3">
        <v>0</v>
      </c>
      <c r="M25" s="3">
        <v>9630.2286769745406</v>
      </c>
      <c r="N25" s="3">
        <f t="shared" si="0"/>
        <v>17976.426863685811</v>
      </c>
      <c r="O25" s="2"/>
    </row>
    <row r="26" spans="1:15" x14ac:dyDescent="0.3">
      <c r="A26">
        <v>2139</v>
      </c>
      <c r="B26" t="s">
        <v>112</v>
      </c>
      <c r="C26">
        <v>-4</v>
      </c>
      <c r="D26" s="4">
        <f>Sect6197[[#This Row],[2023]]-Sect6197[[#This Row],[2022]]</f>
        <v>-254.09682750373031</v>
      </c>
      <c r="E26" s="4">
        <f>Sect6197[[#This Row],[2023]]-Sect6197[[#This Row],[2021]]</f>
        <v>-591.09682750373031</v>
      </c>
      <c r="F26" s="3">
        <v>13283</v>
      </c>
      <c r="G26" s="3">
        <v>12946</v>
      </c>
      <c r="H26" s="3">
        <v>2440.7506100954365</v>
      </c>
      <c r="I26" s="3">
        <v>5857.8014642290473</v>
      </c>
      <c r="J26" s="3">
        <v>0</v>
      </c>
      <c r="K26" s="3">
        <v>0</v>
      </c>
      <c r="L26" s="3">
        <v>0</v>
      </c>
      <c r="M26" s="3">
        <v>4393.3510981717855</v>
      </c>
      <c r="N26" s="3">
        <f t="shared" si="0"/>
        <v>12691.90317249627</v>
      </c>
      <c r="O26" s="2"/>
    </row>
    <row r="27" spans="1:15" x14ac:dyDescent="0.3">
      <c r="A27">
        <v>2185</v>
      </c>
      <c r="B27" t="s">
        <v>125</v>
      </c>
      <c r="C27">
        <v>32</v>
      </c>
      <c r="D27" s="4">
        <f>Sect6197[[#This Row],[2023]]-Sect6197[[#This Row],[2022]]</f>
        <v>2765.8792984025858</v>
      </c>
      <c r="E27" s="4">
        <f>Sect6197[[#This Row],[2023]]-Sect6197[[#This Row],[2021]]</f>
        <v>1495.8792984025858</v>
      </c>
      <c r="F27" s="3">
        <v>35444</v>
      </c>
      <c r="G27" s="3">
        <v>34174</v>
      </c>
      <c r="H27" s="3">
        <v>7221.3297876576489</v>
      </c>
      <c r="I27" s="3">
        <v>10276.507774743579</v>
      </c>
      <c r="J27" s="3">
        <v>0</v>
      </c>
      <c r="K27" s="3">
        <v>0</v>
      </c>
      <c r="L27" s="3">
        <v>0</v>
      </c>
      <c r="M27" s="3">
        <v>19442.04173600136</v>
      </c>
      <c r="N27" s="3">
        <f t="shared" si="0"/>
        <v>36939.879298402586</v>
      </c>
      <c r="O27" s="2"/>
    </row>
    <row r="28" spans="1:15" x14ac:dyDescent="0.3">
      <c r="A28">
        <v>1972</v>
      </c>
      <c r="B28" t="s">
        <v>30</v>
      </c>
      <c r="C28">
        <v>-2</v>
      </c>
      <c r="D28" s="4">
        <f>Sect6197[[#This Row],[2023]]-Sect6197[[#This Row],[2022]]</f>
        <v>201.30043745907278</v>
      </c>
      <c r="E28" s="4">
        <f>Sect6197[[#This Row],[2023]]-Sect6197[[#This Row],[2021]]</f>
        <v>62.300437459072782</v>
      </c>
      <c r="F28" s="3">
        <v>4141</v>
      </c>
      <c r="G28" s="3">
        <v>4002</v>
      </c>
      <c r="H28" s="3">
        <v>2101.6502187295364</v>
      </c>
      <c r="I28" s="3">
        <v>0</v>
      </c>
      <c r="J28" s="3">
        <v>0</v>
      </c>
      <c r="K28" s="3">
        <v>0</v>
      </c>
      <c r="L28" s="3">
        <v>0</v>
      </c>
      <c r="M28" s="3">
        <v>2101.6502187295364</v>
      </c>
      <c r="N28" s="3">
        <f t="shared" si="0"/>
        <v>4203.3004374590728</v>
      </c>
      <c r="O28" s="2"/>
    </row>
    <row r="29" spans="1:15" x14ac:dyDescent="0.3">
      <c r="A29">
        <v>2105</v>
      </c>
      <c r="B29" t="s">
        <v>100</v>
      </c>
      <c r="C29">
        <v>3</v>
      </c>
      <c r="D29" s="4">
        <f>Sect6197[[#This Row],[2023]]-Sect6197[[#This Row],[2022]]</f>
        <v>132.30136751859663</v>
      </c>
      <c r="E29" s="4">
        <f>Sect6197[[#This Row],[2023]]-Sect6197[[#This Row],[2021]]</f>
        <v>-65.698632481403365</v>
      </c>
      <c r="F29" s="3">
        <v>4310</v>
      </c>
      <c r="G29" s="3">
        <v>4112</v>
      </c>
      <c r="H29" s="3">
        <v>471.5890408353996</v>
      </c>
      <c r="I29" s="3">
        <v>471.5890408353996</v>
      </c>
      <c r="J29" s="3">
        <v>0</v>
      </c>
      <c r="K29" s="3">
        <v>0</v>
      </c>
      <c r="L29" s="3">
        <v>0</v>
      </c>
      <c r="M29" s="3">
        <v>3301.1232858477974</v>
      </c>
      <c r="N29" s="3">
        <f t="shared" si="0"/>
        <v>4244.3013675185966</v>
      </c>
      <c r="O29" s="2"/>
    </row>
    <row r="30" spans="1:15" x14ac:dyDescent="0.3">
      <c r="A30">
        <v>2042</v>
      </c>
      <c r="B30" t="s">
        <v>62</v>
      </c>
      <c r="C30">
        <v>9</v>
      </c>
      <c r="D30" s="4">
        <f>Sect6197[[#This Row],[2023]]-Sect6197[[#This Row],[2022]]</f>
        <v>1719.59420131972</v>
      </c>
      <c r="E30" s="4">
        <f>Sect6197[[#This Row],[2023]]-Sect6197[[#This Row],[2021]]</f>
        <v>400.59420131972001</v>
      </c>
      <c r="F30" s="3">
        <v>32872</v>
      </c>
      <c r="G30" s="3">
        <v>31553</v>
      </c>
      <c r="H30" s="3">
        <v>10529.301962442951</v>
      </c>
      <c r="I30" s="3">
        <v>7581.097412958924</v>
      </c>
      <c r="J30" s="3">
        <v>0</v>
      </c>
      <c r="K30" s="3">
        <v>0</v>
      </c>
      <c r="L30" s="3">
        <v>0</v>
      </c>
      <c r="M30" s="3">
        <v>15162.194825917848</v>
      </c>
      <c r="N30" s="3">
        <f t="shared" si="0"/>
        <v>33272.59420131972</v>
      </c>
      <c r="O30" s="2"/>
    </row>
    <row r="31" spans="1:15" x14ac:dyDescent="0.3">
      <c r="A31">
        <v>2191</v>
      </c>
      <c r="B31" t="s">
        <v>130</v>
      </c>
      <c r="C31">
        <v>1</v>
      </c>
      <c r="D31" s="4">
        <f>Sect6197[[#This Row],[2023]]-Sect6197[[#This Row],[2022]]</f>
        <v>745.39431160247477</v>
      </c>
      <c r="E31" s="4">
        <f>Sect6197[[#This Row],[2023]]-Sect6197[[#This Row],[2021]]</f>
        <v>127.39431160247477</v>
      </c>
      <c r="F31" s="3">
        <v>16414</v>
      </c>
      <c r="G31" s="3">
        <v>15796</v>
      </c>
      <c r="H31" s="3">
        <v>2700.6358059759145</v>
      </c>
      <c r="I31" s="3">
        <v>5401.2716119518291</v>
      </c>
      <c r="J31" s="3">
        <v>0</v>
      </c>
      <c r="K31" s="3">
        <v>0</v>
      </c>
      <c r="L31" s="3">
        <v>0</v>
      </c>
      <c r="M31" s="3">
        <v>8439.4868936747334</v>
      </c>
      <c r="N31" s="3">
        <f t="shared" si="0"/>
        <v>16541.394311602475</v>
      </c>
      <c r="O31" s="2"/>
    </row>
    <row r="32" spans="1:15" x14ac:dyDescent="0.3">
      <c r="A32">
        <v>1945</v>
      </c>
      <c r="B32" t="s">
        <v>20</v>
      </c>
      <c r="C32">
        <v>1</v>
      </c>
      <c r="D32" s="4">
        <f>Sect6197[[#This Row],[2023]]-Sect6197[[#This Row],[2022]]</f>
        <v>969.60924545385933</v>
      </c>
      <c r="E32" s="4">
        <f>Sect6197[[#This Row],[2023]]-Sect6197[[#This Row],[2021]]</f>
        <v>599.60924545385933</v>
      </c>
      <c r="F32" s="3">
        <v>8176</v>
      </c>
      <c r="G32" s="3">
        <v>7806</v>
      </c>
      <c r="H32" s="3">
        <v>1404.0974792726176</v>
      </c>
      <c r="I32" s="3">
        <v>351.02436981815441</v>
      </c>
      <c r="J32" s="3">
        <v>0</v>
      </c>
      <c r="K32" s="3">
        <v>0</v>
      </c>
      <c r="L32" s="3">
        <v>0</v>
      </c>
      <c r="M32" s="3">
        <v>7020.487396363088</v>
      </c>
      <c r="N32" s="3">
        <f t="shared" si="0"/>
        <v>8775.6092454538593</v>
      </c>
      <c r="O32" s="2"/>
    </row>
    <row r="33" spans="1:15" x14ac:dyDescent="0.3">
      <c r="A33">
        <v>1927</v>
      </c>
      <c r="B33" t="s">
        <v>12</v>
      </c>
      <c r="C33">
        <v>2</v>
      </c>
      <c r="D33" s="4">
        <f>Sect6197[[#This Row],[2023]]-Sect6197[[#This Row],[2022]]</f>
        <v>412.53810150622485</v>
      </c>
      <c r="E33" s="4">
        <f>Sect6197[[#This Row],[2023]]-Sect6197[[#This Row],[2021]]</f>
        <v>147.53810150622485</v>
      </c>
      <c r="F33" s="3">
        <v>5632</v>
      </c>
      <c r="G33" s="3">
        <v>5367</v>
      </c>
      <c r="H33" s="3">
        <v>0</v>
      </c>
      <c r="I33" s="3">
        <v>0</v>
      </c>
      <c r="J33" s="3">
        <v>0</v>
      </c>
      <c r="K33" s="3">
        <v>0</v>
      </c>
      <c r="L33" s="3">
        <v>0</v>
      </c>
      <c r="M33" s="3">
        <v>5779.5381015062248</v>
      </c>
      <c r="N33" s="3">
        <f t="shared" si="0"/>
        <v>5779.5381015062248</v>
      </c>
      <c r="O33" s="2"/>
    </row>
    <row r="34" spans="1:15" x14ac:dyDescent="0.3">
      <c r="A34">
        <v>2006</v>
      </c>
      <c r="B34" t="s">
        <v>45</v>
      </c>
      <c r="C34">
        <v>3</v>
      </c>
      <c r="D34" s="4">
        <f>Sect6197[[#This Row],[2023]]-Sect6197[[#This Row],[2022]]</f>
        <v>197.45675769107515</v>
      </c>
      <c r="E34" s="4">
        <f>Sect6197[[#This Row],[2023]]-Sect6197[[#This Row],[2021]]</f>
        <v>173.45675769107515</v>
      </c>
      <c r="F34" s="3">
        <v>894</v>
      </c>
      <c r="G34" s="3">
        <v>870</v>
      </c>
      <c r="H34" s="3">
        <v>711.63783846071681</v>
      </c>
      <c r="I34" s="3">
        <v>0</v>
      </c>
      <c r="J34" s="3">
        <v>0</v>
      </c>
      <c r="K34" s="3">
        <v>0</v>
      </c>
      <c r="L34" s="3">
        <v>0</v>
      </c>
      <c r="M34" s="3">
        <v>355.8189192303584</v>
      </c>
      <c r="N34" s="3">
        <f t="shared" si="0"/>
        <v>1067.4567576910752</v>
      </c>
      <c r="O34" s="2"/>
    </row>
    <row r="35" spans="1:15" x14ac:dyDescent="0.3">
      <c r="A35">
        <v>1965</v>
      </c>
      <c r="B35" t="s">
        <v>25</v>
      </c>
      <c r="C35">
        <v>-6</v>
      </c>
      <c r="D35" s="4">
        <f>Sect6197[[#This Row],[2023]]-Sect6197[[#This Row],[2022]]</f>
        <v>2099.3000844399503</v>
      </c>
      <c r="E35" s="4">
        <f>Sect6197[[#This Row],[2023]]-Sect6197[[#This Row],[2021]]</f>
        <v>954.3000844399503</v>
      </c>
      <c r="F35" s="3">
        <v>28876</v>
      </c>
      <c r="G35" s="3">
        <v>27731</v>
      </c>
      <c r="H35" s="3">
        <v>6046.682449548638</v>
      </c>
      <c r="I35" s="3">
        <v>806.22432660648508</v>
      </c>
      <c r="J35" s="3">
        <v>0</v>
      </c>
      <c r="K35" s="3">
        <v>0</v>
      </c>
      <c r="L35" s="3">
        <v>0</v>
      </c>
      <c r="M35" s="3">
        <v>22977.393308284827</v>
      </c>
      <c r="N35" s="3">
        <f t="shared" si="0"/>
        <v>29830.30008443995</v>
      </c>
      <c r="O35" s="2"/>
    </row>
    <row r="36" spans="1:15" x14ac:dyDescent="0.3">
      <c r="A36">
        <v>1964</v>
      </c>
      <c r="B36" t="s">
        <v>24</v>
      </c>
      <c r="C36">
        <v>-10</v>
      </c>
      <c r="D36" s="4">
        <f>Sect6197[[#This Row],[2023]]-Sect6197[[#This Row],[2022]]</f>
        <v>-16.580526133753665</v>
      </c>
      <c r="E36" s="4">
        <f>Sect6197[[#This Row],[2023]]-Sect6197[[#This Row],[2021]]</f>
        <v>-277.58052613375366</v>
      </c>
      <c r="F36" s="3">
        <v>9448</v>
      </c>
      <c r="G36" s="3">
        <v>9187</v>
      </c>
      <c r="H36" s="3">
        <v>1667.3489952484085</v>
      </c>
      <c r="I36" s="3">
        <v>833.67449762420426</v>
      </c>
      <c r="J36" s="3">
        <v>0</v>
      </c>
      <c r="K36" s="3">
        <v>0</v>
      </c>
      <c r="L36" s="3">
        <v>0</v>
      </c>
      <c r="M36" s="3">
        <v>6669.3959809936341</v>
      </c>
      <c r="N36" s="3">
        <f t="shared" si="0"/>
        <v>9170.4194738662463</v>
      </c>
      <c r="O36" s="2"/>
    </row>
    <row r="37" spans="1:15" x14ac:dyDescent="0.3">
      <c r="A37">
        <v>2186</v>
      </c>
      <c r="B37" t="s">
        <v>126</v>
      </c>
      <c r="C37">
        <v>-1</v>
      </c>
      <c r="D37" s="4">
        <f>Sect6197[[#This Row],[2023]]-Sect6197[[#This Row],[2022]]</f>
        <v>-38.109327044739985</v>
      </c>
      <c r="E37" s="4">
        <f>Sect6197[[#This Row],[2023]]-Sect6197[[#This Row],[2021]]</f>
        <v>-180.10932704473998</v>
      </c>
      <c r="F37" s="3">
        <v>3981</v>
      </c>
      <c r="G37" s="3">
        <v>3839</v>
      </c>
      <c r="H37" s="3">
        <v>1900.44533647763</v>
      </c>
      <c r="I37" s="3">
        <v>380.08906729552604</v>
      </c>
      <c r="J37" s="3">
        <v>0</v>
      </c>
      <c r="K37" s="3">
        <v>0</v>
      </c>
      <c r="L37" s="3">
        <v>0</v>
      </c>
      <c r="M37" s="3">
        <v>1520.3562691821041</v>
      </c>
      <c r="N37" s="3">
        <f t="shared" si="0"/>
        <v>3800.89067295526</v>
      </c>
      <c r="O37" s="2"/>
    </row>
    <row r="38" spans="1:15" x14ac:dyDescent="0.3">
      <c r="A38">
        <v>1901</v>
      </c>
      <c r="B38" t="s">
        <v>7</v>
      </c>
      <c r="C38">
        <v>12</v>
      </c>
      <c r="D38" s="4">
        <f>Sect6197[[#This Row],[2023]]-Sect6197[[#This Row],[2022]]</f>
        <v>538.54113727025106</v>
      </c>
      <c r="E38" s="4">
        <f>Sect6197[[#This Row],[2023]]-Sect6197[[#This Row],[2021]]</f>
        <v>-712.45886272974894</v>
      </c>
      <c r="F38" s="3">
        <v>40126</v>
      </c>
      <c r="G38" s="3">
        <v>38875</v>
      </c>
      <c r="H38" s="3">
        <v>7701.4965440643009</v>
      </c>
      <c r="I38" s="3">
        <v>7248.4673355899295</v>
      </c>
      <c r="J38" s="3">
        <v>0</v>
      </c>
      <c r="K38" s="3">
        <v>453.02920847437059</v>
      </c>
      <c r="L38" s="3">
        <v>0</v>
      </c>
      <c r="M38" s="3">
        <v>24010.548049141646</v>
      </c>
      <c r="N38" s="3">
        <f t="shared" si="0"/>
        <v>39413.541137270251</v>
      </c>
      <c r="O38" s="2"/>
    </row>
    <row r="39" spans="1:15" x14ac:dyDescent="0.3">
      <c r="A39">
        <v>2216</v>
      </c>
      <c r="B39" t="s">
        <v>144</v>
      </c>
      <c r="C39">
        <v>2</v>
      </c>
      <c r="D39" s="4">
        <f>Sect6197[[#This Row],[2023]]-Sect6197[[#This Row],[2022]]</f>
        <v>-40.763266012371105</v>
      </c>
      <c r="E39" s="4">
        <f>Sect6197[[#This Row],[2023]]-Sect6197[[#This Row],[2021]]</f>
        <v>-84.763266012371105</v>
      </c>
      <c r="F39" s="3">
        <v>1620</v>
      </c>
      <c r="G39" s="3">
        <v>1576</v>
      </c>
      <c r="H39" s="3">
        <v>767.61836699381445</v>
      </c>
      <c r="I39" s="3">
        <v>0</v>
      </c>
      <c r="J39" s="3">
        <v>0</v>
      </c>
      <c r="K39" s="3">
        <v>0</v>
      </c>
      <c r="L39" s="3">
        <v>0</v>
      </c>
      <c r="M39" s="3">
        <v>767.61836699381445</v>
      </c>
      <c r="N39" s="3">
        <f t="shared" si="0"/>
        <v>1535.2367339876289</v>
      </c>
      <c r="O39" s="2"/>
    </row>
    <row r="40" spans="1:15" x14ac:dyDescent="0.3">
      <c r="A40">
        <v>2086</v>
      </c>
      <c r="B40" t="s">
        <v>85</v>
      </c>
      <c r="C40">
        <v>6</v>
      </c>
      <c r="D40" s="4">
        <f>Sect6197[[#This Row],[2023]]-Sect6197[[#This Row],[2022]]</f>
        <v>1003.0301706719583</v>
      </c>
      <c r="E40" s="4">
        <f>Sect6197[[#This Row],[2023]]-Sect6197[[#This Row],[2021]]</f>
        <v>682.03017067195833</v>
      </c>
      <c r="F40" s="3">
        <v>8988</v>
      </c>
      <c r="G40" s="3">
        <v>8667</v>
      </c>
      <c r="H40" s="3">
        <v>3039.1523393540438</v>
      </c>
      <c r="I40" s="3">
        <v>0</v>
      </c>
      <c r="J40" s="3">
        <v>0</v>
      </c>
      <c r="K40" s="3">
        <v>0</v>
      </c>
      <c r="L40" s="3">
        <v>0</v>
      </c>
      <c r="M40" s="3">
        <v>6630.8778313179137</v>
      </c>
      <c r="N40" s="3">
        <f t="shared" si="0"/>
        <v>9670.0301706719583</v>
      </c>
      <c r="O40" s="2"/>
    </row>
    <row r="41" spans="1:15" x14ac:dyDescent="0.3">
      <c r="A41">
        <v>1970</v>
      </c>
      <c r="B41" t="s">
        <v>214</v>
      </c>
      <c r="C41">
        <v>0</v>
      </c>
      <c r="D41" s="4">
        <f>Sect6197[[#This Row],[2023]]-Sect6197[[#This Row],[2022]]</f>
        <v>1710.2291303296806</v>
      </c>
      <c r="E41" s="4">
        <f>Sect6197[[#This Row],[2023]]-Sect6197[[#This Row],[2021]]</f>
        <v>785.22913032968063</v>
      </c>
      <c r="F41" s="3">
        <v>25575</v>
      </c>
      <c r="G41" s="3">
        <v>24650</v>
      </c>
      <c r="H41" s="3">
        <v>5354.4215420982164</v>
      </c>
      <c r="I41" s="3">
        <v>2059.3929008070063</v>
      </c>
      <c r="J41" s="3">
        <v>0</v>
      </c>
      <c r="K41" s="3">
        <v>0</v>
      </c>
      <c r="L41" s="3">
        <v>0</v>
      </c>
      <c r="M41" s="3">
        <v>18946.414687424458</v>
      </c>
      <c r="N41" s="3">
        <f t="shared" si="0"/>
        <v>26360.229130329681</v>
      </c>
      <c r="O41" s="2"/>
    </row>
    <row r="42" spans="1:15" x14ac:dyDescent="0.3">
      <c r="A42">
        <v>2089</v>
      </c>
      <c r="B42" t="s">
        <v>215</v>
      </c>
      <c r="C42">
        <v>1</v>
      </c>
      <c r="D42" s="4">
        <f>Sect6197[[#This Row],[2023]]-Sect6197[[#This Row],[2022]]</f>
        <v>122.23952416620023</v>
      </c>
      <c r="E42" s="4">
        <f>Sect6197[[#This Row],[2023]]-Sect6197[[#This Row],[2021]]</f>
        <v>69.239524166200226</v>
      </c>
      <c r="F42" s="3">
        <v>1589</v>
      </c>
      <c r="G42" s="3">
        <v>1536</v>
      </c>
      <c r="H42" s="3">
        <v>0</v>
      </c>
      <c r="I42" s="3">
        <v>0</v>
      </c>
      <c r="J42" s="3">
        <v>0</v>
      </c>
      <c r="K42" s="3">
        <v>0</v>
      </c>
      <c r="L42" s="3">
        <v>0</v>
      </c>
      <c r="M42" s="3">
        <v>1658.2395241662002</v>
      </c>
      <c r="N42" s="3">
        <f t="shared" si="0"/>
        <v>1658.2395241662002</v>
      </c>
      <c r="O42" s="2"/>
    </row>
    <row r="43" spans="1:15" x14ac:dyDescent="0.3">
      <c r="A43">
        <v>2050</v>
      </c>
      <c r="B43" t="s">
        <v>69</v>
      </c>
      <c r="C43">
        <v>2</v>
      </c>
      <c r="D43" s="4">
        <f>Sect6197[[#This Row],[2023]]-Sect6197[[#This Row],[2022]]</f>
        <v>169.30229757812049</v>
      </c>
      <c r="E43" s="4">
        <f>Sect6197[[#This Row],[2023]]-Sect6197[[#This Row],[2021]]</f>
        <v>3.3022975781204877</v>
      </c>
      <c r="F43" s="3">
        <v>4282</v>
      </c>
      <c r="G43" s="3">
        <v>4116</v>
      </c>
      <c r="H43" s="3">
        <v>2571.1813785468721</v>
      </c>
      <c r="I43" s="3">
        <v>428.53022975781204</v>
      </c>
      <c r="J43" s="3">
        <v>0</v>
      </c>
      <c r="K43" s="3">
        <v>0</v>
      </c>
      <c r="L43" s="3">
        <v>0</v>
      </c>
      <c r="M43" s="3">
        <v>1285.5906892734361</v>
      </c>
      <c r="N43" s="3">
        <f t="shared" si="0"/>
        <v>4285.3022975781205</v>
      </c>
      <c r="O43" s="2"/>
    </row>
    <row r="44" spans="1:15" x14ac:dyDescent="0.3">
      <c r="A44">
        <v>2190</v>
      </c>
      <c r="B44" t="s">
        <v>129</v>
      </c>
      <c r="C44">
        <v>14</v>
      </c>
      <c r="D44" s="4">
        <f>Sect6197[[#This Row],[2023]]-Sect6197[[#This Row],[2022]]</f>
        <v>874.80076463539444</v>
      </c>
      <c r="E44" s="4">
        <f>Sect6197[[#This Row],[2023]]-Sect6197[[#This Row],[2021]]</f>
        <v>9.8007646353944438</v>
      </c>
      <c r="F44" s="3">
        <v>25128</v>
      </c>
      <c r="G44" s="3">
        <v>24263</v>
      </c>
      <c r="H44" s="3">
        <v>6011.2132263258554</v>
      </c>
      <c r="I44" s="3">
        <v>7104.1610856578282</v>
      </c>
      <c r="J44" s="3">
        <v>0</v>
      </c>
      <c r="K44" s="3">
        <v>0</v>
      </c>
      <c r="L44" s="3">
        <v>0</v>
      </c>
      <c r="M44" s="3">
        <v>12022.426452651711</v>
      </c>
      <c r="N44" s="3">
        <f t="shared" si="0"/>
        <v>25137.800764635394</v>
      </c>
      <c r="O44" s="2"/>
    </row>
    <row r="45" spans="1:15" x14ac:dyDescent="0.3">
      <c r="A45">
        <v>2187</v>
      </c>
      <c r="B45" t="s">
        <v>127</v>
      </c>
      <c r="C45">
        <v>56</v>
      </c>
      <c r="D45" s="4">
        <f>Sect6197[[#This Row],[2023]]-Sect6197[[#This Row],[2022]]</f>
        <v>4977.9112785369653</v>
      </c>
      <c r="E45" s="4">
        <f>Sect6197[[#This Row],[2023]]-Sect6197[[#This Row],[2021]]</f>
        <v>3286.9112785369653</v>
      </c>
      <c r="F45" s="3">
        <v>51883</v>
      </c>
      <c r="G45" s="3">
        <v>50192</v>
      </c>
      <c r="H45" s="3">
        <v>8216.7952968033787</v>
      </c>
      <c r="I45" s="3">
        <v>15024.99711415475</v>
      </c>
      <c r="J45" s="3">
        <v>0</v>
      </c>
      <c r="K45" s="3">
        <v>0</v>
      </c>
      <c r="L45" s="3">
        <v>0</v>
      </c>
      <c r="M45" s="3">
        <v>31928.118867578836</v>
      </c>
      <c r="N45" s="3">
        <f t="shared" si="0"/>
        <v>55169.911278536965</v>
      </c>
      <c r="O45" s="2"/>
    </row>
    <row r="46" spans="1:15" x14ac:dyDescent="0.3">
      <c r="A46">
        <v>2253</v>
      </c>
      <c r="B46" t="s">
        <v>162</v>
      </c>
      <c r="C46">
        <v>2</v>
      </c>
      <c r="D46" s="4">
        <f>Sect6197[[#This Row],[2023]]-Sect6197[[#This Row],[2022]]</f>
        <v>6.7129921414571072</v>
      </c>
      <c r="E46" s="4">
        <f>Sect6197[[#This Row],[2023]]-Sect6197[[#This Row],[2021]]</f>
        <v>-161.28700785854289</v>
      </c>
      <c r="F46" s="3">
        <v>4890</v>
      </c>
      <c r="G46" s="3">
        <v>4722</v>
      </c>
      <c r="H46" s="3">
        <v>2627.0627734119207</v>
      </c>
      <c r="I46" s="3">
        <v>525.4125546823841</v>
      </c>
      <c r="J46" s="3">
        <v>0</v>
      </c>
      <c r="K46" s="3">
        <v>0</v>
      </c>
      <c r="L46" s="3">
        <v>0</v>
      </c>
      <c r="M46" s="3">
        <v>1576.2376640471521</v>
      </c>
      <c r="N46" s="3">
        <f t="shared" si="0"/>
        <v>4728.7129921414571</v>
      </c>
      <c r="O46" s="2"/>
    </row>
    <row r="47" spans="1:15" x14ac:dyDescent="0.3">
      <c r="A47">
        <v>2011</v>
      </c>
      <c r="B47" t="s">
        <v>49</v>
      </c>
      <c r="C47">
        <v>1</v>
      </c>
      <c r="D47" s="4">
        <f>Sect6197[[#This Row],[2023]]-Sect6197[[#This Row],[2022]]</f>
        <v>131.64835861048891</v>
      </c>
      <c r="E47" s="4">
        <f>Sect6197[[#This Row],[2023]]-Sect6197[[#This Row],[2021]]</f>
        <v>49.648358610488913</v>
      </c>
      <c r="F47" s="3">
        <v>1970</v>
      </c>
      <c r="G47" s="3">
        <v>1888</v>
      </c>
      <c r="H47" s="3">
        <v>1009.8241793052445</v>
      </c>
      <c r="I47" s="3">
        <v>0</v>
      </c>
      <c r="J47" s="3">
        <v>0</v>
      </c>
      <c r="K47" s="3">
        <v>0</v>
      </c>
      <c r="L47" s="3">
        <v>0</v>
      </c>
      <c r="M47" s="3">
        <v>1009.8241793052445</v>
      </c>
      <c r="N47" s="3">
        <f t="shared" si="0"/>
        <v>2019.6483586104889</v>
      </c>
      <c r="O47" s="2"/>
    </row>
    <row r="48" spans="1:15" x14ac:dyDescent="0.3">
      <c r="A48">
        <v>2017</v>
      </c>
      <c r="B48" t="s">
        <v>54</v>
      </c>
      <c r="C48">
        <v>-1</v>
      </c>
      <c r="D48" s="4">
        <f>Sect6197[[#This Row],[2023]]-Sect6197[[#This Row],[2022]]</f>
        <v>9.602368357881403</v>
      </c>
      <c r="E48" s="4">
        <f>Sect6197[[#This Row],[2023]]-Sect6197[[#This Row],[2021]]</f>
        <v>-2.397631642118597</v>
      </c>
      <c r="F48" s="3">
        <v>266</v>
      </c>
      <c r="G48" s="3">
        <v>254</v>
      </c>
      <c r="H48" s="3">
        <v>263.6023683578814</v>
      </c>
      <c r="I48" s="3">
        <v>0</v>
      </c>
      <c r="J48" s="3">
        <v>0</v>
      </c>
      <c r="K48" s="3">
        <v>0</v>
      </c>
      <c r="L48" s="3">
        <v>0</v>
      </c>
      <c r="M48" s="3">
        <v>0</v>
      </c>
      <c r="N48" s="3">
        <f t="shared" si="0"/>
        <v>263.6023683578814</v>
      </c>
      <c r="O48" s="2"/>
    </row>
    <row r="49" spans="1:15" x14ac:dyDescent="0.3">
      <c r="A49">
        <v>2021</v>
      </c>
      <c r="B49" t="s">
        <v>58</v>
      </c>
      <c r="C49">
        <v>0</v>
      </c>
      <c r="D49" s="4">
        <f>Sect6197[[#This Row],[2023]]-Sect6197[[#This Row],[2022]]</f>
        <v>-3.423861979588537</v>
      </c>
      <c r="E49" s="4">
        <f>Sect6197[[#This Row],[2023]]-Sect6197[[#This Row],[2021]]</f>
        <v>-4.423861979588537</v>
      </c>
      <c r="F49" s="3">
        <v>226</v>
      </c>
      <c r="G49" s="3">
        <v>225</v>
      </c>
      <c r="H49" s="3">
        <v>221.57613802041146</v>
      </c>
      <c r="I49" s="3">
        <v>0</v>
      </c>
      <c r="J49" s="3">
        <v>0</v>
      </c>
      <c r="K49" s="3">
        <v>0</v>
      </c>
      <c r="L49" s="3">
        <v>0</v>
      </c>
      <c r="M49" s="3">
        <v>0</v>
      </c>
      <c r="N49" s="3">
        <f t="shared" si="0"/>
        <v>221.57613802041146</v>
      </c>
      <c r="O49" s="2"/>
    </row>
    <row r="50" spans="1:15" x14ac:dyDescent="0.3">
      <c r="A50">
        <v>1993</v>
      </c>
      <c r="B50" t="s">
        <v>216</v>
      </c>
      <c r="C50">
        <v>0</v>
      </c>
      <c r="D50" s="4">
        <f>Sect6197[[#This Row],[2023]]-Sect6197[[#This Row],[2022]]</f>
        <v>-111.76512613141881</v>
      </c>
      <c r="E50" s="4">
        <f>Sect6197[[#This Row],[2023]]-Sect6197[[#This Row],[2021]]</f>
        <v>-169.76512613141881</v>
      </c>
      <c r="F50" s="3">
        <v>1623</v>
      </c>
      <c r="G50" s="3">
        <v>1565</v>
      </c>
      <c r="H50" s="3">
        <v>1453.2348738685812</v>
      </c>
      <c r="I50" s="3">
        <v>0</v>
      </c>
      <c r="J50" s="3">
        <v>0</v>
      </c>
      <c r="K50" s="3">
        <v>0</v>
      </c>
      <c r="L50" s="3">
        <v>0</v>
      </c>
      <c r="M50" s="3">
        <v>0</v>
      </c>
      <c r="N50" s="3">
        <f t="shared" si="0"/>
        <v>1453.2348738685812</v>
      </c>
      <c r="O50" s="2"/>
    </row>
    <row r="51" spans="1:15" x14ac:dyDescent="0.3">
      <c r="A51">
        <v>1991</v>
      </c>
      <c r="B51" t="s">
        <v>217</v>
      </c>
      <c r="C51">
        <v>9</v>
      </c>
      <c r="D51" s="4">
        <f>Sect6197[[#This Row],[2023]]-Sect6197[[#This Row],[2022]]</f>
        <v>4901.7308582012192</v>
      </c>
      <c r="E51" s="4">
        <f>Sect6197[[#This Row],[2023]]-Sect6197[[#This Row],[2021]]</f>
        <v>3281.7308582012192</v>
      </c>
      <c r="F51" s="3">
        <v>44215</v>
      </c>
      <c r="G51" s="3">
        <v>42595</v>
      </c>
      <c r="H51" s="3">
        <v>12017.245156894283</v>
      </c>
      <c r="I51" s="3">
        <v>3719.623500943469</v>
      </c>
      <c r="J51" s="3">
        <v>0</v>
      </c>
      <c r="K51" s="3">
        <v>0</v>
      </c>
      <c r="L51" s="3">
        <v>0</v>
      </c>
      <c r="M51" s="3">
        <v>31759.862200363466</v>
      </c>
      <c r="N51" s="3">
        <f t="shared" si="0"/>
        <v>47496.730858201219</v>
      </c>
      <c r="O51" s="2"/>
    </row>
    <row r="52" spans="1:15" x14ac:dyDescent="0.3">
      <c r="A52">
        <v>2019</v>
      </c>
      <c r="B52" t="s">
        <v>56</v>
      </c>
      <c r="C52">
        <v>0</v>
      </c>
      <c r="D52" s="4">
        <f>Sect6197[[#This Row],[2023]]-Sect6197[[#This Row],[2022]]</f>
        <v>-5</v>
      </c>
      <c r="E52" s="4">
        <f>Sect6197[[#This Row],[2023]]-Sect6197[[#This Row],[2021]]</f>
        <v>-3</v>
      </c>
      <c r="F52" s="3">
        <v>3</v>
      </c>
      <c r="G52" s="3">
        <v>5</v>
      </c>
      <c r="H52" s="3">
        <v>0</v>
      </c>
      <c r="I52" s="3">
        <v>0</v>
      </c>
      <c r="J52" s="3">
        <v>0</v>
      </c>
      <c r="K52" s="3">
        <v>0</v>
      </c>
      <c r="L52" s="3">
        <v>0</v>
      </c>
      <c r="M52" s="3">
        <v>0</v>
      </c>
      <c r="N52" s="3">
        <f t="shared" si="0"/>
        <v>0</v>
      </c>
      <c r="O52" s="2"/>
    </row>
    <row r="53" spans="1:15" x14ac:dyDescent="0.3">
      <c r="A53">
        <v>2229</v>
      </c>
      <c r="B53" t="s">
        <v>150</v>
      </c>
      <c r="C53">
        <v>0</v>
      </c>
      <c r="D53" s="4">
        <f>Sect6197[[#This Row],[2023]]-Sect6197[[#This Row],[2022]]</f>
        <v>-22.762335952847479</v>
      </c>
      <c r="E53" s="4">
        <f>Sect6197[[#This Row],[2023]]-Sect6197[[#This Row],[2021]]</f>
        <v>-70.762335952847479</v>
      </c>
      <c r="F53" s="3">
        <v>1647</v>
      </c>
      <c r="G53" s="3">
        <v>1599</v>
      </c>
      <c r="H53" s="3">
        <v>1050.8251093647684</v>
      </c>
      <c r="I53" s="3">
        <v>0</v>
      </c>
      <c r="J53" s="3">
        <v>0</v>
      </c>
      <c r="K53" s="3">
        <v>0</v>
      </c>
      <c r="L53" s="3">
        <v>0</v>
      </c>
      <c r="M53" s="3">
        <v>525.41255468238421</v>
      </c>
      <c r="N53" s="3">
        <f t="shared" si="0"/>
        <v>1576.2376640471525</v>
      </c>
      <c r="O53" s="2"/>
    </row>
    <row r="54" spans="1:15" x14ac:dyDescent="0.3">
      <c r="A54">
        <v>2043</v>
      </c>
      <c r="B54" t="s">
        <v>63</v>
      </c>
      <c r="C54">
        <v>12</v>
      </c>
      <c r="D54" s="4">
        <f>Sect6197[[#This Row],[2023]]-Sect6197[[#This Row],[2022]]</f>
        <v>2058.5505503906061</v>
      </c>
      <c r="E54" s="4">
        <f>Sect6197[[#This Row],[2023]]-Sect6197[[#This Row],[2021]]</f>
        <v>1321.5505503906061</v>
      </c>
      <c r="F54" s="3">
        <v>21827</v>
      </c>
      <c r="G54" s="3">
        <v>21090</v>
      </c>
      <c r="H54" s="3">
        <v>4277.4495582243508</v>
      </c>
      <c r="I54" s="3">
        <v>3774.220198433251</v>
      </c>
      <c r="J54" s="3">
        <v>0</v>
      </c>
      <c r="K54" s="3">
        <v>0</v>
      </c>
      <c r="L54" s="3">
        <v>0</v>
      </c>
      <c r="M54" s="3">
        <v>15096.880793733004</v>
      </c>
      <c r="N54" s="3">
        <f t="shared" si="0"/>
        <v>23148.550550390606</v>
      </c>
      <c r="O54" s="2"/>
    </row>
    <row r="55" spans="1:15" x14ac:dyDescent="0.3">
      <c r="A55">
        <v>2203</v>
      </c>
      <c r="B55" t="s">
        <v>138</v>
      </c>
      <c r="C55">
        <v>-1</v>
      </c>
      <c r="D55" s="4">
        <f>Sect6197[[#This Row],[2023]]-Sect6197[[#This Row],[2022]]</f>
        <v>19.415344860955543</v>
      </c>
      <c r="E55" s="4">
        <f>Sect6197[[#This Row],[2023]]-Sect6197[[#This Row],[2021]]</f>
        <v>17.415344860955543</v>
      </c>
      <c r="F55" s="3">
        <v>631</v>
      </c>
      <c r="G55" s="3">
        <v>629</v>
      </c>
      <c r="H55" s="3">
        <v>486.31150864571669</v>
      </c>
      <c r="I55" s="3">
        <v>0</v>
      </c>
      <c r="J55" s="3">
        <v>0</v>
      </c>
      <c r="K55" s="3">
        <v>0</v>
      </c>
      <c r="L55" s="3">
        <v>0</v>
      </c>
      <c r="M55" s="3">
        <v>162.10383621523889</v>
      </c>
      <c r="N55" s="3">
        <f t="shared" si="0"/>
        <v>648.41534486095554</v>
      </c>
      <c r="O55" s="2"/>
    </row>
    <row r="56" spans="1:15" x14ac:dyDescent="0.3">
      <c r="A56">
        <v>2217</v>
      </c>
      <c r="B56" t="s">
        <v>145</v>
      </c>
      <c r="C56">
        <v>-4</v>
      </c>
      <c r="D56" s="4">
        <f>Sect6197[[#This Row],[2023]]-Sect6197[[#This Row],[2022]]</f>
        <v>125.41999515857447</v>
      </c>
      <c r="E56" s="4">
        <f>Sect6197[[#This Row],[2023]]-Sect6197[[#This Row],[2021]]</f>
        <v>129.41999515857447</v>
      </c>
      <c r="F56" s="3">
        <v>724</v>
      </c>
      <c r="G56" s="3">
        <v>728</v>
      </c>
      <c r="H56" s="3">
        <v>284.47333171952482</v>
      </c>
      <c r="I56" s="3">
        <v>0</v>
      </c>
      <c r="J56" s="3">
        <v>0</v>
      </c>
      <c r="K56" s="3">
        <v>0</v>
      </c>
      <c r="L56" s="3">
        <v>0</v>
      </c>
      <c r="M56" s="3">
        <v>568.94666343904964</v>
      </c>
      <c r="N56" s="3">
        <f t="shared" si="0"/>
        <v>853.41999515857447</v>
      </c>
      <c r="O56" s="2"/>
    </row>
    <row r="57" spans="1:15" x14ac:dyDescent="0.3">
      <c r="A57">
        <v>1998</v>
      </c>
      <c r="B57" t="s">
        <v>38</v>
      </c>
      <c r="C57">
        <v>-3</v>
      </c>
      <c r="D57" s="4">
        <f>Sect6197[[#This Row],[2023]]-Sect6197[[#This Row],[2022]]</f>
        <v>-117.5883753771397</v>
      </c>
      <c r="E57" s="4">
        <f>Sect6197[[#This Row],[2023]]-Sect6197[[#This Row],[2021]]</f>
        <v>-127.5883753771397</v>
      </c>
      <c r="F57" s="3">
        <v>612</v>
      </c>
      <c r="G57" s="3">
        <v>602</v>
      </c>
      <c r="H57" s="3">
        <v>484.4116246228603</v>
      </c>
      <c r="I57" s="3">
        <v>0</v>
      </c>
      <c r="J57" s="3">
        <v>0</v>
      </c>
      <c r="K57" s="3">
        <v>0</v>
      </c>
      <c r="L57" s="3">
        <v>0</v>
      </c>
      <c r="M57" s="3">
        <v>0</v>
      </c>
      <c r="N57" s="3">
        <f t="shared" si="0"/>
        <v>484.4116246228603</v>
      </c>
      <c r="O57" s="2"/>
    </row>
    <row r="58" spans="1:15" x14ac:dyDescent="0.3">
      <c r="A58">
        <v>2221</v>
      </c>
      <c r="B58" t="s">
        <v>148</v>
      </c>
      <c r="C58">
        <v>-2</v>
      </c>
      <c r="D58" s="4">
        <f>Sect6197[[#This Row],[2023]]-Sect6197[[#This Row],[2022]]</f>
        <v>468.07207400715924</v>
      </c>
      <c r="E58" s="4">
        <f>Sect6197[[#This Row],[2023]]-Sect6197[[#This Row],[2021]]</f>
        <v>366.07207400715924</v>
      </c>
      <c r="F58" s="3">
        <v>2671</v>
      </c>
      <c r="G58" s="3">
        <v>2569</v>
      </c>
      <c r="H58" s="3">
        <v>1012.3573580023863</v>
      </c>
      <c r="I58" s="3">
        <v>404.94294320095457</v>
      </c>
      <c r="J58" s="3">
        <v>0</v>
      </c>
      <c r="K58" s="3">
        <v>0</v>
      </c>
      <c r="L58" s="3">
        <v>0</v>
      </c>
      <c r="M58" s="3">
        <v>1619.7717728038183</v>
      </c>
      <c r="N58" s="3">
        <f t="shared" si="0"/>
        <v>3037.0720740071592</v>
      </c>
      <c r="O58" s="2"/>
    </row>
    <row r="59" spans="1:15" x14ac:dyDescent="0.3">
      <c r="A59">
        <v>1930</v>
      </c>
      <c r="B59" t="s">
        <v>15</v>
      </c>
      <c r="C59">
        <v>1</v>
      </c>
      <c r="D59" s="4">
        <f>Sect6197[[#This Row],[2023]]-Sect6197[[#This Row],[2022]]</f>
        <v>762.10224467911758</v>
      </c>
      <c r="E59" s="4">
        <f>Sect6197[[#This Row],[2023]]-Sect6197[[#This Row],[2021]]</f>
        <v>545.10224467911758</v>
      </c>
      <c r="F59" s="3">
        <v>12162</v>
      </c>
      <c r="G59" s="3">
        <v>11945</v>
      </c>
      <c r="H59" s="3">
        <v>3812.1306734037353</v>
      </c>
      <c r="I59" s="3">
        <v>1524.8522693614941</v>
      </c>
      <c r="J59" s="3">
        <v>0</v>
      </c>
      <c r="K59" s="3">
        <v>0</v>
      </c>
      <c r="L59" s="3">
        <v>0</v>
      </c>
      <c r="M59" s="3">
        <v>7370.1193019138882</v>
      </c>
      <c r="N59" s="3">
        <f t="shared" si="0"/>
        <v>12707.102244679118</v>
      </c>
      <c r="O59" s="2"/>
    </row>
    <row r="60" spans="1:15" x14ac:dyDescent="0.3">
      <c r="A60">
        <v>2082</v>
      </c>
      <c r="B60" t="s">
        <v>81</v>
      </c>
      <c r="C60">
        <v>49</v>
      </c>
      <c r="D60" s="4">
        <f>Sect6197[[#This Row],[2023]]-Sect6197[[#This Row],[2022]]</f>
        <v>11948.39965921166</v>
      </c>
      <c r="E60" s="4">
        <f>Sect6197[[#This Row],[2023]]-Sect6197[[#This Row],[2021]]</f>
        <v>8319.39965921166</v>
      </c>
      <c r="F60" s="3">
        <v>117719</v>
      </c>
      <c r="G60" s="3">
        <v>114090</v>
      </c>
      <c r="H60" s="3">
        <v>37294.299683179263</v>
      </c>
      <c r="I60" s="3">
        <v>1088.8846622826061</v>
      </c>
      <c r="J60" s="3">
        <v>0</v>
      </c>
      <c r="K60" s="3">
        <v>0</v>
      </c>
      <c r="L60" s="3">
        <v>0</v>
      </c>
      <c r="M60" s="3">
        <v>87655.215313749795</v>
      </c>
      <c r="N60" s="3">
        <f t="shared" si="0"/>
        <v>126038.39965921166</v>
      </c>
      <c r="O60" s="2"/>
    </row>
    <row r="61" spans="1:15" x14ac:dyDescent="0.3">
      <c r="A61">
        <v>2193</v>
      </c>
      <c r="B61" t="s">
        <v>132</v>
      </c>
      <c r="C61">
        <v>0</v>
      </c>
      <c r="D61" s="4">
        <f>Sect6197[[#This Row],[2023]]-Sect6197[[#This Row],[2022]]</f>
        <v>77.826969483815901</v>
      </c>
      <c r="E61" s="4">
        <f>Sect6197[[#This Row],[2023]]-Sect6197[[#This Row],[2021]]</f>
        <v>35.826969483815901</v>
      </c>
      <c r="F61" s="3">
        <v>1097</v>
      </c>
      <c r="G61" s="3">
        <v>1055</v>
      </c>
      <c r="H61" s="3">
        <v>849.62022711286193</v>
      </c>
      <c r="I61" s="3">
        <v>0</v>
      </c>
      <c r="J61" s="3">
        <v>0</v>
      </c>
      <c r="K61" s="3">
        <v>0</v>
      </c>
      <c r="L61" s="3">
        <v>0</v>
      </c>
      <c r="M61" s="3">
        <v>283.20674237095398</v>
      </c>
      <c r="N61" s="3">
        <f t="shared" si="0"/>
        <v>1132.8269694838159</v>
      </c>
      <c r="O61" s="2"/>
    </row>
    <row r="62" spans="1:15" x14ac:dyDescent="0.3">
      <c r="A62">
        <v>2084</v>
      </c>
      <c r="B62" t="s">
        <v>83</v>
      </c>
      <c r="C62">
        <v>4</v>
      </c>
      <c r="D62" s="4">
        <f>Sect6197[[#This Row],[2023]]-Sect6197[[#This Row],[2022]]</f>
        <v>1296.2180821405236</v>
      </c>
      <c r="E62" s="4">
        <f>Sect6197[[#This Row],[2023]]-Sect6197[[#This Row],[2021]]</f>
        <v>1035.2180821405236</v>
      </c>
      <c r="F62" s="3">
        <v>8158</v>
      </c>
      <c r="G62" s="3">
        <v>7897</v>
      </c>
      <c r="H62" s="3">
        <v>1956.0038472639412</v>
      </c>
      <c r="I62" s="3">
        <v>195.60038472639411</v>
      </c>
      <c r="J62" s="3">
        <v>0</v>
      </c>
      <c r="K62" s="3">
        <v>0</v>
      </c>
      <c r="L62" s="3">
        <v>0</v>
      </c>
      <c r="M62" s="3">
        <v>7041.6138501501882</v>
      </c>
      <c r="N62" s="3">
        <f t="shared" si="0"/>
        <v>9193.2180821405236</v>
      </c>
      <c r="O62" s="2"/>
    </row>
    <row r="63" spans="1:15" x14ac:dyDescent="0.3">
      <c r="A63">
        <v>2241</v>
      </c>
      <c r="B63" t="s">
        <v>153</v>
      </c>
      <c r="C63">
        <v>20</v>
      </c>
      <c r="D63" s="4">
        <f>Sect6197[[#This Row],[2023]]-Sect6197[[#This Row],[2022]]</f>
        <v>3216.8375075925178</v>
      </c>
      <c r="E63" s="4">
        <f>Sect6197[[#This Row],[2023]]-Sect6197[[#This Row],[2021]]</f>
        <v>2483.8375075925178</v>
      </c>
      <c r="F63" s="3">
        <v>24414</v>
      </c>
      <c r="G63" s="3">
        <v>23681</v>
      </c>
      <c r="H63" s="3">
        <v>6360.9750862549872</v>
      </c>
      <c r="I63" s="3">
        <v>4543.553633039277</v>
      </c>
      <c r="J63" s="3">
        <v>0</v>
      </c>
      <c r="K63" s="3">
        <v>0</v>
      </c>
      <c r="L63" s="3">
        <v>0</v>
      </c>
      <c r="M63" s="3">
        <v>15993.308788298255</v>
      </c>
      <c r="N63" s="3">
        <f t="shared" si="0"/>
        <v>26897.837507592518</v>
      </c>
      <c r="O63" s="2"/>
    </row>
    <row r="64" spans="1:15" x14ac:dyDescent="0.3">
      <c r="A64">
        <v>2248</v>
      </c>
      <c r="B64" t="s">
        <v>159</v>
      </c>
      <c r="C64">
        <v>4</v>
      </c>
      <c r="D64" s="4">
        <f>Sect6197[[#This Row],[2023]]-Sect6197[[#This Row],[2022]]</f>
        <v>-442.26010865595026</v>
      </c>
      <c r="E64" s="4">
        <f>Sect6197[[#This Row],[2023]]-Sect6197[[#This Row],[2021]]</f>
        <v>-253.26010865595026</v>
      </c>
      <c r="F64" s="3">
        <v>1315</v>
      </c>
      <c r="G64" s="3">
        <v>1504</v>
      </c>
      <c r="H64" s="3">
        <v>707.82659422936649</v>
      </c>
      <c r="I64" s="3">
        <v>0</v>
      </c>
      <c r="J64" s="3">
        <v>0</v>
      </c>
      <c r="K64" s="3">
        <v>0</v>
      </c>
      <c r="L64" s="3">
        <v>0</v>
      </c>
      <c r="M64" s="3">
        <v>353.91329711468325</v>
      </c>
      <c r="N64" s="3">
        <f t="shared" si="0"/>
        <v>1061.7398913440497</v>
      </c>
      <c r="O64" s="2"/>
    </row>
    <row r="65" spans="1:15" x14ac:dyDescent="0.3">
      <c r="A65">
        <v>2020</v>
      </c>
      <c r="B65" t="s">
        <v>57</v>
      </c>
      <c r="C65">
        <v>0</v>
      </c>
      <c r="D65" s="4">
        <f>Sect6197[[#This Row],[2023]]-Sect6197[[#This Row],[2022]]</f>
        <v>7.2975596368723927</v>
      </c>
      <c r="E65" s="4">
        <f>Sect6197[[#This Row],[2023]]-Sect6197[[#This Row],[2021]]</f>
        <v>-1.7024403631276073</v>
      </c>
      <c r="F65" s="3">
        <v>272</v>
      </c>
      <c r="G65" s="3">
        <v>263</v>
      </c>
      <c r="H65" s="3">
        <v>270.29755963687239</v>
      </c>
      <c r="I65" s="3">
        <v>0</v>
      </c>
      <c r="J65" s="3">
        <v>0</v>
      </c>
      <c r="K65" s="3">
        <v>0</v>
      </c>
      <c r="L65" s="3">
        <v>0</v>
      </c>
      <c r="M65" s="3">
        <v>0</v>
      </c>
      <c r="N65" s="3">
        <f t="shared" si="0"/>
        <v>270.29755963687239</v>
      </c>
      <c r="O65" s="2"/>
    </row>
    <row r="66" spans="1:15" x14ac:dyDescent="0.3">
      <c r="A66">
        <v>2245</v>
      </c>
      <c r="B66" t="s">
        <v>157</v>
      </c>
      <c r="C66">
        <v>4</v>
      </c>
      <c r="D66" s="4">
        <f>Sect6197[[#This Row],[2023]]-Sect6197[[#This Row],[2022]]</f>
        <v>389.07114394763539</v>
      </c>
      <c r="E66" s="4">
        <f>Sect6197[[#This Row],[2023]]-Sect6197[[#This Row],[2021]]</f>
        <v>282.07114394763539</v>
      </c>
      <c r="F66" s="3">
        <v>2714</v>
      </c>
      <c r="G66" s="3">
        <v>2607</v>
      </c>
      <c r="H66" s="3">
        <v>856.02032684218136</v>
      </c>
      <c r="I66" s="3">
        <v>642.01524513163611</v>
      </c>
      <c r="J66" s="3">
        <v>0</v>
      </c>
      <c r="K66" s="3">
        <v>0</v>
      </c>
      <c r="L66" s="3">
        <v>0</v>
      </c>
      <c r="M66" s="3">
        <v>1498.0355719738177</v>
      </c>
      <c r="N66" s="3">
        <f t="shared" ref="N66:N129" si="1">SUM(H66:M66)</f>
        <v>2996.0711439476354</v>
      </c>
      <c r="O66" s="2"/>
    </row>
    <row r="67" spans="1:15" x14ac:dyDescent="0.3">
      <c r="A67">
        <v>2137</v>
      </c>
      <c r="B67" t="s">
        <v>110</v>
      </c>
      <c r="C67">
        <v>0</v>
      </c>
      <c r="D67" s="4">
        <f>Sect6197[[#This Row],[2023]]-Sect6197[[#This Row],[2022]]</f>
        <v>-647.11025710426384</v>
      </c>
      <c r="E67" s="4">
        <f>Sect6197[[#This Row],[2023]]-Sect6197[[#This Row],[2021]]</f>
        <v>-524.11025710426384</v>
      </c>
      <c r="F67" s="3">
        <v>4284</v>
      </c>
      <c r="G67" s="3">
        <v>4407</v>
      </c>
      <c r="H67" s="3">
        <v>417.7655269884151</v>
      </c>
      <c r="I67" s="3">
        <v>835.53105397683021</v>
      </c>
      <c r="J67" s="3">
        <v>0</v>
      </c>
      <c r="K67" s="3">
        <v>0</v>
      </c>
      <c r="L67" s="3">
        <v>0</v>
      </c>
      <c r="M67" s="3">
        <v>2506.5931619304906</v>
      </c>
      <c r="N67" s="3">
        <f t="shared" si="1"/>
        <v>3759.8897428957362</v>
      </c>
      <c r="O67" s="2"/>
    </row>
    <row r="68" spans="1:15" x14ac:dyDescent="0.3">
      <c r="A68">
        <v>1931</v>
      </c>
      <c r="B68" t="s">
        <v>16</v>
      </c>
      <c r="C68">
        <v>4</v>
      </c>
      <c r="D68" s="4">
        <f>Sect6197[[#This Row],[2023]]-Sect6197[[#This Row],[2022]]</f>
        <v>885.74461416526538</v>
      </c>
      <c r="E68" s="4">
        <f>Sect6197[[#This Row],[2023]]-Sect6197[[#This Row],[2021]]</f>
        <v>638.74461416526538</v>
      </c>
      <c r="F68" s="3">
        <v>5484</v>
      </c>
      <c r="G68" s="3">
        <v>5237</v>
      </c>
      <c r="H68" s="3">
        <v>1851.0623252127548</v>
      </c>
      <c r="I68" s="3">
        <v>1851.0623252127548</v>
      </c>
      <c r="J68" s="3">
        <v>0</v>
      </c>
      <c r="K68" s="3">
        <v>0</v>
      </c>
      <c r="L68" s="3">
        <v>0</v>
      </c>
      <c r="M68" s="3">
        <v>2420.6199637397563</v>
      </c>
      <c r="N68" s="3">
        <f t="shared" si="1"/>
        <v>6122.7446141652654</v>
      </c>
      <c r="O68" s="2"/>
    </row>
    <row r="69" spans="1:15" x14ac:dyDescent="0.3">
      <c r="A69">
        <v>2000</v>
      </c>
      <c r="B69" t="s">
        <v>40</v>
      </c>
      <c r="C69">
        <v>-1</v>
      </c>
      <c r="D69" s="4">
        <f>Sect6197[[#This Row],[2023]]-Sect6197[[#This Row],[2022]]</f>
        <v>17.416274920479282</v>
      </c>
      <c r="E69" s="4">
        <f>Sect6197[[#This Row],[2023]]-Sect6197[[#This Row],[2021]]</f>
        <v>22.416274920479282</v>
      </c>
      <c r="F69" s="3">
        <v>667</v>
      </c>
      <c r="G69" s="3">
        <v>672</v>
      </c>
      <c r="H69" s="3">
        <v>275.76650996819171</v>
      </c>
      <c r="I69" s="3">
        <v>0</v>
      </c>
      <c r="J69" s="3">
        <v>0</v>
      </c>
      <c r="K69" s="3">
        <v>0</v>
      </c>
      <c r="L69" s="3">
        <v>0</v>
      </c>
      <c r="M69" s="3">
        <v>413.64976495228757</v>
      </c>
      <c r="N69" s="3">
        <f t="shared" si="1"/>
        <v>689.41627492047928</v>
      </c>
      <c r="O69" s="2"/>
    </row>
    <row r="70" spans="1:15" x14ac:dyDescent="0.3">
      <c r="A70">
        <v>1992</v>
      </c>
      <c r="B70" t="s">
        <v>34</v>
      </c>
      <c r="C70">
        <v>0</v>
      </c>
      <c r="D70" s="4">
        <f>Sect6197[[#This Row],[2023]]-Sect6197[[#This Row],[2022]]</f>
        <v>-110.69956254092722</v>
      </c>
      <c r="E70" s="4">
        <f>Sect6197[[#This Row],[2023]]-Sect6197[[#This Row],[2021]]</f>
        <v>-204.69956254092722</v>
      </c>
      <c r="F70" s="3">
        <v>4408</v>
      </c>
      <c r="G70" s="3">
        <v>4314</v>
      </c>
      <c r="H70" s="3">
        <v>1050.8251093647682</v>
      </c>
      <c r="I70" s="3">
        <v>1050.8251093647682</v>
      </c>
      <c r="J70" s="3">
        <v>0</v>
      </c>
      <c r="K70" s="3">
        <v>0</v>
      </c>
      <c r="L70" s="3">
        <v>0</v>
      </c>
      <c r="M70" s="3">
        <v>2101.6502187295364</v>
      </c>
      <c r="N70" s="3">
        <f t="shared" si="1"/>
        <v>4203.3004374590728</v>
      </c>
      <c r="O70" s="2"/>
    </row>
    <row r="71" spans="1:15" x14ac:dyDescent="0.3">
      <c r="A71">
        <v>2054</v>
      </c>
      <c r="B71" t="s">
        <v>73</v>
      </c>
      <c r="C71">
        <v>22</v>
      </c>
      <c r="D71" s="4">
        <f>Sect6197[[#This Row],[2023]]-Sect6197[[#This Row],[2022]]</f>
        <v>2271.8118746930559</v>
      </c>
      <c r="E71" s="4">
        <f>Sect6197[[#This Row],[2023]]-Sect6197[[#This Row],[2021]]</f>
        <v>1087.8118746930559</v>
      </c>
      <c r="F71" s="3">
        <v>33020</v>
      </c>
      <c r="G71" s="3">
        <v>31836</v>
      </c>
      <c r="H71" s="3">
        <v>7487.0806554204255</v>
      </c>
      <c r="I71" s="3">
        <v>8318.978506022695</v>
      </c>
      <c r="J71" s="3">
        <v>0</v>
      </c>
      <c r="K71" s="3">
        <v>0</v>
      </c>
      <c r="L71" s="3">
        <v>0</v>
      </c>
      <c r="M71" s="3">
        <v>18301.752713249931</v>
      </c>
      <c r="N71" s="3">
        <f t="shared" si="1"/>
        <v>34107.811874693056</v>
      </c>
      <c r="O71" s="2"/>
    </row>
    <row r="72" spans="1:15" x14ac:dyDescent="0.3">
      <c r="A72">
        <v>2100</v>
      </c>
      <c r="B72" t="s">
        <v>218</v>
      </c>
      <c r="C72">
        <v>31</v>
      </c>
      <c r="D72" s="4">
        <f>Sect6197[[#This Row],[2023]]-Sect6197[[#This Row],[2022]]</f>
        <v>4682.9387096869759</v>
      </c>
      <c r="E72" s="4">
        <f>Sect6197[[#This Row],[2023]]-Sect6197[[#This Row],[2021]]</f>
        <v>2789.9387096869759</v>
      </c>
      <c r="F72" s="3">
        <v>53449</v>
      </c>
      <c r="G72" s="3">
        <v>51556</v>
      </c>
      <c r="H72" s="3">
        <v>14755.761146601038</v>
      </c>
      <c r="I72" s="3">
        <v>5011.3905780909181</v>
      </c>
      <c r="J72" s="3">
        <v>0</v>
      </c>
      <c r="K72" s="3">
        <v>0</v>
      </c>
      <c r="L72" s="3">
        <v>0</v>
      </c>
      <c r="M72" s="3">
        <v>36471.786984995022</v>
      </c>
      <c r="N72" s="3">
        <f t="shared" si="1"/>
        <v>56238.938709686976</v>
      </c>
      <c r="O72" s="2"/>
    </row>
    <row r="73" spans="1:15" x14ac:dyDescent="0.3">
      <c r="A73">
        <v>2183</v>
      </c>
      <c r="B73" t="s">
        <v>124</v>
      </c>
      <c r="C73">
        <v>63</v>
      </c>
      <c r="D73" s="4">
        <f>Sect6197[[#This Row],[2023]]-Sect6197[[#This Row],[2022]]</f>
        <v>6173.4195674817893</v>
      </c>
      <c r="E73" s="4">
        <f>Sect6197[[#This Row],[2023]]-Sect6197[[#This Row],[2021]]</f>
        <v>4505.4195674817893</v>
      </c>
      <c r="F73" s="3">
        <v>63610</v>
      </c>
      <c r="G73" s="3">
        <v>61942</v>
      </c>
      <c r="H73" s="3">
        <v>13183.629593706153</v>
      </c>
      <c r="I73" s="3">
        <v>21240.292123193249</v>
      </c>
      <c r="J73" s="3">
        <v>0</v>
      </c>
      <c r="K73" s="3">
        <v>0</v>
      </c>
      <c r="L73" s="3">
        <v>0</v>
      </c>
      <c r="M73" s="3">
        <v>33691.497850582396</v>
      </c>
      <c r="N73" s="3">
        <f t="shared" si="1"/>
        <v>68115.419567481789</v>
      </c>
      <c r="O73" s="2"/>
    </row>
    <row r="74" spans="1:15" x14ac:dyDescent="0.3">
      <c r="A74">
        <v>2014</v>
      </c>
      <c r="B74" t="s">
        <v>51</v>
      </c>
      <c r="C74">
        <v>1</v>
      </c>
      <c r="D74" s="4">
        <f>Sect6197[[#This Row],[2023]]-Sect6197[[#This Row],[2022]]</f>
        <v>1227.8506297391068</v>
      </c>
      <c r="E74" s="4">
        <f>Sect6197[[#This Row],[2023]]-Sect6197[[#This Row],[2021]]</f>
        <v>834.85062973910681</v>
      </c>
      <c r="F74" s="3">
        <v>9681</v>
      </c>
      <c r="G74" s="3">
        <v>9288</v>
      </c>
      <c r="H74" s="3">
        <v>3286.2033217934709</v>
      </c>
      <c r="I74" s="3">
        <v>657.24066435869418</v>
      </c>
      <c r="J74" s="3">
        <v>0</v>
      </c>
      <c r="K74" s="3">
        <v>0</v>
      </c>
      <c r="L74" s="3">
        <v>0</v>
      </c>
      <c r="M74" s="3">
        <v>6572.4066435869418</v>
      </c>
      <c r="N74" s="3">
        <f t="shared" si="1"/>
        <v>10515.850629739107</v>
      </c>
      <c r="O74" s="2"/>
    </row>
    <row r="75" spans="1:15" x14ac:dyDescent="0.3">
      <c r="A75">
        <v>2015</v>
      </c>
      <c r="B75" t="s">
        <v>52</v>
      </c>
      <c r="C75">
        <v>-1</v>
      </c>
      <c r="D75" s="4">
        <f>Sect6197[[#This Row],[2023]]-Sect6197[[#This Row],[2022]]</f>
        <v>-334.08727793471724</v>
      </c>
      <c r="E75" s="4">
        <f>Sect6197[[#This Row],[2023]]-Sect6197[[#This Row],[2021]]</f>
        <v>-220.08727793471724</v>
      </c>
      <c r="F75" s="3">
        <v>574</v>
      </c>
      <c r="G75" s="3">
        <v>688</v>
      </c>
      <c r="H75" s="3">
        <v>353.91272206528276</v>
      </c>
      <c r="I75" s="3">
        <v>0</v>
      </c>
      <c r="J75" s="3">
        <v>0</v>
      </c>
      <c r="K75" s="3">
        <v>0</v>
      </c>
      <c r="L75" s="3">
        <v>0</v>
      </c>
      <c r="M75" s="3">
        <v>0</v>
      </c>
      <c r="N75" s="3">
        <f t="shared" si="1"/>
        <v>353.91272206528276</v>
      </c>
      <c r="O75" s="2"/>
    </row>
    <row r="76" spans="1:15" x14ac:dyDescent="0.3">
      <c r="A76">
        <v>2023</v>
      </c>
      <c r="B76" t="s">
        <v>219</v>
      </c>
      <c r="C76">
        <v>0</v>
      </c>
      <c r="D76" s="4">
        <f>Sect6197[[#This Row],[2023]]-Sect6197[[#This Row],[2022]]</f>
        <v>-1024.9990699404761</v>
      </c>
      <c r="E76" s="4">
        <f>Sect6197[[#This Row],[2023]]-Sect6197[[#This Row],[2021]]</f>
        <v>41.00093005952381</v>
      </c>
      <c r="F76" s="3">
        <v>0</v>
      </c>
      <c r="G76" s="3">
        <v>1066</v>
      </c>
      <c r="H76" s="3">
        <v>41.00093005952381</v>
      </c>
      <c r="I76" s="3">
        <v>0</v>
      </c>
      <c r="J76" s="3">
        <v>0</v>
      </c>
      <c r="K76" s="3">
        <v>0</v>
      </c>
      <c r="L76" s="3">
        <v>0</v>
      </c>
      <c r="M76" s="3">
        <v>0</v>
      </c>
      <c r="N76" s="3">
        <f t="shared" si="1"/>
        <v>41.00093005952381</v>
      </c>
      <c r="O76" s="2"/>
    </row>
    <row r="77" spans="1:15" x14ac:dyDescent="0.3">
      <c r="A77">
        <v>2114</v>
      </c>
      <c r="B77" t="s">
        <v>107</v>
      </c>
      <c r="C77">
        <v>0</v>
      </c>
      <c r="D77" s="4">
        <f>Sect6197[[#This Row],[2023]]-Sect6197[[#This Row],[2022]]</f>
        <v>-79.176750754279396</v>
      </c>
      <c r="E77" s="4">
        <f>Sect6197[[#This Row],[2023]]-Sect6197[[#This Row],[2021]]</f>
        <v>-67.176750754279396</v>
      </c>
      <c r="F77" s="3">
        <v>1036</v>
      </c>
      <c r="G77" s="3">
        <v>1048</v>
      </c>
      <c r="H77" s="3">
        <v>968.8232492457206</v>
      </c>
      <c r="I77" s="3">
        <v>0</v>
      </c>
      <c r="J77" s="3">
        <v>0</v>
      </c>
      <c r="K77" s="3">
        <v>0</v>
      </c>
      <c r="L77" s="3">
        <v>0</v>
      </c>
      <c r="M77" s="3">
        <v>0</v>
      </c>
      <c r="N77" s="3">
        <f t="shared" si="1"/>
        <v>968.8232492457206</v>
      </c>
      <c r="O77" s="2"/>
    </row>
    <row r="78" spans="1:15" x14ac:dyDescent="0.3">
      <c r="A78">
        <v>2099</v>
      </c>
      <c r="B78" t="s">
        <v>95</v>
      </c>
      <c r="C78">
        <v>3</v>
      </c>
      <c r="D78" s="4">
        <f>Sect6197[[#This Row],[2023]]-Sect6197[[#This Row],[2022]]</f>
        <v>19.245104523343343</v>
      </c>
      <c r="E78" s="4">
        <f>Sect6197[[#This Row],[2023]]-Sect6197[[#This Row],[2021]]</f>
        <v>-69.754895476656657</v>
      </c>
      <c r="F78" s="3">
        <v>1974</v>
      </c>
      <c r="G78" s="3">
        <v>1885</v>
      </c>
      <c r="H78" s="3">
        <v>519.33957396091171</v>
      </c>
      <c r="I78" s="3">
        <v>0</v>
      </c>
      <c r="J78" s="3">
        <v>0</v>
      </c>
      <c r="K78" s="3">
        <v>0</v>
      </c>
      <c r="L78" s="3">
        <v>0</v>
      </c>
      <c r="M78" s="3">
        <v>1384.9055305624315</v>
      </c>
      <c r="N78" s="3">
        <f t="shared" si="1"/>
        <v>1904.2451045233433</v>
      </c>
      <c r="O78" s="2"/>
    </row>
    <row r="79" spans="1:15" x14ac:dyDescent="0.3">
      <c r="A79">
        <v>2201</v>
      </c>
      <c r="B79" t="s">
        <v>136</v>
      </c>
      <c r="C79">
        <v>0</v>
      </c>
      <c r="D79" s="4">
        <f>Sect6197[[#This Row],[2023]]-Sect6197[[#This Row],[2022]]</f>
        <v>-5.1758206947555436</v>
      </c>
      <c r="E79" s="4">
        <f>Sect6197[[#This Row],[2023]]-Sect6197[[#This Row],[2021]]</f>
        <v>-52.175820694755544</v>
      </c>
      <c r="F79" s="3">
        <v>1062</v>
      </c>
      <c r="G79" s="3">
        <v>1015</v>
      </c>
      <c r="H79" s="3">
        <v>1009.8241793052445</v>
      </c>
      <c r="I79" s="3">
        <v>0</v>
      </c>
      <c r="J79" s="3">
        <v>0</v>
      </c>
      <c r="K79" s="3">
        <v>0</v>
      </c>
      <c r="L79" s="3">
        <v>0</v>
      </c>
      <c r="M79" s="3">
        <v>0</v>
      </c>
      <c r="N79" s="3">
        <f t="shared" si="1"/>
        <v>1009.8241793052445</v>
      </c>
      <c r="O79" s="2"/>
    </row>
    <row r="80" spans="1:15" x14ac:dyDescent="0.3">
      <c r="A80">
        <v>2206</v>
      </c>
      <c r="B80" t="s">
        <v>220</v>
      </c>
      <c r="C80">
        <v>-12</v>
      </c>
      <c r="D80" s="4">
        <f>Sect6197[[#This Row],[2023]]-Sect6197[[#This Row],[2022]]</f>
        <v>2050.2709830082531</v>
      </c>
      <c r="E80" s="4">
        <f>Sect6197[[#This Row],[2023]]-Sect6197[[#This Row],[2021]]</f>
        <v>1132.2709830082531</v>
      </c>
      <c r="F80" s="3">
        <v>27073</v>
      </c>
      <c r="G80" s="3">
        <v>26155</v>
      </c>
      <c r="H80" s="3">
        <v>4398.9872175333976</v>
      </c>
      <c r="I80" s="3">
        <v>1293.8197698627639</v>
      </c>
      <c r="J80" s="3">
        <v>0</v>
      </c>
      <c r="K80" s="3">
        <v>0</v>
      </c>
      <c r="L80" s="3">
        <v>0</v>
      </c>
      <c r="M80" s="3">
        <v>22512.463995612092</v>
      </c>
      <c r="N80" s="3">
        <f t="shared" si="1"/>
        <v>28205.270983008253</v>
      </c>
      <c r="O80" s="2"/>
    </row>
    <row r="81" spans="1:15" x14ac:dyDescent="0.3">
      <c r="A81">
        <v>2239</v>
      </c>
      <c r="B81" t="s">
        <v>151</v>
      </c>
      <c r="C81">
        <v>40</v>
      </c>
      <c r="D81" s="4">
        <f>Sect6197[[#This Row],[2023]]-Sect6197[[#This Row],[2022]]</f>
        <v>7913.0841570832563</v>
      </c>
      <c r="E81" s="4">
        <f>Sect6197[[#This Row],[2023]]-Sect6197[[#This Row],[2021]]</f>
        <v>6004.0841570832563</v>
      </c>
      <c r="F81" s="3">
        <v>73467</v>
      </c>
      <c r="G81" s="3">
        <v>71558</v>
      </c>
      <c r="H81" s="3">
        <v>17162.769348478076</v>
      </c>
      <c r="I81" s="3">
        <v>14737.595418801826</v>
      </c>
      <c r="J81" s="3">
        <v>0</v>
      </c>
      <c r="K81" s="3">
        <v>0</v>
      </c>
      <c r="L81" s="3">
        <v>0</v>
      </c>
      <c r="M81" s="3">
        <v>47570.719389803358</v>
      </c>
      <c r="N81" s="3">
        <f t="shared" si="1"/>
        <v>79471.084157083256</v>
      </c>
      <c r="O81" s="2"/>
    </row>
    <row r="82" spans="1:15" x14ac:dyDescent="0.3">
      <c r="A82">
        <v>2024</v>
      </c>
      <c r="B82" t="s">
        <v>221</v>
      </c>
      <c r="C82">
        <v>14</v>
      </c>
      <c r="D82" s="4">
        <f>Sect6197[[#This Row],[2023]]-Sect6197[[#This Row],[2022]]</f>
        <v>2934.9798461444152</v>
      </c>
      <c r="E82" s="4">
        <f>Sect6197[[#This Row],[2023]]-Sect6197[[#This Row],[2021]]</f>
        <v>2199.9798461444152</v>
      </c>
      <c r="F82" s="3">
        <v>22212</v>
      </c>
      <c r="G82" s="3">
        <v>21477</v>
      </c>
      <c r="H82" s="3">
        <v>7477.5433762964876</v>
      </c>
      <c r="I82" s="3">
        <v>2199.2774636166141</v>
      </c>
      <c r="J82" s="3">
        <v>0</v>
      </c>
      <c r="K82" s="3">
        <v>0</v>
      </c>
      <c r="L82" s="3">
        <v>0</v>
      </c>
      <c r="M82" s="3">
        <v>14735.159006231315</v>
      </c>
      <c r="N82" s="3">
        <f t="shared" si="1"/>
        <v>24411.979846144415</v>
      </c>
      <c r="O82" s="2"/>
    </row>
    <row r="83" spans="1:15" x14ac:dyDescent="0.3">
      <c r="A83">
        <v>1895</v>
      </c>
      <c r="B83" t="s">
        <v>2</v>
      </c>
      <c r="C83">
        <v>0</v>
      </c>
      <c r="D83" s="4">
        <f>Sect6197[[#This Row],[2023]]-Sect6197[[#This Row],[2022]]</f>
        <v>-38.589912131860842</v>
      </c>
      <c r="E83" s="4">
        <f>Sect6197[[#This Row],[2023]]-Sect6197[[#This Row],[2021]]</f>
        <v>-55.589912131860842</v>
      </c>
      <c r="F83" s="3">
        <v>540</v>
      </c>
      <c r="G83" s="3">
        <v>523</v>
      </c>
      <c r="H83" s="3">
        <v>484.41008786813916</v>
      </c>
      <c r="I83" s="3">
        <v>0</v>
      </c>
      <c r="J83" s="3">
        <v>0</v>
      </c>
      <c r="K83" s="3">
        <v>0</v>
      </c>
      <c r="L83" s="3">
        <v>0</v>
      </c>
      <c r="M83" s="3">
        <v>0</v>
      </c>
      <c r="N83" s="3">
        <f t="shared" si="1"/>
        <v>484.41008786813916</v>
      </c>
      <c r="O83" s="2"/>
    </row>
    <row r="84" spans="1:15" x14ac:dyDescent="0.3">
      <c r="A84">
        <v>2215</v>
      </c>
      <c r="B84" t="s">
        <v>143</v>
      </c>
      <c r="C84">
        <v>0</v>
      </c>
      <c r="D84" s="4">
        <f>Sect6197[[#This Row],[2023]]-Sect6197[[#This Row],[2022]]</f>
        <v>-65.586515258092049</v>
      </c>
      <c r="E84" s="4">
        <f>Sect6197[[#This Row],[2023]]-Sect6197[[#This Row],[2021]]</f>
        <v>-65.586515258092049</v>
      </c>
      <c r="F84" s="3">
        <v>632</v>
      </c>
      <c r="G84" s="3">
        <v>632</v>
      </c>
      <c r="H84" s="3">
        <v>0</v>
      </c>
      <c r="I84" s="3">
        <v>283.20674237095398</v>
      </c>
      <c r="J84" s="3">
        <v>0</v>
      </c>
      <c r="K84" s="3">
        <v>0</v>
      </c>
      <c r="L84" s="3">
        <v>0</v>
      </c>
      <c r="M84" s="3">
        <v>283.20674237095398</v>
      </c>
      <c r="N84" s="3">
        <f t="shared" si="1"/>
        <v>566.41348474190795</v>
      </c>
      <c r="O84" s="2"/>
    </row>
    <row r="85" spans="1:15" x14ac:dyDescent="0.3">
      <c r="A85">
        <v>3997</v>
      </c>
      <c r="B85" t="s">
        <v>222</v>
      </c>
      <c r="C85">
        <v>0</v>
      </c>
      <c r="D85" s="4">
        <f>Sect6197[[#This Row],[2023]]-Sect6197[[#This Row],[2022]]</f>
        <v>-22.587445317615902</v>
      </c>
      <c r="E85" s="4">
        <f>Sect6197[[#This Row],[2023]]-Sect6197[[#This Row],[2021]]</f>
        <v>-50.587445317615902</v>
      </c>
      <c r="F85" s="3">
        <v>576</v>
      </c>
      <c r="G85" s="3">
        <v>548</v>
      </c>
      <c r="H85" s="3">
        <v>525.4125546823841</v>
      </c>
      <c r="I85" s="3">
        <v>0</v>
      </c>
      <c r="J85" s="3">
        <v>0</v>
      </c>
      <c r="K85" s="3">
        <v>0</v>
      </c>
      <c r="L85" s="3">
        <v>0</v>
      </c>
      <c r="M85" s="3">
        <v>0</v>
      </c>
      <c r="N85" s="3">
        <f t="shared" si="1"/>
        <v>525.4125546823841</v>
      </c>
      <c r="O85" s="2"/>
    </row>
    <row r="86" spans="1:15" x14ac:dyDescent="0.3">
      <c r="A86">
        <v>2053</v>
      </c>
      <c r="B86" t="s">
        <v>72</v>
      </c>
      <c r="C86">
        <v>-6</v>
      </c>
      <c r="D86" s="4">
        <f>Sect6197[[#This Row],[2023]]-Sect6197[[#This Row],[2022]]</f>
        <v>2939.7657804840637</v>
      </c>
      <c r="E86" s="4">
        <f>Sect6197[[#This Row],[2023]]-Sect6197[[#This Row],[2021]]</f>
        <v>1309.7657804840637</v>
      </c>
      <c r="F86" s="3">
        <v>39106</v>
      </c>
      <c r="G86" s="3">
        <v>37476</v>
      </c>
      <c r="H86" s="3">
        <v>11699.300620666439</v>
      </c>
      <c r="I86" s="3">
        <v>8508.5822695755924</v>
      </c>
      <c r="J86" s="3">
        <v>0</v>
      </c>
      <c r="K86" s="3">
        <v>0</v>
      </c>
      <c r="L86" s="3">
        <v>0</v>
      </c>
      <c r="M86" s="3">
        <v>20207.882890242032</v>
      </c>
      <c r="N86" s="3">
        <f t="shared" si="1"/>
        <v>40415.765780484064</v>
      </c>
      <c r="O86" s="2"/>
    </row>
    <row r="87" spans="1:15" x14ac:dyDescent="0.3">
      <c r="A87">
        <v>2140</v>
      </c>
      <c r="B87" t="s">
        <v>113</v>
      </c>
      <c r="C87">
        <v>-3</v>
      </c>
      <c r="D87" s="4">
        <f>Sect6197[[#This Row],[2023]]-Sect6197[[#This Row],[2022]]</f>
        <v>-211.93815664760268</v>
      </c>
      <c r="E87" s="4">
        <f>Sect6197[[#This Row],[2023]]-Sect6197[[#This Row],[2021]]</f>
        <v>-268.93815664760268</v>
      </c>
      <c r="F87" s="3">
        <v>2855</v>
      </c>
      <c r="G87" s="3">
        <v>2798</v>
      </c>
      <c r="H87" s="3">
        <v>0</v>
      </c>
      <c r="I87" s="3">
        <v>1293.0309216761987</v>
      </c>
      <c r="J87" s="3">
        <v>0</v>
      </c>
      <c r="K87" s="3">
        <v>0</v>
      </c>
      <c r="L87" s="3">
        <v>0</v>
      </c>
      <c r="M87" s="3">
        <v>1293.0309216761987</v>
      </c>
      <c r="N87" s="3">
        <f t="shared" si="1"/>
        <v>2586.0618433523973</v>
      </c>
      <c r="O87" s="2"/>
    </row>
    <row r="88" spans="1:15" x14ac:dyDescent="0.3">
      <c r="A88">
        <v>1934</v>
      </c>
      <c r="B88" t="s">
        <v>17</v>
      </c>
      <c r="C88">
        <v>0</v>
      </c>
      <c r="D88" s="4">
        <f>Sect6197[[#This Row],[2023]]-Sect6197[[#This Row],[2022]]</f>
        <v>-31.176750754279396</v>
      </c>
      <c r="E88" s="4">
        <f>Sect6197[[#This Row],[2023]]-Sect6197[[#This Row],[2021]]</f>
        <v>-101.1767507542794</v>
      </c>
      <c r="F88" s="3">
        <v>1070</v>
      </c>
      <c r="G88" s="3">
        <v>1000</v>
      </c>
      <c r="H88" s="3">
        <v>968.8232492457206</v>
      </c>
      <c r="I88" s="3">
        <v>0</v>
      </c>
      <c r="J88" s="3">
        <v>0</v>
      </c>
      <c r="K88" s="3">
        <v>0</v>
      </c>
      <c r="L88" s="3">
        <v>0</v>
      </c>
      <c r="M88" s="3">
        <v>0</v>
      </c>
      <c r="N88" s="3">
        <f t="shared" si="1"/>
        <v>968.8232492457206</v>
      </c>
      <c r="O88" s="2"/>
    </row>
    <row r="89" spans="1:15" x14ac:dyDescent="0.3">
      <c r="A89">
        <v>2008</v>
      </c>
      <c r="B89" t="s">
        <v>46</v>
      </c>
      <c r="C89">
        <v>2</v>
      </c>
      <c r="D89" s="4">
        <f>Sect6197[[#This Row],[2023]]-Sect6197[[#This Row],[2022]]</f>
        <v>191.5353113276542</v>
      </c>
      <c r="E89" s="4">
        <f>Sect6197[[#This Row],[2023]]-Sect6197[[#This Row],[2021]]</f>
        <v>-33.464688672345801</v>
      </c>
      <c r="F89" s="3">
        <v>5690</v>
      </c>
      <c r="G89" s="3">
        <v>5465</v>
      </c>
      <c r="H89" s="3">
        <v>2121.2007417478703</v>
      </c>
      <c r="I89" s="3">
        <v>1414.1338278319135</v>
      </c>
      <c r="J89" s="3">
        <v>0</v>
      </c>
      <c r="K89" s="3">
        <v>0</v>
      </c>
      <c r="L89" s="3">
        <v>0</v>
      </c>
      <c r="M89" s="3">
        <v>2121.2007417478703</v>
      </c>
      <c r="N89" s="3">
        <f t="shared" si="1"/>
        <v>5656.5353113276542</v>
      </c>
      <c r="O89" s="2"/>
    </row>
    <row r="90" spans="1:15" x14ac:dyDescent="0.3">
      <c r="A90">
        <v>2107</v>
      </c>
      <c r="B90" t="s">
        <v>101</v>
      </c>
      <c r="C90">
        <v>0</v>
      </c>
      <c r="D90" s="4">
        <f>Sect6197[[#This Row],[2023]]-Sect6197[[#This Row],[2022]]</f>
        <v>-14.588375377139698</v>
      </c>
      <c r="E90" s="4">
        <f>Sect6197[[#This Row],[2023]]-Sect6197[[#This Row],[2021]]</f>
        <v>-34.588375377139698</v>
      </c>
      <c r="F90" s="3">
        <v>519</v>
      </c>
      <c r="G90" s="3">
        <v>499</v>
      </c>
      <c r="H90" s="3">
        <v>484.4116246228603</v>
      </c>
      <c r="I90" s="3">
        <v>0</v>
      </c>
      <c r="J90" s="3">
        <v>0</v>
      </c>
      <c r="K90" s="3">
        <v>0</v>
      </c>
      <c r="L90" s="3">
        <v>0</v>
      </c>
      <c r="M90" s="3">
        <v>0</v>
      </c>
      <c r="N90" s="3">
        <f t="shared" si="1"/>
        <v>484.4116246228603</v>
      </c>
      <c r="O90" s="2"/>
    </row>
    <row r="91" spans="1:15" x14ac:dyDescent="0.3">
      <c r="A91">
        <v>2219</v>
      </c>
      <c r="B91" t="s">
        <v>146</v>
      </c>
      <c r="C91">
        <v>0</v>
      </c>
      <c r="D91" s="4">
        <f>Sect6197[[#This Row],[2023]]-Sect6197[[#This Row],[2022]]</f>
        <v>103.06184335239686</v>
      </c>
      <c r="E91" s="4">
        <f>Sect6197[[#This Row],[2023]]-Sect6197[[#This Row],[2021]]</f>
        <v>24.061843352396863</v>
      </c>
      <c r="F91" s="3">
        <v>2562</v>
      </c>
      <c r="G91" s="3">
        <v>2483</v>
      </c>
      <c r="H91" s="3">
        <v>646.51546083809933</v>
      </c>
      <c r="I91" s="3">
        <v>0</v>
      </c>
      <c r="J91" s="3">
        <v>0</v>
      </c>
      <c r="K91" s="3">
        <v>0</v>
      </c>
      <c r="L91" s="3">
        <v>0</v>
      </c>
      <c r="M91" s="3">
        <v>1939.5463825142976</v>
      </c>
      <c r="N91" s="3">
        <f t="shared" si="1"/>
        <v>2586.0618433523969</v>
      </c>
      <c r="O91" s="2"/>
    </row>
    <row r="92" spans="1:15" x14ac:dyDescent="0.3">
      <c r="A92">
        <v>2091</v>
      </c>
      <c r="B92" t="s">
        <v>88</v>
      </c>
      <c r="C92">
        <v>2</v>
      </c>
      <c r="D92" s="4">
        <f>Sect6197[[#This Row],[2023]]-Sect6197[[#This Row],[2022]]</f>
        <v>1805.5757126543758</v>
      </c>
      <c r="E92" s="4">
        <f>Sect6197[[#This Row],[2023]]-Sect6197[[#This Row],[2021]]</f>
        <v>1252.5757126543758</v>
      </c>
      <c r="F92" s="3">
        <v>14525</v>
      </c>
      <c r="G92" s="3">
        <v>13972</v>
      </c>
      <c r="H92" s="3">
        <v>4967.0145762060065</v>
      </c>
      <c r="I92" s="3">
        <v>0</v>
      </c>
      <c r="J92" s="3">
        <v>0</v>
      </c>
      <c r="K92" s="3">
        <v>0</v>
      </c>
      <c r="L92" s="3">
        <v>0</v>
      </c>
      <c r="M92" s="3">
        <v>10810.561136448368</v>
      </c>
      <c r="N92" s="3">
        <f t="shared" si="1"/>
        <v>15777.575712654376</v>
      </c>
      <c r="O92" s="2"/>
    </row>
    <row r="93" spans="1:15" x14ac:dyDescent="0.3">
      <c r="A93">
        <v>2109</v>
      </c>
      <c r="B93" t="s">
        <v>102</v>
      </c>
      <c r="C93">
        <v>0</v>
      </c>
      <c r="D93" s="4">
        <f>Sect6197[[#This Row],[2023]]-Sect6197[[#This Row],[2022]]</f>
        <v>-4</v>
      </c>
      <c r="E93" s="4">
        <f>Sect6197[[#This Row],[2023]]-Sect6197[[#This Row],[2021]]</f>
        <v>-1</v>
      </c>
      <c r="F93" s="3">
        <v>1</v>
      </c>
      <c r="G93" s="3">
        <v>4</v>
      </c>
      <c r="H93" s="3">
        <v>0</v>
      </c>
      <c r="I93" s="3">
        <v>0</v>
      </c>
      <c r="J93" s="3">
        <v>0</v>
      </c>
      <c r="K93" s="3">
        <v>0</v>
      </c>
      <c r="L93" s="3">
        <v>0</v>
      </c>
      <c r="M93" s="3">
        <v>0</v>
      </c>
      <c r="N93" s="3">
        <f t="shared" si="1"/>
        <v>0</v>
      </c>
      <c r="O93" s="2"/>
    </row>
    <row r="94" spans="1:15" x14ac:dyDescent="0.3">
      <c r="A94">
        <v>2057</v>
      </c>
      <c r="B94" t="s">
        <v>74</v>
      </c>
      <c r="C94">
        <v>-14</v>
      </c>
      <c r="D94" s="4">
        <f>Sect6197[[#This Row],[2023]]-Sect6197[[#This Row],[2022]]</f>
        <v>2010.7044077673563</v>
      </c>
      <c r="E94" s="4">
        <f>Sect6197[[#This Row],[2023]]-Sect6197[[#This Row],[2021]]</f>
        <v>1017.7044077673563</v>
      </c>
      <c r="F94" s="3">
        <v>36973</v>
      </c>
      <c r="G94" s="3">
        <v>35980</v>
      </c>
      <c r="H94" s="3">
        <v>10975.092384466123</v>
      </c>
      <c r="I94" s="3">
        <v>3658.3641281553751</v>
      </c>
      <c r="J94" s="3">
        <v>0</v>
      </c>
      <c r="K94" s="3">
        <v>0</v>
      </c>
      <c r="L94" s="3">
        <v>0</v>
      </c>
      <c r="M94" s="3">
        <v>23357.247895145858</v>
      </c>
      <c r="N94" s="3">
        <f t="shared" si="1"/>
        <v>37990.704407767356</v>
      </c>
      <c r="O94" s="2"/>
    </row>
    <row r="95" spans="1:15" x14ac:dyDescent="0.3">
      <c r="A95">
        <v>2056</v>
      </c>
      <c r="B95" t="s">
        <v>223</v>
      </c>
      <c r="C95">
        <v>9</v>
      </c>
      <c r="D95" s="4">
        <f>Sect6197[[#This Row],[2023]]-Sect6197[[#This Row],[2022]]</f>
        <v>2684.2542419368292</v>
      </c>
      <c r="E95" s="4">
        <f>Sect6197[[#This Row],[2023]]-Sect6197[[#This Row],[2021]]</f>
        <v>1733.2542419368292</v>
      </c>
      <c r="F95" s="3">
        <v>25734</v>
      </c>
      <c r="G95" s="3">
        <v>24783</v>
      </c>
      <c r="H95" s="3">
        <v>5734.9212153494473</v>
      </c>
      <c r="I95" s="3">
        <v>2112.8657109182172</v>
      </c>
      <c r="J95" s="3">
        <v>0</v>
      </c>
      <c r="K95" s="3">
        <v>0</v>
      </c>
      <c r="L95" s="3">
        <v>0</v>
      </c>
      <c r="M95" s="3">
        <v>19619.467315669164</v>
      </c>
      <c r="N95" s="3">
        <f t="shared" si="1"/>
        <v>27467.254241936829</v>
      </c>
      <c r="O95" s="2"/>
    </row>
    <row r="96" spans="1:15" x14ac:dyDescent="0.3">
      <c r="A96">
        <v>2262</v>
      </c>
      <c r="B96" t="s">
        <v>167</v>
      </c>
      <c r="C96">
        <v>-2</v>
      </c>
      <c r="D96" s="4">
        <f>Sect6197[[#This Row],[2023]]-Sect6197[[#This Row],[2022]]</f>
        <v>472.89532325287928</v>
      </c>
      <c r="E96" s="4">
        <f>Sect6197[[#This Row],[2023]]-Sect6197[[#This Row],[2021]]</f>
        <v>348.89532325287928</v>
      </c>
      <c r="F96" s="3">
        <v>3657</v>
      </c>
      <c r="G96" s="3">
        <v>3533</v>
      </c>
      <c r="H96" s="3">
        <v>801.17906465057592</v>
      </c>
      <c r="I96" s="3">
        <v>534.11937643371721</v>
      </c>
      <c r="J96" s="3">
        <v>0</v>
      </c>
      <c r="K96" s="3">
        <v>0</v>
      </c>
      <c r="L96" s="3">
        <v>0</v>
      </c>
      <c r="M96" s="3">
        <v>2670.596882168586</v>
      </c>
      <c r="N96" s="3">
        <f t="shared" si="1"/>
        <v>4005.8953232528793</v>
      </c>
      <c r="O96" s="2"/>
    </row>
    <row r="97" spans="1:15" x14ac:dyDescent="0.3">
      <c r="A97">
        <v>2212</v>
      </c>
      <c r="B97" t="s">
        <v>140</v>
      </c>
      <c r="C97">
        <v>7</v>
      </c>
      <c r="D97" s="4">
        <f>Sect6197[[#This Row],[2023]]-Sect6197[[#This Row],[2022]]</f>
        <v>592.15013713865847</v>
      </c>
      <c r="E97" s="4">
        <f>Sect6197[[#This Row],[2023]]-Sect6197[[#This Row],[2021]]</f>
        <v>57.150137138658465</v>
      </c>
      <c r="F97" s="3">
        <v>14621</v>
      </c>
      <c r="G97" s="3">
        <v>14086</v>
      </c>
      <c r="H97" s="3">
        <v>3763.6282402919637</v>
      </c>
      <c r="I97" s="3">
        <v>752.72564805839272</v>
      </c>
      <c r="J97" s="3">
        <v>0</v>
      </c>
      <c r="K97" s="3">
        <v>0</v>
      </c>
      <c r="L97" s="3">
        <v>0</v>
      </c>
      <c r="M97" s="3">
        <v>10161.796248788303</v>
      </c>
      <c r="N97" s="3">
        <f t="shared" si="1"/>
        <v>14678.150137138658</v>
      </c>
      <c r="O97" s="2"/>
    </row>
    <row r="98" spans="1:15" x14ac:dyDescent="0.3">
      <c r="A98">
        <v>2059</v>
      </c>
      <c r="B98" t="s">
        <v>75</v>
      </c>
      <c r="C98">
        <v>3</v>
      </c>
      <c r="D98" s="4">
        <f>Sect6197[[#This Row],[2023]]-Sect6197[[#This Row],[2022]]</f>
        <v>247.94972612908623</v>
      </c>
      <c r="E98" s="4">
        <f>Sect6197[[#This Row],[2023]]-Sect6197[[#This Row],[2021]]</f>
        <v>-18.05027387091377</v>
      </c>
      <c r="F98" s="3">
        <v>6282</v>
      </c>
      <c r="G98" s="3">
        <v>6016</v>
      </c>
      <c r="H98" s="3">
        <v>2847.249875513221</v>
      </c>
      <c r="I98" s="3">
        <v>0</v>
      </c>
      <c r="J98" s="3">
        <v>0</v>
      </c>
      <c r="K98" s="3">
        <v>0</v>
      </c>
      <c r="L98" s="3">
        <v>0</v>
      </c>
      <c r="M98" s="3">
        <v>3416.6998506158652</v>
      </c>
      <c r="N98" s="3">
        <f t="shared" si="1"/>
        <v>6263.9497261290862</v>
      </c>
      <c r="O98" s="2"/>
    </row>
    <row r="99" spans="1:15" x14ac:dyDescent="0.3">
      <c r="A99">
        <v>1923</v>
      </c>
      <c r="B99" t="s">
        <v>8</v>
      </c>
      <c r="C99">
        <v>2</v>
      </c>
      <c r="D99" s="4">
        <f>Sect6197[[#This Row],[2023]]-Sect6197[[#This Row],[2022]]</f>
        <v>-1422.1810429413272</v>
      </c>
      <c r="E99" s="4">
        <f>Sect6197[[#This Row],[2023]]-Sect6197[[#This Row],[2021]]</f>
        <v>-1600.1810429413272</v>
      </c>
      <c r="F99" s="3">
        <v>19200</v>
      </c>
      <c r="G99" s="3">
        <v>19022</v>
      </c>
      <c r="H99" s="3">
        <v>2514.2598510083812</v>
      </c>
      <c r="I99" s="3">
        <v>4190.4330850139695</v>
      </c>
      <c r="J99" s="3">
        <v>0</v>
      </c>
      <c r="K99" s="3">
        <v>0</v>
      </c>
      <c r="L99" s="3">
        <v>0</v>
      </c>
      <c r="M99" s="3">
        <v>10895.126021036322</v>
      </c>
      <c r="N99" s="3">
        <f t="shared" si="1"/>
        <v>17599.818957058673</v>
      </c>
      <c r="O99" s="2"/>
    </row>
    <row r="100" spans="1:15" x14ac:dyDescent="0.3">
      <c r="A100">
        <v>2101</v>
      </c>
      <c r="B100" t="s">
        <v>96</v>
      </c>
      <c r="C100">
        <v>27</v>
      </c>
      <c r="D100" s="4">
        <f>Sect6197[[#This Row],[2023]]-Sect6197[[#This Row],[2022]]</f>
        <v>2533.794724854426</v>
      </c>
      <c r="E100" s="4">
        <f>Sect6197[[#This Row],[2023]]-Sect6197[[#This Row],[2021]]</f>
        <v>1537.794724854426</v>
      </c>
      <c r="F100" s="3">
        <v>23474</v>
      </c>
      <c r="G100" s="3">
        <v>22478</v>
      </c>
      <c r="H100" s="3">
        <v>3678.2051065962387</v>
      </c>
      <c r="I100" s="3">
        <v>3678.2051065962387</v>
      </c>
      <c r="J100" s="3">
        <v>0</v>
      </c>
      <c r="K100" s="3">
        <v>0</v>
      </c>
      <c r="L100" s="3">
        <v>0</v>
      </c>
      <c r="M100" s="3">
        <v>17655.384511661949</v>
      </c>
      <c r="N100" s="3">
        <f t="shared" si="1"/>
        <v>25011.794724854426</v>
      </c>
      <c r="O100" s="2"/>
    </row>
    <row r="101" spans="1:15" x14ac:dyDescent="0.3">
      <c r="A101">
        <v>2097</v>
      </c>
      <c r="B101" t="s">
        <v>94</v>
      </c>
      <c r="C101">
        <v>16</v>
      </c>
      <c r="D101" s="4">
        <f>Sect6197[[#This Row],[2023]]-Sect6197[[#This Row],[2022]]</f>
        <v>2965.3182416503332</v>
      </c>
      <c r="E101" s="4">
        <f>Sect6197[[#This Row],[2023]]-Sect6197[[#This Row],[2021]]</f>
        <v>800.31824165033322</v>
      </c>
      <c r="F101" s="3">
        <v>54368</v>
      </c>
      <c r="G101" s="3">
        <v>52203</v>
      </c>
      <c r="H101" s="3">
        <v>15762.376640471522</v>
      </c>
      <c r="I101" s="3">
        <v>11559.07620301245</v>
      </c>
      <c r="J101" s="3">
        <v>0</v>
      </c>
      <c r="K101" s="3">
        <v>0</v>
      </c>
      <c r="L101" s="3">
        <v>0</v>
      </c>
      <c r="M101" s="3">
        <v>27846.865398166359</v>
      </c>
      <c r="N101" s="3">
        <f t="shared" si="1"/>
        <v>55168.318241650333</v>
      </c>
      <c r="O101" s="2"/>
    </row>
    <row r="102" spans="1:15" x14ac:dyDescent="0.3">
      <c r="A102">
        <v>2012</v>
      </c>
      <c r="B102" t="s">
        <v>50</v>
      </c>
      <c r="C102">
        <v>-1</v>
      </c>
      <c r="D102" s="4">
        <f>Sect6197[[#This Row],[2023]]-Sect6197[[#This Row],[2022]]</f>
        <v>-8.1478510393681063</v>
      </c>
      <c r="E102" s="4">
        <f>Sect6197[[#This Row],[2023]]-Sect6197[[#This Row],[2021]]</f>
        <v>-29.147851039368106</v>
      </c>
      <c r="F102" s="3">
        <v>512</v>
      </c>
      <c r="G102" s="3">
        <v>491</v>
      </c>
      <c r="H102" s="3">
        <v>482.85214896063189</v>
      </c>
      <c r="I102" s="3">
        <v>0</v>
      </c>
      <c r="J102" s="3">
        <v>0</v>
      </c>
      <c r="K102" s="3">
        <v>0</v>
      </c>
      <c r="L102" s="3">
        <v>0</v>
      </c>
      <c r="M102" s="3">
        <v>0</v>
      </c>
      <c r="N102" s="3">
        <f t="shared" si="1"/>
        <v>482.85214896063189</v>
      </c>
      <c r="O102" s="2"/>
    </row>
    <row r="103" spans="1:15" x14ac:dyDescent="0.3">
      <c r="A103">
        <v>2092</v>
      </c>
      <c r="B103" t="s">
        <v>89</v>
      </c>
      <c r="C103">
        <v>3</v>
      </c>
      <c r="D103" s="4">
        <f>Sect6197[[#This Row],[2023]]-Sect6197[[#This Row],[2022]]</f>
        <v>-73.750245179037847</v>
      </c>
      <c r="E103" s="4">
        <f>Sect6197[[#This Row],[2023]]-Sect6197[[#This Row],[2021]]</f>
        <v>144.24975482096215</v>
      </c>
      <c r="F103" s="3">
        <v>1965</v>
      </c>
      <c r="G103" s="3">
        <v>2183</v>
      </c>
      <c r="H103" s="3">
        <v>1186.4529870867912</v>
      </c>
      <c r="I103" s="3">
        <v>131.82810967631013</v>
      </c>
      <c r="J103" s="3">
        <v>0</v>
      </c>
      <c r="K103" s="3">
        <v>0</v>
      </c>
      <c r="L103" s="3">
        <v>0</v>
      </c>
      <c r="M103" s="3">
        <v>790.96865805786081</v>
      </c>
      <c r="N103" s="3">
        <f t="shared" si="1"/>
        <v>2109.2497548209622</v>
      </c>
      <c r="O103" s="2"/>
    </row>
    <row r="104" spans="1:15" x14ac:dyDescent="0.3">
      <c r="A104">
        <v>2112</v>
      </c>
      <c r="B104" t="s">
        <v>105</v>
      </c>
      <c r="C104">
        <v>0</v>
      </c>
      <c r="D104" s="4">
        <f>Sect6197[[#This Row],[2023]]-Sect6197[[#This Row],[2022]]</f>
        <v>0</v>
      </c>
      <c r="E104" s="4">
        <f>Sect6197[[#This Row],[2023]]-Sect6197[[#This Row],[2021]]</f>
        <v>-2</v>
      </c>
      <c r="F104" s="3">
        <v>2</v>
      </c>
      <c r="G104" s="3">
        <v>0</v>
      </c>
      <c r="H104" s="3">
        <v>0</v>
      </c>
      <c r="I104" s="3">
        <v>0</v>
      </c>
      <c r="J104" s="3">
        <v>0</v>
      </c>
      <c r="K104" s="3">
        <v>0</v>
      </c>
      <c r="L104" s="3">
        <v>0</v>
      </c>
      <c r="M104" s="3">
        <v>0</v>
      </c>
      <c r="N104" s="3">
        <f t="shared" si="1"/>
        <v>0</v>
      </c>
      <c r="O104" s="2"/>
    </row>
    <row r="105" spans="1:15" x14ac:dyDescent="0.3">
      <c r="A105">
        <v>2085</v>
      </c>
      <c r="B105" t="s">
        <v>84</v>
      </c>
      <c r="C105">
        <v>5</v>
      </c>
      <c r="D105" s="4">
        <f>Sect6197[[#This Row],[2023]]-Sect6197[[#This Row],[2022]]</f>
        <v>295.24231434477178</v>
      </c>
      <c r="E105" s="4">
        <f>Sect6197[[#This Row],[2023]]-Sect6197[[#This Row],[2021]]</f>
        <v>239.24231434477178</v>
      </c>
      <c r="F105" s="3">
        <v>1542</v>
      </c>
      <c r="G105" s="3">
        <v>1486</v>
      </c>
      <c r="H105" s="3">
        <v>445.31057858619295</v>
      </c>
      <c r="I105" s="3">
        <v>0</v>
      </c>
      <c r="J105" s="3">
        <v>0</v>
      </c>
      <c r="K105" s="3">
        <v>0</v>
      </c>
      <c r="L105" s="3">
        <v>0</v>
      </c>
      <c r="M105" s="3">
        <v>1335.9317357585787</v>
      </c>
      <c r="N105" s="3">
        <f t="shared" si="1"/>
        <v>1781.2423143447718</v>
      </c>
      <c r="O105" s="2"/>
    </row>
    <row r="106" spans="1:15" x14ac:dyDescent="0.3">
      <c r="A106">
        <v>2094</v>
      </c>
      <c r="B106" t="s">
        <v>91</v>
      </c>
      <c r="C106">
        <v>0</v>
      </c>
      <c r="D106" s="4">
        <f>Sect6197[[#This Row],[2023]]-Sect6197[[#This Row],[2022]]</f>
        <v>-174.17210045666025</v>
      </c>
      <c r="E106" s="4">
        <f>Sect6197[[#This Row],[2023]]-Sect6197[[#This Row],[2021]]</f>
        <v>-116.17210045666025</v>
      </c>
      <c r="F106" s="3">
        <v>1290</v>
      </c>
      <c r="G106" s="3">
        <v>1348</v>
      </c>
      <c r="H106" s="3">
        <v>234.76557990866792</v>
      </c>
      <c r="I106" s="3">
        <v>234.76557990866792</v>
      </c>
      <c r="J106" s="3">
        <v>0</v>
      </c>
      <c r="K106" s="3">
        <v>0</v>
      </c>
      <c r="L106" s="3">
        <v>0</v>
      </c>
      <c r="M106" s="3">
        <v>704.29673972600381</v>
      </c>
      <c r="N106" s="3">
        <f t="shared" si="1"/>
        <v>1173.8278995433398</v>
      </c>
      <c r="O106" s="2"/>
    </row>
    <row r="107" spans="1:15" x14ac:dyDescent="0.3">
      <c r="A107">
        <v>2090</v>
      </c>
      <c r="B107" t="s">
        <v>87</v>
      </c>
      <c r="C107">
        <v>-3</v>
      </c>
      <c r="D107" s="4">
        <f>Sect6197[[#This Row],[2023]]-Sect6197[[#This Row],[2022]]</f>
        <v>-23.586515258092049</v>
      </c>
      <c r="E107" s="4">
        <f>Sect6197[[#This Row],[2023]]-Sect6197[[#This Row],[2021]]</f>
        <v>-44.586515258092049</v>
      </c>
      <c r="F107" s="3">
        <v>611</v>
      </c>
      <c r="G107" s="3">
        <v>590</v>
      </c>
      <c r="H107" s="3">
        <v>283.20674237095398</v>
      </c>
      <c r="I107" s="3">
        <v>0</v>
      </c>
      <c r="J107" s="3">
        <v>0</v>
      </c>
      <c r="K107" s="3">
        <v>0</v>
      </c>
      <c r="L107" s="3">
        <v>0</v>
      </c>
      <c r="M107" s="3">
        <v>283.20674237095398</v>
      </c>
      <c r="N107" s="3">
        <f t="shared" si="1"/>
        <v>566.41348474190795</v>
      </c>
      <c r="O107" s="2"/>
    </row>
    <row r="108" spans="1:15" x14ac:dyDescent="0.3">
      <c r="A108">
        <v>2256</v>
      </c>
      <c r="B108" t="s">
        <v>165</v>
      </c>
      <c r="C108">
        <v>-7</v>
      </c>
      <c r="D108" s="4">
        <f>Sect6197[[#This Row],[2023]]-Sect6197[[#This Row],[2022]]</f>
        <v>1398.7243984411762</v>
      </c>
      <c r="E108" s="4">
        <f>Sect6197[[#This Row],[2023]]-Sect6197[[#This Row],[2021]]</f>
        <v>142.72439844117616</v>
      </c>
      <c r="F108" s="3">
        <v>38589</v>
      </c>
      <c r="G108" s="3">
        <v>37333</v>
      </c>
      <c r="H108" s="3">
        <v>9064.8716677202756</v>
      </c>
      <c r="I108" s="3">
        <v>8240.7924252002504</v>
      </c>
      <c r="J108" s="3">
        <v>0</v>
      </c>
      <c r="K108" s="3">
        <v>0</v>
      </c>
      <c r="L108" s="3">
        <v>0</v>
      </c>
      <c r="M108" s="3">
        <v>21426.060305520652</v>
      </c>
      <c r="N108" s="3">
        <f t="shared" si="1"/>
        <v>38731.724398441176</v>
      </c>
      <c r="O108" s="2"/>
    </row>
    <row r="109" spans="1:15" x14ac:dyDescent="0.3">
      <c r="A109">
        <v>2048</v>
      </c>
      <c r="B109" t="s">
        <v>68</v>
      </c>
      <c r="C109">
        <v>16</v>
      </c>
      <c r="D109" s="4">
        <f>Sect6197[[#This Row],[2023]]-Sect6197[[#This Row],[2022]]</f>
        <v>5396.0496211438876</v>
      </c>
      <c r="E109" s="4">
        <f>Sect6197[[#This Row],[2023]]-Sect6197[[#This Row],[2021]]</f>
        <v>1868.0496211438876</v>
      </c>
      <c r="F109" s="3">
        <v>92480</v>
      </c>
      <c r="G109" s="3">
        <v>88952</v>
      </c>
      <c r="H109" s="3">
        <v>20693.438392741595</v>
      </c>
      <c r="I109" s="3">
        <v>31566.261955029557</v>
      </c>
      <c r="J109" s="3">
        <v>0</v>
      </c>
      <c r="K109" s="3">
        <v>0</v>
      </c>
      <c r="L109" s="3">
        <v>0</v>
      </c>
      <c r="M109" s="3">
        <v>42088.349273372733</v>
      </c>
      <c r="N109" s="3">
        <f t="shared" si="1"/>
        <v>94348.049621143888</v>
      </c>
      <c r="O109" s="2"/>
    </row>
    <row r="110" spans="1:15" x14ac:dyDescent="0.3">
      <c r="A110">
        <v>2205</v>
      </c>
      <c r="B110" t="s">
        <v>224</v>
      </c>
      <c r="C110">
        <v>-8</v>
      </c>
      <c r="D110" s="4">
        <f>Sect6197[[#This Row],[2023]]-Sect6197[[#This Row],[2022]]</f>
        <v>659.55060104723088</v>
      </c>
      <c r="E110" s="4">
        <f>Sect6197[[#This Row],[2023]]-Sect6197[[#This Row],[2021]]</f>
        <v>91.550601047230884</v>
      </c>
      <c r="F110" s="3">
        <v>14579</v>
      </c>
      <c r="G110" s="3">
        <v>14011</v>
      </c>
      <c r="H110" s="3">
        <v>2173.4149038588489</v>
      </c>
      <c r="I110" s="3">
        <v>543.35372596471223</v>
      </c>
      <c r="J110" s="3">
        <v>0</v>
      </c>
      <c r="K110" s="3">
        <v>0</v>
      </c>
      <c r="L110" s="3">
        <v>0</v>
      </c>
      <c r="M110" s="3">
        <v>11953.781971223669</v>
      </c>
      <c r="N110" s="3">
        <f t="shared" si="1"/>
        <v>14670.550601047231</v>
      </c>
      <c r="O110" s="2"/>
    </row>
    <row r="111" spans="1:15" x14ac:dyDescent="0.3">
      <c r="A111">
        <v>2249</v>
      </c>
      <c r="B111" t="s">
        <v>160</v>
      </c>
      <c r="C111">
        <v>-4</v>
      </c>
      <c r="D111" s="4">
        <f>Sect6197[[#This Row],[2023]]-Sect6197[[#This Row],[2022]]</f>
        <v>-741.70058024408002</v>
      </c>
      <c r="E111" s="4">
        <f>Sect6197[[#This Row],[2023]]-Sect6197[[#This Row],[2021]]</f>
        <v>-175.70058024408002</v>
      </c>
      <c r="F111" s="3">
        <v>528</v>
      </c>
      <c r="G111" s="3">
        <v>1094</v>
      </c>
      <c r="H111" s="3">
        <v>176.14970987795999</v>
      </c>
      <c r="I111" s="3">
        <v>176.14970987795999</v>
      </c>
      <c r="J111" s="3">
        <v>0</v>
      </c>
      <c r="K111" s="3">
        <v>0</v>
      </c>
      <c r="L111" s="3">
        <v>0</v>
      </c>
      <c r="M111" s="3">
        <v>0</v>
      </c>
      <c r="N111" s="3">
        <f t="shared" si="1"/>
        <v>352.29941975591998</v>
      </c>
      <c r="O111" s="2"/>
    </row>
    <row r="112" spans="1:15" x14ac:dyDescent="0.3">
      <c r="A112">
        <v>1925</v>
      </c>
      <c r="B112" t="s">
        <v>10</v>
      </c>
      <c r="C112">
        <v>14</v>
      </c>
      <c r="D112" s="4">
        <f>Sect6197[[#This Row],[2023]]-Sect6197[[#This Row],[2022]]</f>
        <v>1527.7636241229411</v>
      </c>
      <c r="E112" s="4">
        <f>Sect6197[[#This Row],[2023]]-Sect6197[[#This Row],[2021]]</f>
        <v>1092.7636241229411</v>
      </c>
      <c r="F112" s="3">
        <v>14208</v>
      </c>
      <c r="G112" s="3">
        <v>13773</v>
      </c>
      <c r="H112" s="3">
        <v>3013.7867744484583</v>
      </c>
      <c r="I112" s="3">
        <v>3709.2760300904101</v>
      </c>
      <c r="J112" s="3">
        <v>0</v>
      </c>
      <c r="K112" s="3">
        <v>0</v>
      </c>
      <c r="L112" s="3">
        <v>0</v>
      </c>
      <c r="M112" s="3">
        <v>8577.7008195840735</v>
      </c>
      <c r="N112" s="3">
        <f t="shared" si="1"/>
        <v>15300.763624122941</v>
      </c>
      <c r="O112" s="2"/>
    </row>
    <row r="113" spans="1:15" x14ac:dyDescent="0.3">
      <c r="A113">
        <v>1898</v>
      </c>
      <c r="B113" t="s">
        <v>4</v>
      </c>
      <c r="C113">
        <v>5</v>
      </c>
      <c r="D113" s="4">
        <f>Sect6197[[#This Row],[2023]]-Sect6197[[#This Row],[2022]]</f>
        <v>329.24603458286674</v>
      </c>
      <c r="E113" s="4">
        <f>Sect6197[[#This Row],[2023]]-Sect6197[[#This Row],[2021]]</f>
        <v>274.24603458286674</v>
      </c>
      <c r="F113" s="3">
        <v>1671</v>
      </c>
      <c r="G113" s="3">
        <v>1616</v>
      </c>
      <c r="H113" s="3">
        <v>324.20767243047777</v>
      </c>
      <c r="I113" s="3">
        <v>486.31150864571669</v>
      </c>
      <c r="J113" s="3">
        <v>0</v>
      </c>
      <c r="K113" s="3">
        <v>0</v>
      </c>
      <c r="L113" s="3">
        <v>0</v>
      </c>
      <c r="M113" s="3">
        <v>1134.7268535066723</v>
      </c>
      <c r="N113" s="3">
        <f t="shared" si="1"/>
        <v>1945.2460345828667</v>
      </c>
      <c r="O113" s="2"/>
    </row>
    <row r="114" spans="1:15" x14ac:dyDescent="0.3">
      <c r="A114">
        <v>2010</v>
      </c>
      <c r="B114" t="s">
        <v>48</v>
      </c>
      <c r="C114">
        <v>2</v>
      </c>
      <c r="D114" s="4">
        <f>Sect6197[[#This Row],[2023]]-Sect6197[[#This Row],[2022]]</f>
        <v>121.2367339876289</v>
      </c>
      <c r="E114" s="4">
        <f>Sect6197[[#This Row],[2023]]-Sect6197[[#This Row],[2021]]</f>
        <v>53.236733987628895</v>
      </c>
      <c r="F114" s="3">
        <v>1482</v>
      </c>
      <c r="G114" s="3">
        <v>1414</v>
      </c>
      <c r="H114" s="3">
        <v>767.61836699381445</v>
      </c>
      <c r="I114" s="3">
        <v>767.61836699381445</v>
      </c>
      <c r="J114" s="3">
        <v>0</v>
      </c>
      <c r="K114" s="3">
        <v>0</v>
      </c>
      <c r="L114" s="3">
        <v>0</v>
      </c>
      <c r="M114" s="3">
        <v>0</v>
      </c>
      <c r="N114" s="3">
        <f t="shared" si="1"/>
        <v>1535.2367339876289</v>
      </c>
      <c r="O114" s="2"/>
    </row>
    <row r="115" spans="1:15" x14ac:dyDescent="0.3">
      <c r="A115">
        <v>2147</v>
      </c>
      <c r="B115" t="s">
        <v>120</v>
      </c>
      <c r="C115">
        <v>0</v>
      </c>
      <c r="D115" s="4">
        <f>Sect6197[[#This Row],[2023]]-Sect6197[[#This Row],[2022]]</f>
        <v>759.57251370860558</v>
      </c>
      <c r="E115" s="4">
        <f>Sect6197[[#This Row],[2023]]-Sect6197[[#This Row],[2021]]</f>
        <v>669.57251370860558</v>
      </c>
      <c r="F115" s="3">
        <v>6627</v>
      </c>
      <c r="G115" s="3">
        <v>6537</v>
      </c>
      <c r="H115" s="3">
        <v>1368.1073463203636</v>
      </c>
      <c r="I115" s="3">
        <v>608.04770947571717</v>
      </c>
      <c r="J115" s="3">
        <v>0</v>
      </c>
      <c r="K115" s="3">
        <v>0</v>
      </c>
      <c r="L115" s="3">
        <v>0</v>
      </c>
      <c r="M115" s="3">
        <v>5320.4174579125247</v>
      </c>
      <c r="N115" s="3">
        <f t="shared" si="1"/>
        <v>7296.5725137086056</v>
      </c>
      <c r="O115" s="2"/>
    </row>
    <row r="116" spans="1:15" x14ac:dyDescent="0.3">
      <c r="A116">
        <v>2145</v>
      </c>
      <c r="B116" t="s">
        <v>118</v>
      </c>
      <c r="C116">
        <v>6</v>
      </c>
      <c r="D116" s="4">
        <f>Sect6197[[#This Row],[2023]]-Sect6197[[#This Row],[2022]]</f>
        <v>174.89067295525956</v>
      </c>
      <c r="E116" s="4">
        <f>Sect6197[[#This Row],[2023]]-Sect6197[[#This Row],[2021]]</f>
        <v>35.890672955259561</v>
      </c>
      <c r="F116" s="3">
        <v>3765</v>
      </c>
      <c r="G116" s="3">
        <v>3626</v>
      </c>
      <c r="H116" s="3">
        <v>380.08906729552604</v>
      </c>
      <c r="I116" s="3">
        <v>2280.5344037731556</v>
      </c>
      <c r="J116" s="3">
        <v>0</v>
      </c>
      <c r="K116" s="3">
        <v>0</v>
      </c>
      <c r="L116" s="3">
        <v>0</v>
      </c>
      <c r="M116" s="3">
        <v>1140.2672018865778</v>
      </c>
      <c r="N116" s="3">
        <f t="shared" si="1"/>
        <v>3800.8906729552596</v>
      </c>
      <c r="O116" s="2"/>
    </row>
    <row r="117" spans="1:15" x14ac:dyDescent="0.3">
      <c r="A117">
        <v>1968</v>
      </c>
      <c r="B117" t="s">
        <v>28</v>
      </c>
      <c r="C117">
        <v>-3</v>
      </c>
      <c r="D117" s="4">
        <f>Sect6197[[#This Row],[2023]]-Sect6197[[#This Row],[2022]]</f>
        <v>275.94693595051558</v>
      </c>
      <c r="E117" s="4">
        <f>Sect6197[[#This Row],[2023]]-Sect6197[[#This Row],[2021]]</f>
        <v>24.946935950515581</v>
      </c>
      <c r="F117" s="3">
        <v>6116</v>
      </c>
      <c r="G117" s="3">
        <v>5865</v>
      </c>
      <c r="H117" s="3">
        <v>2302.8551009814432</v>
      </c>
      <c r="I117" s="3">
        <v>767.61836699381445</v>
      </c>
      <c r="J117" s="3">
        <v>0</v>
      </c>
      <c r="K117" s="3">
        <v>0</v>
      </c>
      <c r="L117" s="3">
        <v>0</v>
      </c>
      <c r="M117" s="3">
        <v>3070.4734679752578</v>
      </c>
      <c r="N117" s="3">
        <f t="shared" si="1"/>
        <v>6140.9469359505156</v>
      </c>
      <c r="O117" s="2"/>
    </row>
    <row r="118" spans="1:15" x14ac:dyDescent="0.3">
      <c r="A118">
        <v>2198</v>
      </c>
      <c r="B118" t="s">
        <v>134</v>
      </c>
      <c r="C118">
        <v>2</v>
      </c>
      <c r="D118" s="4">
        <f>Sect6197[[#This Row],[2023]]-Sect6197[[#This Row],[2022]]</f>
        <v>227.94879606956238</v>
      </c>
      <c r="E118" s="4">
        <f>Sect6197[[#This Row],[2023]]-Sect6197[[#This Row],[2021]]</f>
        <v>-50.051203930437623</v>
      </c>
      <c r="F118" s="3">
        <v>6273</v>
      </c>
      <c r="G118" s="3">
        <v>5995</v>
      </c>
      <c r="H118" s="3">
        <v>1244.5897592139127</v>
      </c>
      <c r="I118" s="3">
        <v>622.29487960695633</v>
      </c>
      <c r="J118" s="3">
        <v>0</v>
      </c>
      <c r="K118" s="3">
        <v>0</v>
      </c>
      <c r="L118" s="3">
        <v>0</v>
      </c>
      <c r="M118" s="3">
        <v>4356.0641572486938</v>
      </c>
      <c r="N118" s="3">
        <f t="shared" si="1"/>
        <v>6222.9487960695624</v>
      </c>
      <c r="O118" s="2"/>
    </row>
    <row r="119" spans="1:15" x14ac:dyDescent="0.3">
      <c r="A119">
        <v>2199</v>
      </c>
      <c r="B119" t="s">
        <v>135</v>
      </c>
      <c r="C119">
        <v>-9</v>
      </c>
      <c r="D119" s="4">
        <f>Sect6197[[#This Row],[2023]]-Sect6197[[#This Row],[2022]]</f>
        <v>-93.706072957593733</v>
      </c>
      <c r="E119" s="4">
        <f>Sect6197[[#This Row],[2023]]-Sect6197[[#This Row],[2021]]</f>
        <v>-241.70607295759373</v>
      </c>
      <c r="F119" s="3">
        <v>4158</v>
      </c>
      <c r="G119" s="3">
        <v>4010</v>
      </c>
      <c r="H119" s="3">
        <v>0</v>
      </c>
      <c r="I119" s="3">
        <v>0</v>
      </c>
      <c r="J119" s="3">
        <v>0</v>
      </c>
      <c r="K119" s="3">
        <v>0</v>
      </c>
      <c r="L119" s="3">
        <v>0</v>
      </c>
      <c r="M119" s="3">
        <v>3916.2939270424063</v>
      </c>
      <c r="N119" s="3">
        <f t="shared" si="1"/>
        <v>3916.2939270424063</v>
      </c>
      <c r="O119" s="2"/>
    </row>
    <row r="120" spans="1:15" x14ac:dyDescent="0.3">
      <c r="A120">
        <v>2254</v>
      </c>
      <c r="B120" t="s">
        <v>163</v>
      </c>
      <c r="C120">
        <v>1</v>
      </c>
      <c r="D120" s="4">
        <f>Sect6197[[#This Row],[2023]]-Sect6197[[#This Row],[2022]]</f>
        <v>1332.5956526715745</v>
      </c>
      <c r="E120" s="4">
        <f>Sect6197[[#This Row],[2023]]-Sect6197[[#This Row],[2021]]</f>
        <v>378.5956526715745</v>
      </c>
      <c r="F120" s="3">
        <v>24618</v>
      </c>
      <c r="G120" s="3">
        <v>23664</v>
      </c>
      <c r="H120" s="3">
        <v>7370.791025787772</v>
      </c>
      <c r="I120" s="3">
        <v>5768.4451506165169</v>
      </c>
      <c r="J120" s="3">
        <v>0</v>
      </c>
      <c r="K120" s="3">
        <v>0</v>
      </c>
      <c r="L120" s="3">
        <v>0</v>
      </c>
      <c r="M120" s="3">
        <v>11857.359476267286</v>
      </c>
      <c r="N120" s="3">
        <f t="shared" si="1"/>
        <v>24996.595652671574</v>
      </c>
      <c r="O120" s="2"/>
    </row>
    <row r="121" spans="1:15" x14ac:dyDescent="0.3">
      <c r="A121">
        <v>1966</v>
      </c>
      <c r="B121" t="s">
        <v>26</v>
      </c>
      <c r="C121">
        <v>-5</v>
      </c>
      <c r="D121" s="4">
        <f>Sect6197[[#This Row],[2023]]-Sect6197[[#This Row],[2022]]</f>
        <v>-770.79080968751805</v>
      </c>
      <c r="E121" s="4">
        <f>Sect6197[[#This Row],[2023]]-Sect6197[[#This Row],[2021]]</f>
        <v>-629.79080968751805</v>
      </c>
      <c r="F121" s="3">
        <v>17771</v>
      </c>
      <c r="G121" s="3">
        <v>17912</v>
      </c>
      <c r="H121" s="3">
        <v>4285.3022975781205</v>
      </c>
      <c r="I121" s="3">
        <v>2999.711608304684</v>
      </c>
      <c r="J121" s="3">
        <v>0</v>
      </c>
      <c r="K121" s="3">
        <v>0</v>
      </c>
      <c r="L121" s="3">
        <v>0</v>
      </c>
      <c r="M121" s="3">
        <v>9856.1952844296757</v>
      </c>
      <c r="N121" s="3">
        <f t="shared" si="1"/>
        <v>17141.209190312482</v>
      </c>
      <c r="O121" s="2"/>
    </row>
    <row r="122" spans="1:15" x14ac:dyDescent="0.3">
      <c r="A122">
        <v>1924</v>
      </c>
      <c r="B122" t="s">
        <v>9</v>
      </c>
      <c r="C122">
        <v>81</v>
      </c>
      <c r="D122" s="4">
        <f>Sect6197[[#This Row],[2023]]-Sect6197[[#This Row],[2022]]</f>
        <v>9210.305080058999</v>
      </c>
      <c r="E122" s="4">
        <f>Sect6197[[#This Row],[2023]]-Sect6197[[#This Row],[2021]]</f>
        <v>6993.305080058999</v>
      </c>
      <c r="F122" s="3">
        <v>73316</v>
      </c>
      <c r="G122" s="3">
        <v>71099</v>
      </c>
      <c r="H122" s="3">
        <v>16022.781062201551</v>
      </c>
      <c r="I122" s="3">
        <v>20126.176212277562</v>
      </c>
      <c r="J122" s="3">
        <v>0</v>
      </c>
      <c r="K122" s="3">
        <v>0</v>
      </c>
      <c r="L122" s="3">
        <v>0</v>
      </c>
      <c r="M122" s="3">
        <v>44160.347805579884</v>
      </c>
      <c r="N122" s="3">
        <f t="shared" si="1"/>
        <v>80309.305080058999</v>
      </c>
      <c r="O122" s="2"/>
    </row>
    <row r="123" spans="1:15" x14ac:dyDescent="0.3">
      <c r="A123">
        <v>1996</v>
      </c>
      <c r="B123" t="s">
        <v>36</v>
      </c>
      <c r="C123">
        <v>6</v>
      </c>
      <c r="D123" s="4">
        <f>Sect6197[[#This Row],[2023]]-Sect6197[[#This Row],[2022]]</f>
        <v>231.83254984095856</v>
      </c>
      <c r="E123" s="4">
        <f>Sect6197[[#This Row],[2023]]-Sect6197[[#This Row],[2021]]</f>
        <v>236.83254984095856</v>
      </c>
      <c r="F123" s="3">
        <v>1142</v>
      </c>
      <c r="G123" s="3">
        <v>1147</v>
      </c>
      <c r="H123" s="3">
        <v>275.76650996819171</v>
      </c>
      <c r="I123" s="3">
        <v>0</v>
      </c>
      <c r="J123" s="3">
        <v>0</v>
      </c>
      <c r="K123" s="3">
        <v>0</v>
      </c>
      <c r="L123" s="3">
        <v>0</v>
      </c>
      <c r="M123" s="3">
        <v>1103.0660398727669</v>
      </c>
      <c r="N123" s="3">
        <f t="shared" si="1"/>
        <v>1378.8325498409586</v>
      </c>
      <c r="O123" s="2"/>
    </row>
    <row r="124" spans="1:15" x14ac:dyDescent="0.3">
      <c r="A124">
        <v>2061</v>
      </c>
      <c r="B124" t="s">
        <v>77</v>
      </c>
      <c r="C124">
        <v>-1</v>
      </c>
      <c r="D124" s="4">
        <f>Sect6197[[#This Row],[2023]]-Sect6197[[#This Row],[2022]]</f>
        <v>129.06277341192072</v>
      </c>
      <c r="E124" s="4">
        <f>Sect6197[[#This Row],[2023]]-Sect6197[[#This Row],[2021]]</f>
        <v>60.062773411920716</v>
      </c>
      <c r="F124" s="3">
        <v>2567</v>
      </c>
      <c r="G124" s="3">
        <v>2498</v>
      </c>
      <c r="H124" s="3">
        <v>0</v>
      </c>
      <c r="I124" s="3">
        <v>0</v>
      </c>
      <c r="J124" s="3">
        <v>0</v>
      </c>
      <c r="K124" s="3">
        <v>0</v>
      </c>
      <c r="L124" s="3">
        <v>0</v>
      </c>
      <c r="M124" s="3">
        <v>2627.0627734119207</v>
      </c>
      <c r="N124" s="3">
        <f t="shared" si="1"/>
        <v>2627.0627734119207</v>
      </c>
      <c r="O124" s="2"/>
    </row>
    <row r="125" spans="1:15" x14ac:dyDescent="0.3">
      <c r="A125">
        <v>2141</v>
      </c>
      <c r="B125" t="s">
        <v>114</v>
      </c>
      <c r="C125">
        <v>-8</v>
      </c>
      <c r="D125" s="4">
        <f>Sect6197[[#This Row],[2023]]-Sect6197[[#This Row],[2022]]</f>
        <v>-185.40098520090214</v>
      </c>
      <c r="E125" s="4">
        <f>Sect6197[[#This Row],[2023]]-Sect6197[[#This Row],[2021]]</f>
        <v>-421.40098520090214</v>
      </c>
      <c r="F125" s="3">
        <v>8746</v>
      </c>
      <c r="G125" s="3">
        <v>8510</v>
      </c>
      <c r="H125" s="3">
        <v>3567.6852920567558</v>
      </c>
      <c r="I125" s="3">
        <v>2378.4568613711708</v>
      </c>
      <c r="J125" s="3">
        <v>0</v>
      </c>
      <c r="K125" s="3">
        <v>0</v>
      </c>
      <c r="L125" s="3">
        <v>0</v>
      </c>
      <c r="M125" s="3">
        <v>2378.4568613711708</v>
      </c>
      <c r="N125" s="3">
        <f t="shared" si="1"/>
        <v>8324.5990147990979</v>
      </c>
      <c r="O125" s="2"/>
    </row>
    <row r="126" spans="1:15" x14ac:dyDescent="0.3">
      <c r="A126">
        <v>2214</v>
      </c>
      <c r="B126" t="s">
        <v>142</v>
      </c>
      <c r="C126">
        <v>-1</v>
      </c>
      <c r="D126" s="4">
        <f>Sect6197[[#This Row],[2023]]-Sect6197[[#This Row],[2022]]</f>
        <v>-110.5874453176159</v>
      </c>
      <c r="E126" s="4">
        <f>Sect6197[[#This Row],[2023]]-Sect6197[[#This Row],[2021]]</f>
        <v>-119.5874453176159</v>
      </c>
      <c r="F126" s="3">
        <v>645</v>
      </c>
      <c r="G126" s="3">
        <v>636</v>
      </c>
      <c r="H126" s="3">
        <v>0</v>
      </c>
      <c r="I126" s="3">
        <v>0</v>
      </c>
      <c r="J126" s="3">
        <v>0</v>
      </c>
      <c r="K126" s="3">
        <v>0</v>
      </c>
      <c r="L126" s="3">
        <v>0</v>
      </c>
      <c r="M126" s="3">
        <v>525.4125546823841</v>
      </c>
      <c r="N126" s="3">
        <f t="shared" si="1"/>
        <v>525.4125546823841</v>
      </c>
      <c r="O126" s="2"/>
    </row>
    <row r="127" spans="1:15" x14ac:dyDescent="0.3">
      <c r="A127">
        <v>2143</v>
      </c>
      <c r="B127" t="s">
        <v>116</v>
      </c>
      <c r="C127">
        <v>0</v>
      </c>
      <c r="D127" s="4">
        <f>Sect6197[[#This Row],[2023]]-Sect6197[[#This Row],[2022]]</f>
        <v>-662.80888958566538</v>
      </c>
      <c r="E127" s="4">
        <f>Sect6197[[#This Row],[2023]]-Sect6197[[#This Row],[2021]]</f>
        <v>-762.80888958566538</v>
      </c>
      <c r="F127" s="3">
        <v>8767</v>
      </c>
      <c r="G127" s="3">
        <v>8667</v>
      </c>
      <c r="H127" s="3">
        <v>1778.7091356476296</v>
      </c>
      <c r="I127" s="3">
        <v>2223.3864195595374</v>
      </c>
      <c r="J127" s="3">
        <v>0</v>
      </c>
      <c r="K127" s="3">
        <v>0</v>
      </c>
      <c r="L127" s="3">
        <v>0</v>
      </c>
      <c r="M127" s="3">
        <v>4002.0955552071669</v>
      </c>
      <c r="N127" s="3">
        <f t="shared" si="1"/>
        <v>8004.1911104143346</v>
      </c>
      <c r="O127" s="2"/>
    </row>
    <row r="128" spans="1:15" x14ac:dyDescent="0.3">
      <c r="A128">
        <v>4131</v>
      </c>
      <c r="B128" t="s">
        <v>225</v>
      </c>
      <c r="C128">
        <v>17</v>
      </c>
      <c r="D128" s="4">
        <f>Sect6197[[#This Row],[2023]]-Sect6197[[#This Row],[2022]]</f>
        <v>2897.4891158054088</v>
      </c>
      <c r="E128" s="4">
        <f>Sect6197[[#This Row],[2023]]-Sect6197[[#This Row],[2021]]</f>
        <v>1890.4891158054088</v>
      </c>
      <c r="F128" s="3">
        <v>27030</v>
      </c>
      <c r="G128" s="3">
        <v>26023</v>
      </c>
      <c r="H128" s="3">
        <v>8262.9968902301152</v>
      </c>
      <c r="I128" s="3">
        <v>1906.8454362069501</v>
      </c>
      <c r="J128" s="3">
        <v>0</v>
      </c>
      <c r="K128" s="3">
        <v>0</v>
      </c>
      <c r="L128" s="3">
        <v>0</v>
      </c>
      <c r="M128" s="3">
        <v>18750.646789368344</v>
      </c>
      <c r="N128" s="3">
        <f t="shared" si="1"/>
        <v>28920.489115805409</v>
      </c>
      <c r="O128" s="2"/>
    </row>
    <row r="129" spans="1:15" x14ac:dyDescent="0.3">
      <c r="A129">
        <v>2110</v>
      </c>
      <c r="B129" t="s">
        <v>103</v>
      </c>
      <c r="C129">
        <v>2</v>
      </c>
      <c r="D129" s="4">
        <f>Sect6197[[#This Row],[2023]]-Sect6197[[#This Row],[2022]]</f>
        <v>531.7306632724094</v>
      </c>
      <c r="E129" s="4">
        <f>Sect6197[[#This Row],[2023]]-Sect6197[[#This Row],[2021]]</f>
        <v>401.7306632724094</v>
      </c>
      <c r="F129" s="3">
        <v>5106</v>
      </c>
      <c r="G129" s="3">
        <v>4976</v>
      </c>
      <c r="H129" s="3">
        <v>1967.0466654544318</v>
      </c>
      <c r="I129" s="3">
        <v>0</v>
      </c>
      <c r="J129" s="3">
        <v>0</v>
      </c>
      <c r="K129" s="3">
        <v>0</v>
      </c>
      <c r="L129" s="3">
        <v>0</v>
      </c>
      <c r="M129" s="3">
        <v>3540.6839978179773</v>
      </c>
      <c r="N129" s="3">
        <f t="shared" si="1"/>
        <v>5507.7306632724094</v>
      </c>
      <c r="O129" s="2"/>
    </row>
    <row r="130" spans="1:15" x14ac:dyDescent="0.3">
      <c r="A130">
        <v>1990</v>
      </c>
      <c r="B130" t="s">
        <v>33</v>
      </c>
      <c r="C130">
        <v>-3</v>
      </c>
      <c r="D130" s="4">
        <f>Sect6197[[#This Row],[2023]]-Sect6197[[#This Row],[2022]]</f>
        <v>373.71671237955161</v>
      </c>
      <c r="E130" s="4">
        <f>Sect6197[[#This Row],[2023]]-Sect6197[[#This Row],[2021]]</f>
        <v>170.71671237955161</v>
      </c>
      <c r="F130" s="3">
        <v>4722</v>
      </c>
      <c r="G130" s="3">
        <v>4519</v>
      </c>
      <c r="H130" s="3">
        <v>1505.4512961167852</v>
      </c>
      <c r="I130" s="3">
        <v>752.72564805839261</v>
      </c>
      <c r="J130" s="3">
        <v>0</v>
      </c>
      <c r="K130" s="3">
        <v>0</v>
      </c>
      <c r="L130" s="3">
        <v>0</v>
      </c>
      <c r="M130" s="3">
        <v>2634.539768204374</v>
      </c>
      <c r="N130" s="3">
        <f t="shared" ref="N130:N193" si="2">SUM(H130:M130)</f>
        <v>4892.7167123795516</v>
      </c>
      <c r="O130" s="2"/>
    </row>
    <row r="131" spans="1:15" x14ac:dyDescent="0.3">
      <c r="A131">
        <v>2093</v>
      </c>
      <c r="B131" t="s">
        <v>90</v>
      </c>
      <c r="C131">
        <v>3</v>
      </c>
      <c r="D131" s="4">
        <f>Sect6197[[#This Row],[2023]]-Sect6197[[#This Row],[2022]]</f>
        <v>937.66457838959104</v>
      </c>
      <c r="E131" s="4">
        <f>Sect6197[[#This Row],[2023]]-Sect6197[[#This Row],[2021]]</f>
        <v>499.66457838959104</v>
      </c>
      <c r="F131" s="3">
        <v>10575</v>
      </c>
      <c r="G131" s="3">
        <v>10137</v>
      </c>
      <c r="H131" s="3">
        <v>2013.5753778890164</v>
      </c>
      <c r="I131" s="3">
        <v>0</v>
      </c>
      <c r="J131" s="3">
        <v>0</v>
      </c>
      <c r="K131" s="3">
        <v>0</v>
      </c>
      <c r="L131" s="3">
        <v>0</v>
      </c>
      <c r="M131" s="3">
        <v>9061.0892005005753</v>
      </c>
      <c r="N131" s="3">
        <f t="shared" si="2"/>
        <v>11074.664578389591</v>
      </c>
      <c r="O131" s="2"/>
    </row>
    <row r="132" spans="1:15" x14ac:dyDescent="0.3">
      <c r="A132">
        <v>2108</v>
      </c>
      <c r="B132" t="s">
        <v>226</v>
      </c>
      <c r="C132">
        <v>-1</v>
      </c>
      <c r="D132" s="4">
        <f>Sect6197[[#This Row],[2023]]-Sect6197[[#This Row],[2022]]</f>
        <v>1214.9958187918564</v>
      </c>
      <c r="E132" s="4">
        <f>Sect6197[[#This Row],[2023]]-Sect6197[[#This Row],[2021]]</f>
        <v>792.99581879185644</v>
      </c>
      <c r="F132" s="3">
        <v>15065</v>
      </c>
      <c r="G132" s="3">
        <v>14643</v>
      </c>
      <c r="H132" s="3">
        <v>5285.9986062639518</v>
      </c>
      <c r="I132" s="3">
        <v>251.71421934590245</v>
      </c>
      <c r="J132" s="3">
        <v>0</v>
      </c>
      <c r="K132" s="3">
        <v>0</v>
      </c>
      <c r="L132" s="3">
        <v>0</v>
      </c>
      <c r="M132" s="3">
        <v>10320.282993182002</v>
      </c>
      <c r="N132" s="3">
        <f t="shared" si="2"/>
        <v>15857.995818791856</v>
      </c>
      <c r="O132" s="2"/>
    </row>
    <row r="133" spans="1:15" x14ac:dyDescent="0.3">
      <c r="A133">
        <v>1928</v>
      </c>
      <c r="B133" t="s">
        <v>13</v>
      </c>
      <c r="C133">
        <v>42</v>
      </c>
      <c r="D133" s="4">
        <f>Sect6197[[#This Row],[2023]]-Sect6197[[#This Row],[2022]]</f>
        <v>4279.7420189155018</v>
      </c>
      <c r="E133" s="4">
        <f>Sect6197[[#This Row],[2023]]-Sect6197[[#This Row],[2021]]</f>
        <v>2842.7420189155018</v>
      </c>
      <c r="F133" s="3">
        <v>45146</v>
      </c>
      <c r="G133" s="3">
        <v>43709</v>
      </c>
      <c r="H133" s="3">
        <v>10783.98697054281</v>
      </c>
      <c r="I133" s="3">
        <v>8357.5899021706773</v>
      </c>
      <c r="J133" s="3">
        <v>0</v>
      </c>
      <c r="K133" s="3">
        <v>0</v>
      </c>
      <c r="L133" s="3">
        <v>0</v>
      </c>
      <c r="M133" s="3">
        <v>28847.165146202016</v>
      </c>
      <c r="N133" s="3">
        <f t="shared" si="2"/>
        <v>47988.742018915502</v>
      </c>
      <c r="O133" s="2"/>
    </row>
    <row r="134" spans="1:15" x14ac:dyDescent="0.3">
      <c r="A134">
        <v>1926</v>
      </c>
      <c r="B134" t="s">
        <v>11</v>
      </c>
      <c r="C134">
        <v>16</v>
      </c>
      <c r="D134" s="4">
        <f>Sect6197[[#This Row],[2023]]-Sect6197[[#This Row],[2022]]</f>
        <v>1614.186818227281</v>
      </c>
      <c r="E134" s="4">
        <f>Sect6197[[#This Row],[2023]]-Sect6197[[#This Row],[2021]]</f>
        <v>897.18681822728104</v>
      </c>
      <c r="F134" s="3">
        <v>23738</v>
      </c>
      <c r="G134" s="3">
        <v>23021</v>
      </c>
      <c r="H134" s="3">
        <v>6082.7621773400697</v>
      </c>
      <c r="I134" s="3">
        <v>6995.1765039410802</v>
      </c>
      <c r="J134" s="3">
        <v>0</v>
      </c>
      <c r="K134" s="3">
        <v>0</v>
      </c>
      <c r="L134" s="3">
        <v>0</v>
      </c>
      <c r="M134" s="3">
        <v>11557.248136946131</v>
      </c>
      <c r="N134" s="3">
        <f t="shared" si="2"/>
        <v>24635.186818227281</v>
      </c>
      <c r="O134" s="2"/>
    </row>
    <row r="135" spans="1:15" x14ac:dyDescent="0.3">
      <c r="A135">
        <v>2060</v>
      </c>
      <c r="B135" t="s">
        <v>76</v>
      </c>
      <c r="C135">
        <v>0</v>
      </c>
      <c r="D135" s="4">
        <f>Sect6197[[#This Row],[2023]]-Sect6197[[#This Row],[2022]]</f>
        <v>-87.588375377139698</v>
      </c>
      <c r="E135" s="4">
        <f>Sect6197[[#This Row],[2023]]-Sect6197[[#This Row],[2021]]</f>
        <v>-104.5883753771397</v>
      </c>
      <c r="F135" s="3">
        <v>589</v>
      </c>
      <c r="G135" s="3">
        <v>572</v>
      </c>
      <c r="H135" s="3">
        <v>484.4116246228603</v>
      </c>
      <c r="I135" s="3">
        <v>0</v>
      </c>
      <c r="J135" s="3">
        <v>0</v>
      </c>
      <c r="K135" s="3">
        <v>0</v>
      </c>
      <c r="L135" s="3">
        <v>0</v>
      </c>
      <c r="M135" s="3">
        <v>0</v>
      </c>
      <c r="N135" s="3">
        <f t="shared" si="2"/>
        <v>484.4116246228603</v>
      </c>
      <c r="O135" s="2"/>
    </row>
    <row r="136" spans="1:15" x14ac:dyDescent="0.3">
      <c r="A136">
        <v>2181</v>
      </c>
      <c r="B136" t="s">
        <v>122</v>
      </c>
      <c r="C136">
        <v>7</v>
      </c>
      <c r="D136" s="4">
        <f>Sect6197[[#This Row],[2023]]-Sect6197[[#This Row],[2022]]</f>
        <v>1445.5924537258034</v>
      </c>
      <c r="E136" s="4">
        <f>Sect6197[[#This Row],[2023]]-Sect6197[[#This Row],[2021]]</f>
        <v>944.59245372580335</v>
      </c>
      <c r="F136" s="3">
        <v>15571</v>
      </c>
      <c r="G136" s="3">
        <v>15070</v>
      </c>
      <c r="H136" s="3">
        <v>2064.4490567157254</v>
      </c>
      <c r="I136" s="3">
        <v>4128.8981134314508</v>
      </c>
      <c r="J136" s="3">
        <v>0</v>
      </c>
      <c r="K136" s="3">
        <v>0</v>
      </c>
      <c r="L136" s="3">
        <v>0</v>
      </c>
      <c r="M136" s="3">
        <v>10322.245283578626</v>
      </c>
      <c r="N136" s="3">
        <f t="shared" si="2"/>
        <v>16515.592453725803</v>
      </c>
      <c r="O136" s="2"/>
    </row>
    <row r="137" spans="1:15" x14ac:dyDescent="0.3">
      <c r="A137">
        <v>2207</v>
      </c>
      <c r="B137" t="s">
        <v>227</v>
      </c>
      <c r="C137">
        <v>4</v>
      </c>
      <c r="D137" s="4">
        <f>Sect6197[[#This Row],[2023]]-Sect6197[[#This Row],[2022]]</f>
        <v>2062.5900723144296</v>
      </c>
      <c r="E137" s="4">
        <f>Sect6197[[#This Row],[2023]]-Sect6197[[#This Row],[2021]]</f>
        <v>1132.5900723144296</v>
      </c>
      <c r="F137" s="3">
        <v>23618</v>
      </c>
      <c r="G137" s="3">
        <v>22688</v>
      </c>
      <c r="H137" s="3">
        <v>3093.8237590393037</v>
      </c>
      <c r="I137" s="3">
        <v>2406.3073681416804</v>
      </c>
      <c r="J137" s="3">
        <v>0</v>
      </c>
      <c r="K137" s="3">
        <v>0</v>
      </c>
      <c r="L137" s="3">
        <v>0</v>
      </c>
      <c r="M137" s="3">
        <v>19250.458945133443</v>
      </c>
      <c r="N137" s="3">
        <f t="shared" si="2"/>
        <v>24750.59007231443</v>
      </c>
      <c r="O137" s="2"/>
    </row>
    <row r="138" spans="1:15" x14ac:dyDescent="0.3">
      <c r="A138">
        <v>2192</v>
      </c>
      <c r="B138" t="s">
        <v>131</v>
      </c>
      <c r="C138">
        <v>1</v>
      </c>
      <c r="D138" s="4">
        <f>Sect6197[[#This Row],[2023]]-Sect6197[[#This Row],[2022]]</f>
        <v>-84.175820694755544</v>
      </c>
      <c r="E138" s="4">
        <f>Sect6197[[#This Row],[2023]]-Sect6197[[#This Row],[2021]]</f>
        <v>-122.17582069475554</v>
      </c>
      <c r="F138" s="3">
        <v>1132</v>
      </c>
      <c r="G138" s="3">
        <v>1094</v>
      </c>
      <c r="H138" s="3">
        <v>1009.8241793052445</v>
      </c>
      <c r="I138" s="3">
        <v>0</v>
      </c>
      <c r="J138" s="3">
        <v>0</v>
      </c>
      <c r="K138" s="3">
        <v>0</v>
      </c>
      <c r="L138" s="3">
        <v>0</v>
      </c>
      <c r="M138" s="3">
        <v>0</v>
      </c>
      <c r="N138" s="3">
        <f t="shared" si="2"/>
        <v>1009.8241793052445</v>
      </c>
      <c r="O138" s="2"/>
    </row>
    <row r="139" spans="1:15" x14ac:dyDescent="0.3">
      <c r="A139">
        <v>1900</v>
      </c>
      <c r="B139" t="s">
        <v>6</v>
      </c>
      <c r="C139">
        <v>4</v>
      </c>
      <c r="D139" s="4">
        <f>Sect6197[[#This Row],[2023]]-Sect6197[[#This Row],[2022]]</f>
        <v>301.71712114675211</v>
      </c>
      <c r="E139" s="4">
        <f>Sect6197[[#This Row],[2023]]-Sect6197[[#This Row],[2021]]</f>
        <v>-220.28287885324789</v>
      </c>
      <c r="F139" s="3">
        <v>13471</v>
      </c>
      <c r="G139" s="3">
        <v>12949</v>
      </c>
      <c r="H139" s="3">
        <v>5797.1887405017042</v>
      </c>
      <c r="I139" s="3">
        <v>0</v>
      </c>
      <c r="J139" s="3">
        <v>0</v>
      </c>
      <c r="K139" s="3">
        <v>0</v>
      </c>
      <c r="L139" s="3">
        <v>0</v>
      </c>
      <c r="M139" s="3">
        <v>7453.5283806450479</v>
      </c>
      <c r="N139" s="3">
        <f t="shared" si="2"/>
        <v>13250.717121146752</v>
      </c>
      <c r="O139" s="2"/>
    </row>
    <row r="140" spans="1:15" x14ac:dyDescent="0.3">
      <c r="A140">
        <v>2039</v>
      </c>
      <c r="B140" t="s">
        <v>60</v>
      </c>
      <c r="C140">
        <v>5</v>
      </c>
      <c r="D140" s="4">
        <f>Sect6197[[#This Row],[2023]]-Sect6197[[#This Row],[2022]]</f>
        <v>1138.7463617591857</v>
      </c>
      <c r="E140" s="4">
        <f>Sect6197[[#This Row],[2023]]-Sect6197[[#This Row],[2021]]</f>
        <v>181.74636175918567</v>
      </c>
      <c r="F140" s="3">
        <v>22698</v>
      </c>
      <c r="G140" s="3">
        <v>21741</v>
      </c>
      <c r="H140" s="3">
        <v>7321.5188357629395</v>
      </c>
      <c r="I140" s="3">
        <v>4118.3543451166533</v>
      </c>
      <c r="J140" s="3">
        <v>0</v>
      </c>
      <c r="K140" s="3">
        <v>0</v>
      </c>
      <c r="L140" s="3">
        <v>0</v>
      </c>
      <c r="M140" s="3">
        <v>11439.873180879593</v>
      </c>
      <c r="N140" s="3">
        <f t="shared" si="2"/>
        <v>22879.746361759186</v>
      </c>
      <c r="O140" s="2"/>
    </row>
    <row r="141" spans="1:15" x14ac:dyDescent="0.3">
      <c r="A141">
        <v>2202</v>
      </c>
      <c r="B141" t="s">
        <v>137</v>
      </c>
      <c r="C141">
        <v>0</v>
      </c>
      <c r="D141" s="4">
        <f>Sect6197[[#This Row],[2023]]-Sect6197[[#This Row],[2022]]</f>
        <v>18.237664047152521</v>
      </c>
      <c r="E141" s="4">
        <f>Sect6197[[#This Row],[2023]]-Sect6197[[#This Row],[2021]]</f>
        <v>-40.762335952847479</v>
      </c>
      <c r="F141" s="3">
        <v>1617</v>
      </c>
      <c r="G141" s="3">
        <v>1558</v>
      </c>
      <c r="H141" s="3">
        <v>525.41255468238421</v>
      </c>
      <c r="I141" s="3">
        <v>525.41255468238421</v>
      </c>
      <c r="J141" s="3">
        <v>0</v>
      </c>
      <c r="K141" s="3">
        <v>0</v>
      </c>
      <c r="L141" s="3">
        <v>0</v>
      </c>
      <c r="M141" s="3">
        <v>525.41255468238421</v>
      </c>
      <c r="N141" s="3">
        <f t="shared" si="2"/>
        <v>1576.2376640471525</v>
      </c>
      <c r="O141" s="2"/>
    </row>
    <row r="142" spans="1:15" x14ac:dyDescent="0.3">
      <c r="A142">
        <v>2016</v>
      </c>
      <c r="B142" t="s">
        <v>53</v>
      </c>
      <c r="C142">
        <v>0</v>
      </c>
      <c r="D142" s="4">
        <f>Sect6197[[#This Row],[2023]]-Sect6197[[#This Row],[2022]]</f>
        <v>9.9114369956356541</v>
      </c>
      <c r="E142" s="4">
        <f>Sect6197[[#This Row],[2023]]-Sect6197[[#This Row],[2021]]</f>
        <v>-3.0885630043643459</v>
      </c>
      <c r="F142" s="3">
        <v>275</v>
      </c>
      <c r="G142" s="3">
        <v>262</v>
      </c>
      <c r="H142" s="3">
        <v>271.91143699563565</v>
      </c>
      <c r="I142" s="3">
        <v>0</v>
      </c>
      <c r="J142" s="3">
        <v>0</v>
      </c>
      <c r="K142" s="3">
        <v>0</v>
      </c>
      <c r="L142" s="3">
        <v>0</v>
      </c>
      <c r="M142" s="3">
        <v>0</v>
      </c>
      <c r="N142" s="3">
        <f t="shared" si="2"/>
        <v>271.91143699563565</v>
      </c>
      <c r="O142" s="2"/>
    </row>
    <row r="143" spans="1:15" x14ac:dyDescent="0.3">
      <c r="A143">
        <v>1897</v>
      </c>
      <c r="B143" t="s">
        <v>228</v>
      </c>
      <c r="C143">
        <v>-1</v>
      </c>
      <c r="D143" s="4">
        <f>Sect6197[[#This Row],[2023]]-Sect6197[[#This Row],[2022]]</f>
        <v>264.82566416984264</v>
      </c>
      <c r="E143" s="4">
        <f>Sect6197[[#This Row],[2023]]-Sect6197[[#This Row],[2021]]</f>
        <v>-12.174335830157361</v>
      </c>
      <c r="F143" s="3">
        <v>679</v>
      </c>
      <c r="G143" s="3">
        <v>402</v>
      </c>
      <c r="H143" s="3">
        <v>444.55044277989509</v>
      </c>
      <c r="I143" s="3">
        <v>0</v>
      </c>
      <c r="J143" s="3">
        <v>0</v>
      </c>
      <c r="K143" s="3">
        <v>0</v>
      </c>
      <c r="L143" s="3">
        <v>0</v>
      </c>
      <c r="M143" s="3">
        <v>222.27522138994755</v>
      </c>
      <c r="N143" s="3">
        <f t="shared" si="2"/>
        <v>666.82566416984264</v>
      </c>
      <c r="O143" s="2"/>
    </row>
    <row r="144" spans="1:15" x14ac:dyDescent="0.3">
      <c r="A144">
        <v>2047</v>
      </c>
      <c r="B144" t="s">
        <v>67</v>
      </c>
      <c r="C144">
        <v>0</v>
      </c>
      <c r="D144" s="4">
        <f>Sect6197[[#This Row],[2023]]-Sect6197[[#This Row],[2022]]</f>
        <v>30.823249245720604</v>
      </c>
      <c r="E144" s="4">
        <f>Sect6197[[#This Row],[2023]]-Sect6197[[#This Row],[2021]]</f>
        <v>-8.1767507542793965</v>
      </c>
      <c r="F144" s="3">
        <v>977</v>
      </c>
      <c r="G144" s="3">
        <v>938</v>
      </c>
      <c r="H144" s="3">
        <v>968.8232492457206</v>
      </c>
      <c r="I144" s="3">
        <v>0</v>
      </c>
      <c r="J144" s="3">
        <v>0</v>
      </c>
      <c r="K144" s="3">
        <v>0</v>
      </c>
      <c r="L144" s="3">
        <v>0</v>
      </c>
      <c r="M144" s="3">
        <v>0</v>
      </c>
      <c r="N144" s="3">
        <f t="shared" si="2"/>
        <v>968.8232492457206</v>
      </c>
      <c r="O144" s="2"/>
    </row>
    <row r="145" spans="1:15" x14ac:dyDescent="0.3">
      <c r="A145">
        <v>2081</v>
      </c>
      <c r="B145" t="s">
        <v>80</v>
      </c>
      <c r="C145">
        <v>-5</v>
      </c>
      <c r="D145" s="4">
        <f>Sect6197[[#This Row],[2023]]-Sect6197[[#This Row],[2022]]</f>
        <v>36.482768570495864</v>
      </c>
      <c r="E145" s="4">
        <f>Sect6197[[#This Row],[2023]]-Sect6197[[#This Row],[2021]]</f>
        <v>-26.517231429504136</v>
      </c>
      <c r="F145" s="3">
        <v>3507</v>
      </c>
      <c r="G145" s="3">
        <v>3444</v>
      </c>
      <c r="H145" s="3">
        <v>497.21182408149934</v>
      </c>
      <c r="I145" s="3">
        <v>497.21182408149934</v>
      </c>
      <c r="J145" s="3">
        <v>0</v>
      </c>
      <c r="K145" s="3">
        <v>0</v>
      </c>
      <c r="L145" s="3">
        <v>0</v>
      </c>
      <c r="M145" s="3">
        <v>2486.0591204074972</v>
      </c>
      <c r="N145" s="3">
        <f t="shared" si="2"/>
        <v>3480.4827685704959</v>
      </c>
      <c r="O145" s="2"/>
    </row>
    <row r="146" spans="1:15" x14ac:dyDescent="0.3">
      <c r="A146">
        <v>2062</v>
      </c>
      <c r="B146" t="s">
        <v>78</v>
      </c>
      <c r="C146">
        <v>0</v>
      </c>
      <c r="D146" s="4">
        <f>Sect6197[[#This Row],[2023]]-Sect6197[[#This Row],[2022]]</f>
        <v>-7</v>
      </c>
      <c r="E146" s="4">
        <f>Sect6197[[#This Row],[2023]]-Sect6197[[#This Row],[2021]]</f>
        <v>-6</v>
      </c>
      <c r="F146" s="3">
        <v>6</v>
      </c>
      <c r="G146" s="3">
        <v>7</v>
      </c>
      <c r="H146" s="3">
        <v>0</v>
      </c>
      <c r="I146" s="3">
        <v>0</v>
      </c>
      <c r="J146" s="3">
        <v>0</v>
      </c>
      <c r="K146" s="3">
        <v>0</v>
      </c>
      <c r="L146" s="3">
        <v>0</v>
      </c>
      <c r="M146" s="3">
        <v>0</v>
      </c>
      <c r="N146" s="3">
        <f t="shared" si="2"/>
        <v>0</v>
      </c>
      <c r="O146" s="2"/>
    </row>
    <row r="147" spans="1:15" x14ac:dyDescent="0.3">
      <c r="A147">
        <v>1973</v>
      </c>
      <c r="B147" t="s">
        <v>229</v>
      </c>
      <c r="C147">
        <v>-3</v>
      </c>
      <c r="D147" s="4">
        <f>Sect6197[[#This Row],[2023]]-Sect6197[[#This Row],[2022]]</f>
        <v>3.0590531738257596</v>
      </c>
      <c r="E147" s="4">
        <f>Sect6197[[#This Row],[2023]]-Sect6197[[#This Row],[2021]]</f>
        <v>-117.94094682617424</v>
      </c>
      <c r="F147" s="3">
        <v>2581</v>
      </c>
      <c r="G147" s="3">
        <v>2460</v>
      </c>
      <c r="H147" s="3">
        <v>0</v>
      </c>
      <c r="I147" s="3">
        <v>2463.0590531738258</v>
      </c>
      <c r="J147" s="3">
        <v>0</v>
      </c>
      <c r="K147" s="3">
        <v>0</v>
      </c>
      <c r="L147" s="3">
        <v>0</v>
      </c>
      <c r="M147" s="3">
        <v>0</v>
      </c>
      <c r="N147" s="3">
        <f t="shared" si="2"/>
        <v>2463.0590531738258</v>
      </c>
      <c r="O147" s="2"/>
    </row>
    <row r="148" spans="1:15" x14ac:dyDescent="0.3">
      <c r="A148">
        <v>2180</v>
      </c>
      <c r="B148" t="s">
        <v>121</v>
      </c>
      <c r="C148">
        <v>87</v>
      </c>
      <c r="D148" s="4">
        <f>Sect6197[[#This Row],[2023]]-Sect6197[[#This Row],[2022]]</f>
        <v>20939.631494871341</v>
      </c>
      <c r="E148" s="4">
        <f>Sect6197[[#This Row],[2023]]-Sect6197[[#This Row],[2021]]</f>
        <v>8319.6314948713407</v>
      </c>
      <c r="F148" s="3">
        <v>356535</v>
      </c>
      <c r="G148" s="3">
        <v>343915</v>
      </c>
      <c r="H148" s="3">
        <v>83483.686867470562</v>
      </c>
      <c r="I148" s="3">
        <v>73434.72455934911</v>
      </c>
      <c r="J148" s="3">
        <v>0</v>
      </c>
      <c r="K148" s="3">
        <v>0</v>
      </c>
      <c r="L148" s="3">
        <v>0</v>
      </c>
      <c r="M148" s="3">
        <v>207936.22006805168</v>
      </c>
      <c r="N148" s="3">
        <f t="shared" si="2"/>
        <v>364854.63149487134</v>
      </c>
      <c r="O148" s="2"/>
    </row>
    <row r="149" spans="1:15" x14ac:dyDescent="0.3">
      <c r="A149">
        <v>1967</v>
      </c>
      <c r="B149" t="s">
        <v>27</v>
      </c>
      <c r="C149">
        <v>2</v>
      </c>
      <c r="D149" s="4">
        <f>Sect6197[[#This Row],[2023]]-Sect6197[[#This Row],[2022]]</f>
        <v>-258.17842103596183</v>
      </c>
      <c r="E149" s="4">
        <f>Sect6197[[#This Row],[2023]]-Sect6197[[#This Row],[2021]]</f>
        <v>3.8215789640381672</v>
      </c>
      <c r="F149" s="3">
        <v>409</v>
      </c>
      <c r="G149" s="3">
        <v>671</v>
      </c>
      <c r="H149" s="3">
        <v>0</v>
      </c>
      <c r="I149" s="3">
        <v>206.41078948201908</v>
      </c>
      <c r="J149" s="3">
        <v>0</v>
      </c>
      <c r="K149" s="3">
        <v>0</v>
      </c>
      <c r="L149" s="3">
        <v>0</v>
      </c>
      <c r="M149" s="3">
        <v>206.41078948201908</v>
      </c>
      <c r="N149" s="3">
        <f t="shared" si="2"/>
        <v>412.82157896403817</v>
      </c>
      <c r="O149" s="2"/>
    </row>
    <row r="150" spans="1:15" x14ac:dyDescent="0.3">
      <c r="A150">
        <v>2009</v>
      </c>
      <c r="B150" t="s">
        <v>47</v>
      </c>
      <c r="C150">
        <v>-1</v>
      </c>
      <c r="D150" s="4">
        <f>Sect6197[[#This Row],[2023]]-Sect6197[[#This Row],[2022]]</f>
        <v>26.648358610488913</v>
      </c>
      <c r="E150" s="4">
        <f>Sect6197[[#This Row],[2023]]-Sect6197[[#This Row],[2021]]</f>
        <v>-27.351641389511087</v>
      </c>
      <c r="F150" s="3">
        <v>2047</v>
      </c>
      <c r="G150" s="3">
        <v>1993</v>
      </c>
      <c r="H150" s="3">
        <v>1009.8241793052445</v>
      </c>
      <c r="I150" s="3">
        <v>0</v>
      </c>
      <c r="J150" s="3">
        <v>0</v>
      </c>
      <c r="K150" s="3">
        <v>0</v>
      </c>
      <c r="L150" s="3">
        <v>0</v>
      </c>
      <c r="M150" s="3">
        <v>1009.8241793052445</v>
      </c>
      <c r="N150" s="3">
        <f t="shared" si="2"/>
        <v>2019.6483586104889</v>
      </c>
      <c r="O150" s="2"/>
    </row>
    <row r="151" spans="1:15" x14ac:dyDescent="0.3">
      <c r="A151">
        <v>2045</v>
      </c>
      <c r="B151" t="s">
        <v>65</v>
      </c>
      <c r="C151">
        <v>-1</v>
      </c>
      <c r="D151" s="4">
        <f>Sect6197[[#This Row],[2023]]-Sect6197[[#This Row],[2022]]</f>
        <v>-48.175820694755544</v>
      </c>
      <c r="E151" s="4">
        <f>Sect6197[[#This Row],[2023]]-Sect6197[[#This Row],[2021]]</f>
        <v>-81.175820694755544</v>
      </c>
      <c r="F151" s="3">
        <v>1091</v>
      </c>
      <c r="G151" s="3">
        <v>1058</v>
      </c>
      <c r="H151" s="3">
        <v>0</v>
      </c>
      <c r="I151" s="3">
        <v>1009.8241793052445</v>
      </c>
      <c r="J151" s="3">
        <v>0</v>
      </c>
      <c r="K151" s="3">
        <v>0</v>
      </c>
      <c r="L151" s="3">
        <v>0</v>
      </c>
      <c r="M151" s="3">
        <v>0</v>
      </c>
      <c r="N151" s="3">
        <f t="shared" si="2"/>
        <v>1009.8241793052445</v>
      </c>
      <c r="O151" s="2"/>
    </row>
    <row r="152" spans="1:15" x14ac:dyDescent="0.3">
      <c r="A152">
        <v>1946</v>
      </c>
      <c r="B152" t="s">
        <v>21</v>
      </c>
      <c r="C152">
        <v>-9</v>
      </c>
      <c r="D152" s="4">
        <f>Sect6197[[#This Row],[2023]]-Sect6197[[#This Row],[2022]]</f>
        <v>494.1320572405084</v>
      </c>
      <c r="E152" s="4">
        <f>Sect6197[[#This Row],[2023]]-Sect6197[[#This Row],[2021]]</f>
        <v>192.1320572405084</v>
      </c>
      <c r="F152" s="3">
        <v>5349</v>
      </c>
      <c r="G152" s="3">
        <v>5047</v>
      </c>
      <c r="H152" s="3">
        <v>977.84683363067802</v>
      </c>
      <c r="I152" s="3">
        <v>325.94894454355932</v>
      </c>
      <c r="J152" s="3">
        <v>0</v>
      </c>
      <c r="K152" s="3">
        <v>0</v>
      </c>
      <c r="L152" s="3">
        <v>0</v>
      </c>
      <c r="M152" s="3">
        <v>4237.3362790662713</v>
      </c>
      <c r="N152" s="3">
        <f t="shared" si="2"/>
        <v>5541.1320572405084</v>
      </c>
      <c r="O152" s="2"/>
    </row>
    <row r="153" spans="1:15" x14ac:dyDescent="0.3">
      <c r="A153">
        <v>1977</v>
      </c>
      <c r="B153" t="s">
        <v>31</v>
      </c>
      <c r="C153">
        <v>30</v>
      </c>
      <c r="D153" s="4">
        <f>Sect6197[[#This Row],[2023]]-Sect6197[[#This Row],[2022]]</f>
        <v>2343.0142583467969</v>
      </c>
      <c r="E153" s="4">
        <f>Sect6197[[#This Row],[2023]]-Sect6197[[#This Row],[2021]]</f>
        <v>1685.0142583467969</v>
      </c>
      <c r="F153" s="3">
        <v>24244</v>
      </c>
      <c r="G153" s="3">
        <v>23586</v>
      </c>
      <c r="H153" s="3">
        <v>4905.489184011557</v>
      </c>
      <c r="I153" s="3">
        <v>5431.0773108699377</v>
      </c>
      <c r="J153" s="3">
        <v>0</v>
      </c>
      <c r="K153" s="3">
        <v>0</v>
      </c>
      <c r="L153" s="3">
        <v>0</v>
      </c>
      <c r="M153" s="3">
        <v>15592.447763465303</v>
      </c>
      <c r="N153" s="3">
        <f t="shared" si="2"/>
        <v>25929.014258346797</v>
      </c>
      <c r="O153" s="2"/>
    </row>
    <row r="154" spans="1:15" x14ac:dyDescent="0.3">
      <c r="A154">
        <v>2001</v>
      </c>
      <c r="B154" t="s">
        <v>41</v>
      </c>
      <c r="C154">
        <v>2</v>
      </c>
      <c r="D154" s="4">
        <f>Sect6197[[#This Row],[2023]]-Sect6197[[#This Row],[2022]]</f>
        <v>758.83760890577469</v>
      </c>
      <c r="E154" s="4">
        <f>Sect6197[[#This Row],[2023]]-Sect6197[[#This Row],[2021]]</f>
        <v>364.83760890577469</v>
      </c>
      <c r="F154" s="3">
        <v>9577</v>
      </c>
      <c r="G154" s="3">
        <v>9183</v>
      </c>
      <c r="H154" s="3">
        <v>3866.2701812411342</v>
      </c>
      <c r="I154" s="3">
        <v>552.32431160587635</v>
      </c>
      <c r="J154" s="3">
        <v>0</v>
      </c>
      <c r="K154" s="3">
        <v>0</v>
      </c>
      <c r="L154" s="3">
        <v>0</v>
      </c>
      <c r="M154" s="3">
        <v>5523.2431160587639</v>
      </c>
      <c r="N154" s="3">
        <f t="shared" si="2"/>
        <v>9941.8376089057747</v>
      </c>
      <c r="O154" s="2"/>
    </row>
    <row r="155" spans="1:15" x14ac:dyDescent="0.3">
      <c r="A155">
        <v>2182</v>
      </c>
      <c r="B155" t="s">
        <v>123</v>
      </c>
      <c r="C155">
        <v>70</v>
      </c>
      <c r="D155" s="4">
        <f>Sect6197[[#This Row],[2023]]-Sect6197[[#This Row],[2022]]</f>
        <v>7278.8610665345477</v>
      </c>
      <c r="E155" s="4">
        <f>Sect6197[[#This Row],[2023]]-Sect6197[[#This Row],[2021]]</f>
        <v>5899.8610665345477</v>
      </c>
      <c r="F155" s="3">
        <v>47337</v>
      </c>
      <c r="G155" s="3">
        <v>45958</v>
      </c>
      <c r="H155" s="3">
        <v>9742.6935285161271</v>
      </c>
      <c r="I155" s="3">
        <v>12526.320250949306</v>
      </c>
      <c r="J155" s="3">
        <v>0</v>
      </c>
      <c r="K155" s="3">
        <v>0</v>
      </c>
      <c r="L155" s="3">
        <v>0</v>
      </c>
      <c r="M155" s="3">
        <v>30967.847287069118</v>
      </c>
      <c r="N155" s="3">
        <f t="shared" si="2"/>
        <v>53236.861066534548</v>
      </c>
      <c r="O155" s="2"/>
    </row>
    <row r="156" spans="1:15" x14ac:dyDescent="0.3">
      <c r="A156">
        <v>1999</v>
      </c>
      <c r="B156" t="s">
        <v>39</v>
      </c>
      <c r="C156">
        <v>0</v>
      </c>
      <c r="D156" s="4">
        <f>Sect6197[[#This Row],[2023]]-Sect6197[[#This Row],[2022]]</f>
        <v>99.419995158574466</v>
      </c>
      <c r="E156" s="4">
        <f>Sect6197[[#This Row],[2023]]-Sect6197[[#This Row],[2021]]</f>
        <v>109.41999515857447</v>
      </c>
      <c r="F156" s="3">
        <v>744</v>
      </c>
      <c r="G156" s="3">
        <v>754</v>
      </c>
      <c r="H156" s="3">
        <v>189.64888781301656</v>
      </c>
      <c r="I156" s="3">
        <v>94.824443906508279</v>
      </c>
      <c r="J156" s="3">
        <v>0</v>
      </c>
      <c r="K156" s="3">
        <v>0</v>
      </c>
      <c r="L156" s="3">
        <v>0</v>
      </c>
      <c r="M156" s="3">
        <v>568.94666343904964</v>
      </c>
      <c r="N156" s="3">
        <f t="shared" si="2"/>
        <v>853.41999515857447</v>
      </c>
      <c r="O156" s="2"/>
    </row>
    <row r="157" spans="1:15" x14ac:dyDescent="0.3">
      <c r="A157">
        <v>2188</v>
      </c>
      <c r="B157" t="s">
        <v>128</v>
      </c>
      <c r="C157">
        <v>0</v>
      </c>
      <c r="D157" s="4">
        <f>Sect6197[[#This Row],[2023]]-Sect6197[[#This Row],[2022]]</f>
        <v>-191.58651525809205</v>
      </c>
      <c r="E157" s="4">
        <f>Sect6197[[#This Row],[2023]]-Sect6197[[#This Row],[2021]]</f>
        <v>-212.58651525809205</v>
      </c>
      <c r="F157" s="3">
        <v>779</v>
      </c>
      <c r="G157" s="3">
        <v>758</v>
      </c>
      <c r="H157" s="3">
        <v>566.41348474190795</v>
      </c>
      <c r="I157" s="3">
        <v>0</v>
      </c>
      <c r="J157" s="3">
        <v>0</v>
      </c>
      <c r="K157" s="3">
        <v>0</v>
      </c>
      <c r="L157" s="3">
        <v>0</v>
      </c>
      <c r="M157" s="3">
        <v>0</v>
      </c>
      <c r="N157" s="3">
        <f t="shared" si="2"/>
        <v>566.41348474190795</v>
      </c>
      <c r="O157" s="2"/>
    </row>
    <row r="158" spans="1:15" x14ac:dyDescent="0.3">
      <c r="A158">
        <v>2044</v>
      </c>
      <c r="B158" t="s">
        <v>64</v>
      </c>
      <c r="C158">
        <v>-5</v>
      </c>
      <c r="D158" s="4">
        <f>Sect6197[[#This Row],[2023]]-Sect6197[[#This Row],[2022]]</f>
        <v>93.596224620527209</v>
      </c>
      <c r="E158" s="4">
        <f>Sect6197[[#This Row],[2023]]-Sect6197[[#This Row],[2021]]</f>
        <v>-211.40377537947279</v>
      </c>
      <c r="F158" s="3">
        <v>8413</v>
      </c>
      <c r="G158" s="3">
        <v>8108</v>
      </c>
      <c r="H158" s="3">
        <v>2982.3986271347371</v>
      </c>
      <c r="I158" s="3">
        <v>1491.1993135673686</v>
      </c>
      <c r="J158" s="3">
        <v>0</v>
      </c>
      <c r="K158" s="3">
        <v>0</v>
      </c>
      <c r="L158" s="3">
        <v>0</v>
      </c>
      <c r="M158" s="3">
        <v>3727.9982839184213</v>
      </c>
      <c r="N158" s="3">
        <f t="shared" si="2"/>
        <v>8201.5962246205272</v>
      </c>
      <c r="O158" s="2"/>
    </row>
    <row r="159" spans="1:15" x14ac:dyDescent="0.3">
      <c r="A159">
        <v>2142</v>
      </c>
      <c r="B159" t="s">
        <v>115</v>
      </c>
      <c r="C159">
        <v>3</v>
      </c>
      <c r="D159" s="4">
        <f>Sect6197[[#This Row],[2023]]-Sect6197[[#This Row],[2022]]</f>
        <v>-1844.0414817304991</v>
      </c>
      <c r="E159" s="4">
        <f>Sect6197[[#This Row],[2023]]-Sect6197[[#This Row],[2021]]</f>
        <v>-4238.0414817304991</v>
      </c>
      <c r="F159" s="3">
        <v>161991</v>
      </c>
      <c r="G159" s="3">
        <v>159597</v>
      </c>
      <c r="H159" s="3">
        <v>47889.290978760386</v>
      </c>
      <c r="I159" s="3">
        <v>30361.184476730439</v>
      </c>
      <c r="J159" s="3">
        <v>626.00380364392652</v>
      </c>
      <c r="K159" s="3">
        <v>0</v>
      </c>
      <c r="L159" s="3">
        <v>0</v>
      </c>
      <c r="M159" s="3">
        <v>78876.47925913475</v>
      </c>
      <c r="N159" s="3">
        <f t="shared" si="2"/>
        <v>157752.9585182695</v>
      </c>
      <c r="O159" s="2"/>
    </row>
    <row r="160" spans="1:15" x14ac:dyDescent="0.3">
      <c r="A160">
        <v>2104</v>
      </c>
      <c r="B160" t="s">
        <v>99</v>
      </c>
      <c r="C160">
        <v>1</v>
      </c>
      <c r="D160" s="4">
        <f>Sect6197[[#This Row],[2023]]-Sect6197[[#This Row],[2022]]</f>
        <v>-2388.9381566476027</v>
      </c>
      <c r="E160" s="4">
        <f>Sect6197[[#This Row],[2023]]-Sect6197[[#This Row],[2021]]</f>
        <v>-2013.9381566476027</v>
      </c>
      <c r="F160" s="3">
        <v>4600</v>
      </c>
      <c r="G160" s="3">
        <v>4975</v>
      </c>
      <c r="H160" s="3">
        <v>646.51546083809933</v>
      </c>
      <c r="I160" s="3">
        <v>1293.0309216761987</v>
      </c>
      <c r="J160" s="3">
        <v>0</v>
      </c>
      <c r="K160" s="3">
        <v>0</v>
      </c>
      <c r="L160" s="3">
        <v>0</v>
      </c>
      <c r="M160" s="3">
        <v>646.51546083809933</v>
      </c>
      <c r="N160" s="3">
        <f t="shared" si="2"/>
        <v>2586.0618433523973</v>
      </c>
      <c r="O160" s="2"/>
    </row>
    <row r="161" spans="1:15" x14ac:dyDescent="0.3">
      <c r="A161">
        <v>1944</v>
      </c>
      <c r="B161" t="s">
        <v>19</v>
      </c>
      <c r="C161">
        <v>5</v>
      </c>
      <c r="D161" s="4">
        <f>Sect6197[[#This Row],[2023]]-Sect6197[[#This Row],[2022]]</f>
        <v>1001.3994831924228</v>
      </c>
      <c r="E161" s="4">
        <f>Sect6197[[#This Row],[2023]]-Sect6197[[#This Row],[2021]]</f>
        <v>807.39948319242285</v>
      </c>
      <c r="F161" s="3">
        <v>7622</v>
      </c>
      <c r="G161" s="3">
        <v>7428</v>
      </c>
      <c r="H161" s="3">
        <v>2269.4537070133447</v>
      </c>
      <c r="I161" s="3">
        <v>648.41534486095566</v>
      </c>
      <c r="J161" s="3">
        <v>0</v>
      </c>
      <c r="K161" s="3">
        <v>0</v>
      </c>
      <c r="L161" s="3">
        <v>0</v>
      </c>
      <c r="M161" s="3">
        <v>5511.5304313181223</v>
      </c>
      <c r="N161" s="3">
        <f t="shared" si="2"/>
        <v>8429.3994831924228</v>
      </c>
      <c r="O161" s="2"/>
    </row>
    <row r="162" spans="1:15" x14ac:dyDescent="0.3">
      <c r="A162">
        <v>2103</v>
      </c>
      <c r="B162" t="s">
        <v>98</v>
      </c>
      <c r="C162">
        <v>0</v>
      </c>
      <c r="D162" s="4">
        <f>Sect6197[[#This Row],[2023]]-Sect6197[[#This Row],[2022]]</f>
        <v>-1145.3479211514159</v>
      </c>
      <c r="E162" s="4">
        <f>Sect6197[[#This Row],[2023]]-Sect6197[[#This Row],[2021]]</f>
        <v>-250.3479211514159</v>
      </c>
      <c r="F162" s="3">
        <v>2434</v>
      </c>
      <c r="G162" s="3">
        <v>3329</v>
      </c>
      <c r="H162" s="3">
        <v>1091.826039424292</v>
      </c>
      <c r="I162" s="3">
        <v>0</v>
      </c>
      <c r="J162" s="3">
        <v>0</v>
      </c>
      <c r="K162" s="3">
        <v>0</v>
      </c>
      <c r="L162" s="3">
        <v>0</v>
      </c>
      <c r="M162" s="3">
        <v>1091.826039424292</v>
      </c>
      <c r="N162" s="3">
        <f t="shared" si="2"/>
        <v>2183.6520788485841</v>
      </c>
      <c r="O162" s="2"/>
    </row>
    <row r="163" spans="1:15" x14ac:dyDescent="0.3">
      <c r="A163">
        <v>1935</v>
      </c>
      <c r="B163" t="s">
        <v>18</v>
      </c>
      <c r="C163">
        <v>-5</v>
      </c>
      <c r="D163" s="4">
        <f>Sect6197[[#This Row],[2023]]-Sect6197[[#This Row],[2022]]</f>
        <v>632.25853412387369</v>
      </c>
      <c r="E163" s="4">
        <f>Sect6197[[#This Row],[2023]]-Sect6197[[#This Row],[2021]]</f>
        <v>231.25853412387369</v>
      </c>
      <c r="F163" s="3">
        <v>10605</v>
      </c>
      <c r="G163" s="3">
        <v>10204</v>
      </c>
      <c r="H163" s="3">
        <v>3483.0831002541026</v>
      </c>
      <c r="I163" s="3">
        <v>1548.0369334462675</v>
      </c>
      <c r="J163" s="3">
        <v>0</v>
      </c>
      <c r="K163" s="3">
        <v>0</v>
      </c>
      <c r="L163" s="3">
        <v>0</v>
      </c>
      <c r="M163" s="3">
        <v>5805.1385004235035</v>
      </c>
      <c r="N163" s="3">
        <f t="shared" si="2"/>
        <v>10836.258534123874</v>
      </c>
      <c r="O163" s="2"/>
    </row>
    <row r="164" spans="1:15" x14ac:dyDescent="0.3">
      <c r="A164">
        <v>2257</v>
      </c>
      <c r="B164" t="s">
        <v>166</v>
      </c>
      <c r="C164">
        <v>1</v>
      </c>
      <c r="D164" s="4">
        <f>Sect6197[[#This Row],[2023]]-Sect6197[[#This Row],[2022]]</f>
        <v>-27.053994109008272</v>
      </c>
      <c r="E164" s="4">
        <f>Sect6197[[#This Row],[2023]]-Sect6197[[#This Row],[2021]]</f>
        <v>-224.05399410900827</v>
      </c>
      <c r="F164" s="3">
        <v>6324</v>
      </c>
      <c r="G164" s="3">
        <v>6127</v>
      </c>
      <c r="H164" s="3">
        <v>1742.8417159688547</v>
      </c>
      <c r="I164" s="3">
        <v>871.42085798442736</v>
      </c>
      <c r="J164" s="3">
        <v>0</v>
      </c>
      <c r="K164" s="3">
        <v>0</v>
      </c>
      <c r="L164" s="3">
        <v>0</v>
      </c>
      <c r="M164" s="3">
        <v>3485.6834319377094</v>
      </c>
      <c r="N164" s="3">
        <f t="shared" si="2"/>
        <v>6099.9460058909917</v>
      </c>
      <c r="O164" s="2"/>
    </row>
    <row r="165" spans="1:15" x14ac:dyDescent="0.3">
      <c r="A165">
        <v>2195</v>
      </c>
      <c r="B165" t="s">
        <v>230</v>
      </c>
      <c r="C165">
        <v>2</v>
      </c>
      <c r="D165" s="4">
        <f>Sect6197[[#This Row],[2023]]-Sect6197[[#This Row],[2022]]</f>
        <v>353.42278533714602</v>
      </c>
      <c r="E165" s="4">
        <f>Sect6197[[#This Row],[2023]]-Sect6197[[#This Row],[2021]]</f>
        <v>335.42278533714602</v>
      </c>
      <c r="F165" s="3">
        <v>641</v>
      </c>
      <c r="G165" s="3">
        <v>623</v>
      </c>
      <c r="H165" s="3">
        <v>162.73713088952434</v>
      </c>
      <c r="I165" s="3">
        <v>0</v>
      </c>
      <c r="J165" s="3">
        <v>0</v>
      </c>
      <c r="K165" s="3">
        <v>0</v>
      </c>
      <c r="L165" s="3">
        <v>0</v>
      </c>
      <c r="M165" s="3">
        <v>813.68565444762169</v>
      </c>
      <c r="N165" s="3">
        <f t="shared" si="2"/>
        <v>976.42278533714602</v>
      </c>
      <c r="O165" s="2"/>
    </row>
    <row r="166" spans="1:15" x14ac:dyDescent="0.3">
      <c r="A166">
        <v>2244</v>
      </c>
      <c r="B166" t="s">
        <v>156</v>
      </c>
      <c r="C166">
        <v>7</v>
      </c>
      <c r="D166" s="4">
        <f>Sect6197[[#This Row],[2023]]-Sect6197[[#This Row],[2022]]</f>
        <v>-477.36471287947279</v>
      </c>
      <c r="E166" s="4">
        <f>Sect6197[[#This Row],[2023]]-Sect6197[[#This Row],[2021]]</f>
        <v>-688.36471287947279</v>
      </c>
      <c r="F166" s="3">
        <v>10612</v>
      </c>
      <c r="G166" s="3">
        <v>10401</v>
      </c>
      <c r="H166" s="3">
        <v>1685.1456147940517</v>
      </c>
      <c r="I166" s="3">
        <v>2059.6224180816189</v>
      </c>
      <c r="J166" s="3">
        <v>0</v>
      </c>
      <c r="K166" s="3">
        <v>0</v>
      </c>
      <c r="L166" s="3">
        <v>0</v>
      </c>
      <c r="M166" s="3">
        <v>6178.8672542448567</v>
      </c>
      <c r="N166" s="3">
        <f t="shared" si="2"/>
        <v>9923.6352871205272</v>
      </c>
      <c r="O166" s="2"/>
    </row>
    <row r="167" spans="1:15" x14ac:dyDescent="0.3">
      <c r="A167">
        <v>2138</v>
      </c>
      <c r="B167" t="s">
        <v>111</v>
      </c>
      <c r="C167">
        <v>4</v>
      </c>
      <c r="D167" s="4">
        <f>Sect6197[[#This Row],[2023]]-Sect6197[[#This Row],[2022]]</f>
        <v>-488.27264819848642</v>
      </c>
      <c r="E167" s="4">
        <f>Sect6197[[#This Row],[2023]]-Sect6197[[#This Row],[2021]]</f>
        <v>-953.27264819848642</v>
      </c>
      <c r="F167" s="3">
        <v>14655</v>
      </c>
      <c r="G167" s="3">
        <v>14190</v>
      </c>
      <c r="H167" s="3">
        <v>5074.7138340005604</v>
      </c>
      <c r="I167" s="3">
        <v>4059.7710672004482</v>
      </c>
      <c r="J167" s="3">
        <v>0</v>
      </c>
      <c r="K167" s="3">
        <v>0</v>
      </c>
      <c r="L167" s="3">
        <v>0</v>
      </c>
      <c r="M167" s="3">
        <v>4567.2424506005045</v>
      </c>
      <c r="N167" s="3">
        <f t="shared" si="2"/>
        <v>13701.727351801514</v>
      </c>
      <c r="O167" s="2"/>
    </row>
    <row r="168" spans="1:15" x14ac:dyDescent="0.3">
      <c r="A168">
        <v>1978</v>
      </c>
      <c r="B168" t="s">
        <v>32</v>
      </c>
      <c r="C168">
        <v>1</v>
      </c>
      <c r="D168" s="4">
        <f>Sect6197[[#This Row],[2023]]-Sect6197[[#This Row],[2022]]</f>
        <v>-21.929786111888461</v>
      </c>
      <c r="E168" s="4">
        <f>Sect6197[[#This Row],[2023]]-Sect6197[[#This Row],[2021]]</f>
        <v>-46.929786111888461</v>
      </c>
      <c r="F168" s="3">
        <v>3002</v>
      </c>
      <c r="G168" s="3">
        <v>2977</v>
      </c>
      <c r="H168" s="3">
        <v>227.31309337600857</v>
      </c>
      <c r="I168" s="3">
        <v>1136.565466880043</v>
      </c>
      <c r="J168" s="3">
        <v>0</v>
      </c>
      <c r="K168" s="3">
        <v>0</v>
      </c>
      <c r="L168" s="3">
        <v>0</v>
      </c>
      <c r="M168" s="3">
        <v>1591.19165363206</v>
      </c>
      <c r="N168" s="3">
        <f t="shared" si="2"/>
        <v>2955.0702138881115</v>
      </c>
      <c r="O168" s="2"/>
    </row>
    <row r="169" spans="1:15" x14ac:dyDescent="0.3">
      <c r="A169">
        <v>2096</v>
      </c>
      <c r="B169" t="s">
        <v>93</v>
      </c>
      <c r="C169">
        <v>-2</v>
      </c>
      <c r="D169" s="4">
        <f>Sect6197[[#This Row],[2023]]-Sect6197[[#This Row],[2022]]</f>
        <v>837.72828186103652</v>
      </c>
      <c r="E169" s="4">
        <f>Sect6197[[#This Row],[2023]]-Sect6197[[#This Row],[2021]]</f>
        <v>323.72828186103652</v>
      </c>
      <c r="F169" s="3">
        <v>13419</v>
      </c>
      <c r="G169" s="3">
        <v>12905</v>
      </c>
      <c r="H169" s="3">
        <v>2944.870346113079</v>
      </c>
      <c r="I169" s="3">
        <v>0</v>
      </c>
      <c r="J169" s="3">
        <v>0</v>
      </c>
      <c r="K169" s="3">
        <v>0</v>
      </c>
      <c r="L169" s="3">
        <v>0</v>
      </c>
      <c r="M169" s="3">
        <v>10797.857935747958</v>
      </c>
      <c r="N169" s="3">
        <f t="shared" si="2"/>
        <v>13742.728281861037</v>
      </c>
      <c r="O169" s="2"/>
    </row>
    <row r="170" spans="1:15" x14ac:dyDescent="0.3">
      <c r="A170">
        <v>2022</v>
      </c>
      <c r="B170" t="s">
        <v>59</v>
      </c>
      <c r="C170">
        <v>0</v>
      </c>
      <c r="D170" s="4">
        <f>Sect6197[[#This Row],[2023]]-Sect6197[[#This Row],[2022]]</f>
        <v>2.9120120450361355</v>
      </c>
      <c r="E170" s="4">
        <f>Sect6197[[#This Row],[2023]]-Sect6197[[#This Row],[2021]]</f>
        <v>-7.0879879549638645</v>
      </c>
      <c r="F170" s="3">
        <v>279</v>
      </c>
      <c r="G170" s="3">
        <v>269</v>
      </c>
      <c r="H170" s="3">
        <v>271.91201204503614</v>
      </c>
      <c r="I170" s="3">
        <v>0</v>
      </c>
      <c r="J170" s="3">
        <v>0</v>
      </c>
      <c r="K170" s="3">
        <v>0</v>
      </c>
      <c r="L170" s="3">
        <v>0</v>
      </c>
      <c r="M170" s="3">
        <v>0</v>
      </c>
      <c r="N170" s="3">
        <f t="shared" si="2"/>
        <v>271.91201204503614</v>
      </c>
      <c r="O170" s="2"/>
    </row>
    <row r="171" spans="1:15" x14ac:dyDescent="0.3">
      <c r="A171">
        <v>2087</v>
      </c>
      <c r="B171" t="s">
        <v>231</v>
      </c>
      <c r="C171">
        <v>7</v>
      </c>
      <c r="D171" s="4">
        <f>Sect6197[[#This Row],[2023]]-Sect6197[[#This Row],[2022]]</f>
        <v>2254.247322752959</v>
      </c>
      <c r="E171" s="4">
        <f>Sect6197[[#This Row],[2023]]-Sect6197[[#This Row],[2021]]</f>
        <v>1748.247322752959</v>
      </c>
      <c r="F171" s="3">
        <v>17074</v>
      </c>
      <c r="G171" s="3">
        <v>16568</v>
      </c>
      <c r="H171" s="3">
        <v>6041.7090171799618</v>
      </c>
      <c r="I171" s="3">
        <v>0</v>
      </c>
      <c r="J171" s="3">
        <v>0</v>
      </c>
      <c r="K171" s="3">
        <v>0</v>
      </c>
      <c r="L171" s="3">
        <v>0</v>
      </c>
      <c r="M171" s="3">
        <v>12780.538305572996</v>
      </c>
      <c r="N171" s="3">
        <f t="shared" si="2"/>
        <v>18822.247322752959</v>
      </c>
      <c r="O171" s="2"/>
    </row>
    <row r="172" spans="1:15" x14ac:dyDescent="0.3">
      <c r="A172">
        <v>1994</v>
      </c>
      <c r="B172" t="s">
        <v>35</v>
      </c>
      <c r="C172">
        <v>8</v>
      </c>
      <c r="D172" s="4">
        <f>Sect6197[[#This Row],[2023]]-Sect6197[[#This Row],[2022]]</f>
        <v>1197.6822495205415</v>
      </c>
      <c r="E172" s="4">
        <f>Sect6197[[#This Row],[2023]]-Sect6197[[#This Row],[2021]]</f>
        <v>763.68224952054152</v>
      </c>
      <c r="F172" s="3">
        <v>11090</v>
      </c>
      <c r="G172" s="3">
        <v>10656</v>
      </c>
      <c r="H172" s="3">
        <v>3758.4846157016354</v>
      </c>
      <c r="I172" s="3">
        <v>1445.5710060390904</v>
      </c>
      <c r="J172" s="3">
        <v>0</v>
      </c>
      <c r="K172" s="3">
        <v>0</v>
      </c>
      <c r="L172" s="3">
        <v>0</v>
      </c>
      <c r="M172" s="3">
        <v>6649.6266277798168</v>
      </c>
      <c r="N172" s="3">
        <f t="shared" si="2"/>
        <v>11853.682249520542</v>
      </c>
      <c r="O172" s="2"/>
    </row>
    <row r="173" spans="1:15" x14ac:dyDescent="0.3">
      <c r="A173">
        <v>2225</v>
      </c>
      <c r="B173" t="s">
        <v>232</v>
      </c>
      <c r="C173">
        <v>-3</v>
      </c>
      <c r="D173" s="4">
        <f>Sect6197[[#This Row],[2023]]-Sect6197[[#This Row],[2022]]</f>
        <v>159.70741178431399</v>
      </c>
      <c r="E173" s="4">
        <f>Sect6197[[#This Row],[2023]]-Sect6197[[#This Row],[2021]]</f>
        <v>-10.29258821568601</v>
      </c>
      <c r="F173" s="3">
        <v>4493</v>
      </c>
      <c r="G173" s="3">
        <v>4323</v>
      </c>
      <c r="H173" s="3">
        <v>1494.2358039281046</v>
      </c>
      <c r="I173" s="3">
        <v>0</v>
      </c>
      <c r="J173" s="3">
        <v>0</v>
      </c>
      <c r="K173" s="3">
        <v>0</v>
      </c>
      <c r="L173" s="3">
        <v>0</v>
      </c>
      <c r="M173" s="3">
        <v>2988.4716078562092</v>
      </c>
      <c r="N173" s="3">
        <f t="shared" si="2"/>
        <v>4482.707411784314</v>
      </c>
      <c r="O173" s="2"/>
    </row>
    <row r="174" spans="1:15" x14ac:dyDescent="0.3">
      <c r="A174">
        <v>2247</v>
      </c>
      <c r="B174" t="s">
        <v>158</v>
      </c>
      <c r="C174">
        <v>0</v>
      </c>
      <c r="D174" s="4">
        <f>Sect6197[[#This Row],[2023]]-Sect6197[[#This Row],[2022]]</f>
        <v>30.823804050795161</v>
      </c>
      <c r="E174" s="4">
        <f>Sect6197[[#This Row],[2023]]-Sect6197[[#This Row],[2021]]</f>
        <v>8.8238040507951609</v>
      </c>
      <c r="F174" s="3">
        <v>576</v>
      </c>
      <c r="G174" s="3">
        <v>554</v>
      </c>
      <c r="H174" s="3">
        <v>584.82380405079516</v>
      </c>
      <c r="I174" s="3">
        <v>0</v>
      </c>
      <c r="J174" s="3">
        <v>0</v>
      </c>
      <c r="K174" s="3">
        <v>0</v>
      </c>
      <c r="L174" s="3">
        <v>0</v>
      </c>
      <c r="M174" s="3">
        <v>0</v>
      </c>
      <c r="N174" s="3">
        <f t="shared" si="2"/>
        <v>584.82380405079516</v>
      </c>
      <c r="O174" s="2"/>
    </row>
    <row r="175" spans="1:15" x14ac:dyDescent="0.3">
      <c r="A175">
        <v>2083</v>
      </c>
      <c r="B175" t="s">
        <v>82</v>
      </c>
      <c r="C175">
        <v>55</v>
      </c>
      <c r="D175" s="4">
        <f>Sect6197[[#This Row],[2023]]-Sect6197[[#This Row],[2022]]</f>
        <v>12409.319377850567</v>
      </c>
      <c r="E175" s="4">
        <f>Sect6197[[#This Row],[2023]]-Sect6197[[#This Row],[2021]]</f>
        <v>9106.3193778505665</v>
      </c>
      <c r="F175" s="3">
        <v>88373</v>
      </c>
      <c r="G175" s="3">
        <v>85070</v>
      </c>
      <c r="H175" s="3">
        <v>25888.816528534837</v>
      </c>
      <c r="I175" s="3">
        <v>1056.6863889197894</v>
      </c>
      <c r="J175" s="3">
        <v>0</v>
      </c>
      <c r="K175" s="3">
        <v>0</v>
      </c>
      <c r="L175" s="3">
        <v>0</v>
      </c>
      <c r="M175" s="3">
        <v>70533.816460395945</v>
      </c>
      <c r="N175" s="3">
        <f t="shared" si="2"/>
        <v>97479.319377850567</v>
      </c>
      <c r="O175" s="2"/>
    </row>
    <row r="176" spans="1:15" x14ac:dyDescent="0.3">
      <c r="A176">
        <v>1948</v>
      </c>
      <c r="B176" t="s">
        <v>23</v>
      </c>
      <c r="C176">
        <v>-1</v>
      </c>
      <c r="D176" s="4">
        <f>Sect6197[[#This Row],[2023]]-Sect6197[[#This Row],[2022]]</f>
        <v>2670.7779837829949</v>
      </c>
      <c r="E176" s="4">
        <f>Sect6197[[#This Row],[2023]]-Sect6197[[#This Row],[2021]]</f>
        <v>1830.7779837829949</v>
      </c>
      <c r="F176" s="3">
        <v>22443</v>
      </c>
      <c r="G176" s="3">
        <v>21603</v>
      </c>
      <c r="H176" s="3">
        <v>6068.4444959457487</v>
      </c>
      <c r="I176" s="3">
        <v>6646.3915907977253</v>
      </c>
      <c r="J176" s="3">
        <v>0</v>
      </c>
      <c r="K176" s="3">
        <v>0</v>
      </c>
      <c r="L176" s="3">
        <v>0</v>
      </c>
      <c r="M176" s="3">
        <v>11558.94189703952</v>
      </c>
      <c r="N176" s="3">
        <f t="shared" si="2"/>
        <v>24273.777983782995</v>
      </c>
      <c r="O176" s="2"/>
    </row>
    <row r="177" spans="1:15" x14ac:dyDescent="0.3">
      <c r="A177">
        <v>2144</v>
      </c>
      <c r="B177" t="s">
        <v>117</v>
      </c>
      <c r="C177">
        <v>1</v>
      </c>
      <c r="D177" s="4">
        <f>Sect6197[[#This Row],[2023]]-Sect6197[[#This Row],[2022]]</f>
        <v>-60.763266012371105</v>
      </c>
      <c r="E177" s="4">
        <f>Sect6197[[#This Row],[2023]]-Sect6197[[#This Row],[2021]]</f>
        <v>-98.763266012371105</v>
      </c>
      <c r="F177" s="3">
        <v>1634</v>
      </c>
      <c r="G177" s="3">
        <v>1596</v>
      </c>
      <c r="H177" s="3">
        <v>0</v>
      </c>
      <c r="I177" s="3">
        <v>767.61836699381445</v>
      </c>
      <c r="J177" s="3">
        <v>0</v>
      </c>
      <c r="K177" s="3">
        <v>0</v>
      </c>
      <c r="L177" s="3">
        <v>0</v>
      </c>
      <c r="M177" s="3">
        <v>767.61836699381445</v>
      </c>
      <c r="N177" s="3">
        <f t="shared" si="2"/>
        <v>1535.2367339876289</v>
      </c>
      <c r="O177" s="2"/>
    </row>
    <row r="178" spans="1:15" x14ac:dyDescent="0.3">
      <c r="A178">
        <v>2209</v>
      </c>
      <c r="B178" t="s">
        <v>139</v>
      </c>
      <c r="C178">
        <v>0</v>
      </c>
      <c r="D178" s="4">
        <f>Sect6197[[#This Row],[2023]]-Sect6197[[#This Row],[2022]]</f>
        <v>45.474398034781188</v>
      </c>
      <c r="E178" s="4">
        <f>Sect6197[[#This Row],[2023]]-Sect6197[[#This Row],[2021]]</f>
        <v>-85.525601965218812</v>
      </c>
      <c r="F178" s="3">
        <v>3197</v>
      </c>
      <c r="G178" s="3">
        <v>3066</v>
      </c>
      <c r="H178" s="3">
        <v>622.29487960695633</v>
      </c>
      <c r="I178" s="3">
        <v>622.29487960695633</v>
      </c>
      <c r="J178" s="3">
        <v>0</v>
      </c>
      <c r="K178" s="3">
        <v>0</v>
      </c>
      <c r="L178" s="3">
        <v>0</v>
      </c>
      <c r="M178" s="3">
        <v>1866.8846388208688</v>
      </c>
      <c r="N178" s="3">
        <f t="shared" si="2"/>
        <v>3111.4743980347812</v>
      </c>
      <c r="O178" s="2"/>
    </row>
    <row r="179" spans="1:15" x14ac:dyDescent="0.3">
      <c r="A179">
        <v>2018</v>
      </c>
      <c r="B179" t="s">
        <v>55</v>
      </c>
      <c r="C179">
        <v>0</v>
      </c>
      <c r="D179" s="4">
        <f>Sect6197[[#This Row],[2023]]-Sect6197[[#This Row],[2022]]</f>
        <v>-95104</v>
      </c>
      <c r="E179" s="4">
        <f>Sect6197[[#This Row],[2023]]-Sect6197[[#This Row],[2021]]</f>
        <v>-2</v>
      </c>
      <c r="F179" s="3">
        <v>2</v>
      </c>
      <c r="G179" s="3">
        <v>95104</v>
      </c>
      <c r="H179" s="3">
        <v>0</v>
      </c>
      <c r="I179" s="3">
        <v>0</v>
      </c>
      <c r="J179" s="3">
        <v>0</v>
      </c>
      <c r="K179" s="3">
        <v>0</v>
      </c>
      <c r="L179" s="3">
        <v>0</v>
      </c>
      <c r="M179" s="3">
        <v>0</v>
      </c>
      <c r="N179" s="3">
        <f t="shared" si="2"/>
        <v>0</v>
      </c>
      <c r="O179" s="2"/>
    </row>
    <row r="180" spans="1:15" x14ac:dyDescent="0.3">
      <c r="A180">
        <v>2003</v>
      </c>
      <c r="B180" t="s">
        <v>43</v>
      </c>
      <c r="C180">
        <v>-10</v>
      </c>
      <c r="D180" s="4">
        <f>Sect6197[[#This Row],[2023]]-Sect6197[[#This Row],[2022]]</f>
        <v>906.61854604909604</v>
      </c>
      <c r="E180" s="4">
        <f>Sect6197[[#This Row],[2023]]-Sect6197[[#This Row],[2021]]</f>
        <v>609.61854604909604</v>
      </c>
      <c r="F180" s="3">
        <v>8576</v>
      </c>
      <c r="G180" s="3">
        <v>8279</v>
      </c>
      <c r="H180" s="3">
        <v>2624.4624417283135</v>
      </c>
      <c r="I180" s="3">
        <v>1312.2312208641567</v>
      </c>
      <c r="J180" s="3">
        <v>0</v>
      </c>
      <c r="K180" s="3">
        <v>0</v>
      </c>
      <c r="L180" s="3">
        <v>0</v>
      </c>
      <c r="M180" s="3">
        <v>5248.924883456627</v>
      </c>
      <c r="N180" s="3">
        <f t="shared" si="2"/>
        <v>9185.618546049096</v>
      </c>
      <c r="O180" s="2"/>
    </row>
    <row r="181" spans="1:15" x14ac:dyDescent="0.3">
      <c r="A181">
        <v>2102</v>
      </c>
      <c r="B181" t="s">
        <v>97</v>
      </c>
      <c r="C181">
        <v>5</v>
      </c>
      <c r="D181" s="4">
        <f>Sect6197[[#This Row],[2023]]-Sect6197[[#This Row],[2022]]</f>
        <v>1066.5120091829322</v>
      </c>
      <c r="E181" s="4">
        <f>Sect6197[[#This Row],[2023]]-Sect6197[[#This Row],[2021]]</f>
        <v>618.51200918293216</v>
      </c>
      <c r="F181" s="3">
        <v>12491</v>
      </c>
      <c r="G181" s="3">
        <v>12043</v>
      </c>
      <c r="H181" s="3">
        <v>4916.0670034435998</v>
      </c>
      <c r="I181" s="3">
        <v>1638.6890011478665</v>
      </c>
      <c r="J181" s="3">
        <v>0</v>
      </c>
      <c r="K181" s="3">
        <v>0</v>
      </c>
      <c r="L181" s="3">
        <v>0</v>
      </c>
      <c r="M181" s="3">
        <v>6554.7560045914661</v>
      </c>
      <c r="N181" s="3">
        <f t="shared" si="2"/>
        <v>13109.512009182932</v>
      </c>
      <c r="O181" s="2"/>
    </row>
    <row r="182" spans="1:15" x14ac:dyDescent="0.3">
      <c r="A182">
        <v>2055</v>
      </c>
      <c r="B182" t="s">
        <v>233</v>
      </c>
      <c r="C182">
        <v>6</v>
      </c>
      <c r="D182" s="4">
        <f>Sect6197[[#This Row],[2023]]-Sect6197[[#This Row],[2022]]</f>
        <v>1423.4765037392717</v>
      </c>
      <c r="E182" s="4">
        <f>Sect6197[[#This Row],[2023]]-Sect6197[[#This Row],[2021]]</f>
        <v>53.47650373927172</v>
      </c>
      <c r="F182" s="3">
        <v>36651</v>
      </c>
      <c r="G182" s="3">
        <v>35281</v>
      </c>
      <c r="H182" s="3">
        <v>7340.895300747854</v>
      </c>
      <c r="I182" s="3">
        <v>8717.3131696380769</v>
      </c>
      <c r="J182" s="3">
        <v>0</v>
      </c>
      <c r="K182" s="3">
        <v>0</v>
      </c>
      <c r="L182" s="3">
        <v>0</v>
      </c>
      <c r="M182" s="3">
        <v>20646.268033353339</v>
      </c>
      <c r="N182" s="3">
        <f t="shared" si="2"/>
        <v>36704.476503739272</v>
      </c>
      <c r="O182" s="2"/>
    </row>
    <row r="183" spans="1:15" x14ac:dyDescent="0.3">
      <c r="A183">
        <v>2242</v>
      </c>
      <c r="B183" t="s">
        <v>154</v>
      </c>
      <c r="C183">
        <v>-21</v>
      </c>
      <c r="D183" s="4">
        <f>Sect6197[[#This Row],[2023]]-Sect6197[[#This Row],[2022]]</f>
        <v>2726.2247874860041</v>
      </c>
      <c r="E183" s="4">
        <f>Sect6197[[#This Row],[2023]]-Sect6197[[#This Row],[2021]]</f>
        <v>925.22478748600406</v>
      </c>
      <c r="F183" s="3">
        <v>50544</v>
      </c>
      <c r="G183" s="3">
        <v>48743</v>
      </c>
      <c r="H183" s="3">
        <v>11795.030680465543</v>
      </c>
      <c r="I183" s="3">
        <v>9650.4796476536249</v>
      </c>
      <c r="J183" s="3">
        <v>0</v>
      </c>
      <c r="K183" s="3">
        <v>0</v>
      </c>
      <c r="L183" s="3">
        <v>0</v>
      </c>
      <c r="M183" s="3">
        <v>30023.714459366834</v>
      </c>
      <c r="N183" s="3">
        <f t="shared" si="2"/>
        <v>51469.224787486004</v>
      </c>
      <c r="O183" s="2"/>
    </row>
    <row r="184" spans="1:15" x14ac:dyDescent="0.3">
      <c r="A184">
        <v>2197</v>
      </c>
      <c r="B184" t="s">
        <v>133</v>
      </c>
      <c r="C184">
        <v>-13</v>
      </c>
      <c r="D184" s="4">
        <f>Sect6197[[#This Row],[2023]]-Sect6197[[#This Row],[2022]]</f>
        <v>342.08364348864052</v>
      </c>
      <c r="E184" s="4">
        <f>Sect6197[[#This Row],[2023]]-Sect6197[[#This Row],[2021]]</f>
        <v>-102.91635651135948</v>
      </c>
      <c r="F184" s="3">
        <v>11990</v>
      </c>
      <c r="G184" s="3">
        <v>11545</v>
      </c>
      <c r="H184" s="3">
        <v>2773.6528501473495</v>
      </c>
      <c r="I184" s="3">
        <v>1981.1806072481068</v>
      </c>
      <c r="J184" s="3">
        <v>0</v>
      </c>
      <c r="K184" s="3">
        <v>0</v>
      </c>
      <c r="L184" s="3">
        <v>0</v>
      </c>
      <c r="M184" s="3">
        <v>7132.2501860931843</v>
      </c>
      <c r="N184" s="3">
        <f t="shared" si="2"/>
        <v>11887.083643488641</v>
      </c>
      <c r="O184" s="2"/>
    </row>
    <row r="185" spans="1:15" x14ac:dyDescent="0.3">
      <c r="A185">
        <v>2222</v>
      </c>
      <c r="B185" t="s">
        <v>149</v>
      </c>
      <c r="C185">
        <v>0</v>
      </c>
      <c r="D185" s="4">
        <f>Sect6197[[#This Row],[2023]]-Sect6197[[#This Row],[2022]]</f>
        <v>-11307</v>
      </c>
      <c r="E185" s="4">
        <f>Sect6197[[#This Row],[2023]]-Sect6197[[#This Row],[2021]]</f>
        <v>-1</v>
      </c>
      <c r="F185" s="3">
        <v>1</v>
      </c>
      <c r="G185" s="3">
        <v>11307</v>
      </c>
      <c r="H185" s="3">
        <v>0</v>
      </c>
      <c r="I185" s="3">
        <v>0</v>
      </c>
      <c r="J185" s="3">
        <v>0</v>
      </c>
      <c r="K185" s="3">
        <v>0</v>
      </c>
      <c r="L185" s="3">
        <v>0</v>
      </c>
      <c r="M185" s="3">
        <v>0</v>
      </c>
      <c r="N185" s="3">
        <f t="shared" si="2"/>
        <v>0</v>
      </c>
      <c r="O185" s="2"/>
    </row>
    <row r="186" spans="1:15" x14ac:dyDescent="0.3">
      <c r="A186">
        <v>2210</v>
      </c>
      <c r="B186" t="s">
        <v>234</v>
      </c>
      <c r="C186">
        <v>0</v>
      </c>
      <c r="D186" s="4">
        <f>Sect6197[[#This Row],[2023]]-Sect6197[[#This Row],[2022]]</f>
        <v>-22185</v>
      </c>
      <c r="E186" s="4">
        <f>Sect6197[[#This Row],[2023]]-Sect6197[[#This Row],[2021]]</f>
        <v>-15</v>
      </c>
      <c r="F186" s="3">
        <v>15</v>
      </c>
      <c r="G186" s="3">
        <v>22185</v>
      </c>
      <c r="H186" s="3">
        <v>0</v>
      </c>
      <c r="I186" s="3">
        <v>0</v>
      </c>
      <c r="J186" s="3">
        <v>0</v>
      </c>
      <c r="K186" s="3">
        <v>0</v>
      </c>
      <c r="L186" s="3">
        <v>0</v>
      </c>
      <c r="M186" s="3">
        <v>0</v>
      </c>
      <c r="N186" s="3">
        <f t="shared" si="2"/>
        <v>0</v>
      </c>
      <c r="O186" s="2"/>
    </row>
    <row r="187" spans="1:15" x14ac:dyDescent="0.3">
      <c r="A187">
        <v>2204</v>
      </c>
      <c r="B187" t="s">
        <v>235</v>
      </c>
      <c r="C187">
        <v>-1</v>
      </c>
      <c r="D187" s="4">
        <f>Sect6197[[#This Row],[2023]]-Sect6197[[#This Row],[2022]]</f>
        <v>600.96832731956238</v>
      </c>
      <c r="E187" s="4">
        <f>Sect6197[[#This Row],[2023]]-Sect6197[[#This Row],[2021]]</f>
        <v>403.96832731956238</v>
      </c>
      <c r="F187" s="3">
        <v>6680</v>
      </c>
      <c r="G187" s="3">
        <v>6483</v>
      </c>
      <c r="H187" s="3">
        <v>3199.2115026604479</v>
      </c>
      <c r="I187" s="3">
        <v>228.5151073328891</v>
      </c>
      <c r="J187" s="3">
        <v>0</v>
      </c>
      <c r="K187" s="3">
        <v>0</v>
      </c>
      <c r="L187" s="3">
        <v>0</v>
      </c>
      <c r="M187" s="3">
        <v>3656.2417173262256</v>
      </c>
      <c r="N187" s="3">
        <f t="shared" si="2"/>
        <v>7083.9683273195624</v>
      </c>
      <c r="O187" s="2"/>
    </row>
    <row r="188" spans="1:15" x14ac:dyDescent="0.3">
      <c r="A188">
        <v>2213</v>
      </c>
      <c r="B188" t="s">
        <v>141</v>
      </c>
      <c r="C188">
        <v>1</v>
      </c>
      <c r="D188" s="4">
        <f>Sect6197[[#This Row],[2023]]-Sect6197[[#This Row],[2022]]</f>
        <v>38.417204980003135</v>
      </c>
      <c r="E188" s="4">
        <f>Sect6197[[#This Row],[2023]]-Sect6197[[#This Row],[2021]]</f>
        <v>45.417204980003135</v>
      </c>
      <c r="F188" s="3">
        <v>685</v>
      </c>
      <c r="G188" s="3">
        <v>692</v>
      </c>
      <c r="H188" s="3">
        <v>121.73620083000051</v>
      </c>
      <c r="I188" s="3">
        <v>0</v>
      </c>
      <c r="J188" s="3">
        <v>0</v>
      </c>
      <c r="K188" s="3">
        <v>0</v>
      </c>
      <c r="L188" s="3">
        <v>0</v>
      </c>
      <c r="M188" s="3">
        <v>608.68100415000265</v>
      </c>
      <c r="N188" s="3">
        <f t="shared" si="2"/>
        <v>730.41720498000313</v>
      </c>
      <c r="O188" s="2"/>
    </row>
    <row r="189" spans="1:15" x14ac:dyDescent="0.3">
      <c r="A189">
        <v>2116</v>
      </c>
      <c r="B189" t="s">
        <v>109</v>
      </c>
      <c r="C189">
        <v>5</v>
      </c>
      <c r="D189" s="4">
        <f>Sect6197[[#This Row],[2023]]-Sect6197[[#This Row],[2022]]</f>
        <v>424.66695980096483</v>
      </c>
      <c r="E189" s="4">
        <f>Sect6197[[#This Row],[2023]]-Sect6197[[#This Row],[2021]]</f>
        <v>348.66695980096483</v>
      </c>
      <c r="F189" s="3">
        <v>2491</v>
      </c>
      <c r="G189" s="3">
        <v>2415</v>
      </c>
      <c r="H189" s="3">
        <v>1161.6819381003947</v>
      </c>
      <c r="I189" s="3">
        <v>0</v>
      </c>
      <c r="J189" s="3">
        <v>0</v>
      </c>
      <c r="K189" s="3">
        <v>0</v>
      </c>
      <c r="L189" s="3">
        <v>0</v>
      </c>
      <c r="M189" s="3">
        <v>1677.9850217005703</v>
      </c>
      <c r="N189" s="3">
        <f t="shared" si="2"/>
        <v>2839.6669598009648</v>
      </c>
      <c r="O189" s="2"/>
    </row>
    <row r="190" spans="1:15" x14ac:dyDescent="0.3">
      <c r="A190">
        <v>1947</v>
      </c>
      <c r="B190" t="s">
        <v>22</v>
      </c>
      <c r="C190">
        <v>-7</v>
      </c>
      <c r="D190" s="4">
        <f>Sect6197[[#This Row],[2023]]-Sect6197[[#This Row],[2022]]</f>
        <v>79.531591089558788</v>
      </c>
      <c r="E190" s="4">
        <f>Sect6197[[#This Row],[2023]]-Sect6197[[#This Row],[2021]]</f>
        <v>-159.46840891044121</v>
      </c>
      <c r="F190" s="3">
        <v>5652</v>
      </c>
      <c r="G190" s="3">
        <v>5413</v>
      </c>
      <c r="H190" s="3">
        <v>0</v>
      </c>
      <c r="I190" s="3">
        <v>0</v>
      </c>
      <c r="J190" s="3">
        <v>0</v>
      </c>
      <c r="K190" s="3">
        <v>0</v>
      </c>
      <c r="L190" s="3">
        <v>0</v>
      </c>
      <c r="M190" s="3">
        <v>5492.5315910895588</v>
      </c>
      <c r="N190" s="3">
        <f t="shared" si="2"/>
        <v>5492.5315910895588</v>
      </c>
      <c r="O190" s="2"/>
    </row>
    <row r="191" spans="1:15" x14ac:dyDescent="0.3">
      <c r="A191">
        <v>2220</v>
      </c>
      <c r="B191" t="s">
        <v>147</v>
      </c>
      <c r="C191">
        <v>1</v>
      </c>
      <c r="D191" s="4">
        <f>Sect6197[[#This Row],[2023]]-Sect6197[[#This Row],[2022]]</f>
        <v>177.65114878906024</v>
      </c>
      <c r="E191" s="4">
        <f>Sect6197[[#This Row],[2023]]-Sect6197[[#This Row],[2021]]</f>
        <v>87.651148789060244</v>
      </c>
      <c r="F191" s="3">
        <v>2055</v>
      </c>
      <c r="G191" s="3">
        <v>1965</v>
      </c>
      <c r="H191" s="3">
        <v>857.06045951562407</v>
      </c>
      <c r="I191" s="3">
        <v>0</v>
      </c>
      <c r="J191" s="3">
        <v>0</v>
      </c>
      <c r="K191" s="3">
        <v>0</v>
      </c>
      <c r="L191" s="3">
        <v>0</v>
      </c>
      <c r="M191" s="3">
        <v>1285.5906892734361</v>
      </c>
      <c r="N191" s="3">
        <f t="shared" si="2"/>
        <v>2142.6511487890602</v>
      </c>
      <c r="O191" s="2"/>
    </row>
    <row r="192" spans="1:15" x14ac:dyDescent="0.3">
      <c r="A192">
        <v>1936</v>
      </c>
      <c r="B192" t="s">
        <v>236</v>
      </c>
      <c r="C192">
        <v>-6</v>
      </c>
      <c r="D192" s="4">
        <f>Sect6197[[#This Row],[2023]]-Sect6197[[#This Row],[2022]]</f>
        <v>585.13856765717537</v>
      </c>
      <c r="E192" s="4">
        <f>Sect6197[[#This Row],[2023]]-Sect6197[[#This Row],[2021]]</f>
        <v>380.13856765717537</v>
      </c>
      <c r="F192" s="3">
        <v>5448</v>
      </c>
      <c r="G192" s="3">
        <v>5243</v>
      </c>
      <c r="H192" s="3">
        <v>971.35642794286241</v>
      </c>
      <c r="I192" s="3">
        <v>728.51732095714692</v>
      </c>
      <c r="J192" s="3">
        <v>0</v>
      </c>
      <c r="K192" s="3">
        <v>0</v>
      </c>
      <c r="L192" s="3">
        <v>0</v>
      </c>
      <c r="M192" s="3">
        <v>4128.2648187571658</v>
      </c>
      <c r="N192" s="3">
        <f t="shared" si="2"/>
        <v>5828.1385676571754</v>
      </c>
      <c r="O192" s="2"/>
    </row>
    <row r="193" spans="1:15" x14ac:dyDescent="0.3">
      <c r="A193">
        <v>1922</v>
      </c>
      <c r="B193" t="s">
        <v>237</v>
      </c>
      <c r="C193">
        <v>-10</v>
      </c>
      <c r="D193" s="4">
        <f>Sect6197[[#This Row],[2023]]-Sect6197[[#This Row],[2022]]</f>
        <v>-279.86159552458412</v>
      </c>
      <c r="E193" s="4">
        <f>Sect6197[[#This Row],[2023]]-Sect6197[[#This Row],[2021]]</f>
        <v>-1255.8615955245841</v>
      </c>
      <c r="F193" s="3">
        <v>32237</v>
      </c>
      <c r="G193" s="3">
        <v>31261</v>
      </c>
      <c r="H193" s="3">
        <v>5602.9718391072556</v>
      </c>
      <c r="I193" s="3">
        <v>8239.6644692753762</v>
      </c>
      <c r="J193" s="3">
        <v>0</v>
      </c>
      <c r="K193" s="3">
        <v>0</v>
      </c>
      <c r="L193" s="3">
        <v>0</v>
      </c>
      <c r="M193" s="3">
        <v>17138.502096092783</v>
      </c>
      <c r="N193" s="3">
        <f t="shared" si="2"/>
        <v>30981.138404475416</v>
      </c>
      <c r="O193" s="2"/>
    </row>
    <row r="194" spans="1:15" x14ac:dyDescent="0.3">
      <c r="A194">
        <v>2255</v>
      </c>
      <c r="B194" t="s">
        <v>164</v>
      </c>
      <c r="C194">
        <v>-4</v>
      </c>
      <c r="D194" s="4">
        <f>Sect6197[[#This Row],[2023]]-Sect6197[[#This Row],[2022]]</f>
        <v>29.005059064815214</v>
      </c>
      <c r="E194" s="4">
        <f>Sect6197[[#This Row],[2023]]-Sect6197[[#This Row],[2021]]</f>
        <v>-330.99494093518479</v>
      </c>
      <c r="F194" s="3">
        <v>8894</v>
      </c>
      <c r="G194" s="3">
        <v>8534</v>
      </c>
      <c r="H194" s="3">
        <v>0</v>
      </c>
      <c r="I194" s="3">
        <v>2140.7512647662038</v>
      </c>
      <c r="J194" s="3">
        <v>0</v>
      </c>
      <c r="K194" s="3">
        <v>0</v>
      </c>
      <c r="L194" s="3">
        <v>0</v>
      </c>
      <c r="M194" s="3">
        <v>6422.253794298611</v>
      </c>
      <c r="N194" s="3">
        <f t="shared" ref="N194:N202" si="3">SUM(H194:M194)</f>
        <v>8563.0050590648152</v>
      </c>
      <c r="O194" s="2"/>
    </row>
    <row r="195" spans="1:15" x14ac:dyDescent="0.3">
      <c r="A195">
        <v>2002</v>
      </c>
      <c r="B195" t="s">
        <v>42</v>
      </c>
      <c r="C195">
        <v>10</v>
      </c>
      <c r="D195" s="4">
        <f>Sect6197[[#This Row],[2023]]-Sect6197[[#This Row],[2022]]</f>
        <v>1941.5747825948511</v>
      </c>
      <c r="E195" s="4">
        <f>Sect6197[[#This Row],[2023]]-Sect6197[[#This Row],[2021]]</f>
        <v>1381.5747825948511</v>
      </c>
      <c r="F195" s="3">
        <v>14355</v>
      </c>
      <c r="G195" s="3">
        <v>13795</v>
      </c>
      <c r="H195" s="3">
        <v>2969.1650533197831</v>
      </c>
      <c r="I195" s="3">
        <v>593.83301066395654</v>
      </c>
      <c r="J195" s="3">
        <v>0</v>
      </c>
      <c r="K195" s="3">
        <v>0</v>
      </c>
      <c r="L195" s="3">
        <v>0</v>
      </c>
      <c r="M195" s="3">
        <v>12173.576718611112</v>
      </c>
      <c r="N195" s="3">
        <f t="shared" si="3"/>
        <v>15736.574782594851</v>
      </c>
      <c r="O195" s="2"/>
    </row>
    <row r="196" spans="1:15" x14ac:dyDescent="0.3">
      <c r="A196">
        <v>2146</v>
      </c>
      <c r="B196" t="s">
        <v>119</v>
      </c>
      <c r="C196">
        <v>16</v>
      </c>
      <c r="D196" s="4">
        <f>Sect6197[[#This Row],[2023]]-Sect6197[[#This Row],[2022]]</f>
        <v>678.20129041247128</v>
      </c>
      <c r="E196" s="4">
        <f>Sect6197[[#This Row],[2023]]-Sect6197[[#This Row],[2021]]</f>
        <v>410.20129041247128</v>
      </c>
      <c r="F196" s="3">
        <v>16523</v>
      </c>
      <c r="G196" s="3">
        <v>16255</v>
      </c>
      <c r="H196" s="3">
        <v>3782.9492244538492</v>
      </c>
      <c r="I196" s="3">
        <v>5404.2131777912145</v>
      </c>
      <c r="J196" s="3">
        <v>0</v>
      </c>
      <c r="K196" s="3">
        <v>0</v>
      </c>
      <c r="L196" s="3">
        <v>0</v>
      </c>
      <c r="M196" s="3">
        <v>7746.0388881674062</v>
      </c>
      <c r="N196" s="3">
        <f t="shared" si="3"/>
        <v>16933.201290412471</v>
      </c>
      <c r="O196" s="2"/>
    </row>
    <row r="197" spans="1:15" x14ac:dyDescent="0.3">
      <c r="A197">
        <v>2251</v>
      </c>
      <c r="B197" t="s">
        <v>238</v>
      </c>
      <c r="C197">
        <v>-5</v>
      </c>
      <c r="D197" s="4">
        <f>Sect6197[[#This Row],[2023]]-Sect6197[[#This Row],[2022]]</f>
        <v>-148.05678428757983</v>
      </c>
      <c r="E197" s="4">
        <f>Sect6197[[#This Row],[2023]]-Sect6197[[#This Row],[2021]]</f>
        <v>-376.05678428757983</v>
      </c>
      <c r="F197" s="3">
        <v>6353</v>
      </c>
      <c r="G197" s="3">
        <v>6125</v>
      </c>
      <c r="H197" s="3">
        <v>0</v>
      </c>
      <c r="I197" s="3">
        <v>1494.235803928105</v>
      </c>
      <c r="J197" s="3">
        <v>0</v>
      </c>
      <c r="K197" s="3">
        <v>0</v>
      </c>
      <c r="L197" s="3">
        <v>0</v>
      </c>
      <c r="M197" s="3">
        <v>4482.7074117843149</v>
      </c>
      <c r="N197" s="3">
        <f t="shared" si="3"/>
        <v>5976.9432157124202</v>
      </c>
      <c r="O197" s="2"/>
    </row>
    <row r="198" spans="1:15" x14ac:dyDescent="0.3">
      <c r="A198">
        <v>1997</v>
      </c>
      <c r="B198" t="s">
        <v>37</v>
      </c>
      <c r="C198">
        <v>1</v>
      </c>
      <c r="D198" s="4">
        <f>Sect6197[[#This Row],[2023]]-Sect6197[[#This Row],[2022]]</f>
        <v>202.65300890810795</v>
      </c>
      <c r="E198" s="4">
        <f>Sect6197[[#This Row],[2023]]-Sect6197[[#This Row],[2021]]</f>
        <v>135.65300890810795</v>
      </c>
      <c r="F198" s="3">
        <v>2089</v>
      </c>
      <c r="G198" s="3">
        <v>2022</v>
      </c>
      <c r="H198" s="3">
        <v>0</v>
      </c>
      <c r="I198" s="3">
        <v>0</v>
      </c>
      <c r="J198" s="3">
        <v>0</v>
      </c>
      <c r="K198" s="3">
        <v>0</v>
      </c>
      <c r="L198" s="3">
        <v>0</v>
      </c>
      <c r="M198" s="3">
        <v>2224.6530089081079</v>
      </c>
      <c r="N198" s="3">
        <f t="shared" si="3"/>
        <v>2224.6530089081079</v>
      </c>
      <c r="O198" s="2"/>
    </row>
    <row r="199" spans="1:15" x14ac:dyDescent="0.3">
      <c r="A199">
        <v>3476</v>
      </c>
      <c r="B199" t="s">
        <v>239</v>
      </c>
      <c r="C199">
        <v>0</v>
      </c>
      <c r="D199" s="4">
        <f>Sect6197[[#This Row],[2023]]-Sect6197[[#This Row],[2022]]</f>
        <v>0</v>
      </c>
      <c r="E199" s="4">
        <f>Sect6197[[#This Row],[2023]]-Sect6197[[#This Row],[2021]]</f>
        <v>0</v>
      </c>
      <c r="F199" s="3">
        <v>0</v>
      </c>
      <c r="G199" s="3">
        <v>0</v>
      </c>
      <c r="H199" s="3">
        <v>0</v>
      </c>
      <c r="I199" s="3">
        <v>0</v>
      </c>
      <c r="J199" s="3">
        <v>0</v>
      </c>
      <c r="K199" s="3">
        <v>0</v>
      </c>
      <c r="L199" s="3">
        <v>0</v>
      </c>
      <c r="M199" s="3">
        <v>0</v>
      </c>
      <c r="N199" s="3">
        <f t="shared" si="3"/>
        <v>0</v>
      </c>
      <c r="O199" s="2"/>
    </row>
    <row r="200" spans="1:15" x14ac:dyDescent="0.3">
      <c r="A200">
        <v>3477</v>
      </c>
      <c r="B200" t="s">
        <v>240</v>
      </c>
      <c r="C200">
        <v>0</v>
      </c>
      <c r="D200" s="4">
        <f>Sect6197[[#This Row],[2023]]-Sect6197[[#This Row],[2022]]</f>
        <v>0</v>
      </c>
      <c r="E200" s="4">
        <f>Sect6197[[#This Row],[2023]]-Sect6197[[#This Row],[2021]]</f>
        <v>0</v>
      </c>
      <c r="F200" s="3">
        <v>0</v>
      </c>
      <c r="G200" s="3">
        <v>0</v>
      </c>
      <c r="H200" s="3">
        <v>0</v>
      </c>
      <c r="I200" s="3">
        <v>0</v>
      </c>
      <c r="J200" s="3">
        <v>0</v>
      </c>
      <c r="K200" s="3">
        <v>0</v>
      </c>
      <c r="L200" s="3">
        <v>0</v>
      </c>
      <c r="M200" s="3">
        <v>0</v>
      </c>
      <c r="N200" s="3">
        <f t="shared" si="3"/>
        <v>0</v>
      </c>
      <c r="O200" s="2"/>
    </row>
    <row r="201" spans="1:15" x14ac:dyDescent="0.3">
      <c r="A201">
        <v>2332</v>
      </c>
      <c r="B201" t="s">
        <v>241</v>
      </c>
      <c r="C201">
        <v>0</v>
      </c>
      <c r="D201" s="4">
        <f>Sect6197[[#This Row],[2023]]-Sect6197[[#This Row],[2022]]</f>
        <v>0</v>
      </c>
      <c r="E201" s="4">
        <f>Sect6197[[#This Row],[2023]]-Sect6197[[#This Row],[2021]]</f>
        <v>0</v>
      </c>
      <c r="F201" s="3">
        <v>0</v>
      </c>
      <c r="G201" s="3">
        <v>0</v>
      </c>
      <c r="H201" s="3">
        <v>0</v>
      </c>
      <c r="I201" s="3">
        <v>0</v>
      </c>
      <c r="J201" s="3">
        <v>0</v>
      </c>
      <c r="K201" s="3">
        <v>0</v>
      </c>
      <c r="L201" s="3">
        <v>0</v>
      </c>
      <c r="M201" s="3">
        <v>0</v>
      </c>
      <c r="N201" s="3">
        <f t="shared" si="3"/>
        <v>0</v>
      </c>
      <c r="O201" s="2"/>
    </row>
    <row r="202" spans="1:15" x14ac:dyDescent="0.3">
      <c r="B202" t="s">
        <v>182</v>
      </c>
      <c r="C202">
        <v>0</v>
      </c>
      <c r="D202" s="4">
        <f>Sect6197[[#This Row],[2023]]-Sect6197[[#This Row],[2022]]</f>
        <v>1</v>
      </c>
      <c r="E202" s="4">
        <f>Sect6197[[#This Row],[2023]]-Sect6197[[#This Row],[2021]]</f>
        <v>-9</v>
      </c>
      <c r="F202" s="3">
        <v>353</v>
      </c>
      <c r="G202" s="3">
        <v>343</v>
      </c>
      <c r="H202" s="3">
        <v>344</v>
      </c>
      <c r="I202" s="3">
        <v>0</v>
      </c>
      <c r="J202" s="3">
        <v>0</v>
      </c>
      <c r="K202" s="3">
        <v>0</v>
      </c>
      <c r="L202" s="3">
        <v>0</v>
      </c>
      <c r="M202" s="3">
        <v>0</v>
      </c>
      <c r="N202" s="3">
        <f t="shared" si="3"/>
        <v>344</v>
      </c>
      <c r="O202" s="2"/>
    </row>
    <row r="203" spans="1:15" s="2" customFormat="1" x14ac:dyDescent="0.3">
      <c r="B203" t="s">
        <v>184</v>
      </c>
      <c r="C203">
        <f>SUBTOTAL(109,Sect6197[Kid Count (+/-)])</f>
        <v>952</v>
      </c>
      <c r="D203"/>
      <c r="E203" s="27"/>
      <c r="F203" s="27">
        <f>SUBTOTAL(109,Sect6197[2021])</f>
        <v>3080421</v>
      </c>
      <c r="G203" s="27">
        <f>SUBTOTAL(109,Sect6197[2022])</f>
        <v>3115108</v>
      </c>
      <c r="H203" s="4">
        <f>SUBTOTAL(109,Sect6197[District])</f>
        <v>768314.26129036699</v>
      </c>
      <c r="I203" s="4">
        <f>SUBTOTAL(109,Sect6197[Regional])</f>
        <v>535758.27818848868</v>
      </c>
      <c r="J203" s="4">
        <f>SUBTOTAL(109,Sect6197[OSD])</f>
        <v>626.00380364392652</v>
      </c>
      <c r="K203" s="4">
        <f>SUBTOTAL(109,Sect6197[LTCT])</f>
        <v>453.02920847437059</v>
      </c>
      <c r="L203" s="4">
        <f>SUBTOTAL(109,Sect6197[Hospital])</f>
        <v>0</v>
      </c>
      <c r="M203" s="4">
        <f>SUBTOTAL(109,Sect6197[ECSE])</f>
        <v>1871269.746031899</v>
      </c>
      <c r="N203" s="4">
        <f>SUBTOTAL(109,Sect6197[2023])</f>
        <v>3176421.3185228715</v>
      </c>
      <c r="O203" s="5"/>
    </row>
    <row r="204" spans="1:15" hidden="1" x14ac:dyDescent="0.3">
      <c r="B204" s="2"/>
      <c r="C204" s="5"/>
      <c r="D204" s="5"/>
      <c r="E204" s="5"/>
    </row>
  </sheetData>
  <sheetProtection sort="0" autoFilter="0"/>
  <phoneticPr fontId="9" type="noConversion"/>
  <conditionalFormatting sqref="D2:D202">
    <cfRule type="cellIs" dxfId="3" priority="4" operator="lessThan">
      <formula>0</formula>
    </cfRule>
    <cfRule type="cellIs" dxfId="2" priority="5" operator="greaterThan">
      <formula>1</formula>
    </cfRule>
  </conditionalFormatting>
  <conditionalFormatting sqref="E2:E202">
    <cfRule type="cellIs" dxfId="1" priority="2" operator="lessThan">
      <formula>1</formula>
    </cfRule>
    <cfRule type="cellIs" dxfId="0" priority="3" operator="greaterThan">
      <formula>1</formula>
    </cfRule>
  </conditionalFormatting>
  <conditionalFormatting sqref="C2:C203">
    <cfRule type="iconSet" priority="1">
      <iconSet iconSet="3Arrows">
        <cfvo type="percent" val="0"/>
        <cfvo type="num" val="-1"/>
        <cfvo type="num" val="1"/>
      </iconSet>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04"/>
  <sheetViews>
    <sheetView workbookViewId="0"/>
  </sheetViews>
  <sheetFormatPr defaultColWidth="0" defaultRowHeight="13" zeroHeight="1" x14ac:dyDescent="0.3"/>
  <cols>
    <col min="1" max="1" width="7.296875" customWidth="1"/>
    <col min="2" max="2" width="30.296875" customWidth="1"/>
    <col min="3" max="10" width="16.296875" customWidth="1"/>
    <col min="11" max="11" width="9.296875" style="2" customWidth="1"/>
    <col min="12" max="16384" width="7.296875" hidden="1"/>
  </cols>
  <sheetData>
    <row r="1" spans="1:11" x14ac:dyDescent="0.3">
      <c r="A1" t="s">
        <v>254</v>
      </c>
      <c r="B1" t="s">
        <v>0</v>
      </c>
      <c r="C1" s="6" t="s">
        <v>174</v>
      </c>
      <c r="D1" s="6" t="s">
        <v>175</v>
      </c>
      <c r="E1" s="6" t="s">
        <v>170</v>
      </c>
      <c r="F1" s="6" t="s">
        <v>171</v>
      </c>
      <c r="G1" s="6" t="s">
        <v>176</v>
      </c>
      <c r="H1" s="6" t="s">
        <v>177</v>
      </c>
      <c r="I1" s="6" t="s">
        <v>178</v>
      </c>
      <c r="J1" s="2"/>
      <c r="K1"/>
    </row>
    <row r="2" spans="1:11" x14ac:dyDescent="0.3">
      <c r="A2">
        <f>'Section 619 Awards LY Comp'!A2</f>
        <v>2063</v>
      </c>
      <c r="B2" t="s">
        <v>79</v>
      </c>
      <c r="C2" s="3">
        <v>474</v>
      </c>
      <c r="D2" s="3">
        <v>0</v>
      </c>
      <c r="E2" s="3">
        <v>0</v>
      </c>
      <c r="F2" s="3">
        <v>0</v>
      </c>
      <c r="G2" s="3">
        <v>0</v>
      </c>
      <c r="H2" s="3">
        <v>0</v>
      </c>
      <c r="I2" s="3">
        <f t="shared" ref="I2:I65" si="0">SUM(C2:H2)</f>
        <v>474</v>
      </c>
      <c r="J2" s="2"/>
      <c r="K2"/>
    </row>
    <row r="3" spans="1:11" x14ac:dyDescent="0.3">
      <c r="A3">
        <f>'Section 619 Awards LY Comp'!A3</f>
        <v>2113</v>
      </c>
      <c r="B3" t="s">
        <v>106</v>
      </c>
      <c r="C3" s="3">
        <v>0</v>
      </c>
      <c r="D3" s="3">
        <v>0</v>
      </c>
      <c r="E3" s="3">
        <v>0</v>
      </c>
      <c r="F3" s="3">
        <v>0</v>
      </c>
      <c r="G3" s="3">
        <v>0</v>
      </c>
      <c r="H3" s="3">
        <v>422</v>
      </c>
      <c r="I3" s="3">
        <f t="shared" si="0"/>
        <v>422</v>
      </c>
      <c r="J3" s="2"/>
      <c r="K3"/>
    </row>
    <row r="4" spans="1:11" x14ac:dyDescent="0.3">
      <c r="A4">
        <f>'Section 619 Awards LY Comp'!A4</f>
        <v>1899</v>
      </c>
      <c r="B4" t="s">
        <v>5</v>
      </c>
      <c r="C4" s="3">
        <v>1453</v>
      </c>
      <c r="D4" s="3">
        <v>0</v>
      </c>
      <c r="E4" s="3">
        <v>0</v>
      </c>
      <c r="F4" s="3">
        <v>0</v>
      </c>
      <c r="G4" s="3">
        <v>0</v>
      </c>
      <c r="H4" s="3">
        <v>363</v>
      </c>
      <c r="I4" s="3">
        <f t="shared" si="0"/>
        <v>1816</v>
      </c>
      <c r="J4" s="2"/>
      <c r="K4"/>
    </row>
    <row r="5" spans="1:11" x14ac:dyDescent="0.3">
      <c r="A5">
        <f>'Section 619 Awards LY Comp'!A5</f>
        <v>2252</v>
      </c>
      <c r="B5" t="s">
        <v>161</v>
      </c>
      <c r="C5" s="3">
        <v>1207</v>
      </c>
      <c r="D5" s="3">
        <v>0</v>
      </c>
      <c r="E5" s="3">
        <v>0</v>
      </c>
      <c r="F5" s="3">
        <v>0</v>
      </c>
      <c r="G5" s="3">
        <v>0</v>
      </c>
      <c r="H5" s="3">
        <v>6641</v>
      </c>
      <c r="I5" s="3">
        <f t="shared" si="0"/>
        <v>7848</v>
      </c>
      <c r="J5" s="2"/>
      <c r="K5"/>
    </row>
    <row r="6" spans="1:11" x14ac:dyDescent="0.3">
      <c r="A6">
        <f>'Section 619 Awards LY Comp'!A6</f>
        <v>2111</v>
      </c>
      <c r="B6" t="s">
        <v>104</v>
      </c>
      <c r="C6" s="3">
        <v>799</v>
      </c>
      <c r="D6" s="3">
        <v>0</v>
      </c>
      <c r="E6" s="3">
        <v>0</v>
      </c>
      <c r="F6" s="3">
        <v>0</v>
      </c>
      <c r="G6" s="3">
        <v>0</v>
      </c>
      <c r="H6" s="3">
        <v>0</v>
      </c>
      <c r="I6" s="3">
        <f t="shared" si="0"/>
        <v>799</v>
      </c>
      <c r="J6" s="2"/>
      <c r="K6"/>
    </row>
    <row r="7" spans="1:11" x14ac:dyDescent="0.3">
      <c r="A7">
        <f>'Section 619 Awards LY Comp'!A7</f>
        <v>2005</v>
      </c>
      <c r="B7" t="s">
        <v>44</v>
      </c>
      <c r="C7" s="3">
        <v>465</v>
      </c>
      <c r="D7" s="3">
        <v>0</v>
      </c>
      <c r="E7" s="3">
        <v>0</v>
      </c>
      <c r="F7" s="3">
        <v>0</v>
      </c>
      <c r="G7" s="3">
        <v>0</v>
      </c>
      <c r="H7" s="3">
        <v>155</v>
      </c>
      <c r="I7" s="3">
        <f t="shared" si="0"/>
        <v>620</v>
      </c>
      <c r="J7" s="2"/>
      <c r="K7"/>
    </row>
    <row r="8" spans="1:11" x14ac:dyDescent="0.3">
      <c r="A8">
        <f>'Section 619 Awards LY Comp'!A8</f>
        <v>2115</v>
      </c>
      <c r="B8" t="s">
        <v>108</v>
      </c>
      <c r="C8" s="3">
        <v>11</v>
      </c>
      <c r="D8" s="3">
        <v>0</v>
      </c>
      <c r="E8" s="3">
        <v>0</v>
      </c>
      <c r="F8" s="3">
        <v>0</v>
      </c>
      <c r="G8" s="3">
        <v>0</v>
      </c>
      <c r="H8" s="3">
        <v>0</v>
      </c>
      <c r="I8" s="3">
        <f t="shared" si="0"/>
        <v>11</v>
      </c>
      <c r="J8" s="2"/>
      <c r="K8"/>
    </row>
    <row r="9" spans="1:11" x14ac:dyDescent="0.3">
      <c r="A9">
        <f>'Section 619 Awards LY Comp'!A9</f>
        <v>2041</v>
      </c>
      <c r="B9" t="s">
        <v>61</v>
      </c>
      <c r="C9" s="3">
        <v>3399</v>
      </c>
      <c r="D9" s="3">
        <v>680</v>
      </c>
      <c r="E9" s="3">
        <v>0</v>
      </c>
      <c r="F9" s="3">
        <v>0</v>
      </c>
      <c r="G9" s="3">
        <v>0</v>
      </c>
      <c r="H9" s="3">
        <v>11555</v>
      </c>
      <c r="I9" s="3">
        <f t="shared" si="0"/>
        <v>15634</v>
      </c>
      <c r="J9" s="2"/>
      <c r="K9"/>
    </row>
    <row r="10" spans="1:11" x14ac:dyDescent="0.3">
      <c r="A10">
        <f>'Section 619 Awards LY Comp'!A10</f>
        <v>2051</v>
      </c>
      <c r="B10" t="s">
        <v>70</v>
      </c>
      <c r="C10" s="3">
        <v>8</v>
      </c>
      <c r="D10" s="3">
        <v>0</v>
      </c>
      <c r="E10" s="3">
        <v>0</v>
      </c>
      <c r="F10" s="3">
        <v>0</v>
      </c>
      <c r="G10" s="3">
        <v>0</v>
      </c>
      <c r="H10" s="3">
        <v>0</v>
      </c>
      <c r="I10" s="3">
        <f t="shared" si="0"/>
        <v>8</v>
      </c>
      <c r="J10" s="2"/>
      <c r="K10"/>
    </row>
    <row r="11" spans="1:11" x14ac:dyDescent="0.3">
      <c r="A11">
        <f>'Section 619 Awards LY Comp'!A11</f>
        <v>1933</v>
      </c>
      <c r="B11" t="s">
        <v>209</v>
      </c>
      <c r="C11" s="3">
        <v>1805</v>
      </c>
      <c r="D11" s="3">
        <v>0</v>
      </c>
      <c r="E11" s="3">
        <v>0</v>
      </c>
      <c r="F11" s="3">
        <v>0</v>
      </c>
      <c r="G11" s="3">
        <v>0</v>
      </c>
      <c r="H11" s="3">
        <v>6703</v>
      </c>
      <c r="I11" s="3">
        <f t="shared" si="0"/>
        <v>8508</v>
      </c>
      <c r="J11" s="2"/>
      <c r="K11"/>
    </row>
    <row r="12" spans="1:11" x14ac:dyDescent="0.3">
      <c r="A12">
        <f>'Section 619 Awards LY Comp'!A12</f>
        <v>2208</v>
      </c>
      <c r="B12" t="s">
        <v>210</v>
      </c>
      <c r="C12" s="3">
        <v>0</v>
      </c>
      <c r="D12" s="3">
        <v>0</v>
      </c>
      <c r="E12" s="3">
        <v>0</v>
      </c>
      <c r="F12" s="3">
        <v>0</v>
      </c>
      <c r="G12" s="3">
        <v>0</v>
      </c>
      <c r="H12" s="3">
        <v>4960</v>
      </c>
      <c r="I12" s="3">
        <f t="shared" si="0"/>
        <v>4960</v>
      </c>
      <c r="J12" s="2"/>
      <c r="K12"/>
    </row>
    <row r="13" spans="1:11" x14ac:dyDescent="0.3">
      <c r="A13">
        <f>'Section 619 Awards LY Comp'!A13</f>
        <v>1894</v>
      </c>
      <c r="B13" t="s">
        <v>1</v>
      </c>
      <c r="C13" s="3">
        <v>4214</v>
      </c>
      <c r="D13" s="3">
        <v>0</v>
      </c>
      <c r="E13" s="3">
        <v>0</v>
      </c>
      <c r="F13" s="3">
        <v>0</v>
      </c>
      <c r="G13" s="3">
        <v>0</v>
      </c>
      <c r="H13" s="3">
        <v>12039</v>
      </c>
      <c r="I13" s="3">
        <f t="shared" si="0"/>
        <v>16253</v>
      </c>
      <c r="J13" s="2"/>
      <c r="K13"/>
    </row>
    <row r="14" spans="1:11" x14ac:dyDescent="0.3">
      <c r="A14">
        <f>'Section 619 Awards LY Comp'!A14</f>
        <v>1969</v>
      </c>
      <c r="B14" t="s">
        <v>29</v>
      </c>
      <c r="C14" s="3">
        <v>2064</v>
      </c>
      <c r="D14" s="3">
        <v>0</v>
      </c>
      <c r="E14" s="3">
        <v>0</v>
      </c>
      <c r="F14" s="3">
        <v>0</v>
      </c>
      <c r="G14" s="3">
        <v>0</v>
      </c>
      <c r="H14" s="3">
        <v>3440</v>
      </c>
      <c r="I14" s="3">
        <f t="shared" si="0"/>
        <v>5504</v>
      </c>
      <c r="J14" s="2"/>
      <c r="K14"/>
    </row>
    <row r="15" spans="1:11" x14ac:dyDescent="0.3">
      <c r="A15">
        <f>'Section 619 Awards LY Comp'!A15</f>
        <v>2240</v>
      </c>
      <c r="B15" t="s">
        <v>152</v>
      </c>
      <c r="C15" s="3">
        <v>558</v>
      </c>
      <c r="D15" s="3">
        <v>0</v>
      </c>
      <c r="E15" s="3">
        <v>0</v>
      </c>
      <c r="F15" s="3">
        <v>0</v>
      </c>
      <c r="G15" s="3">
        <v>0</v>
      </c>
      <c r="H15" s="3">
        <v>1489</v>
      </c>
      <c r="I15" s="3">
        <f t="shared" si="0"/>
        <v>2047</v>
      </c>
      <c r="J15" s="2"/>
      <c r="K15"/>
    </row>
    <row r="16" spans="1:11" x14ac:dyDescent="0.3">
      <c r="A16">
        <f>'Section 619 Awards LY Comp'!A16</f>
        <v>2243</v>
      </c>
      <c r="B16" t="s">
        <v>155</v>
      </c>
      <c r="C16" s="3">
        <v>27822</v>
      </c>
      <c r="D16" s="3">
        <v>7009</v>
      </c>
      <c r="E16" s="3">
        <v>212</v>
      </c>
      <c r="F16" s="3">
        <v>0</v>
      </c>
      <c r="G16" s="3">
        <v>0</v>
      </c>
      <c r="H16" s="3">
        <v>96209</v>
      </c>
      <c r="I16" s="3">
        <f t="shared" si="0"/>
        <v>131252</v>
      </c>
      <c r="J16" s="2"/>
      <c r="K16"/>
    </row>
    <row r="17" spans="1:11" x14ac:dyDescent="0.3">
      <c r="A17">
        <f>'Section 619 Awards LY Comp'!A17</f>
        <v>1976</v>
      </c>
      <c r="B17" t="s">
        <v>211</v>
      </c>
      <c r="C17" s="3">
        <v>13137</v>
      </c>
      <c r="D17" s="3">
        <v>1420</v>
      </c>
      <c r="E17" s="3">
        <v>0</v>
      </c>
      <c r="F17" s="3">
        <v>0</v>
      </c>
      <c r="G17" s="3">
        <v>0</v>
      </c>
      <c r="H17" s="3">
        <v>54679</v>
      </c>
      <c r="I17" s="3">
        <f t="shared" si="0"/>
        <v>69236</v>
      </c>
      <c r="J17" s="2"/>
      <c r="K17"/>
    </row>
    <row r="18" spans="1:11" x14ac:dyDescent="0.3">
      <c r="A18">
        <f>'Section 619 Awards LY Comp'!A18</f>
        <v>2088</v>
      </c>
      <c r="B18" t="s">
        <v>86</v>
      </c>
      <c r="C18" s="3">
        <v>5076</v>
      </c>
      <c r="D18" s="3">
        <v>164</v>
      </c>
      <c r="E18" s="3">
        <v>0</v>
      </c>
      <c r="F18" s="3">
        <v>0</v>
      </c>
      <c r="G18" s="3">
        <v>0</v>
      </c>
      <c r="H18" s="3">
        <v>23745</v>
      </c>
      <c r="I18" s="3">
        <f t="shared" si="0"/>
        <v>28985</v>
      </c>
      <c r="J18" s="2"/>
      <c r="K18"/>
    </row>
    <row r="19" spans="1:11" x14ac:dyDescent="0.3">
      <c r="A19">
        <f>'Section 619 Awards LY Comp'!A19</f>
        <v>2095</v>
      </c>
      <c r="B19" t="s">
        <v>92</v>
      </c>
      <c r="C19" s="3">
        <v>594</v>
      </c>
      <c r="D19" s="3">
        <v>0</v>
      </c>
      <c r="E19" s="3">
        <v>0</v>
      </c>
      <c r="F19" s="3">
        <v>0</v>
      </c>
      <c r="G19" s="3">
        <v>0</v>
      </c>
      <c r="H19" s="3">
        <v>0</v>
      </c>
      <c r="I19" s="3">
        <f t="shared" si="0"/>
        <v>594</v>
      </c>
      <c r="J19" s="2"/>
      <c r="K19"/>
    </row>
    <row r="20" spans="1:11" x14ac:dyDescent="0.3">
      <c r="A20">
        <f>'Section 619 Awards LY Comp'!A20</f>
        <v>2052</v>
      </c>
      <c r="B20" t="s">
        <v>71</v>
      </c>
      <c r="C20" s="3">
        <v>16</v>
      </c>
      <c r="D20" s="3">
        <v>0</v>
      </c>
      <c r="E20" s="3">
        <v>0</v>
      </c>
      <c r="F20" s="3">
        <v>0</v>
      </c>
      <c r="G20" s="3">
        <v>0</v>
      </c>
      <c r="H20" s="3">
        <v>0</v>
      </c>
      <c r="I20" s="3">
        <f t="shared" si="0"/>
        <v>16</v>
      </c>
      <c r="J20" s="2"/>
      <c r="K20"/>
    </row>
    <row r="21" spans="1:11" x14ac:dyDescent="0.3">
      <c r="A21">
        <f>'Section 619 Awards LY Comp'!A21</f>
        <v>1974</v>
      </c>
      <c r="B21" t="s">
        <v>212</v>
      </c>
      <c r="C21" s="3">
        <v>4205</v>
      </c>
      <c r="D21" s="3">
        <v>0</v>
      </c>
      <c r="E21" s="3">
        <v>0</v>
      </c>
      <c r="F21" s="3">
        <v>0</v>
      </c>
      <c r="G21" s="3">
        <v>0</v>
      </c>
      <c r="H21" s="3">
        <v>10278</v>
      </c>
      <c r="I21" s="3">
        <f t="shared" si="0"/>
        <v>14483</v>
      </c>
      <c r="J21" s="2"/>
      <c r="K21"/>
    </row>
    <row r="22" spans="1:11" x14ac:dyDescent="0.3">
      <c r="A22">
        <f>'Section 619 Awards LY Comp'!A22</f>
        <v>1896</v>
      </c>
      <c r="B22" t="s">
        <v>3</v>
      </c>
      <c r="C22" s="3">
        <v>278</v>
      </c>
      <c r="D22" s="3">
        <v>0</v>
      </c>
      <c r="E22" s="3">
        <v>0</v>
      </c>
      <c r="F22" s="3">
        <v>0</v>
      </c>
      <c r="G22" s="3">
        <v>0</v>
      </c>
      <c r="H22" s="3">
        <v>0</v>
      </c>
      <c r="I22" s="3">
        <f t="shared" si="0"/>
        <v>278</v>
      </c>
      <c r="J22" s="2"/>
      <c r="K22"/>
    </row>
    <row r="23" spans="1:11" x14ac:dyDescent="0.3">
      <c r="A23">
        <f>'Section 619 Awards LY Comp'!A23</f>
        <v>2046</v>
      </c>
      <c r="B23" t="s">
        <v>66</v>
      </c>
      <c r="C23" s="3">
        <v>303</v>
      </c>
      <c r="D23" s="3">
        <v>0</v>
      </c>
      <c r="E23" s="3">
        <v>0</v>
      </c>
      <c r="F23" s="3">
        <v>0</v>
      </c>
      <c r="G23" s="3">
        <v>0</v>
      </c>
      <c r="H23" s="3">
        <v>303</v>
      </c>
      <c r="I23" s="3">
        <f t="shared" si="0"/>
        <v>606</v>
      </c>
      <c r="J23" s="2"/>
      <c r="K23"/>
    </row>
    <row r="24" spans="1:11" x14ac:dyDescent="0.3">
      <c r="A24">
        <f>'Section 619 Awards LY Comp'!A24</f>
        <v>1995</v>
      </c>
      <c r="B24" t="s">
        <v>213</v>
      </c>
      <c r="C24" s="3">
        <v>0</v>
      </c>
      <c r="D24" s="3">
        <v>0</v>
      </c>
      <c r="E24" s="3">
        <v>0</v>
      </c>
      <c r="F24" s="3">
        <v>0</v>
      </c>
      <c r="G24" s="3">
        <v>0</v>
      </c>
      <c r="H24" s="3">
        <v>397</v>
      </c>
      <c r="I24" s="3">
        <f t="shared" si="0"/>
        <v>397</v>
      </c>
      <c r="J24" s="2"/>
      <c r="K24"/>
    </row>
    <row r="25" spans="1:11" x14ac:dyDescent="0.3">
      <c r="A25">
        <f>'Section 619 Awards LY Comp'!A25</f>
        <v>1929</v>
      </c>
      <c r="B25" t="s">
        <v>14</v>
      </c>
      <c r="C25" s="3">
        <v>4322</v>
      </c>
      <c r="D25" s="3">
        <v>810</v>
      </c>
      <c r="E25" s="3">
        <v>0</v>
      </c>
      <c r="F25" s="3">
        <v>0</v>
      </c>
      <c r="G25" s="3">
        <v>0</v>
      </c>
      <c r="H25" s="3">
        <v>11614</v>
      </c>
      <c r="I25" s="3">
        <f t="shared" si="0"/>
        <v>16746</v>
      </c>
      <c r="J25" s="2"/>
      <c r="K25"/>
    </row>
    <row r="26" spans="1:11" x14ac:dyDescent="0.3">
      <c r="A26">
        <f>'Section 619 Awards LY Comp'!A26</f>
        <v>2139</v>
      </c>
      <c r="B26" t="s">
        <v>112</v>
      </c>
      <c r="C26" s="3">
        <v>2158</v>
      </c>
      <c r="D26" s="3">
        <v>431</v>
      </c>
      <c r="E26" s="3">
        <v>0</v>
      </c>
      <c r="F26" s="3">
        <v>0</v>
      </c>
      <c r="G26" s="3">
        <v>0</v>
      </c>
      <c r="H26" s="3">
        <v>10357</v>
      </c>
      <c r="I26" s="3">
        <f t="shared" si="0"/>
        <v>12946</v>
      </c>
      <c r="J26" s="2"/>
      <c r="K26"/>
    </row>
    <row r="27" spans="1:11" x14ac:dyDescent="0.3">
      <c r="A27">
        <f>'Section 619 Awards LY Comp'!A27</f>
        <v>2185</v>
      </c>
      <c r="B27" t="s">
        <v>125</v>
      </c>
      <c r="C27" s="3">
        <v>5075</v>
      </c>
      <c r="D27" s="3">
        <v>2707</v>
      </c>
      <c r="E27" s="3">
        <v>0</v>
      </c>
      <c r="F27" s="3">
        <v>0</v>
      </c>
      <c r="G27" s="3">
        <v>0</v>
      </c>
      <c r="H27" s="3">
        <v>26392</v>
      </c>
      <c r="I27" s="3">
        <f t="shared" si="0"/>
        <v>34174</v>
      </c>
      <c r="J27" s="2"/>
      <c r="K27"/>
    </row>
    <row r="28" spans="1:11" x14ac:dyDescent="0.3">
      <c r="A28">
        <f>'Section 619 Awards LY Comp'!A28</f>
        <v>1972</v>
      </c>
      <c r="B28" t="s">
        <v>30</v>
      </c>
      <c r="C28" s="3">
        <v>400</v>
      </c>
      <c r="D28" s="3">
        <v>0</v>
      </c>
      <c r="E28" s="3">
        <v>0</v>
      </c>
      <c r="F28" s="3">
        <v>0</v>
      </c>
      <c r="G28" s="3">
        <v>0</v>
      </c>
      <c r="H28" s="3">
        <v>3602</v>
      </c>
      <c r="I28" s="3">
        <f t="shared" si="0"/>
        <v>4002</v>
      </c>
      <c r="J28" s="2"/>
      <c r="K28"/>
    </row>
    <row r="29" spans="1:11" x14ac:dyDescent="0.3">
      <c r="A29">
        <f>'Section 619 Awards LY Comp'!A29</f>
        <v>2105</v>
      </c>
      <c r="B29" t="s">
        <v>100</v>
      </c>
      <c r="C29" s="3">
        <v>1371</v>
      </c>
      <c r="D29" s="3">
        <v>0</v>
      </c>
      <c r="E29" s="3">
        <v>0</v>
      </c>
      <c r="F29" s="3">
        <v>0</v>
      </c>
      <c r="G29" s="3">
        <v>0</v>
      </c>
      <c r="H29" s="3">
        <v>2741</v>
      </c>
      <c r="I29" s="3">
        <f t="shared" si="0"/>
        <v>4112</v>
      </c>
      <c r="J29" s="2"/>
      <c r="K29"/>
    </row>
    <row r="30" spans="1:11" x14ac:dyDescent="0.3">
      <c r="A30">
        <f>'Section 619 Awards LY Comp'!A30</f>
        <v>2042</v>
      </c>
      <c r="B30" t="s">
        <v>62</v>
      </c>
      <c r="C30" s="3">
        <v>11269</v>
      </c>
      <c r="D30" s="3">
        <v>901</v>
      </c>
      <c r="E30" s="3">
        <v>0</v>
      </c>
      <c r="F30" s="3">
        <v>0</v>
      </c>
      <c r="G30" s="3">
        <v>0</v>
      </c>
      <c r="H30" s="3">
        <v>19383</v>
      </c>
      <c r="I30" s="3">
        <f t="shared" si="0"/>
        <v>31553</v>
      </c>
      <c r="J30" s="2"/>
      <c r="K30"/>
    </row>
    <row r="31" spans="1:11" x14ac:dyDescent="0.3">
      <c r="A31">
        <f>'Section 619 Awards LY Comp'!A31</f>
        <v>2191</v>
      </c>
      <c r="B31" t="s">
        <v>130</v>
      </c>
      <c r="C31" s="3">
        <v>3949</v>
      </c>
      <c r="D31" s="3">
        <v>987</v>
      </c>
      <c r="E31" s="3">
        <v>0</v>
      </c>
      <c r="F31" s="3">
        <v>0</v>
      </c>
      <c r="G31" s="3">
        <v>0</v>
      </c>
      <c r="H31" s="3">
        <v>10860</v>
      </c>
      <c r="I31" s="3">
        <f t="shared" si="0"/>
        <v>15796</v>
      </c>
      <c r="J31" s="2"/>
      <c r="K31"/>
    </row>
    <row r="32" spans="1:11" x14ac:dyDescent="0.3">
      <c r="A32">
        <f>'Section 619 Awards LY Comp'!A32</f>
        <v>1945</v>
      </c>
      <c r="B32" t="s">
        <v>20</v>
      </c>
      <c r="C32" s="3">
        <v>3903</v>
      </c>
      <c r="D32" s="3">
        <v>0</v>
      </c>
      <c r="E32" s="3">
        <v>0</v>
      </c>
      <c r="F32" s="3">
        <v>0</v>
      </c>
      <c r="G32" s="3">
        <v>0</v>
      </c>
      <c r="H32" s="3">
        <v>3903</v>
      </c>
      <c r="I32" s="3">
        <f t="shared" si="0"/>
        <v>7806</v>
      </c>
      <c r="J32" s="2"/>
      <c r="K32"/>
    </row>
    <row r="33" spans="1:11" x14ac:dyDescent="0.3">
      <c r="A33">
        <f>'Section 619 Awards LY Comp'!A33</f>
        <v>1927</v>
      </c>
      <c r="B33" t="s">
        <v>12</v>
      </c>
      <c r="C33" s="3">
        <v>0</v>
      </c>
      <c r="D33" s="3">
        <v>0</v>
      </c>
      <c r="E33" s="3">
        <v>0</v>
      </c>
      <c r="F33" s="3">
        <v>0</v>
      </c>
      <c r="G33" s="3">
        <v>0</v>
      </c>
      <c r="H33" s="3">
        <v>5367</v>
      </c>
      <c r="I33" s="3">
        <f t="shared" si="0"/>
        <v>5367</v>
      </c>
      <c r="J33" s="2"/>
      <c r="K33"/>
    </row>
    <row r="34" spans="1:11" x14ac:dyDescent="0.3">
      <c r="A34">
        <f>'Section 619 Awards LY Comp'!A34</f>
        <v>2006</v>
      </c>
      <c r="B34" t="s">
        <v>45</v>
      </c>
      <c r="C34" s="3">
        <v>0</v>
      </c>
      <c r="D34" s="3">
        <v>0</v>
      </c>
      <c r="E34" s="3">
        <v>0</v>
      </c>
      <c r="F34" s="3">
        <v>0</v>
      </c>
      <c r="G34" s="3">
        <v>0</v>
      </c>
      <c r="H34" s="3">
        <v>870</v>
      </c>
      <c r="I34" s="3">
        <f t="shared" si="0"/>
        <v>870</v>
      </c>
      <c r="J34" s="2"/>
      <c r="K34"/>
    </row>
    <row r="35" spans="1:11" x14ac:dyDescent="0.3">
      <c r="A35">
        <f>'Section 619 Awards LY Comp'!A35</f>
        <v>1965</v>
      </c>
      <c r="B35" t="s">
        <v>25</v>
      </c>
      <c r="C35" s="3">
        <v>7626</v>
      </c>
      <c r="D35" s="3">
        <v>1040</v>
      </c>
      <c r="E35" s="3">
        <v>0</v>
      </c>
      <c r="F35" s="3">
        <v>0</v>
      </c>
      <c r="G35" s="3">
        <v>0</v>
      </c>
      <c r="H35" s="3">
        <v>19065</v>
      </c>
      <c r="I35" s="3">
        <f t="shared" si="0"/>
        <v>27731</v>
      </c>
      <c r="J35" s="2"/>
      <c r="K35"/>
    </row>
    <row r="36" spans="1:11" x14ac:dyDescent="0.3">
      <c r="A36">
        <f>'Section 619 Awards LY Comp'!A36</f>
        <v>1964</v>
      </c>
      <c r="B36" t="s">
        <v>24</v>
      </c>
      <c r="C36" s="3">
        <v>6562</v>
      </c>
      <c r="D36" s="3">
        <v>0</v>
      </c>
      <c r="E36" s="3">
        <v>0</v>
      </c>
      <c r="F36" s="3">
        <v>0</v>
      </c>
      <c r="G36" s="3">
        <v>0</v>
      </c>
      <c r="H36" s="3">
        <v>2625</v>
      </c>
      <c r="I36" s="3">
        <f t="shared" si="0"/>
        <v>9187</v>
      </c>
      <c r="J36" s="2"/>
      <c r="K36"/>
    </row>
    <row r="37" spans="1:11" x14ac:dyDescent="0.3">
      <c r="A37">
        <f>'Section 619 Awards LY Comp'!A37</f>
        <v>2186</v>
      </c>
      <c r="B37" t="s">
        <v>126</v>
      </c>
      <c r="C37" s="3">
        <v>1745</v>
      </c>
      <c r="D37" s="3">
        <v>349</v>
      </c>
      <c r="E37" s="3">
        <v>0</v>
      </c>
      <c r="F37" s="3">
        <v>0</v>
      </c>
      <c r="G37" s="3">
        <v>0</v>
      </c>
      <c r="H37" s="3">
        <v>1745</v>
      </c>
      <c r="I37" s="3">
        <f t="shared" si="0"/>
        <v>3839</v>
      </c>
      <c r="J37" s="2"/>
      <c r="K37"/>
    </row>
    <row r="38" spans="1:11" x14ac:dyDescent="0.3">
      <c r="A38">
        <f>'Section 619 Awards LY Comp'!A38</f>
        <v>1901</v>
      </c>
      <c r="B38" t="s">
        <v>7</v>
      </c>
      <c r="C38" s="3">
        <v>9330</v>
      </c>
      <c r="D38" s="3">
        <v>2592</v>
      </c>
      <c r="E38" s="3">
        <v>0</v>
      </c>
      <c r="F38" s="3">
        <v>0</v>
      </c>
      <c r="G38" s="3">
        <v>0</v>
      </c>
      <c r="H38" s="3">
        <v>26953</v>
      </c>
      <c r="I38" s="3">
        <f t="shared" si="0"/>
        <v>38875</v>
      </c>
      <c r="J38" s="2"/>
      <c r="K38"/>
    </row>
    <row r="39" spans="1:11" x14ac:dyDescent="0.3">
      <c r="A39">
        <f>'Section 619 Awards LY Comp'!A39</f>
        <v>2216</v>
      </c>
      <c r="B39" t="s">
        <v>144</v>
      </c>
      <c r="C39" s="3">
        <v>1576</v>
      </c>
      <c r="D39" s="3">
        <v>0</v>
      </c>
      <c r="E39" s="3">
        <v>0</v>
      </c>
      <c r="F39" s="3">
        <v>0</v>
      </c>
      <c r="G39" s="3">
        <v>0</v>
      </c>
      <c r="H39" s="3">
        <v>0</v>
      </c>
      <c r="I39" s="3">
        <f t="shared" si="0"/>
        <v>1576</v>
      </c>
      <c r="J39" s="2"/>
      <c r="K39"/>
    </row>
    <row r="40" spans="1:11" x14ac:dyDescent="0.3">
      <c r="A40">
        <f>'Section 619 Awards LY Comp'!A40</f>
        <v>2086</v>
      </c>
      <c r="B40" t="s">
        <v>85</v>
      </c>
      <c r="C40" s="3">
        <v>2092</v>
      </c>
      <c r="D40" s="3">
        <v>299</v>
      </c>
      <c r="E40" s="3">
        <v>0</v>
      </c>
      <c r="F40" s="3">
        <v>0</v>
      </c>
      <c r="G40" s="3">
        <v>0</v>
      </c>
      <c r="H40" s="3">
        <v>6276</v>
      </c>
      <c r="I40" s="3">
        <f t="shared" si="0"/>
        <v>8667</v>
      </c>
      <c r="J40" s="2"/>
      <c r="K40"/>
    </row>
    <row r="41" spans="1:11" x14ac:dyDescent="0.3">
      <c r="A41">
        <f>'Section 619 Awards LY Comp'!A41</f>
        <v>1970</v>
      </c>
      <c r="B41" t="s">
        <v>214</v>
      </c>
      <c r="C41" s="3">
        <v>5392</v>
      </c>
      <c r="D41" s="3">
        <v>385</v>
      </c>
      <c r="E41" s="3">
        <v>0</v>
      </c>
      <c r="F41" s="3">
        <v>0</v>
      </c>
      <c r="G41" s="3">
        <v>0</v>
      </c>
      <c r="H41" s="3">
        <v>18873</v>
      </c>
      <c r="I41" s="3">
        <f t="shared" si="0"/>
        <v>24650</v>
      </c>
      <c r="J41" s="2"/>
      <c r="K41"/>
    </row>
    <row r="42" spans="1:11" x14ac:dyDescent="0.3">
      <c r="A42">
        <f>'Section 619 Awards LY Comp'!A42</f>
        <v>2089</v>
      </c>
      <c r="B42" t="s">
        <v>215</v>
      </c>
      <c r="C42" s="3">
        <v>384</v>
      </c>
      <c r="D42" s="3">
        <v>0</v>
      </c>
      <c r="E42" s="3">
        <v>0</v>
      </c>
      <c r="F42" s="3">
        <v>0</v>
      </c>
      <c r="G42" s="3">
        <v>0</v>
      </c>
      <c r="H42" s="3">
        <v>1152</v>
      </c>
      <c r="I42" s="3">
        <f t="shared" si="0"/>
        <v>1536</v>
      </c>
      <c r="J42" s="2"/>
      <c r="K42"/>
    </row>
    <row r="43" spans="1:11" x14ac:dyDescent="0.3">
      <c r="A43">
        <f>'Section 619 Awards LY Comp'!A43</f>
        <v>2050</v>
      </c>
      <c r="B43" t="s">
        <v>69</v>
      </c>
      <c r="C43" s="3">
        <v>1544</v>
      </c>
      <c r="D43" s="3">
        <v>514</v>
      </c>
      <c r="E43" s="3">
        <v>0</v>
      </c>
      <c r="F43" s="3">
        <v>0</v>
      </c>
      <c r="G43" s="3">
        <v>0</v>
      </c>
      <c r="H43" s="3">
        <v>2058</v>
      </c>
      <c r="I43" s="3">
        <f t="shared" si="0"/>
        <v>4116</v>
      </c>
      <c r="J43" s="2"/>
      <c r="K43"/>
    </row>
    <row r="44" spans="1:11" x14ac:dyDescent="0.3">
      <c r="A44">
        <f>'Section 619 Awards LY Comp'!A44</f>
        <v>2190</v>
      </c>
      <c r="B44" t="s">
        <v>129</v>
      </c>
      <c r="C44" s="3">
        <v>7582</v>
      </c>
      <c r="D44" s="3">
        <v>3033</v>
      </c>
      <c r="E44" s="3">
        <v>0</v>
      </c>
      <c r="F44" s="3">
        <v>0</v>
      </c>
      <c r="G44" s="3">
        <v>0</v>
      </c>
      <c r="H44" s="3">
        <v>13648</v>
      </c>
      <c r="I44" s="3">
        <f t="shared" si="0"/>
        <v>24263</v>
      </c>
      <c r="J44" s="2"/>
      <c r="K44"/>
    </row>
    <row r="45" spans="1:11" x14ac:dyDescent="0.3">
      <c r="A45">
        <f>'Section 619 Awards LY Comp'!A45</f>
        <v>2187</v>
      </c>
      <c r="B45" t="s">
        <v>127</v>
      </c>
      <c r="C45" s="3">
        <v>11777</v>
      </c>
      <c r="D45" s="3">
        <v>4767</v>
      </c>
      <c r="E45" s="3">
        <v>0</v>
      </c>
      <c r="F45" s="3">
        <v>0</v>
      </c>
      <c r="G45" s="3">
        <v>0</v>
      </c>
      <c r="H45" s="3">
        <v>33648</v>
      </c>
      <c r="I45" s="3">
        <f t="shared" si="0"/>
        <v>50192</v>
      </c>
      <c r="J45" s="2"/>
      <c r="K45"/>
    </row>
    <row r="46" spans="1:11" x14ac:dyDescent="0.3">
      <c r="A46">
        <f>'Section 619 Awards LY Comp'!A46</f>
        <v>2253</v>
      </c>
      <c r="B46" t="s">
        <v>162</v>
      </c>
      <c r="C46" s="3">
        <v>1349</v>
      </c>
      <c r="D46" s="3">
        <v>0</v>
      </c>
      <c r="E46" s="3">
        <v>0</v>
      </c>
      <c r="F46" s="3">
        <v>0</v>
      </c>
      <c r="G46" s="3">
        <v>0</v>
      </c>
      <c r="H46" s="3">
        <v>3373</v>
      </c>
      <c r="I46" s="3">
        <f t="shared" si="0"/>
        <v>4722</v>
      </c>
      <c r="J46" s="2"/>
      <c r="K46"/>
    </row>
    <row r="47" spans="1:11" x14ac:dyDescent="0.3">
      <c r="A47">
        <f>'Section 619 Awards LY Comp'!A47</f>
        <v>2011</v>
      </c>
      <c r="B47" t="s">
        <v>49</v>
      </c>
      <c r="C47" s="3">
        <v>0</v>
      </c>
      <c r="D47" s="3">
        <v>0</v>
      </c>
      <c r="E47" s="3">
        <v>0</v>
      </c>
      <c r="F47" s="3">
        <v>0</v>
      </c>
      <c r="G47" s="3">
        <v>0</v>
      </c>
      <c r="H47" s="3">
        <v>1888</v>
      </c>
      <c r="I47" s="3">
        <f t="shared" si="0"/>
        <v>1888</v>
      </c>
      <c r="J47" s="2"/>
      <c r="K47"/>
    </row>
    <row r="48" spans="1:11" x14ac:dyDescent="0.3">
      <c r="A48">
        <f>'Section 619 Awards LY Comp'!A48</f>
        <v>2017</v>
      </c>
      <c r="B48" t="s">
        <v>54</v>
      </c>
      <c r="C48" s="3">
        <v>254</v>
      </c>
      <c r="D48" s="3">
        <v>0</v>
      </c>
      <c r="E48" s="3">
        <v>0</v>
      </c>
      <c r="F48" s="3">
        <v>0</v>
      </c>
      <c r="G48" s="3">
        <v>0</v>
      </c>
      <c r="H48" s="3">
        <v>0</v>
      </c>
      <c r="I48" s="3">
        <f t="shared" si="0"/>
        <v>254</v>
      </c>
      <c r="J48" s="2"/>
      <c r="K48"/>
    </row>
    <row r="49" spans="1:11" x14ac:dyDescent="0.3">
      <c r="A49">
        <f>'Section 619 Awards LY Comp'!A49</f>
        <v>2021</v>
      </c>
      <c r="B49" t="s">
        <v>58</v>
      </c>
      <c r="C49" s="3">
        <v>225</v>
      </c>
      <c r="D49" s="3">
        <v>0</v>
      </c>
      <c r="E49" s="3">
        <v>0</v>
      </c>
      <c r="F49" s="3">
        <v>0</v>
      </c>
      <c r="G49" s="3">
        <v>0</v>
      </c>
      <c r="H49" s="3">
        <v>0</v>
      </c>
      <c r="I49" s="3">
        <f t="shared" si="0"/>
        <v>225</v>
      </c>
      <c r="J49" s="2"/>
      <c r="K49"/>
    </row>
    <row r="50" spans="1:11" x14ac:dyDescent="0.3">
      <c r="A50">
        <f>'Section 619 Awards LY Comp'!A50</f>
        <v>1993</v>
      </c>
      <c r="B50" t="s">
        <v>216</v>
      </c>
      <c r="C50" s="3">
        <v>1565</v>
      </c>
      <c r="D50" s="3">
        <v>0</v>
      </c>
      <c r="E50" s="3">
        <v>0</v>
      </c>
      <c r="F50" s="3">
        <v>0</v>
      </c>
      <c r="G50" s="3">
        <v>0</v>
      </c>
      <c r="H50" s="3">
        <v>0</v>
      </c>
      <c r="I50" s="3">
        <f t="shared" si="0"/>
        <v>1565</v>
      </c>
      <c r="J50" s="2"/>
      <c r="K50"/>
    </row>
    <row r="51" spans="1:11" x14ac:dyDescent="0.3">
      <c r="A51">
        <f>'Section 619 Awards LY Comp'!A51</f>
        <v>1991</v>
      </c>
      <c r="B51" t="s">
        <v>217</v>
      </c>
      <c r="C51" s="3">
        <v>13023</v>
      </c>
      <c r="D51" s="3">
        <v>2442</v>
      </c>
      <c r="E51" s="3">
        <v>0</v>
      </c>
      <c r="F51" s="3">
        <v>0</v>
      </c>
      <c r="G51" s="3">
        <v>0</v>
      </c>
      <c r="H51" s="3">
        <v>27130</v>
      </c>
      <c r="I51" s="3">
        <f t="shared" si="0"/>
        <v>42595</v>
      </c>
      <c r="J51" s="2"/>
      <c r="K51"/>
    </row>
    <row r="52" spans="1:11" x14ac:dyDescent="0.3">
      <c r="A52">
        <f>'Section 619 Awards LY Comp'!A52</f>
        <v>2019</v>
      </c>
      <c r="B52" t="s">
        <v>56</v>
      </c>
      <c r="C52" s="3">
        <v>5</v>
      </c>
      <c r="D52" s="3">
        <v>0</v>
      </c>
      <c r="E52" s="3">
        <v>0</v>
      </c>
      <c r="F52" s="3">
        <v>0</v>
      </c>
      <c r="G52" s="3">
        <v>0</v>
      </c>
      <c r="H52" s="3">
        <v>0</v>
      </c>
      <c r="I52" s="3">
        <f t="shared" si="0"/>
        <v>5</v>
      </c>
      <c r="J52" s="2"/>
      <c r="K52"/>
    </row>
    <row r="53" spans="1:11" x14ac:dyDescent="0.3">
      <c r="A53">
        <f>'Section 619 Awards LY Comp'!A53</f>
        <v>2229</v>
      </c>
      <c r="B53" t="s">
        <v>150</v>
      </c>
      <c r="C53" s="3">
        <v>0</v>
      </c>
      <c r="D53" s="3">
        <v>533</v>
      </c>
      <c r="E53" s="3">
        <v>0</v>
      </c>
      <c r="F53" s="3">
        <v>0</v>
      </c>
      <c r="G53" s="3">
        <v>0</v>
      </c>
      <c r="H53" s="3">
        <v>1066</v>
      </c>
      <c r="I53" s="3">
        <f t="shared" si="0"/>
        <v>1599</v>
      </c>
      <c r="J53" s="2"/>
      <c r="K53"/>
    </row>
    <row r="54" spans="1:11" x14ac:dyDescent="0.3">
      <c r="A54">
        <f>'Section 619 Awards LY Comp'!A54</f>
        <v>2043</v>
      </c>
      <c r="B54" t="s">
        <v>63</v>
      </c>
      <c r="C54" s="3">
        <v>5009</v>
      </c>
      <c r="D54" s="3">
        <v>1054</v>
      </c>
      <c r="E54" s="3">
        <v>0</v>
      </c>
      <c r="F54" s="3">
        <v>0</v>
      </c>
      <c r="G54" s="3">
        <v>0</v>
      </c>
      <c r="H54" s="3">
        <v>15027</v>
      </c>
      <c r="I54" s="3">
        <f t="shared" si="0"/>
        <v>21090</v>
      </c>
      <c r="J54" s="2"/>
      <c r="K54"/>
    </row>
    <row r="55" spans="1:11" x14ac:dyDescent="0.3">
      <c r="A55">
        <f>'Section 619 Awards LY Comp'!A55</f>
        <v>2203</v>
      </c>
      <c r="B55" t="s">
        <v>138</v>
      </c>
      <c r="C55" s="3">
        <v>126</v>
      </c>
      <c r="D55" s="3">
        <v>0</v>
      </c>
      <c r="E55" s="3">
        <v>0</v>
      </c>
      <c r="F55" s="3">
        <v>0</v>
      </c>
      <c r="G55" s="3">
        <v>0</v>
      </c>
      <c r="H55" s="3">
        <v>503</v>
      </c>
      <c r="I55" s="3">
        <f t="shared" si="0"/>
        <v>629</v>
      </c>
      <c r="J55" s="2"/>
      <c r="K55"/>
    </row>
    <row r="56" spans="1:11" x14ac:dyDescent="0.3">
      <c r="A56">
        <f>'Section 619 Awards LY Comp'!A56</f>
        <v>2217</v>
      </c>
      <c r="B56" t="s">
        <v>145</v>
      </c>
      <c r="C56" s="3">
        <v>224</v>
      </c>
      <c r="D56" s="3">
        <v>0</v>
      </c>
      <c r="E56" s="3">
        <v>0</v>
      </c>
      <c r="F56" s="3">
        <v>0</v>
      </c>
      <c r="G56" s="3">
        <v>0</v>
      </c>
      <c r="H56" s="3">
        <v>504</v>
      </c>
      <c r="I56" s="3">
        <f t="shared" si="0"/>
        <v>728</v>
      </c>
      <c r="J56" s="2"/>
      <c r="K56"/>
    </row>
    <row r="57" spans="1:11" x14ac:dyDescent="0.3">
      <c r="A57">
        <f>'Section 619 Awards LY Comp'!A57</f>
        <v>1998</v>
      </c>
      <c r="B57" t="s">
        <v>38</v>
      </c>
      <c r="C57" s="3">
        <v>401</v>
      </c>
      <c r="D57" s="3">
        <v>0</v>
      </c>
      <c r="E57" s="3">
        <v>0</v>
      </c>
      <c r="F57" s="3">
        <v>0</v>
      </c>
      <c r="G57" s="3">
        <v>0</v>
      </c>
      <c r="H57" s="3">
        <v>201</v>
      </c>
      <c r="I57" s="3">
        <f t="shared" si="0"/>
        <v>602</v>
      </c>
      <c r="J57" s="2"/>
      <c r="K57"/>
    </row>
    <row r="58" spans="1:11" x14ac:dyDescent="0.3">
      <c r="A58">
        <f>'Section 619 Awards LY Comp'!A58</f>
        <v>2221</v>
      </c>
      <c r="B58" t="s">
        <v>148</v>
      </c>
      <c r="C58" s="3">
        <v>1058</v>
      </c>
      <c r="D58" s="3">
        <v>0</v>
      </c>
      <c r="E58" s="3">
        <v>0</v>
      </c>
      <c r="F58" s="3">
        <v>0</v>
      </c>
      <c r="G58" s="3">
        <v>0</v>
      </c>
      <c r="H58" s="3">
        <v>1511</v>
      </c>
      <c r="I58" s="3">
        <f t="shared" si="0"/>
        <v>2569</v>
      </c>
      <c r="J58" s="2"/>
      <c r="K58"/>
    </row>
    <row r="59" spans="1:11" x14ac:dyDescent="0.3">
      <c r="A59">
        <f>'Section 619 Awards LY Comp'!A59</f>
        <v>1930</v>
      </c>
      <c r="B59" t="s">
        <v>15</v>
      </c>
      <c r="C59" s="3">
        <v>3169</v>
      </c>
      <c r="D59" s="3">
        <v>0</v>
      </c>
      <c r="E59" s="3">
        <v>0</v>
      </c>
      <c r="F59" s="3">
        <v>0</v>
      </c>
      <c r="G59" s="3">
        <v>0</v>
      </c>
      <c r="H59" s="3">
        <v>8776</v>
      </c>
      <c r="I59" s="3">
        <f t="shared" si="0"/>
        <v>11945</v>
      </c>
      <c r="J59" s="2"/>
      <c r="K59"/>
    </row>
    <row r="60" spans="1:11" x14ac:dyDescent="0.3">
      <c r="A60">
        <f>'Section 619 Awards LY Comp'!A60</f>
        <v>2082</v>
      </c>
      <c r="B60" t="s">
        <v>81</v>
      </c>
      <c r="C60" s="3">
        <v>31967</v>
      </c>
      <c r="D60" s="3">
        <v>276</v>
      </c>
      <c r="E60" s="3">
        <v>0</v>
      </c>
      <c r="F60" s="3">
        <v>0</v>
      </c>
      <c r="G60" s="3">
        <v>0</v>
      </c>
      <c r="H60" s="3">
        <v>81847</v>
      </c>
      <c r="I60" s="3">
        <f t="shared" si="0"/>
        <v>114090</v>
      </c>
      <c r="J60" s="2"/>
      <c r="K60"/>
    </row>
    <row r="61" spans="1:11" x14ac:dyDescent="0.3">
      <c r="A61">
        <f>'Section 619 Awards LY Comp'!A61</f>
        <v>2193</v>
      </c>
      <c r="B61" t="s">
        <v>132</v>
      </c>
      <c r="C61" s="3">
        <v>264</v>
      </c>
      <c r="D61" s="3">
        <v>264</v>
      </c>
      <c r="E61" s="3">
        <v>0</v>
      </c>
      <c r="F61" s="3">
        <v>0</v>
      </c>
      <c r="G61" s="3">
        <v>0</v>
      </c>
      <c r="H61" s="3">
        <v>527</v>
      </c>
      <c r="I61" s="3">
        <f t="shared" si="0"/>
        <v>1055</v>
      </c>
      <c r="J61" s="2"/>
      <c r="K61"/>
    </row>
    <row r="62" spans="1:11" x14ac:dyDescent="0.3">
      <c r="A62">
        <f>'Section 619 Awards LY Comp'!A62</f>
        <v>2084</v>
      </c>
      <c r="B62" t="s">
        <v>83</v>
      </c>
      <c r="C62" s="3">
        <v>1469</v>
      </c>
      <c r="D62" s="3">
        <v>0</v>
      </c>
      <c r="E62" s="3">
        <v>0</v>
      </c>
      <c r="F62" s="3">
        <v>0</v>
      </c>
      <c r="G62" s="3">
        <v>0</v>
      </c>
      <c r="H62" s="3">
        <v>6428</v>
      </c>
      <c r="I62" s="3">
        <f t="shared" si="0"/>
        <v>7897</v>
      </c>
      <c r="J62" s="2"/>
      <c r="K62"/>
    </row>
    <row r="63" spans="1:11" x14ac:dyDescent="0.3">
      <c r="A63">
        <f>'Section 619 Awards LY Comp'!A63</f>
        <v>2241</v>
      </c>
      <c r="B63" t="s">
        <v>153</v>
      </c>
      <c r="C63" s="3">
        <v>4255</v>
      </c>
      <c r="D63" s="3">
        <v>1295</v>
      </c>
      <c r="E63" s="3">
        <v>0</v>
      </c>
      <c r="F63" s="3">
        <v>0</v>
      </c>
      <c r="G63" s="3">
        <v>0</v>
      </c>
      <c r="H63" s="3">
        <v>18131</v>
      </c>
      <c r="I63" s="3">
        <f t="shared" si="0"/>
        <v>23681</v>
      </c>
      <c r="J63" s="2"/>
      <c r="K63"/>
    </row>
    <row r="64" spans="1:11" x14ac:dyDescent="0.3">
      <c r="A64">
        <f>'Section 619 Awards LY Comp'!A64</f>
        <v>2248</v>
      </c>
      <c r="B64" t="s">
        <v>159</v>
      </c>
      <c r="C64" s="3">
        <v>752</v>
      </c>
      <c r="D64" s="3">
        <v>0</v>
      </c>
      <c r="E64" s="3">
        <v>0</v>
      </c>
      <c r="F64" s="3">
        <v>0</v>
      </c>
      <c r="G64" s="3">
        <v>0</v>
      </c>
      <c r="H64" s="3">
        <v>752</v>
      </c>
      <c r="I64" s="3">
        <f t="shared" si="0"/>
        <v>1504</v>
      </c>
      <c r="J64" s="2"/>
      <c r="K64"/>
    </row>
    <row r="65" spans="1:11" x14ac:dyDescent="0.3">
      <c r="A65">
        <f>'Section 619 Awards LY Comp'!A65</f>
        <v>2020</v>
      </c>
      <c r="B65" t="s">
        <v>57</v>
      </c>
      <c r="C65" s="3">
        <v>263</v>
      </c>
      <c r="D65" s="3">
        <v>0</v>
      </c>
      <c r="E65" s="3">
        <v>0</v>
      </c>
      <c r="F65" s="3">
        <v>0</v>
      </c>
      <c r="G65" s="3">
        <v>0</v>
      </c>
      <c r="H65" s="3">
        <v>0</v>
      </c>
      <c r="I65" s="3">
        <f t="shared" si="0"/>
        <v>263</v>
      </c>
      <c r="J65" s="2"/>
      <c r="K65"/>
    </row>
    <row r="66" spans="1:11" x14ac:dyDescent="0.3">
      <c r="A66">
        <f>'Section 619 Awards LY Comp'!A66</f>
        <v>2245</v>
      </c>
      <c r="B66" t="s">
        <v>157</v>
      </c>
      <c r="C66" s="3">
        <v>1043</v>
      </c>
      <c r="D66" s="3">
        <v>0</v>
      </c>
      <c r="E66" s="3">
        <v>0</v>
      </c>
      <c r="F66" s="3">
        <v>0</v>
      </c>
      <c r="G66" s="3">
        <v>0</v>
      </c>
      <c r="H66" s="3">
        <v>1564</v>
      </c>
      <c r="I66" s="3">
        <f t="shared" ref="I66:I129" si="1">SUM(C66:H66)</f>
        <v>2607</v>
      </c>
      <c r="J66" s="2"/>
      <c r="K66"/>
    </row>
    <row r="67" spans="1:11" x14ac:dyDescent="0.3">
      <c r="A67">
        <f>'Section 619 Awards LY Comp'!A67</f>
        <v>2137</v>
      </c>
      <c r="B67" t="s">
        <v>110</v>
      </c>
      <c r="C67" s="3">
        <v>1469</v>
      </c>
      <c r="D67" s="3">
        <v>0</v>
      </c>
      <c r="E67" s="3">
        <v>0</v>
      </c>
      <c r="F67" s="3">
        <v>0</v>
      </c>
      <c r="G67" s="3">
        <v>0</v>
      </c>
      <c r="H67" s="3">
        <v>2938</v>
      </c>
      <c r="I67" s="3">
        <f t="shared" si="1"/>
        <v>4407</v>
      </c>
      <c r="J67" s="2"/>
      <c r="K67"/>
    </row>
    <row r="68" spans="1:11" x14ac:dyDescent="0.3">
      <c r="A68">
        <f>'Section 619 Awards LY Comp'!A68</f>
        <v>1931</v>
      </c>
      <c r="B68" t="s">
        <v>16</v>
      </c>
      <c r="C68" s="3">
        <v>1477</v>
      </c>
      <c r="D68" s="3">
        <v>134</v>
      </c>
      <c r="E68" s="3">
        <v>0</v>
      </c>
      <c r="F68" s="3">
        <v>0</v>
      </c>
      <c r="G68" s="3">
        <v>0</v>
      </c>
      <c r="H68" s="3">
        <v>3626</v>
      </c>
      <c r="I68" s="3">
        <f t="shared" si="1"/>
        <v>5237</v>
      </c>
      <c r="J68" s="2"/>
      <c r="K68"/>
    </row>
    <row r="69" spans="1:11" x14ac:dyDescent="0.3">
      <c r="A69">
        <f>'Section 619 Awards LY Comp'!A69</f>
        <v>2000</v>
      </c>
      <c r="B69" t="s">
        <v>40</v>
      </c>
      <c r="C69" s="3">
        <v>224</v>
      </c>
      <c r="D69" s="3">
        <v>0</v>
      </c>
      <c r="E69" s="3">
        <v>0</v>
      </c>
      <c r="F69" s="3">
        <v>0</v>
      </c>
      <c r="G69" s="3">
        <v>0</v>
      </c>
      <c r="H69" s="3">
        <v>448</v>
      </c>
      <c r="I69" s="3">
        <f t="shared" si="1"/>
        <v>672</v>
      </c>
      <c r="J69" s="2"/>
      <c r="K69"/>
    </row>
    <row r="70" spans="1:11" x14ac:dyDescent="0.3">
      <c r="A70">
        <f>'Section 619 Awards LY Comp'!A70</f>
        <v>1992</v>
      </c>
      <c r="B70" t="s">
        <v>34</v>
      </c>
      <c r="C70" s="3">
        <v>2157</v>
      </c>
      <c r="D70" s="3">
        <v>0</v>
      </c>
      <c r="E70" s="3">
        <v>0</v>
      </c>
      <c r="F70" s="3">
        <v>0</v>
      </c>
      <c r="G70" s="3">
        <v>0</v>
      </c>
      <c r="H70" s="3">
        <v>2157</v>
      </c>
      <c r="I70" s="3">
        <f t="shared" si="1"/>
        <v>4314</v>
      </c>
      <c r="J70" s="2"/>
      <c r="K70"/>
    </row>
    <row r="71" spans="1:11" x14ac:dyDescent="0.3">
      <c r="A71">
        <f>'Section 619 Awards LY Comp'!A71</f>
        <v>2054</v>
      </c>
      <c r="B71" t="s">
        <v>73</v>
      </c>
      <c r="C71" s="3">
        <v>5674</v>
      </c>
      <c r="D71" s="3">
        <v>1576</v>
      </c>
      <c r="E71" s="3">
        <v>0</v>
      </c>
      <c r="F71" s="3">
        <v>0</v>
      </c>
      <c r="G71" s="3">
        <v>0</v>
      </c>
      <c r="H71" s="3">
        <v>24586</v>
      </c>
      <c r="I71" s="3">
        <f t="shared" si="1"/>
        <v>31836</v>
      </c>
      <c r="J71" s="2"/>
      <c r="K71"/>
    </row>
    <row r="72" spans="1:11" x14ac:dyDescent="0.3">
      <c r="A72">
        <f>'Section 619 Awards LY Comp'!A72</f>
        <v>2100</v>
      </c>
      <c r="B72" t="s">
        <v>218</v>
      </c>
      <c r="C72" s="3">
        <v>10552</v>
      </c>
      <c r="D72" s="3">
        <v>4221</v>
      </c>
      <c r="E72" s="3">
        <v>0</v>
      </c>
      <c r="F72" s="3">
        <v>0</v>
      </c>
      <c r="G72" s="3">
        <v>0</v>
      </c>
      <c r="H72" s="3">
        <v>36783</v>
      </c>
      <c r="I72" s="3">
        <f t="shared" si="1"/>
        <v>51556</v>
      </c>
      <c r="J72" s="2"/>
      <c r="K72"/>
    </row>
    <row r="73" spans="1:11" x14ac:dyDescent="0.3">
      <c r="A73">
        <f>'Section 619 Awards LY Comp'!A73</f>
        <v>2183</v>
      </c>
      <c r="B73" t="s">
        <v>124</v>
      </c>
      <c r="C73" s="3">
        <v>16059</v>
      </c>
      <c r="D73" s="3">
        <v>3728</v>
      </c>
      <c r="E73" s="3">
        <v>0</v>
      </c>
      <c r="F73" s="3">
        <v>0</v>
      </c>
      <c r="G73" s="3">
        <v>0</v>
      </c>
      <c r="H73" s="3">
        <v>42155</v>
      </c>
      <c r="I73" s="3">
        <f t="shared" si="1"/>
        <v>61942</v>
      </c>
      <c r="J73" s="2"/>
      <c r="K73"/>
    </row>
    <row r="74" spans="1:11" x14ac:dyDescent="0.3">
      <c r="A74">
        <f>'Section 619 Awards LY Comp'!A74</f>
        <v>2014</v>
      </c>
      <c r="B74" t="s">
        <v>51</v>
      </c>
      <c r="C74" s="3">
        <v>2996</v>
      </c>
      <c r="D74" s="3">
        <v>300</v>
      </c>
      <c r="E74" s="3">
        <v>0</v>
      </c>
      <c r="F74" s="3">
        <v>0</v>
      </c>
      <c r="G74" s="3">
        <v>0</v>
      </c>
      <c r="H74" s="3">
        <v>5992</v>
      </c>
      <c r="I74" s="3">
        <f t="shared" si="1"/>
        <v>9288</v>
      </c>
      <c r="J74" s="2"/>
      <c r="K74"/>
    </row>
    <row r="75" spans="1:11" x14ac:dyDescent="0.3">
      <c r="A75">
        <f>'Section 619 Awards LY Comp'!A75</f>
        <v>2015</v>
      </c>
      <c r="B75" t="s">
        <v>52</v>
      </c>
      <c r="C75" s="3">
        <v>688</v>
      </c>
      <c r="D75" s="3">
        <v>0</v>
      </c>
      <c r="E75" s="3">
        <v>0</v>
      </c>
      <c r="F75" s="3">
        <v>0</v>
      </c>
      <c r="G75" s="3">
        <v>0</v>
      </c>
      <c r="H75" s="3">
        <v>0</v>
      </c>
      <c r="I75" s="3">
        <f t="shared" si="1"/>
        <v>688</v>
      </c>
      <c r="J75" s="2"/>
      <c r="K75"/>
    </row>
    <row r="76" spans="1:11" x14ac:dyDescent="0.3">
      <c r="A76">
        <f>'Section 619 Awards LY Comp'!A76</f>
        <v>2023</v>
      </c>
      <c r="B76" t="s">
        <v>219</v>
      </c>
      <c r="C76" s="3">
        <v>1066</v>
      </c>
      <c r="D76" s="3">
        <v>0</v>
      </c>
      <c r="E76" s="3">
        <v>0</v>
      </c>
      <c r="F76" s="3">
        <v>0</v>
      </c>
      <c r="G76" s="3">
        <v>0</v>
      </c>
      <c r="H76" s="3">
        <v>0</v>
      </c>
      <c r="I76" s="3">
        <f t="shared" si="1"/>
        <v>1066</v>
      </c>
      <c r="J76" s="2"/>
      <c r="K76"/>
    </row>
    <row r="77" spans="1:11" x14ac:dyDescent="0.3">
      <c r="A77">
        <f>'Section 619 Awards LY Comp'!A77</f>
        <v>2114</v>
      </c>
      <c r="B77" t="s">
        <v>107</v>
      </c>
      <c r="C77" s="3">
        <v>1048</v>
      </c>
      <c r="D77" s="3">
        <v>0</v>
      </c>
      <c r="E77" s="3">
        <v>0</v>
      </c>
      <c r="F77" s="3">
        <v>0</v>
      </c>
      <c r="G77" s="3">
        <v>0</v>
      </c>
      <c r="H77" s="3">
        <v>0</v>
      </c>
      <c r="I77" s="3">
        <f t="shared" si="1"/>
        <v>1048</v>
      </c>
      <c r="J77" s="2"/>
      <c r="K77"/>
    </row>
    <row r="78" spans="1:11" x14ac:dyDescent="0.3">
      <c r="A78">
        <f>'Section 619 Awards LY Comp'!A78</f>
        <v>2099</v>
      </c>
      <c r="B78" t="s">
        <v>95</v>
      </c>
      <c r="C78" s="3">
        <v>471</v>
      </c>
      <c r="D78" s="3">
        <v>236</v>
      </c>
      <c r="E78" s="3">
        <v>0</v>
      </c>
      <c r="F78" s="3">
        <v>0</v>
      </c>
      <c r="G78" s="3">
        <v>0</v>
      </c>
      <c r="H78" s="3">
        <v>1178</v>
      </c>
      <c r="I78" s="3">
        <f t="shared" si="1"/>
        <v>1885</v>
      </c>
      <c r="J78" s="2"/>
      <c r="K78"/>
    </row>
    <row r="79" spans="1:11" x14ac:dyDescent="0.3">
      <c r="A79">
        <f>'Section 619 Awards LY Comp'!A79</f>
        <v>2201</v>
      </c>
      <c r="B79" t="s">
        <v>136</v>
      </c>
      <c r="C79" s="3">
        <v>1015</v>
      </c>
      <c r="D79" s="3">
        <v>0</v>
      </c>
      <c r="E79" s="3">
        <v>0</v>
      </c>
      <c r="F79" s="3">
        <v>0</v>
      </c>
      <c r="G79" s="3">
        <v>0</v>
      </c>
      <c r="H79" s="3">
        <v>0</v>
      </c>
      <c r="I79" s="3">
        <f t="shared" si="1"/>
        <v>1015</v>
      </c>
      <c r="J79" s="2"/>
      <c r="K79"/>
    </row>
    <row r="80" spans="1:11" x14ac:dyDescent="0.3">
      <c r="A80">
        <f>'Section 619 Awards LY Comp'!A80</f>
        <v>2206</v>
      </c>
      <c r="B80" t="s">
        <v>220</v>
      </c>
      <c r="C80" s="3">
        <v>8214</v>
      </c>
      <c r="D80" s="3">
        <v>432</v>
      </c>
      <c r="E80" s="3">
        <v>0</v>
      </c>
      <c r="F80" s="3">
        <v>0</v>
      </c>
      <c r="G80" s="3">
        <v>0</v>
      </c>
      <c r="H80" s="3">
        <v>17509</v>
      </c>
      <c r="I80" s="3">
        <f t="shared" si="1"/>
        <v>26155</v>
      </c>
      <c r="J80" s="2"/>
      <c r="K80"/>
    </row>
    <row r="81" spans="1:11" x14ac:dyDescent="0.3">
      <c r="A81">
        <f>'Section 619 Awards LY Comp'!A81</f>
        <v>2239</v>
      </c>
      <c r="B81" t="s">
        <v>151</v>
      </c>
      <c r="C81" s="3">
        <v>15308</v>
      </c>
      <c r="D81" s="3">
        <v>5717</v>
      </c>
      <c r="E81" s="3">
        <v>184</v>
      </c>
      <c r="F81" s="3">
        <v>0</v>
      </c>
      <c r="G81" s="3">
        <v>0</v>
      </c>
      <c r="H81" s="3">
        <v>50349</v>
      </c>
      <c r="I81" s="3">
        <f t="shared" si="1"/>
        <v>71558</v>
      </c>
      <c r="J81" s="2"/>
      <c r="K81"/>
    </row>
    <row r="82" spans="1:11" x14ac:dyDescent="0.3">
      <c r="A82">
        <f>'Section 619 Awards LY Comp'!A82</f>
        <v>2024</v>
      </c>
      <c r="B82" t="s">
        <v>221</v>
      </c>
      <c r="C82" s="3">
        <v>5757</v>
      </c>
      <c r="D82" s="3">
        <v>1328</v>
      </c>
      <c r="E82" s="3">
        <v>0</v>
      </c>
      <c r="F82" s="3">
        <v>0</v>
      </c>
      <c r="G82" s="3">
        <v>0</v>
      </c>
      <c r="H82" s="3">
        <v>14392</v>
      </c>
      <c r="I82" s="3">
        <f t="shared" si="1"/>
        <v>21477</v>
      </c>
      <c r="J82" s="2"/>
      <c r="K82"/>
    </row>
    <row r="83" spans="1:11" x14ac:dyDescent="0.3">
      <c r="A83">
        <f>'Section 619 Awards LY Comp'!A83</f>
        <v>1895</v>
      </c>
      <c r="B83" t="s">
        <v>2</v>
      </c>
      <c r="C83" s="3">
        <v>523</v>
      </c>
      <c r="D83" s="3">
        <v>0</v>
      </c>
      <c r="E83" s="3">
        <v>0</v>
      </c>
      <c r="F83" s="3">
        <v>0</v>
      </c>
      <c r="G83" s="3">
        <v>0</v>
      </c>
      <c r="H83" s="3">
        <v>0</v>
      </c>
      <c r="I83" s="3">
        <f t="shared" si="1"/>
        <v>523</v>
      </c>
      <c r="J83" s="2"/>
      <c r="K83"/>
    </row>
    <row r="84" spans="1:11" x14ac:dyDescent="0.3">
      <c r="A84">
        <f>'Section 619 Awards LY Comp'!A84</f>
        <v>2215</v>
      </c>
      <c r="B84" t="s">
        <v>143</v>
      </c>
      <c r="C84" s="3">
        <v>0</v>
      </c>
      <c r="D84" s="3">
        <v>0</v>
      </c>
      <c r="E84" s="3">
        <v>0</v>
      </c>
      <c r="F84" s="3">
        <v>0</v>
      </c>
      <c r="G84" s="3">
        <v>0</v>
      </c>
      <c r="H84" s="3">
        <v>632</v>
      </c>
      <c r="I84" s="3">
        <f t="shared" si="1"/>
        <v>632</v>
      </c>
      <c r="J84" s="2"/>
      <c r="K84"/>
    </row>
    <row r="85" spans="1:11" x14ac:dyDescent="0.3">
      <c r="A85">
        <f>'Section 619 Awards LY Comp'!A85</f>
        <v>3997</v>
      </c>
      <c r="B85" t="s">
        <v>222</v>
      </c>
      <c r="C85" s="3">
        <v>0</v>
      </c>
      <c r="D85" s="3">
        <v>0</v>
      </c>
      <c r="E85" s="3">
        <v>0</v>
      </c>
      <c r="F85" s="3">
        <v>0</v>
      </c>
      <c r="G85" s="3">
        <v>0</v>
      </c>
      <c r="H85" s="3">
        <v>548</v>
      </c>
      <c r="I85" s="3">
        <f t="shared" si="1"/>
        <v>548</v>
      </c>
      <c r="J85" s="2"/>
      <c r="K85"/>
    </row>
    <row r="86" spans="1:11" x14ac:dyDescent="0.3">
      <c r="A86">
        <f>'Section 619 Awards LY Comp'!A86</f>
        <v>2053</v>
      </c>
      <c r="B86" t="s">
        <v>72</v>
      </c>
      <c r="C86" s="3">
        <v>13711</v>
      </c>
      <c r="D86" s="3">
        <v>1828</v>
      </c>
      <c r="E86" s="3">
        <v>0</v>
      </c>
      <c r="F86" s="3">
        <v>0</v>
      </c>
      <c r="G86" s="3">
        <v>0</v>
      </c>
      <c r="H86" s="3">
        <v>21937</v>
      </c>
      <c r="I86" s="3">
        <f t="shared" si="1"/>
        <v>37476</v>
      </c>
      <c r="J86" s="2"/>
      <c r="K86"/>
    </row>
    <row r="87" spans="1:11" x14ac:dyDescent="0.3">
      <c r="A87">
        <f>'Section 619 Awards LY Comp'!A87</f>
        <v>2140</v>
      </c>
      <c r="B87" t="s">
        <v>113</v>
      </c>
      <c r="C87" s="3">
        <v>400</v>
      </c>
      <c r="D87" s="3">
        <v>0</v>
      </c>
      <c r="E87" s="3">
        <v>0</v>
      </c>
      <c r="F87" s="3">
        <v>0</v>
      </c>
      <c r="G87" s="3">
        <v>0</v>
      </c>
      <c r="H87" s="3">
        <v>2398</v>
      </c>
      <c r="I87" s="3">
        <f t="shared" si="1"/>
        <v>2798</v>
      </c>
      <c r="J87" s="2"/>
      <c r="K87"/>
    </row>
    <row r="88" spans="1:11" x14ac:dyDescent="0.3">
      <c r="A88">
        <f>'Section 619 Awards LY Comp'!A88</f>
        <v>1934</v>
      </c>
      <c r="B88" t="s">
        <v>17</v>
      </c>
      <c r="C88" s="3">
        <v>1000</v>
      </c>
      <c r="D88" s="3">
        <v>0</v>
      </c>
      <c r="E88" s="3">
        <v>0</v>
      </c>
      <c r="F88" s="3">
        <v>0</v>
      </c>
      <c r="G88" s="3">
        <v>0</v>
      </c>
      <c r="H88" s="3">
        <v>0</v>
      </c>
      <c r="I88" s="3">
        <f t="shared" si="1"/>
        <v>1000</v>
      </c>
      <c r="J88" s="2"/>
      <c r="K88"/>
    </row>
    <row r="89" spans="1:11" x14ac:dyDescent="0.3">
      <c r="A89">
        <f>'Section 619 Awards LY Comp'!A89</f>
        <v>2008</v>
      </c>
      <c r="B89" t="s">
        <v>46</v>
      </c>
      <c r="C89" s="3">
        <v>911</v>
      </c>
      <c r="D89" s="3">
        <v>0</v>
      </c>
      <c r="E89" s="3">
        <v>0</v>
      </c>
      <c r="F89" s="3">
        <v>0</v>
      </c>
      <c r="G89" s="3">
        <v>0</v>
      </c>
      <c r="H89" s="3">
        <v>4554</v>
      </c>
      <c r="I89" s="3">
        <f t="shared" si="1"/>
        <v>5465</v>
      </c>
      <c r="J89" s="2"/>
      <c r="K89"/>
    </row>
    <row r="90" spans="1:11" x14ac:dyDescent="0.3">
      <c r="A90">
        <f>'Section 619 Awards LY Comp'!A90</f>
        <v>2107</v>
      </c>
      <c r="B90" t="s">
        <v>101</v>
      </c>
      <c r="C90" s="3">
        <v>499</v>
      </c>
      <c r="D90" s="3">
        <v>0</v>
      </c>
      <c r="E90" s="3">
        <v>0</v>
      </c>
      <c r="F90" s="3">
        <v>0</v>
      </c>
      <c r="G90" s="3">
        <v>0</v>
      </c>
      <c r="H90" s="3">
        <v>0</v>
      </c>
      <c r="I90" s="3">
        <f t="shared" si="1"/>
        <v>499</v>
      </c>
      <c r="J90" s="2"/>
      <c r="K90"/>
    </row>
    <row r="91" spans="1:11" x14ac:dyDescent="0.3">
      <c r="A91">
        <f>'Section 619 Awards LY Comp'!A91</f>
        <v>2219</v>
      </c>
      <c r="B91" t="s">
        <v>146</v>
      </c>
      <c r="C91" s="3">
        <v>621</v>
      </c>
      <c r="D91" s="3">
        <v>0</v>
      </c>
      <c r="E91" s="3">
        <v>0</v>
      </c>
      <c r="F91" s="3">
        <v>0</v>
      </c>
      <c r="G91" s="3">
        <v>0</v>
      </c>
      <c r="H91" s="3">
        <v>1862</v>
      </c>
      <c r="I91" s="3">
        <f t="shared" si="1"/>
        <v>2483</v>
      </c>
      <c r="J91" s="2"/>
      <c r="K91"/>
    </row>
    <row r="92" spans="1:11" x14ac:dyDescent="0.3">
      <c r="A92">
        <f>'Section 619 Awards LY Comp'!A92</f>
        <v>2091</v>
      </c>
      <c r="B92" t="s">
        <v>88</v>
      </c>
      <c r="C92" s="3">
        <v>2687</v>
      </c>
      <c r="D92" s="3">
        <v>0</v>
      </c>
      <c r="E92" s="3">
        <v>0</v>
      </c>
      <c r="F92" s="3">
        <v>0</v>
      </c>
      <c r="G92" s="3">
        <v>0</v>
      </c>
      <c r="H92" s="3">
        <v>11285</v>
      </c>
      <c r="I92" s="3">
        <f t="shared" si="1"/>
        <v>13972</v>
      </c>
      <c r="J92" s="2"/>
      <c r="K92"/>
    </row>
    <row r="93" spans="1:11" x14ac:dyDescent="0.3">
      <c r="A93">
        <f>'Section 619 Awards LY Comp'!A93</f>
        <v>2109</v>
      </c>
      <c r="B93" t="s">
        <v>102</v>
      </c>
      <c r="C93" s="3">
        <v>4</v>
      </c>
      <c r="D93" s="3">
        <v>0</v>
      </c>
      <c r="E93" s="3">
        <v>0</v>
      </c>
      <c r="F93" s="3">
        <v>0</v>
      </c>
      <c r="G93" s="3">
        <v>0</v>
      </c>
      <c r="H93" s="3">
        <v>0</v>
      </c>
      <c r="I93" s="3">
        <f t="shared" si="1"/>
        <v>4</v>
      </c>
      <c r="J93" s="2"/>
      <c r="K93"/>
    </row>
    <row r="94" spans="1:11" x14ac:dyDescent="0.3">
      <c r="A94">
        <f>'Section 619 Awards LY Comp'!A94</f>
        <v>2057</v>
      </c>
      <c r="B94" t="s">
        <v>74</v>
      </c>
      <c r="C94" s="3">
        <v>14247</v>
      </c>
      <c r="D94" s="3">
        <v>966</v>
      </c>
      <c r="E94" s="3">
        <v>0</v>
      </c>
      <c r="F94" s="3">
        <v>0</v>
      </c>
      <c r="G94" s="3">
        <v>0</v>
      </c>
      <c r="H94" s="3">
        <v>20767</v>
      </c>
      <c r="I94" s="3">
        <f t="shared" si="1"/>
        <v>35980</v>
      </c>
      <c r="J94" s="2"/>
      <c r="K94"/>
    </row>
    <row r="95" spans="1:11" x14ac:dyDescent="0.3">
      <c r="A95">
        <f>'Section 619 Awards LY Comp'!A95</f>
        <v>2056</v>
      </c>
      <c r="B95" t="s">
        <v>223</v>
      </c>
      <c r="C95" s="3">
        <v>4231</v>
      </c>
      <c r="D95" s="3">
        <v>604</v>
      </c>
      <c r="E95" s="3">
        <v>0</v>
      </c>
      <c r="F95" s="3">
        <v>0</v>
      </c>
      <c r="G95" s="3">
        <v>0</v>
      </c>
      <c r="H95" s="3">
        <v>19948</v>
      </c>
      <c r="I95" s="3">
        <f t="shared" si="1"/>
        <v>24783</v>
      </c>
      <c r="J95" s="2"/>
      <c r="K95"/>
    </row>
    <row r="96" spans="1:11" x14ac:dyDescent="0.3">
      <c r="A96">
        <f>'Section 619 Awards LY Comp'!A96</f>
        <v>2262</v>
      </c>
      <c r="B96" t="s">
        <v>167</v>
      </c>
      <c r="C96" s="3">
        <v>1039</v>
      </c>
      <c r="D96" s="3">
        <v>0</v>
      </c>
      <c r="E96" s="3">
        <v>0</v>
      </c>
      <c r="F96" s="3">
        <v>0</v>
      </c>
      <c r="G96" s="3">
        <v>0</v>
      </c>
      <c r="H96" s="3">
        <v>2494</v>
      </c>
      <c r="I96" s="3">
        <f t="shared" si="1"/>
        <v>3533</v>
      </c>
      <c r="J96" s="2"/>
      <c r="K96"/>
    </row>
    <row r="97" spans="1:11" x14ac:dyDescent="0.3">
      <c r="A97">
        <f>'Section 619 Awards LY Comp'!A97</f>
        <v>2212</v>
      </c>
      <c r="B97" t="s">
        <v>140</v>
      </c>
      <c r="C97" s="3">
        <v>4402</v>
      </c>
      <c r="D97" s="3">
        <v>0</v>
      </c>
      <c r="E97" s="3">
        <v>0</v>
      </c>
      <c r="F97" s="3">
        <v>0</v>
      </c>
      <c r="G97" s="3">
        <v>0</v>
      </c>
      <c r="H97" s="3">
        <v>9684</v>
      </c>
      <c r="I97" s="3">
        <f t="shared" si="1"/>
        <v>14086</v>
      </c>
      <c r="J97" s="2"/>
      <c r="K97"/>
    </row>
    <row r="98" spans="1:11" x14ac:dyDescent="0.3">
      <c r="A98">
        <f>'Section 619 Awards LY Comp'!A98</f>
        <v>2059</v>
      </c>
      <c r="B98" t="s">
        <v>75</v>
      </c>
      <c r="C98" s="3">
        <v>0</v>
      </c>
      <c r="D98" s="3">
        <v>0</v>
      </c>
      <c r="E98" s="3">
        <v>0</v>
      </c>
      <c r="F98" s="3">
        <v>0</v>
      </c>
      <c r="G98" s="3">
        <v>0</v>
      </c>
      <c r="H98" s="3">
        <v>6016</v>
      </c>
      <c r="I98" s="3">
        <f t="shared" si="1"/>
        <v>6016</v>
      </c>
      <c r="J98" s="2"/>
      <c r="K98"/>
    </row>
    <row r="99" spans="1:11" x14ac:dyDescent="0.3">
      <c r="A99">
        <f>'Section 619 Awards LY Comp'!A99</f>
        <v>1923</v>
      </c>
      <c r="B99" t="s">
        <v>8</v>
      </c>
      <c r="C99" s="3">
        <v>5613</v>
      </c>
      <c r="D99" s="3">
        <v>2183</v>
      </c>
      <c r="E99" s="3">
        <v>0</v>
      </c>
      <c r="F99" s="3">
        <v>0</v>
      </c>
      <c r="G99" s="3">
        <v>0</v>
      </c>
      <c r="H99" s="3">
        <v>11226</v>
      </c>
      <c r="I99" s="3">
        <f t="shared" si="1"/>
        <v>19022</v>
      </c>
      <c r="J99" s="2"/>
      <c r="K99"/>
    </row>
    <row r="100" spans="1:11" x14ac:dyDescent="0.3">
      <c r="A100">
        <f>'Section 619 Awards LY Comp'!A100</f>
        <v>2101</v>
      </c>
      <c r="B100" t="s">
        <v>96</v>
      </c>
      <c r="C100" s="3">
        <v>5994</v>
      </c>
      <c r="D100" s="3">
        <v>599</v>
      </c>
      <c r="E100" s="3">
        <v>0</v>
      </c>
      <c r="F100" s="3">
        <v>0</v>
      </c>
      <c r="G100" s="3">
        <v>0</v>
      </c>
      <c r="H100" s="3">
        <v>15885</v>
      </c>
      <c r="I100" s="3">
        <f t="shared" si="1"/>
        <v>22478</v>
      </c>
      <c r="J100" s="2"/>
      <c r="K100"/>
    </row>
    <row r="101" spans="1:11" x14ac:dyDescent="0.3">
      <c r="A101">
        <f>'Section 619 Awards LY Comp'!A101</f>
        <v>2097</v>
      </c>
      <c r="B101" t="s">
        <v>94</v>
      </c>
      <c r="C101" s="3">
        <v>12904</v>
      </c>
      <c r="D101" s="3">
        <v>2933</v>
      </c>
      <c r="E101" s="3">
        <v>0</v>
      </c>
      <c r="F101" s="3">
        <v>0</v>
      </c>
      <c r="G101" s="3">
        <v>0</v>
      </c>
      <c r="H101" s="3">
        <v>36366</v>
      </c>
      <c r="I101" s="3">
        <f t="shared" si="1"/>
        <v>52203</v>
      </c>
      <c r="J101" s="2"/>
      <c r="K101"/>
    </row>
    <row r="102" spans="1:11" x14ac:dyDescent="0.3">
      <c r="A102">
        <f>'Section 619 Awards LY Comp'!A102</f>
        <v>2012</v>
      </c>
      <c r="B102" t="s">
        <v>50</v>
      </c>
      <c r="C102" s="3">
        <v>0</v>
      </c>
      <c r="D102" s="3">
        <v>0</v>
      </c>
      <c r="E102" s="3">
        <v>0</v>
      </c>
      <c r="F102" s="3">
        <v>0</v>
      </c>
      <c r="G102" s="3">
        <v>0</v>
      </c>
      <c r="H102" s="3">
        <v>491</v>
      </c>
      <c r="I102" s="3">
        <f t="shared" si="1"/>
        <v>491</v>
      </c>
      <c r="J102" s="2"/>
      <c r="K102"/>
    </row>
    <row r="103" spans="1:11" x14ac:dyDescent="0.3">
      <c r="A103">
        <f>'Section 619 Awards LY Comp'!A103</f>
        <v>2092</v>
      </c>
      <c r="B103" t="s">
        <v>89</v>
      </c>
      <c r="C103" s="3">
        <v>672</v>
      </c>
      <c r="D103" s="3">
        <v>0</v>
      </c>
      <c r="E103" s="3">
        <v>0</v>
      </c>
      <c r="F103" s="3">
        <v>0</v>
      </c>
      <c r="G103" s="3">
        <v>0</v>
      </c>
      <c r="H103" s="3">
        <v>1511</v>
      </c>
      <c r="I103" s="3">
        <f t="shared" si="1"/>
        <v>2183</v>
      </c>
      <c r="J103" s="2"/>
      <c r="K103"/>
    </row>
    <row r="104" spans="1:11" x14ac:dyDescent="0.3">
      <c r="A104">
        <f>'Section 619 Awards LY Comp'!A104</f>
        <v>2112</v>
      </c>
      <c r="B104" t="s">
        <v>105</v>
      </c>
      <c r="C104" s="3">
        <v>0</v>
      </c>
      <c r="D104" s="3">
        <v>0</v>
      </c>
      <c r="E104" s="3">
        <v>0</v>
      </c>
      <c r="F104" s="3">
        <v>0</v>
      </c>
      <c r="G104" s="3">
        <v>0</v>
      </c>
      <c r="H104" s="3">
        <v>0</v>
      </c>
      <c r="I104" s="3">
        <f t="shared" si="1"/>
        <v>0</v>
      </c>
      <c r="J104" s="2"/>
      <c r="K104"/>
    </row>
    <row r="105" spans="1:11" x14ac:dyDescent="0.3">
      <c r="A105">
        <f>'Section 619 Awards LY Comp'!A105</f>
        <v>2085</v>
      </c>
      <c r="B105" t="s">
        <v>84</v>
      </c>
      <c r="C105" s="3">
        <v>0</v>
      </c>
      <c r="D105" s="3">
        <v>0</v>
      </c>
      <c r="E105" s="3">
        <v>0</v>
      </c>
      <c r="F105" s="3">
        <v>0</v>
      </c>
      <c r="G105" s="3">
        <v>0</v>
      </c>
      <c r="H105" s="3">
        <v>1486</v>
      </c>
      <c r="I105" s="3">
        <f t="shared" si="1"/>
        <v>1486</v>
      </c>
      <c r="J105" s="2"/>
      <c r="K105"/>
    </row>
    <row r="106" spans="1:11" x14ac:dyDescent="0.3">
      <c r="A106">
        <f>'Section 619 Awards LY Comp'!A106</f>
        <v>2094</v>
      </c>
      <c r="B106" t="s">
        <v>91</v>
      </c>
      <c r="C106" s="3">
        <v>0</v>
      </c>
      <c r="D106" s="3">
        <v>0</v>
      </c>
      <c r="E106" s="3">
        <v>0</v>
      </c>
      <c r="F106" s="3">
        <v>0</v>
      </c>
      <c r="G106" s="3">
        <v>0</v>
      </c>
      <c r="H106" s="3">
        <v>1348</v>
      </c>
      <c r="I106" s="3">
        <f t="shared" si="1"/>
        <v>1348</v>
      </c>
      <c r="J106" s="2"/>
      <c r="K106"/>
    </row>
    <row r="107" spans="1:11" x14ac:dyDescent="0.3">
      <c r="A107">
        <f>'Section 619 Awards LY Comp'!A107</f>
        <v>2090</v>
      </c>
      <c r="B107" t="s">
        <v>87</v>
      </c>
      <c r="C107" s="3">
        <v>118</v>
      </c>
      <c r="D107" s="3">
        <v>0</v>
      </c>
      <c r="E107" s="3">
        <v>0</v>
      </c>
      <c r="F107" s="3">
        <v>0</v>
      </c>
      <c r="G107" s="3">
        <v>0</v>
      </c>
      <c r="H107" s="3">
        <v>472</v>
      </c>
      <c r="I107" s="3">
        <f t="shared" si="1"/>
        <v>590</v>
      </c>
      <c r="J107" s="2"/>
      <c r="K107"/>
    </row>
    <row r="108" spans="1:11" x14ac:dyDescent="0.3">
      <c r="A108">
        <f>'Section 619 Awards LY Comp'!A108</f>
        <v>2256</v>
      </c>
      <c r="B108" t="s">
        <v>165</v>
      </c>
      <c r="C108" s="3">
        <v>11089</v>
      </c>
      <c r="D108" s="3">
        <v>370</v>
      </c>
      <c r="E108" s="3">
        <v>0</v>
      </c>
      <c r="F108" s="3">
        <v>0</v>
      </c>
      <c r="G108" s="3">
        <v>0</v>
      </c>
      <c r="H108" s="3">
        <v>25874</v>
      </c>
      <c r="I108" s="3">
        <f t="shared" si="1"/>
        <v>37333</v>
      </c>
      <c r="J108" s="2"/>
      <c r="K108"/>
    </row>
    <row r="109" spans="1:11" x14ac:dyDescent="0.3">
      <c r="A109">
        <f>'Section 619 Awards LY Comp'!A109</f>
        <v>2048</v>
      </c>
      <c r="B109" t="s">
        <v>68</v>
      </c>
      <c r="C109" s="3">
        <v>22502</v>
      </c>
      <c r="D109" s="3">
        <v>5274</v>
      </c>
      <c r="E109" s="3">
        <v>0</v>
      </c>
      <c r="F109" s="3">
        <v>0</v>
      </c>
      <c r="G109" s="3">
        <v>0</v>
      </c>
      <c r="H109" s="3">
        <v>61176</v>
      </c>
      <c r="I109" s="3">
        <f t="shared" si="1"/>
        <v>88952</v>
      </c>
      <c r="J109" s="2"/>
      <c r="K109"/>
    </row>
    <row r="110" spans="1:11" x14ac:dyDescent="0.3">
      <c r="A110">
        <f>'Section 619 Awards LY Comp'!A110</f>
        <v>2205</v>
      </c>
      <c r="B110" t="s">
        <v>224</v>
      </c>
      <c r="C110" s="3">
        <v>4804</v>
      </c>
      <c r="D110" s="3">
        <v>400</v>
      </c>
      <c r="E110" s="3">
        <v>0</v>
      </c>
      <c r="F110" s="3">
        <v>0</v>
      </c>
      <c r="G110" s="3">
        <v>0</v>
      </c>
      <c r="H110" s="3">
        <v>8807</v>
      </c>
      <c r="I110" s="3">
        <f t="shared" si="1"/>
        <v>14011</v>
      </c>
      <c r="J110" s="2"/>
      <c r="K110"/>
    </row>
    <row r="111" spans="1:11" x14ac:dyDescent="0.3">
      <c r="A111">
        <f>'Section 619 Awards LY Comp'!A111</f>
        <v>2249</v>
      </c>
      <c r="B111" t="s">
        <v>160</v>
      </c>
      <c r="C111" s="3">
        <v>547</v>
      </c>
      <c r="D111" s="3">
        <v>182</v>
      </c>
      <c r="E111" s="3">
        <v>0</v>
      </c>
      <c r="F111" s="3">
        <v>0</v>
      </c>
      <c r="G111" s="3">
        <v>0</v>
      </c>
      <c r="H111" s="3">
        <v>365</v>
      </c>
      <c r="I111" s="3">
        <f t="shared" si="1"/>
        <v>1094</v>
      </c>
      <c r="J111" s="2"/>
      <c r="K111"/>
    </row>
    <row r="112" spans="1:11" x14ac:dyDescent="0.3">
      <c r="A112">
        <f>'Section 619 Awards LY Comp'!A112</f>
        <v>1925</v>
      </c>
      <c r="B112" t="s">
        <v>10</v>
      </c>
      <c r="C112" s="3">
        <v>2914</v>
      </c>
      <c r="D112" s="3">
        <v>1324</v>
      </c>
      <c r="E112" s="3">
        <v>0</v>
      </c>
      <c r="F112" s="3">
        <v>0</v>
      </c>
      <c r="G112" s="3">
        <v>0</v>
      </c>
      <c r="H112" s="3">
        <v>9535</v>
      </c>
      <c r="I112" s="3">
        <f t="shared" si="1"/>
        <v>13773</v>
      </c>
      <c r="J112" s="2"/>
      <c r="K112"/>
    </row>
    <row r="113" spans="1:11" x14ac:dyDescent="0.3">
      <c r="A113">
        <f>'Section 619 Awards LY Comp'!A113</f>
        <v>1898</v>
      </c>
      <c r="B113" t="s">
        <v>4</v>
      </c>
      <c r="C113" s="3">
        <v>0</v>
      </c>
      <c r="D113" s="3">
        <v>231</v>
      </c>
      <c r="E113" s="3">
        <v>0</v>
      </c>
      <c r="F113" s="3">
        <v>0</v>
      </c>
      <c r="G113" s="3">
        <v>0</v>
      </c>
      <c r="H113" s="3">
        <v>1385</v>
      </c>
      <c r="I113" s="3">
        <f t="shared" si="1"/>
        <v>1616</v>
      </c>
      <c r="J113" s="2"/>
      <c r="K113"/>
    </row>
    <row r="114" spans="1:11" x14ac:dyDescent="0.3">
      <c r="A114">
        <f>'Section 619 Awards LY Comp'!A114</f>
        <v>2010</v>
      </c>
      <c r="B114" t="s">
        <v>48</v>
      </c>
      <c r="C114" s="3">
        <v>1414</v>
      </c>
      <c r="D114" s="3">
        <v>0</v>
      </c>
      <c r="E114" s="3">
        <v>0</v>
      </c>
      <c r="F114" s="3">
        <v>0</v>
      </c>
      <c r="G114" s="3">
        <v>0</v>
      </c>
      <c r="H114" s="3">
        <v>0</v>
      </c>
      <c r="I114" s="3">
        <f t="shared" si="1"/>
        <v>1414</v>
      </c>
      <c r="J114" s="2"/>
      <c r="K114"/>
    </row>
    <row r="115" spans="1:11" x14ac:dyDescent="0.3">
      <c r="A115">
        <f>'Section 619 Awards LY Comp'!A115</f>
        <v>2147</v>
      </c>
      <c r="B115" t="s">
        <v>120</v>
      </c>
      <c r="C115" s="3">
        <v>1907</v>
      </c>
      <c r="D115" s="3">
        <v>0</v>
      </c>
      <c r="E115" s="3">
        <v>0</v>
      </c>
      <c r="F115" s="3">
        <v>0</v>
      </c>
      <c r="G115" s="3">
        <v>0</v>
      </c>
      <c r="H115" s="3">
        <v>4630</v>
      </c>
      <c r="I115" s="3">
        <f t="shared" si="1"/>
        <v>6537</v>
      </c>
      <c r="J115" s="2"/>
      <c r="K115"/>
    </row>
    <row r="116" spans="1:11" x14ac:dyDescent="0.3">
      <c r="A116">
        <f>'Section 619 Awards LY Comp'!A116</f>
        <v>2145</v>
      </c>
      <c r="B116" t="s">
        <v>118</v>
      </c>
      <c r="C116" s="3">
        <v>0</v>
      </c>
      <c r="D116" s="3">
        <v>0</v>
      </c>
      <c r="E116" s="3">
        <v>0</v>
      </c>
      <c r="F116" s="3">
        <v>0</v>
      </c>
      <c r="G116" s="3">
        <v>0</v>
      </c>
      <c r="H116" s="3">
        <v>3626</v>
      </c>
      <c r="I116" s="3">
        <f t="shared" si="1"/>
        <v>3626</v>
      </c>
      <c r="J116" s="2"/>
      <c r="K116"/>
    </row>
    <row r="117" spans="1:11" x14ac:dyDescent="0.3">
      <c r="A117">
        <f>'Section 619 Awards LY Comp'!A117</f>
        <v>1968</v>
      </c>
      <c r="B117" t="s">
        <v>28</v>
      </c>
      <c r="C117" s="3">
        <v>2666</v>
      </c>
      <c r="D117" s="3">
        <v>0</v>
      </c>
      <c r="E117" s="3">
        <v>0</v>
      </c>
      <c r="F117" s="3">
        <v>0</v>
      </c>
      <c r="G117" s="3">
        <v>0</v>
      </c>
      <c r="H117" s="3">
        <v>3199</v>
      </c>
      <c r="I117" s="3">
        <f t="shared" si="1"/>
        <v>5865</v>
      </c>
      <c r="J117" s="2"/>
      <c r="K117"/>
    </row>
    <row r="118" spans="1:11" x14ac:dyDescent="0.3">
      <c r="A118">
        <f>'Section 619 Awards LY Comp'!A118</f>
        <v>2198</v>
      </c>
      <c r="B118" t="s">
        <v>134</v>
      </c>
      <c r="C118" s="3">
        <v>2248</v>
      </c>
      <c r="D118" s="3">
        <v>0</v>
      </c>
      <c r="E118" s="3">
        <v>0</v>
      </c>
      <c r="F118" s="3">
        <v>0</v>
      </c>
      <c r="G118" s="3">
        <v>0</v>
      </c>
      <c r="H118" s="3">
        <v>3747</v>
      </c>
      <c r="I118" s="3">
        <f t="shared" si="1"/>
        <v>5995</v>
      </c>
      <c r="J118" s="2"/>
      <c r="K118"/>
    </row>
    <row r="119" spans="1:11" x14ac:dyDescent="0.3">
      <c r="A119">
        <f>'Section 619 Awards LY Comp'!A119</f>
        <v>2199</v>
      </c>
      <c r="B119" t="s">
        <v>135</v>
      </c>
      <c r="C119" s="3">
        <v>802</v>
      </c>
      <c r="D119" s="3">
        <v>0</v>
      </c>
      <c r="E119" s="3">
        <v>0</v>
      </c>
      <c r="F119" s="3">
        <v>0</v>
      </c>
      <c r="G119" s="3">
        <v>0</v>
      </c>
      <c r="H119" s="3">
        <v>3208</v>
      </c>
      <c r="I119" s="3">
        <f t="shared" si="1"/>
        <v>4010</v>
      </c>
      <c r="J119" s="2"/>
      <c r="K119"/>
    </row>
    <row r="120" spans="1:11" x14ac:dyDescent="0.3">
      <c r="A120">
        <f>'Section 619 Awards LY Comp'!A120</f>
        <v>2254</v>
      </c>
      <c r="B120" t="s">
        <v>163</v>
      </c>
      <c r="C120" s="3">
        <v>7683</v>
      </c>
      <c r="D120" s="3">
        <v>0</v>
      </c>
      <c r="E120" s="3">
        <v>0</v>
      </c>
      <c r="F120" s="3">
        <v>0</v>
      </c>
      <c r="G120" s="3">
        <v>0</v>
      </c>
      <c r="H120" s="3">
        <v>15981</v>
      </c>
      <c r="I120" s="3">
        <f t="shared" si="1"/>
        <v>23664</v>
      </c>
      <c r="J120" s="2"/>
      <c r="K120"/>
    </row>
    <row r="121" spans="1:11" x14ac:dyDescent="0.3">
      <c r="A121">
        <f>'Section 619 Awards LY Comp'!A121</f>
        <v>1966</v>
      </c>
      <c r="B121" t="s">
        <v>26</v>
      </c>
      <c r="C121" s="3">
        <v>6369</v>
      </c>
      <c r="D121" s="3">
        <v>398</v>
      </c>
      <c r="E121" s="3">
        <v>0</v>
      </c>
      <c r="F121" s="3">
        <v>0</v>
      </c>
      <c r="G121" s="3">
        <v>0</v>
      </c>
      <c r="H121" s="3">
        <v>11145</v>
      </c>
      <c r="I121" s="3">
        <f t="shared" si="1"/>
        <v>17912</v>
      </c>
      <c r="J121" s="2"/>
      <c r="K121"/>
    </row>
    <row r="122" spans="1:11" x14ac:dyDescent="0.3">
      <c r="A122">
        <f>'Section 619 Awards LY Comp'!A122</f>
        <v>1924</v>
      </c>
      <c r="B122" t="s">
        <v>9</v>
      </c>
      <c r="C122" s="3">
        <v>14004</v>
      </c>
      <c r="D122" s="3">
        <v>4094</v>
      </c>
      <c r="E122" s="3">
        <v>0</v>
      </c>
      <c r="F122" s="3">
        <v>0</v>
      </c>
      <c r="G122" s="3">
        <v>0</v>
      </c>
      <c r="H122" s="3">
        <v>53001</v>
      </c>
      <c r="I122" s="3">
        <f t="shared" si="1"/>
        <v>71099</v>
      </c>
      <c r="J122" s="2"/>
      <c r="K122"/>
    </row>
    <row r="123" spans="1:11" x14ac:dyDescent="0.3">
      <c r="A123">
        <f>'Section 619 Awards LY Comp'!A123</f>
        <v>1996</v>
      </c>
      <c r="B123" t="s">
        <v>36</v>
      </c>
      <c r="C123" s="3">
        <v>0</v>
      </c>
      <c r="D123" s="3">
        <v>287</v>
      </c>
      <c r="E123" s="3">
        <v>0</v>
      </c>
      <c r="F123" s="3">
        <v>0</v>
      </c>
      <c r="G123" s="3">
        <v>0</v>
      </c>
      <c r="H123" s="3">
        <v>860</v>
      </c>
      <c r="I123" s="3">
        <f t="shared" si="1"/>
        <v>1147</v>
      </c>
      <c r="J123" s="2"/>
      <c r="K123"/>
    </row>
    <row r="124" spans="1:11" x14ac:dyDescent="0.3">
      <c r="A124">
        <f>'Section 619 Awards LY Comp'!A124</f>
        <v>2061</v>
      </c>
      <c r="B124" t="s">
        <v>77</v>
      </c>
      <c r="C124" s="3">
        <v>416</v>
      </c>
      <c r="D124" s="3">
        <v>0</v>
      </c>
      <c r="E124" s="3">
        <v>0</v>
      </c>
      <c r="F124" s="3">
        <v>0</v>
      </c>
      <c r="G124" s="3">
        <v>0</v>
      </c>
      <c r="H124" s="3">
        <v>2082</v>
      </c>
      <c r="I124" s="3">
        <f t="shared" si="1"/>
        <v>2498</v>
      </c>
      <c r="J124" s="2"/>
      <c r="K124"/>
    </row>
    <row r="125" spans="1:11" x14ac:dyDescent="0.3">
      <c r="A125">
        <f>'Section 619 Awards LY Comp'!A125</f>
        <v>2141</v>
      </c>
      <c r="B125" t="s">
        <v>114</v>
      </c>
      <c r="C125" s="3">
        <v>1934</v>
      </c>
      <c r="D125" s="3">
        <v>1934</v>
      </c>
      <c r="E125" s="3">
        <v>0</v>
      </c>
      <c r="F125" s="3">
        <v>0</v>
      </c>
      <c r="G125" s="3">
        <v>0</v>
      </c>
      <c r="H125" s="3">
        <v>4642</v>
      </c>
      <c r="I125" s="3">
        <f t="shared" si="1"/>
        <v>8510</v>
      </c>
      <c r="J125" s="2"/>
      <c r="K125"/>
    </row>
    <row r="126" spans="1:11" x14ac:dyDescent="0.3">
      <c r="A126">
        <f>'Section 619 Awards LY Comp'!A126</f>
        <v>2214</v>
      </c>
      <c r="B126" t="s">
        <v>142</v>
      </c>
      <c r="C126" s="3">
        <v>0</v>
      </c>
      <c r="D126" s="3">
        <v>318</v>
      </c>
      <c r="E126" s="3">
        <v>0</v>
      </c>
      <c r="F126" s="3">
        <v>0</v>
      </c>
      <c r="G126" s="3">
        <v>0</v>
      </c>
      <c r="H126" s="3">
        <v>318</v>
      </c>
      <c r="I126" s="3">
        <f t="shared" si="1"/>
        <v>636</v>
      </c>
      <c r="J126" s="2"/>
      <c r="K126"/>
    </row>
    <row r="127" spans="1:11" x14ac:dyDescent="0.3">
      <c r="A127">
        <f>'Section 619 Awards LY Comp'!A127</f>
        <v>2143</v>
      </c>
      <c r="B127" t="s">
        <v>116</v>
      </c>
      <c r="C127" s="3">
        <v>4815</v>
      </c>
      <c r="D127" s="3">
        <v>963</v>
      </c>
      <c r="E127" s="3">
        <v>0</v>
      </c>
      <c r="F127" s="3">
        <v>0</v>
      </c>
      <c r="G127" s="3">
        <v>0</v>
      </c>
      <c r="H127" s="3">
        <v>2889</v>
      </c>
      <c r="I127" s="3">
        <f t="shared" si="1"/>
        <v>8667</v>
      </c>
      <c r="J127" s="2"/>
      <c r="K127"/>
    </row>
    <row r="128" spans="1:11" x14ac:dyDescent="0.3">
      <c r="A128">
        <f>'Section 619 Awards LY Comp'!A128</f>
        <v>4131</v>
      </c>
      <c r="B128" t="s">
        <v>225</v>
      </c>
      <c r="C128" s="3">
        <v>7033</v>
      </c>
      <c r="D128" s="3">
        <v>352</v>
      </c>
      <c r="E128" s="3">
        <v>0</v>
      </c>
      <c r="F128" s="3">
        <v>0</v>
      </c>
      <c r="G128" s="3">
        <v>0</v>
      </c>
      <c r="H128" s="3">
        <v>18638</v>
      </c>
      <c r="I128" s="3">
        <f t="shared" si="1"/>
        <v>26023</v>
      </c>
      <c r="J128" s="2"/>
      <c r="K128"/>
    </row>
    <row r="129" spans="1:11" x14ac:dyDescent="0.3">
      <c r="A129">
        <f>'Section 619 Awards LY Comp'!A129</f>
        <v>2110</v>
      </c>
      <c r="B129" t="s">
        <v>103</v>
      </c>
      <c r="C129" s="3">
        <v>1914</v>
      </c>
      <c r="D129" s="3">
        <v>0</v>
      </c>
      <c r="E129" s="3">
        <v>0</v>
      </c>
      <c r="F129" s="3">
        <v>0</v>
      </c>
      <c r="G129" s="3">
        <v>0</v>
      </c>
      <c r="H129" s="3">
        <v>3062</v>
      </c>
      <c r="I129" s="3">
        <f t="shared" si="1"/>
        <v>4976</v>
      </c>
      <c r="J129" s="2"/>
      <c r="K129"/>
    </row>
    <row r="130" spans="1:11" x14ac:dyDescent="0.3">
      <c r="A130">
        <f>'Section 619 Awards LY Comp'!A130</f>
        <v>1990</v>
      </c>
      <c r="B130" t="s">
        <v>33</v>
      </c>
      <c r="C130" s="3">
        <v>1977</v>
      </c>
      <c r="D130" s="3">
        <v>0</v>
      </c>
      <c r="E130" s="3">
        <v>0</v>
      </c>
      <c r="F130" s="3">
        <v>0</v>
      </c>
      <c r="G130" s="3">
        <v>0</v>
      </c>
      <c r="H130" s="3">
        <v>2542</v>
      </c>
      <c r="I130" s="3">
        <f t="shared" ref="I130:I193" si="2">SUM(C130:H130)</f>
        <v>4519</v>
      </c>
      <c r="J130" s="2"/>
      <c r="K130"/>
    </row>
    <row r="131" spans="1:11" x14ac:dyDescent="0.3">
      <c r="A131">
        <f>'Section 619 Awards LY Comp'!A131</f>
        <v>2093</v>
      </c>
      <c r="B131" t="s">
        <v>90</v>
      </c>
      <c r="C131" s="3">
        <v>1067</v>
      </c>
      <c r="D131" s="3">
        <v>0</v>
      </c>
      <c r="E131" s="3">
        <v>0</v>
      </c>
      <c r="F131" s="3">
        <v>0</v>
      </c>
      <c r="G131" s="3">
        <v>0</v>
      </c>
      <c r="H131" s="3">
        <v>9070</v>
      </c>
      <c r="I131" s="3">
        <f t="shared" si="2"/>
        <v>10137</v>
      </c>
      <c r="J131" s="2"/>
      <c r="K131"/>
    </row>
    <row r="132" spans="1:11" x14ac:dyDescent="0.3">
      <c r="A132">
        <f>'Section 619 Awards LY Comp'!A132</f>
        <v>2108</v>
      </c>
      <c r="B132" t="s">
        <v>226</v>
      </c>
      <c r="C132" s="3">
        <v>4118</v>
      </c>
      <c r="D132" s="3">
        <v>0</v>
      </c>
      <c r="E132" s="3">
        <v>0</v>
      </c>
      <c r="F132" s="3">
        <v>0</v>
      </c>
      <c r="G132" s="3">
        <v>0</v>
      </c>
      <c r="H132" s="3">
        <v>10525</v>
      </c>
      <c r="I132" s="3">
        <f t="shared" si="2"/>
        <v>14643</v>
      </c>
      <c r="J132" s="2"/>
      <c r="K132"/>
    </row>
    <row r="133" spans="1:11" x14ac:dyDescent="0.3">
      <c r="A133">
        <f>'Section 619 Awards LY Comp'!A133</f>
        <v>1928</v>
      </c>
      <c r="B133" t="s">
        <v>13</v>
      </c>
      <c r="C133" s="3">
        <v>6428</v>
      </c>
      <c r="D133" s="3">
        <v>3214</v>
      </c>
      <c r="E133" s="3">
        <v>0</v>
      </c>
      <c r="F133" s="3">
        <v>0</v>
      </c>
      <c r="G133" s="3">
        <v>0</v>
      </c>
      <c r="H133" s="3">
        <v>34067</v>
      </c>
      <c r="I133" s="3">
        <f t="shared" si="2"/>
        <v>43709</v>
      </c>
      <c r="J133" s="2"/>
      <c r="K133"/>
    </row>
    <row r="134" spans="1:11" x14ac:dyDescent="0.3">
      <c r="A134">
        <f>'Section 619 Awards LY Comp'!A134</f>
        <v>1926</v>
      </c>
      <c r="B134" t="s">
        <v>11</v>
      </c>
      <c r="C134" s="3">
        <v>3542</v>
      </c>
      <c r="D134" s="3">
        <v>1771</v>
      </c>
      <c r="E134" s="3">
        <v>0</v>
      </c>
      <c r="F134" s="3">
        <v>0</v>
      </c>
      <c r="G134" s="3">
        <v>0</v>
      </c>
      <c r="H134" s="3">
        <v>17708</v>
      </c>
      <c r="I134" s="3">
        <f t="shared" si="2"/>
        <v>23021</v>
      </c>
      <c r="J134" s="2"/>
      <c r="K134"/>
    </row>
    <row r="135" spans="1:11" x14ac:dyDescent="0.3">
      <c r="A135">
        <f>'Section 619 Awards LY Comp'!A135</f>
        <v>2060</v>
      </c>
      <c r="B135" t="s">
        <v>76</v>
      </c>
      <c r="C135" s="3">
        <v>572</v>
      </c>
      <c r="D135" s="3">
        <v>0</v>
      </c>
      <c r="E135" s="3">
        <v>0</v>
      </c>
      <c r="F135" s="3">
        <v>0</v>
      </c>
      <c r="G135" s="3">
        <v>0</v>
      </c>
      <c r="H135" s="3">
        <v>0</v>
      </c>
      <c r="I135" s="3">
        <f t="shared" si="2"/>
        <v>572</v>
      </c>
      <c r="J135" s="2"/>
      <c r="K135"/>
    </row>
    <row r="136" spans="1:11" x14ac:dyDescent="0.3">
      <c r="A136">
        <f>'Section 619 Awards LY Comp'!A136</f>
        <v>2181</v>
      </c>
      <c r="B136" t="s">
        <v>122</v>
      </c>
      <c r="C136" s="3">
        <v>3246</v>
      </c>
      <c r="D136" s="3">
        <v>1623</v>
      </c>
      <c r="E136" s="3">
        <v>0</v>
      </c>
      <c r="F136" s="3">
        <v>0</v>
      </c>
      <c r="G136" s="3">
        <v>0</v>
      </c>
      <c r="H136" s="3">
        <v>10201</v>
      </c>
      <c r="I136" s="3">
        <f t="shared" si="2"/>
        <v>15070</v>
      </c>
      <c r="J136" s="2"/>
      <c r="K136"/>
    </row>
    <row r="137" spans="1:11" x14ac:dyDescent="0.3">
      <c r="A137">
        <f>'Section 619 Awards LY Comp'!A137</f>
        <v>2207</v>
      </c>
      <c r="B137" t="s">
        <v>227</v>
      </c>
      <c r="C137" s="3">
        <v>6339</v>
      </c>
      <c r="D137" s="3">
        <v>1335</v>
      </c>
      <c r="E137" s="3">
        <v>0</v>
      </c>
      <c r="F137" s="3">
        <v>0</v>
      </c>
      <c r="G137" s="3">
        <v>0</v>
      </c>
      <c r="H137" s="3">
        <v>15014</v>
      </c>
      <c r="I137" s="3">
        <f t="shared" si="2"/>
        <v>22688</v>
      </c>
      <c r="J137" s="2"/>
      <c r="K137"/>
    </row>
    <row r="138" spans="1:11" x14ac:dyDescent="0.3">
      <c r="A138">
        <f>'Section 619 Awards LY Comp'!A138</f>
        <v>2192</v>
      </c>
      <c r="B138" t="s">
        <v>131</v>
      </c>
      <c r="C138" s="3">
        <v>1094</v>
      </c>
      <c r="D138" s="3">
        <v>0</v>
      </c>
      <c r="E138" s="3">
        <v>0</v>
      </c>
      <c r="F138" s="3">
        <v>0</v>
      </c>
      <c r="G138" s="3">
        <v>0</v>
      </c>
      <c r="H138" s="3">
        <v>0</v>
      </c>
      <c r="I138" s="3">
        <f t="shared" si="2"/>
        <v>1094</v>
      </c>
      <c r="J138" s="2"/>
      <c r="K138"/>
    </row>
    <row r="139" spans="1:11" x14ac:dyDescent="0.3">
      <c r="A139">
        <f>'Section 619 Awards LY Comp'!A139</f>
        <v>1900</v>
      </c>
      <c r="B139" t="s">
        <v>6</v>
      </c>
      <c r="C139" s="3">
        <v>3237</v>
      </c>
      <c r="D139" s="3">
        <v>0</v>
      </c>
      <c r="E139" s="3">
        <v>0</v>
      </c>
      <c r="F139" s="3">
        <v>0</v>
      </c>
      <c r="G139" s="3">
        <v>0</v>
      </c>
      <c r="H139" s="3">
        <v>9712</v>
      </c>
      <c r="I139" s="3">
        <f t="shared" si="2"/>
        <v>12949</v>
      </c>
      <c r="J139" s="2"/>
      <c r="K139"/>
    </row>
    <row r="140" spans="1:11" x14ac:dyDescent="0.3">
      <c r="A140">
        <f>'Section 619 Awards LY Comp'!A140</f>
        <v>2039</v>
      </c>
      <c r="B140" t="s">
        <v>60</v>
      </c>
      <c r="C140" s="3">
        <v>9663</v>
      </c>
      <c r="D140" s="3">
        <v>0</v>
      </c>
      <c r="E140" s="3">
        <v>0</v>
      </c>
      <c r="F140" s="3">
        <v>0</v>
      </c>
      <c r="G140" s="3">
        <v>0</v>
      </c>
      <c r="H140" s="3">
        <v>12078</v>
      </c>
      <c r="I140" s="3">
        <f t="shared" si="2"/>
        <v>21741</v>
      </c>
      <c r="J140" s="2"/>
      <c r="K140"/>
    </row>
    <row r="141" spans="1:11" x14ac:dyDescent="0.3">
      <c r="A141">
        <f>'Section 619 Awards LY Comp'!A141</f>
        <v>2202</v>
      </c>
      <c r="B141" t="s">
        <v>137</v>
      </c>
      <c r="C141" s="3">
        <v>519</v>
      </c>
      <c r="D141" s="3">
        <v>0</v>
      </c>
      <c r="E141" s="3">
        <v>0</v>
      </c>
      <c r="F141" s="3">
        <v>0</v>
      </c>
      <c r="G141" s="3">
        <v>0</v>
      </c>
      <c r="H141" s="3">
        <v>1039</v>
      </c>
      <c r="I141" s="3">
        <f t="shared" si="2"/>
        <v>1558</v>
      </c>
      <c r="J141" s="2"/>
      <c r="K141"/>
    </row>
    <row r="142" spans="1:11" x14ac:dyDescent="0.3">
      <c r="A142">
        <f>'Section 619 Awards LY Comp'!A142</f>
        <v>2016</v>
      </c>
      <c r="B142" t="s">
        <v>53</v>
      </c>
      <c r="C142" s="3">
        <v>262</v>
      </c>
      <c r="D142" s="3">
        <v>0</v>
      </c>
      <c r="E142" s="3">
        <v>0</v>
      </c>
      <c r="F142" s="3">
        <v>0</v>
      </c>
      <c r="G142" s="3">
        <v>0</v>
      </c>
      <c r="H142" s="3">
        <v>0</v>
      </c>
      <c r="I142" s="3">
        <f t="shared" si="2"/>
        <v>262</v>
      </c>
      <c r="J142" s="2"/>
      <c r="K142"/>
    </row>
    <row r="143" spans="1:11" x14ac:dyDescent="0.3">
      <c r="A143">
        <f>'Section 619 Awards LY Comp'!A143</f>
        <v>1897</v>
      </c>
      <c r="B143" t="s">
        <v>228</v>
      </c>
      <c r="C143" s="3">
        <v>201</v>
      </c>
      <c r="D143" s="3">
        <v>0</v>
      </c>
      <c r="E143" s="3">
        <v>0</v>
      </c>
      <c r="F143" s="3">
        <v>0</v>
      </c>
      <c r="G143" s="3">
        <v>0</v>
      </c>
      <c r="H143" s="3">
        <v>201</v>
      </c>
      <c r="I143" s="3">
        <f t="shared" si="2"/>
        <v>402</v>
      </c>
      <c r="J143" s="2"/>
      <c r="K143"/>
    </row>
    <row r="144" spans="1:11" x14ac:dyDescent="0.3">
      <c r="A144">
        <f>'Section 619 Awards LY Comp'!A144</f>
        <v>2047</v>
      </c>
      <c r="B144" t="s">
        <v>67</v>
      </c>
      <c r="C144" s="3">
        <v>938</v>
      </c>
      <c r="D144" s="3">
        <v>0</v>
      </c>
      <c r="E144" s="3">
        <v>0</v>
      </c>
      <c r="F144" s="3">
        <v>0</v>
      </c>
      <c r="G144" s="3">
        <v>0</v>
      </c>
      <c r="H144" s="3">
        <v>0</v>
      </c>
      <c r="I144" s="3">
        <f t="shared" si="2"/>
        <v>938</v>
      </c>
      <c r="J144" s="2"/>
      <c r="K144"/>
    </row>
    <row r="145" spans="1:11" x14ac:dyDescent="0.3">
      <c r="A145">
        <f>'Section 619 Awards LY Comp'!A145</f>
        <v>2081</v>
      </c>
      <c r="B145" t="s">
        <v>80</v>
      </c>
      <c r="C145" s="3">
        <v>1269</v>
      </c>
      <c r="D145" s="3">
        <v>0</v>
      </c>
      <c r="E145" s="3">
        <v>0</v>
      </c>
      <c r="F145" s="3">
        <v>0</v>
      </c>
      <c r="G145" s="3">
        <v>0</v>
      </c>
      <c r="H145" s="3">
        <v>2175</v>
      </c>
      <c r="I145" s="3">
        <f t="shared" si="2"/>
        <v>3444</v>
      </c>
      <c r="J145" s="2"/>
      <c r="K145"/>
    </row>
    <row r="146" spans="1:11" x14ac:dyDescent="0.3">
      <c r="A146">
        <f>'Section 619 Awards LY Comp'!A146</f>
        <v>2062</v>
      </c>
      <c r="B146" t="s">
        <v>78</v>
      </c>
      <c r="C146" s="3">
        <v>7</v>
      </c>
      <c r="D146" s="3">
        <v>0</v>
      </c>
      <c r="E146" s="3">
        <v>0</v>
      </c>
      <c r="F146" s="3">
        <v>0</v>
      </c>
      <c r="G146" s="3">
        <v>0</v>
      </c>
      <c r="H146" s="3">
        <v>0</v>
      </c>
      <c r="I146" s="3">
        <f t="shared" si="2"/>
        <v>7</v>
      </c>
      <c r="J146" s="2"/>
      <c r="K146"/>
    </row>
    <row r="147" spans="1:11" x14ac:dyDescent="0.3">
      <c r="A147">
        <f>'Section 619 Awards LY Comp'!A147</f>
        <v>1973</v>
      </c>
      <c r="B147" t="s">
        <v>229</v>
      </c>
      <c r="C147" s="3">
        <v>0</v>
      </c>
      <c r="D147" s="3">
        <v>1230</v>
      </c>
      <c r="E147" s="3">
        <v>0</v>
      </c>
      <c r="F147" s="3">
        <v>0</v>
      </c>
      <c r="G147" s="3">
        <v>0</v>
      </c>
      <c r="H147" s="3">
        <v>1230</v>
      </c>
      <c r="I147" s="3">
        <f t="shared" si="2"/>
        <v>2460</v>
      </c>
      <c r="J147" s="2"/>
      <c r="K147"/>
    </row>
    <row r="148" spans="1:11" x14ac:dyDescent="0.3">
      <c r="A148">
        <f>'Section 619 Awards LY Comp'!A148</f>
        <v>2180</v>
      </c>
      <c r="B148" t="s">
        <v>121</v>
      </c>
      <c r="C148" s="3">
        <v>73037</v>
      </c>
      <c r="D148" s="3">
        <v>25683</v>
      </c>
      <c r="E148" s="3">
        <v>0</v>
      </c>
      <c r="F148" s="3">
        <v>0</v>
      </c>
      <c r="G148" s="3">
        <v>0</v>
      </c>
      <c r="H148" s="3">
        <v>245195</v>
      </c>
      <c r="I148" s="3">
        <f t="shared" si="2"/>
        <v>343915</v>
      </c>
      <c r="J148" s="2"/>
      <c r="K148"/>
    </row>
    <row r="149" spans="1:11" x14ac:dyDescent="0.3">
      <c r="A149">
        <f>'Section 619 Awards LY Comp'!A149</f>
        <v>1967</v>
      </c>
      <c r="B149" t="s">
        <v>27</v>
      </c>
      <c r="C149" s="3">
        <v>671</v>
      </c>
      <c r="D149" s="3">
        <v>0</v>
      </c>
      <c r="E149" s="3">
        <v>0</v>
      </c>
      <c r="F149" s="3">
        <v>0</v>
      </c>
      <c r="G149" s="3">
        <v>0</v>
      </c>
      <c r="H149" s="3">
        <v>0</v>
      </c>
      <c r="I149" s="3">
        <f t="shared" si="2"/>
        <v>671</v>
      </c>
      <c r="J149" s="2"/>
      <c r="K149"/>
    </row>
    <row r="150" spans="1:11" x14ac:dyDescent="0.3">
      <c r="A150">
        <f>'Section 619 Awards LY Comp'!A150</f>
        <v>2009</v>
      </c>
      <c r="B150" t="s">
        <v>47</v>
      </c>
      <c r="C150" s="3">
        <v>1329</v>
      </c>
      <c r="D150" s="3">
        <v>0</v>
      </c>
      <c r="E150" s="3">
        <v>0</v>
      </c>
      <c r="F150" s="3">
        <v>0</v>
      </c>
      <c r="G150" s="3">
        <v>0</v>
      </c>
      <c r="H150" s="3">
        <v>664</v>
      </c>
      <c r="I150" s="3">
        <f t="shared" si="2"/>
        <v>1993</v>
      </c>
      <c r="J150" s="2"/>
      <c r="K150"/>
    </row>
    <row r="151" spans="1:11" x14ac:dyDescent="0.3">
      <c r="A151">
        <f>'Section 619 Awards LY Comp'!A151</f>
        <v>2045</v>
      </c>
      <c r="B151" t="s">
        <v>65</v>
      </c>
      <c r="C151" s="3">
        <v>0</v>
      </c>
      <c r="D151" s="3">
        <v>0</v>
      </c>
      <c r="E151" s="3">
        <v>0</v>
      </c>
      <c r="F151" s="3">
        <v>0</v>
      </c>
      <c r="G151" s="3">
        <v>0</v>
      </c>
      <c r="H151" s="3">
        <v>1058</v>
      </c>
      <c r="I151" s="3">
        <f t="shared" si="2"/>
        <v>1058</v>
      </c>
      <c r="J151" s="2"/>
      <c r="K151"/>
    </row>
    <row r="152" spans="1:11" x14ac:dyDescent="0.3">
      <c r="A152">
        <f>'Section 619 Awards LY Comp'!A152</f>
        <v>1946</v>
      </c>
      <c r="B152" t="s">
        <v>21</v>
      </c>
      <c r="C152" s="3">
        <v>1747</v>
      </c>
      <c r="D152" s="3">
        <v>194</v>
      </c>
      <c r="E152" s="3">
        <v>0</v>
      </c>
      <c r="F152" s="3">
        <v>0</v>
      </c>
      <c r="G152" s="3">
        <v>0</v>
      </c>
      <c r="H152" s="3">
        <v>3106</v>
      </c>
      <c r="I152" s="3">
        <f t="shared" si="2"/>
        <v>5047</v>
      </c>
      <c r="J152" s="2"/>
      <c r="K152"/>
    </row>
    <row r="153" spans="1:11" x14ac:dyDescent="0.3">
      <c r="A153">
        <f>'Section 619 Awards LY Comp'!A153</f>
        <v>1977</v>
      </c>
      <c r="B153" t="s">
        <v>31</v>
      </c>
      <c r="C153" s="3">
        <v>4559</v>
      </c>
      <c r="D153" s="3">
        <v>595</v>
      </c>
      <c r="E153" s="3">
        <v>0</v>
      </c>
      <c r="F153" s="3">
        <v>0</v>
      </c>
      <c r="G153" s="3">
        <v>0</v>
      </c>
      <c r="H153" s="3">
        <v>18432</v>
      </c>
      <c r="I153" s="3">
        <f t="shared" si="2"/>
        <v>23586</v>
      </c>
      <c r="J153" s="2"/>
      <c r="K153"/>
    </row>
    <row r="154" spans="1:11" x14ac:dyDescent="0.3">
      <c r="A154">
        <f>'Section 619 Awards LY Comp'!A154</f>
        <v>2001</v>
      </c>
      <c r="B154" t="s">
        <v>41</v>
      </c>
      <c r="C154" s="3">
        <v>574</v>
      </c>
      <c r="D154" s="3">
        <v>0</v>
      </c>
      <c r="E154" s="3">
        <v>0</v>
      </c>
      <c r="F154" s="3">
        <v>0</v>
      </c>
      <c r="G154" s="3">
        <v>0</v>
      </c>
      <c r="H154" s="3">
        <v>8609</v>
      </c>
      <c r="I154" s="3">
        <f t="shared" si="2"/>
        <v>9183</v>
      </c>
      <c r="J154" s="2"/>
      <c r="K154"/>
    </row>
    <row r="155" spans="1:11" x14ac:dyDescent="0.3">
      <c r="A155">
        <f>'Section 619 Awards LY Comp'!A155</f>
        <v>2182</v>
      </c>
      <c r="B155" t="s">
        <v>123</v>
      </c>
      <c r="C155" s="3">
        <v>10711</v>
      </c>
      <c r="D155" s="3">
        <v>2921</v>
      </c>
      <c r="E155" s="3">
        <v>0</v>
      </c>
      <c r="F155" s="3">
        <v>0</v>
      </c>
      <c r="G155" s="3">
        <v>0</v>
      </c>
      <c r="H155" s="3">
        <v>32326</v>
      </c>
      <c r="I155" s="3">
        <f t="shared" si="2"/>
        <v>45958</v>
      </c>
      <c r="J155" s="2"/>
      <c r="K155"/>
    </row>
    <row r="156" spans="1:11" x14ac:dyDescent="0.3">
      <c r="A156">
        <f>'Section 619 Awards LY Comp'!A156</f>
        <v>1999</v>
      </c>
      <c r="B156" t="s">
        <v>39</v>
      </c>
      <c r="C156" s="3">
        <v>84</v>
      </c>
      <c r="D156" s="3">
        <v>0</v>
      </c>
      <c r="E156" s="3">
        <v>0</v>
      </c>
      <c r="F156" s="3">
        <v>0</v>
      </c>
      <c r="G156" s="3">
        <v>0</v>
      </c>
      <c r="H156" s="3">
        <v>670</v>
      </c>
      <c r="I156" s="3">
        <f t="shared" si="2"/>
        <v>754</v>
      </c>
      <c r="J156" s="2"/>
      <c r="K156"/>
    </row>
    <row r="157" spans="1:11" x14ac:dyDescent="0.3">
      <c r="A157">
        <f>'Section 619 Awards LY Comp'!A157</f>
        <v>2188</v>
      </c>
      <c r="B157" t="s">
        <v>128</v>
      </c>
      <c r="C157" s="3">
        <v>0</v>
      </c>
      <c r="D157" s="3">
        <v>0</v>
      </c>
      <c r="E157" s="3">
        <v>0</v>
      </c>
      <c r="F157" s="3">
        <v>0</v>
      </c>
      <c r="G157" s="3">
        <v>0</v>
      </c>
      <c r="H157" s="3">
        <v>758</v>
      </c>
      <c r="I157" s="3">
        <f t="shared" si="2"/>
        <v>758</v>
      </c>
      <c r="J157" s="2"/>
      <c r="K157"/>
    </row>
    <row r="158" spans="1:11" x14ac:dyDescent="0.3">
      <c r="A158">
        <f>'Section 619 Awards LY Comp'!A158</f>
        <v>2044</v>
      </c>
      <c r="B158" t="s">
        <v>64</v>
      </c>
      <c r="C158" s="3">
        <v>1520</v>
      </c>
      <c r="D158" s="3">
        <v>507</v>
      </c>
      <c r="E158" s="3">
        <v>0</v>
      </c>
      <c r="F158" s="3">
        <v>0</v>
      </c>
      <c r="G158" s="3">
        <v>0</v>
      </c>
      <c r="H158" s="3">
        <v>6081</v>
      </c>
      <c r="I158" s="3">
        <f t="shared" si="2"/>
        <v>8108</v>
      </c>
      <c r="J158" s="2"/>
      <c r="K158"/>
    </row>
    <row r="159" spans="1:11" x14ac:dyDescent="0.3">
      <c r="A159">
        <f>'Section 619 Awards LY Comp'!A159</f>
        <v>2142</v>
      </c>
      <c r="B159" t="s">
        <v>115</v>
      </c>
      <c r="C159" s="3">
        <v>56272</v>
      </c>
      <c r="D159" s="3">
        <v>4451</v>
      </c>
      <c r="E159" s="3">
        <v>636</v>
      </c>
      <c r="F159" s="3">
        <v>0</v>
      </c>
      <c r="G159" s="3">
        <v>0</v>
      </c>
      <c r="H159" s="3">
        <v>98238</v>
      </c>
      <c r="I159" s="3">
        <f t="shared" si="2"/>
        <v>159597</v>
      </c>
      <c r="J159" s="2"/>
      <c r="K159"/>
    </row>
    <row r="160" spans="1:11" x14ac:dyDescent="0.3">
      <c r="A160">
        <f>'Section 619 Awards LY Comp'!A160</f>
        <v>2104</v>
      </c>
      <c r="B160" t="s">
        <v>99</v>
      </c>
      <c r="C160" s="3">
        <v>3317</v>
      </c>
      <c r="D160" s="3">
        <v>0</v>
      </c>
      <c r="E160" s="3">
        <v>0</v>
      </c>
      <c r="F160" s="3">
        <v>0</v>
      </c>
      <c r="G160" s="3">
        <v>0</v>
      </c>
      <c r="H160" s="3">
        <v>1658</v>
      </c>
      <c r="I160" s="3">
        <f t="shared" si="2"/>
        <v>4975</v>
      </c>
      <c r="J160" s="2"/>
      <c r="K160"/>
    </row>
    <row r="161" spans="1:11" x14ac:dyDescent="0.3">
      <c r="A161">
        <f>'Section 619 Awards LY Comp'!A161</f>
        <v>1944</v>
      </c>
      <c r="B161" t="s">
        <v>19</v>
      </c>
      <c r="C161" s="3">
        <v>2055</v>
      </c>
      <c r="D161" s="3">
        <v>0</v>
      </c>
      <c r="E161" s="3">
        <v>0</v>
      </c>
      <c r="F161" s="3">
        <v>0</v>
      </c>
      <c r="G161" s="3">
        <v>0</v>
      </c>
      <c r="H161" s="3">
        <v>5373</v>
      </c>
      <c r="I161" s="3">
        <f t="shared" si="2"/>
        <v>7428</v>
      </c>
      <c r="J161" s="2"/>
      <c r="K161"/>
    </row>
    <row r="162" spans="1:11" x14ac:dyDescent="0.3">
      <c r="A162">
        <f>'Section 619 Awards LY Comp'!A162</f>
        <v>2103</v>
      </c>
      <c r="B162" t="s">
        <v>98</v>
      </c>
      <c r="C162" s="3">
        <v>2219</v>
      </c>
      <c r="D162" s="3">
        <v>0</v>
      </c>
      <c r="E162" s="3">
        <v>0</v>
      </c>
      <c r="F162" s="3">
        <v>0</v>
      </c>
      <c r="G162" s="3">
        <v>0</v>
      </c>
      <c r="H162" s="3">
        <v>1110</v>
      </c>
      <c r="I162" s="3">
        <f t="shared" si="2"/>
        <v>3329</v>
      </c>
      <c r="J162" s="2"/>
      <c r="K162"/>
    </row>
    <row r="163" spans="1:11" x14ac:dyDescent="0.3">
      <c r="A163">
        <f>'Section 619 Awards LY Comp'!A163</f>
        <v>1935</v>
      </c>
      <c r="B163" t="s">
        <v>18</v>
      </c>
      <c r="C163" s="3">
        <v>2783</v>
      </c>
      <c r="D163" s="3">
        <v>0</v>
      </c>
      <c r="E163" s="3">
        <v>0</v>
      </c>
      <c r="F163" s="3">
        <v>0</v>
      </c>
      <c r="G163" s="3">
        <v>0</v>
      </c>
      <c r="H163" s="3">
        <v>7421</v>
      </c>
      <c r="I163" s="3">
        <f t="shared" si="2"/>
        <v>10204</v>
      </c>
      <c r="J163" s="2"/>
      <c r="K163"/>
    </row>
    <row r="164" spans="1:11" x14ac:dyDescent="0.3">
      <c r="A164">
        <f>'Section 619 Awards LY Comp'!A164</f>
        <v>2257</v>
      </c>
      <c r="B164" t="s">
        <v>166</v>
      </c>
      <c r="C164" s="3">
        <v>4085</v>
      </c>
      <c r="D164" s="3">
        <v>0</v>
      </c>
      <c r="E164" s="3">
        <v>0</v>
      </c>
      <c r="F164" s="3">
        <v>0</v>
      </c>
      <c r="G164" s="3">
        <v>0</v>
      </c>
      <c r="H164" s="3">
        <v>2042</v>
      </c>
      <c r="I164" s="3">
        <f t="shared" si="2"/>
        <v>6127</v>
      </c>
      <c r="J164" s="2"/>
      <c r="K164"/>
    </row>
    <row r="165" spans="1:11" x14ac:dyDescent="0.3">
      <c r="A165">
        <f>'Section 619 Awards LY Comp'!A165</f>
        <v>2195</v>
      </c>
      <c r="B165" t="s">
        <v>230</v>
      </c>
      <c r="C165" s="3">
        <v>125</v>
      </c>
      <c r="D165" s="3">
        <v>0</v>
      </c>
      <c r="E165" s="3">
        <v>0</v>
      </c>
      <c r="F165" s="3">
        <v>0</v>
      </c>
      <c r="G165" s="3">
        <v>0</v>
      </c>
      <c r="H165" s="3">
        <v>498</v>
      </c>
      <c r="I165" s="3">
        <f t="shared" si="2"/>
        <v>623</v>
      </c>
      <c r="J165" s="2"/>
      <c r="K165"/>
    </row>
    <row r="166" spans="1:11" x14ac:dyDescent="0.3">
      <c r="A166">
        <f>'Section 619 Awards LY Comp'!A166</f>
        <v>2244</v>
      </c>
      <c r="B166" t="s">
        <v>156</v>
      </c>
      <c r="C166" s="3">
        <v>3618</v>
      </c>
      <c r="D166" s="3">
        <v>1130</v>
      </c>
      <c r="E166" s="3">
        <v>0</v>
      </c>
      <c r="F166" s="3">
        <v>0</v>
      </c>
      <c r="G166" s="3">
        <v>0</v>
      </c>
      <c r="H166" s="3">
        <v>5653</v>
      </c>
      <c r="I166" s="3">
        <f t="shared" si="2"/>
        <v>10401</v>
      </c>
      <c r="J166" s="2"/>
      <c r="K166"/>
    </row>
    <row r="167" spans="1:11" x14ac:dyDescent="0.3">
      <c r="A167">
        <f>'Section 619 Awards LY Comp'!A167</f>
        <v>2138</v>
      </c>
      <c r="B167" t="s">
        <v>111</v>
      </c>
      <c r="C167" s="3">
        <v>3702</v>
      </c>
      <c r="D167" s="3">
        <v>617</v>
      </c>
      <c r="E167" s="3">
        <v>0</v>
      </c>
      <c r="F167" s="3">
        <v>0</v>
      </c>
      <c r="G167" s="3">
        <v>0</v>
      </c>
      <c r="H167" s="3">
        <v>9871</v>
      </c>
      <c r="I167" s="3">
        <f t="shared" si="2"/>
        <v>14190</v>
      </c>
      <c r="J167" s="2"/>
      <c r="K167"/>
    </row>
    <row r="168" spans="1:11" x14ac:dyDescent="0.3">
      <c r="A168">
        <f>'Section 619 Awards LY Comp'!A168</f>
        <v>1978</v>
      </c>
      <c r="B168" t="s">
        <v>32</v>
      </c>
      <c r="C168" s="3">
        <v>496</v>
      </c>
      <c r="D168" s="3">
        <v>0</v>
      </c>
      <c r="E168" s="3">
        <v>0</v>
      </c>
      <c r="F168" s="3">
        <v>0</v>
      </c>
      <c r="G168" s="3">
        <v>0</v>
      </c>
      <c r="H168" s="3">
        <v>2481</v>
      </c>
      <c r="I168" s="3">
        <f t="shared" si="2"/>
        <v>2977</v>
      </c>
      <c r="J168" s="2"/>
      <c r="K168"/>
    </row>
    <row r="169" spans="1:11" x14ac:dyDescent="0.3">
      <c r="A169">
        <f>'Section 619 Awards LY Comp'!A169</f>
        <v>2096</v>
      </c>
      <c r="B169" t="s">
        <v>93</v>
      </c>
      <c r="C169" s="3">
        <v>3441</v>
      </c>
      <c r="D169" s="3">
        <v>0</v>
      </c>
      <c r="E169" s="3">
        <v>0</v>
      </c>
      <c r="F169" s="3">
        <v>0</v>
      </c>
      <c r="G169" s="3">
        <v>0</v>
      </c>
      <c r="H169" s="3">
        <v>9464</v>
      </c>
      <c r="I169" s="3">
        <f t="shared" si="2"/>
        <v>12905</v>
      </c>
      <c r="J169" s="2"/>
      <c r="K169"/>
    </row>
    <row r="170" spans="1:11" x14ac:dyDescent="0.3">
      <c r="A170">
        <f>'Section 619 Awards LY Comp'!A170</f>
        <v>2022</v>
      </c>
      <c r="B170" t="s">
        <v>59</v>
      </c>
      <c r="C170" s="3">
        <v>269</v>
      </c>
      <c r="D170" s="3">
        <v>0</v>
      </c>
      <c r="E170" s="3">
        <v>0</v>
      </c>
      <c r="F170" s="3">
        <v>0</v>
      </c>
      <c r="G170" s="3">
        <v>0</v>
      </c>
      <c r="H170" s="3">
        <v>0</v>
      </c>
      <c r="I170" s="3">
        <f t="shared" si="2"/>
        <v>269</v>
      </c>
      <c r="J170" s="2"/>
      <c r="K170"/>
    </row>
    <row r="171" spans="1:11" x14ac:dyDescent="0.3">
      <c r="A171">
        <f>'Section 619 Awards LY Comp'!A171</f>
        <v>2087</v>
      </c>
      <c r="B171" t="s">
        <v>231</v>
      </c>
      <c r="C171" s="3">
        <v>4254</v>
      </c>
      <c r="D171" s="3">
        <v>0</v>
      </c>
      <c r="E171" s="3">
        <v>0</v>
      </c>
      <c r="F171" s="3">
        <v>0</v>
      </c>
      <c r="G171" s="3">
        <v>0</v>
      </c>
      <c r="H171" s="3">
        <v>12314</v>
      </c>
      <c r="I171" s="3">
        <f t="shared" si="2"/>
        <v>16568</v>
      </c>
      <c r="J171" s="2"/>
      <c r="K171"/>
    </row>
    <row r="172" spans="1:11" x14ac:dyDescent="0.3">
      <c r="A172">
        <f>'Section 619 Awards LY Comp'!A172</f>
        <v>1994</v>
      </c>
      <c r="B172" t="s">
        <v>35</v>
      </c>
      <c r="C172" s="3">
        <v>3229</v>
      </c>
      <c r="D172" s="3">
        <v>0</v>
      </c>
      <c r="E172" s="3">
        <v>0</v>
      </c>
      <c r="F172" s="3">
        <v>0</v>
      </c>
      <c r="G172" s="3">
        <v>0</v>
      </c>
      <c r="H172" s="3">
        <v>7427</v>
      </c>
      <c r="I172" s="3">
        <f t="shared" si="2"/>
        <v>10656</v>
      </c>
      <c r="J172" s="2"/>
      <c r="K172"/>
    </row>
    <row r="173" spans="1:11" x14ac:dyDescent="0.3">
      <c r="A173">
        <f>'Section 619 Awards LY Comp'!A173</f>
        <v>2225</v>
      </c>
      <c r="B173" t="s">
        <v>232</v>
      </c>
      <c r="C173" s="3">
        <v>0</v>
      </c>
      <c r="D173" s="3">
        <v>0</v>
      </c>
      <c r="E173" s="3">
        <v>0</v>
      </c>
      <c r="F173" s="3">
        <v>0</v>
      </c>
      <c r="G173" s="3">
        <v>0</v>
      </c>
      <c r="H173" s="3">
        <v>4323</v>
      </c>
      <c r="I173" s="3">
        <f t="shared" si="2"/>
        <v>4323</v>
      </c>
      <c r="J173" s="2"/>
      <c r="K173"/>
    </row>
    <row r="174" spans="1:11" x14ac:dyDescent="0.3">
      <c r="A174">
        <f>'Section 619 Awards LY Comp'!A174</f>
        <v>2247</v>
      </c>
      <c r="B174" t="s">
        <v>158</v>
      </c>
      <c r="C174" s="3">
        <v>0</v>
      </c>
      <c r="D174" s="3">
        <v>0</v>
      </c>
      <c r="E174" s="3">
        <v>0</v>
      </c>
      <c r="F174" s="3">
        <v>0</v>
      </c>
      <c r="G174" s="3">
        <v>0</v>
      </c>
      <c r="H174" s="3">
        <v>554</v>
      </c>
      <c r="I174" s="3">
        <f t="shared" si="2"/>
        <v>554</v>
      </c>
      <c r="J174" s="2"/>
      <c r="K174"/>
    </row>
    <row r="175" spans="1:11" x14ac:dyDescent="0.3">
      <c r="A175">
        <f>'Section 619 Awards LY Comp'!A175</f>
        <v>2083</v>
      </c>
      <c r="B175" t="s">
        <v>82</v>
      </c>
      <c r="C175" s="3">
        <v>24112</v>
      </c>
      <c r="D175" s="3">
        <v>0</v>
      </c>
      <c r="E175" s="3">
        <v>0</v>
      </c>
      <c r="F175" s="3">
        <v>271</v>
      </c>
      <c r="G175" s="3">
        <v>0</v>
      </c>
      <c r="H175" s="3">
        <v>60687</v>
      </c>
      <c r="I175" s="3">
        <f t="shared" si="2"/>
        <v>85070</v>
      </c>
      <c r="J175" s="2"/>
      <c r="K175"/>
    </row>
    <row r="176" spans="1:11" x14ac:dyDescent="0.3">
      <c r="A176">
        <f>'Section 619 Awards LY Comp'!A176</f>
        <v>1948</v>
      </c>
      <c r="B176" t="s">
        <v>23</v>
      </c>
      <c r="C176" s="3">
        <v>5591</v>
      </c>
      <c r="D176" s="3">
        <v>1525</v>
      </c>
      <c r="E176" s="3">
        <v>0</v>
      </c>
      <c r="F176" s="3">
        <v>0</v>
      </c>
      <c r="G176" s="3">
        <v>0</v>
      </c>
      <c r="H176" s="3">
        <v>14487</v>
      </c>
      <c r="I176" s="3">
        <f t="shared" si="2"/>
        <v>21603</v>
      </c>
      <c r="J176" s="2"/>
      <c r="K176"/>
    </row>
    <row r="177" spans="1:11" x14ac:dyDescent="0.3">
      <c r="A177">
        <f>'Section 619 Awards LY Comp'!A177</f>
        <v>2144</v>
      </c>
      <c r="B177" t="s">
        <v>117</v>
      </c>
      <c r="C177" s="3">
        <v>0</v>
      </c>
      <c r="D177" s="3">
        <v>0</v>
      </c>
      <c r="E177" s="3">
        <v>0</v>
      </c>
      <c r="F177" s="3">
        <v>0</v>
      </c>
      <c r="G177" s="3">
        <v>0</v>
      </c>
      <c r="H177" s="3">
        <v>1596</v>
      </c>
      <c r="I177" s="3">
        <f t="shared" si="2"/>
        <v>1596</v>
      </c>
      <c r="J177" s="2"/>
      <c r="K177"/>
    </row>
    <row r="178" spans="1:11" x14ac:dyDescent="0.3">
      <c r="A178">
        <f>'Section 619 Awards LY Comp'!A178</f>
        <v>2209</v>
      </c>
      <c r="B178" t="s">
        <v>139</v>
      </c>
      <c r="C178" s="3">
        <v>1226</v>
      </c>
      <c r="D178" s="3">
        <v>0</v>
      </c>
      <c r="E178" s="3">
        <v>0</v>
      </c>
      <c r="F178" s="3">
        <v>0</v>
      </c>
      <c r="G178" s="3">
        <v>0</v>
      </c>
      <c r="H178" s="3">
        <v>1840</v>
      </c>
      <c r="I178" s="3">
        <f t="shared" si="2"/>
        <v>3066</v>
      </c>
      <c r="J178" s="2"/>
      <c r="K178"/>
    </row>
    <row r="179" spans="1:11" x14ac:dyDescent="0.3">
      <c r="A179">
        <f>'Section 619 Awards LY Comp'!A179</f>
        <v>2018</v>
      </c>
      <c r="B179" t="s">
        <v>55</v>
      </c>
      <c r="C179" s="3">
        <v>95104</v>
      </c>
      <c r="D179" s="3">
        <v>0</v>
      </c>
      <c r="E179" s="3">
        <v>0</v>
      </c>
      <c r="F179" s="3">
        <v>0</v>
      </c>
      <c r="G179" s="3">
        <v>0</v>
      </c>
      <c r="H179" s="3">
        <v>0</v>
      </c>
      <c r="I179" s="3">
        <f t="shared" si="2"/>
        <v>95104</v>
      </c>
      <c r="J179" s="2"/>
      <c r="K179"/>
    </row>
    <row r="180" spans="1:11" x14ac:dyDescent="0.3">
      <c r="A180">
        <f>'Section 619 Awards LY Comp'!A180</f>
        <v>2003</v>
      </c>
      <c r="B180" t="s">
        <v>43</v>
      </c>
      <c r="C180" s="3">
        <v>1840</v>
      </c>
      <c r="D180" s="3">
        <v>736</v>
      </c>
      <c r="E180" s="3">
        <v>0</v>
      </c>
      <c r="F180" s="3">
        <v>0</v>
      </c>
      <c r="G180" s="3">
        <v>0</v>
      </c>
      <c r="H180" s="3">
        <v>5703</v>
      </c>
      <c r="I180" s="3">
        <f t="shared" si="2"/>
        <v>8279</v>
      </c>
      <c r="J180" s="2"/>
      <c r="K180"/>
    </row>
    <row r="181" spans="1:11" x14ac:dyDescent="0.3">
      <c r="A181">
        <f>'Section 619 Awards LY Comp'!A181</f>
        <v>2102</v>
      </c>
      <c r="B181" t="s">
        <v>97</v>
      </c>
      <c r="C181" s="3">
        <v>3641</v>
      </c>
      <c r="D181" s="3">
        <v>1120</v>
      </c>
      <c r="E181" s="3">
        <v>0</v>
      </c>
      <c r="F181" s="3">
        <v>0</v>
      </c>
      <c r="G181" s="3">
        <v>0</v>
      </c>
      <c r="H181" s="3">
        <v>7282</v>
      </c>
      <c r="I181" s="3">
        <f t="shared" si="2"/>
        <v>12043</v>
      </c>
      <c r="J181" s="2"/>
      <c r="K181"/>
    </row>
    <row r="182" spans="1:11" x14ac:dyDescent="0.3">
      <c r="A182">
        <f>'Section 619 Awards LY Comp'!A182</f>
        <v>2055</v>
      </c>
      <c r="B182" t="s">
        <v>233</v>
      </c>
      <c r="C182" s="3">
        <v>6198</v>
      </c>
      <c r="D182" s="3">
        <v>6675</v>
      </c>
      <c r="E182" s="3">
        <v>0</v>
      </c>
      <c r="F182" s="3">
        <v>0</v>
      </c>
      <c r="G182" s="3">
        <v>0</v>
      </c>
      <c r="H182" s="3">
        <v>22408</v>
      </c>
      <c r="I182" s="3">
        <f t="shared" si="2"/>
        <v>35281</v>
      </c>
      <c r="J182" s="2"/>
      <c r="K182"/>
    </row>
    <row r="183" spans="1:11" x14ac:dyDescent="0.3">
      <c r="A183">
        <f>'Section 619 Awards LY Comp'!A183</f>
        <v>2242</v>
      </c>
      <c r="B183" t="s">
        <v>154</v>
      </c>
      <c r="C183" s="3">
        <v>13959</v>
      </c>
      <c r="D183" s="3">
        <v>1373</v>
      </c>
      <c r="E183" s="3">
        <v>0</v>
      </c>
      <c r="F183" s="3">
        <v>0</v>
      </c>
      <c r="G183" s="3">
        <v>0</v>
      </c>
      <c r="H183" s="3">
        <v>33411</v>
      </c>
      <c r="I183" s="3">
        <f t="shared" si="2"/>
        <v>48743</v>
      </c>
      <c r="J183" s="2"/>
      <c r="K183"/>
    </row>
    <row r="184" spans="1:11" x14ac:dyDescent="0.3">
      <c r="A184">
        <f>'Section 619 Awards LY Comp'!A184</f>
        <v>2197</v>
      </c>
      <c r="B184" t="s">
        <v>133</v>
      </c>
      <c r="C184" s="3">
        <v>4833</v>
      </c>
      <c r="D184" s="3">
        <v>537</v>
      </c>
      <c r="E184" s="3">
        <v>0</v>
      </c>
      <c r="F184" s="3">
        <v>0</v>
      </c>
      <c r="G184" s="3">
        <v>0</v>
      </c>
      <c r="H184" s="3">
        <v>6175</v>
      </c>
      <c r="I184" s="3">
        <f t="shared" si="2"/>
        <v>11545</v>
      </c>
      <c r="J184" s="2"/>
      <c r="K184"/>
    </row>
    <row r="185" spans="1:11" x14ac:dyDescent="0.3">
      <c r="A185">
        <f>'Section 619 Awards LY Comp'!A185</f>
        <v>2222</v>
      </c>
      <c r="B185" t="s">
        <v>149</v>
      </c>
      <c r="C185" s="3">
        <v>11307</v>
      </c>
      <c r="D185" s="3">
        <v>0</v>
      </c>
      <c r="E185" s="3">
        <v>0</v>
      </c>
      <c r="F185" s="3">
        <v>0</v>
      </c>
      <c r="G185" s="3">
        <v>0</v>
      </c>
      <c r="H185" s="3">
        <v>0</v>
      </c>
      <c r="I185" s="3">
        <f t="shared" si="2"/>
        <v>11307</v>
      </c>
      <c r="J185" s="2"/>
      <c r="K185"/>
    </row>
    <row r="186" spans="1:11" x14ac:dyDescent="0.3">
      <c r="A186">
        <f>'Section 619 Awards LY Comp'!A186</f>
        <v>2210</v>
      </c>
      <c r="B186" t="s">
        <v>234</v>
      </c>
      <c r="C186" s="3">
        <v>22185</v>
      </c>
      <c r="D186" s="3">
        <v>0</v>
      </c>
      <c r="E186" s="3">
        <v>0</v>
      </c>
      <c r="F186" s="3">
        <v>0</v>
      </c>
      <c r="G186" s="3">
        <v>0</v>
      </c>
      <c r="H186" s="3">
        <v>0</v>
      </c>
      <c r="I186" s="3">
        <f t="shared" si="2"/>
        <v>22185</v>
      </c>
      <c r="J186" s="2"/>
      <c r="K186"/>
    </row>
    <row r="187" spans="1:11" x14ac:dyDescent="0.3">
      <c r="A187">
        <f>'Section 619 Awards LY Comp'!A187</f>
        <v>2204</v>
      </c>
      <c r="B187" t="s">
        <v>235</v>
      </c>
      <c r="C187" s="3">
        <v>2026</v>
      </c>
      <c r="D187" s="3">
        <v>0</v>
      </c>
      <c r="E187" s="3">
        <v>0</v>
      </c>
      <c r="F187" s="3">
        <v>0</v>
      </c>
      <c r="G187" s="3">
        <v>0</v>
      </c>
      <c r="H187" s="3">
        <v>4457</v>
      </c>
      <c r="I187" s="3">
        <f t="shared" si="2"/>
        <v>6483</v>
      </c>
      <c r="J187" s="2"/>
      <c r="K187"/>
    </row>
    <row r="188" spans="1:11" x14ac:dyDescent="0.3">
      <c r="A188">
        <f>'Section 619 Awards LY Comp'!A188</f>
        <v>2213</v>
      </c>
      <c r="B188" t="s">
        <v>141</v>
      </c>
      <c r="C188" s="3">
        <v>277</v>
      </c>
      <c r="D188" s="3">
        <v>0</v>
      </c>
      <c r="E188" s="3">
        <v>0</v>
      </c>
      <c r="F188" s="3">
        <v>0</v>
      </c>
      <c r="G188" s="3">
        <v>0</v>
      </c>
      <c r="H188" s="3">
        <v>415</v>
      </c>
      <c r="I188" s="3">
        <f t="shared" si="2"/>
        <v>692</v>
      </c>
      <c r="J188" s="2"/>
      <c r="K188"/>
    </row>
    <row r="189" spans="1:11" x14ac:dyDescent="0.3">
      <c r="A189">
        <f>'Section 619 Awards LY Comp'!A189</f>
        <v>2116</v>
      </c>
      <c r="B189" t="s">
        <v>109</v>
      </c>
      <c r="C189" s="3">
        <v>426</v>
      </c>
      <c r="D189" s="3">
        <v>0</v>
      </c>
      <c r="E189" s="3">
        <v>0</v>
      </c>
      <c r="F189" s="3">
        <v>0</v>
      </c>
      <c r="G189" s="3">
        <v>0</v>
      </c>
      <c r="H189" s="3">
        <v>1989</v>
      </c>
      <c r="I189" s="3">
        <f t="shared" si="2"/>
        <v>2415</v>
      </c>
      <c r="J189" s="2"/>
      <c r="K189"/>
    </row>
    <row r="190" spans="1:11" x14ac:dyDescent="0.3">
      <c r="A190">
        <f>'Section 619 Awards LY Comp'!A190</f>
        <v>1947</v>
      </c>
      <c r="B190" t="s">
        <v>22</v>
      </c>
      <c r="C190" s="3">
        <v>3445</v>
      </c>
      <c r="D190" s="3">
        <v>0</v>
      </c>
      <c r="E190" s="3">
        <v>0</v>
      </c>
      <c r="F190" s="3">
        <v>0</v>
      </c>
      <c r="G190" s="3">
        <v>0</v>
      </c>
      <c r="H190" s="3">
        <v>1968</v>
      </c>
      <c r="I190" s="3">
        <f t="shared" si="2"/>
        <v>5413</v>
      </c>
      <c r="J190" s="2"/>
      <c r="K190"/>
    </row>
    <row r="191" spans="1:11" x14ac:dyDescent="0.3">
      <c r="A191">
        <f>'Section 619 Awards LY Comp'!A191</f>
        <v>2220</v>
      </c>
      <c r="B191" t="s">
        <v>147</v>
      </c>
      <c r="C191" s="3">
        <v>491</v>
      </c>
      <c r="D191" s="3">
        <v>0</v>
      </c>
      <c r="E191" s="3">
        <v>0</v>
      </c>
      <c r="F191" s="3">
        <v>0</v>
      </c>
      <c r="G191" s="3">
        <v>0</v>
      </c>
      <c r="H191" s="3">
        <v>1474</v>
      </c>
      <c r="I191" s="3">
        <f t="shared" si="2"/>
        <v>1965</v>
      </c>
      <c r="J191" s="2"/>
      <c r="K191"/>
    </row>
    <row r="192" spans="1:11" x14ac:dyDescent="0.3">
      <c r="A192">
        <f>'Section 619 Awards LY Comp'!A192</f>
        <v>1936</v>
      </c>
      <c r="B192" t="s">
        <v>236</v>
      </c>
      <c r="C192" s="3">
        <v>2097</v>
      </c>
      <c r="D192" s="3">
        <v>175</v>
      </c>
      <c r="E192" s="3">
        <v>0</v>
      </c>
      <c r="F192" s="3">
        <v>0</v>
      </c>
      <c r="G192" s="3">
        <v>0</v>
      </c>
      <c r="H192" s="3">
        <v>2971</v>
      </c>
      <c r="I192" s="3">
        <f t="shared" si="2"/>
        <v>5243</v>
      </c>
      <c r="J192" s="2"/>
      <c r="K192"/>
    </row>
    <row r="193" spans="1:11" x14ac:dyDescent="0.3">
      <c r="A193">
        <f>'Section 619 Awards LY Comp'!A193</f>
        <v>1922</v>
      </c>
      <c r="B193" t="s">
        <v>237</v>
      </c>
      <c r="C193" s="3">
        <v>8717</v>
      </c>
      <c r="D193" s="3">
        <v>2405</v>
      </c>
      <c r="E193" s="3">
        <v>0</v>
      </c>
      <c r="F193" s="3">
        <v>0</v>
      </c>
      <c r="G193" s="3">
        <v>0</v>
      </c>
      <c r="H193" s="3">
        <v>20139</v>
      </c>
      <c r="I193" s="3">
        <f t="shared" si="2"/>
        <v>31261</v>
      </c>
      <c r="J193" s="2"/>
      <c r="K193"/>
    </row>
    <row r="194" spans="1:11" x14ac:dyDescent="0.3">
      <c r="A194">
        <f>'Section 619 Awards LY Comp'!A194</f>
        <v>2255</v>
      </c>
      <c r="B194" t="s">
        <v>164</v>
      </c>
      <c r="C194" s="3">
        <v>1422</v>
      </c>
      <c r="D194" s="3">
        <v>0</v>
      </c>
      <c r="E194" s="3">
        <v>0</v>
      </c>
      <c r="F194" s="3">
        <v>0</v>
      </c>
      <c r="G194" s="3">
        <v>0</v>
      </c>
      <c r="H194" s="3">
        <v>7112</v>
      </c>
      <c r="I194" s="3">
        <f t="shared" ref="I194:I202" si="3">SUM(C194:H194)</f>
        <v>8534</v>
      </c>
      <c r="J194" s="2"/>
      <c r="K194"/>
    </row>
    <row r="195" spans="1:11" x14ac:dyDescent="0.3">
      <c r="A195">
        <f>'Section 619 Awards LY Comp'!A195</f>
        <v>2002</v>
      </c>
      <c r="B195" t="s">
        <v>42</v>
      </c>
      <c r="C195" s="3">
        <v>4812</v>
      </c>
      <c r="D195" s="3">
        <v>321</v>
      </c>
      <c r="E195" s="3">
        <v>0</v>
      </c>
      <c r="F195" s="3">
        <v>0</v>
      </c>
      <c r="G195" s="3">
        <v>0</v>
      </c>
      <c r="H195" s="3">
        <v>8662</v>
      </c>
      <c r="I195" s="3">
        <f t="shared" si="3"/>
        <v>13795</v>
      </c>
      <c r="J195" s="2"/>
      <c r="K195"/>
    </row>
    <row r="196" spans="1:11" x14ac:dyDescent="0.3">
      <c r="A196">
        <f>'Section 619 Awards LY Comp'!A196</f>
        <v>2146</v>
      </c>
      <c r="B196" t="s">
        <v>119</v>
      </c>
      <c r="C196" s="3">
        <v>4793</v>
      </c>
      <c r="D196" s="3">
        <v>625</v>
      </c>
      <c r="E196" s="3">
        <v>0</v>
      </c>
      <c r="F196" s="3">
        <v>0</v>
      </c>
      <c r="G196" s="3">
        <v>0</v>
      </c>
      <c r="H196" s="3">
        <v>10837</v>
      </c>
      <c r="I196" s="3">
        <f t="shared" si="3"/>
        <v>16255</v>
      </c>
      <c r="J196" s="2"/>
      <c r="K196"/>
    </row>
    <row r="197" spans="1:11" x14ac:dyDescent="0.3">
      <c r="A197">
        <f>'Section 619 Awards LY Comp'!A197</f>
        <v>2251</v>
      </c>
      <c r="B197" t="s">
        <v>238</v>
      </c>
      <c r="C197" s="3">
        <v>0</v>
      </c>
      <c r="D197" s="3">
        <v>0</v>
      </c>
      <c r="E197" s="3">
        <v>0</v>
      </c>
      <c r="F197" s="3">
        <v>0</v>
      </c>
      <c r="G197" s="3">
        <v>0</v>
      </c>
      <c r="H197" s="3">
        <v>6125</v>
      </c>
      <c r="I197" s="3">
        <f t="shared" si="3"/>
        <v>6125</v>
      </c>
      <c r="J197" s="2"/>
      <c r="K197"/>
    </row>
    <row r="198" spans="1:11" x14ac:dyDescent="0.3">
      <c r="A198">
        <f>'Section 619 Awards LY Comp'!A198</f>
        <v>1997</v>
      </c>
      <c r="B198" t="s">
        <v>37</v>
      </c>
      <c r="C198" s="3">
        <v>1011</v>
      </c>
      <c r="D198" s="3">
        <v>337</v>
      </c>
      <c r="E198" s="3">
        <v>0</v>
      </c>
      <c r="F198" s="3">
        <v>0</v>
      </c>
      <c r="G198" s="3">
        <v>0</v>
      </c>
      <c r="H198" s="3">
        <v>674</v>
      </c>
      <c r="I198" s="3">
        <f t="shared" si="3"/>
        <v>2022</v>
      </c>
      <c r="J198" s="2"/>
      <c r="K198"/>
    </row>
    <row r="199" spans="1:11" x14ac:dyDescent="0.3">
      <c r="A199">
        <f>'Section 619 Awards LY Comp'!A199</f>
        <v>3476</v>
      </c>
      <c r="B199" t="s">
        <v>239</v>
      </c>
      <c r="C199" s="3">
        <v>0</v>
      </c>
      <c r="D199" s="3">
        <v>0</v>
      </c>
      <c r="E199" s="3">
        <v>0</v>
      </c>
      <c r="F199" s="3">
        <v>0</v>
      </c>
      <c r="G199" s="3">
        <v>0</v>
      </c>
      <c r="H199" s="3">
        <v>0</v>
      </c>
      <c r="I199" s="3">
        <f t="shared" si="3"/>
        <v>0</v>
      </c>
      <c r="J199" s="2"/>
      <c r="K199"/>
    </row>
    <row r="200" spans="1:11" x14ac:dyDescent="0.3">
      <c r="A200">
        <f>'Section 619 Awards LY Comp'!A200</f>
        <v>3477</v>
      </c>
      <c r="B200" t="s">
        <v>240</v>
      </c>
      <c r="C200" s="3">
        <v>0</v>
      </c>
      <c r="D200" s="3">
        <v>0</v>
      </c>
      <c r="E200" s="3">
        <v>0</v>
      </c>
      <c r="F200" s="3">
        <v>0</v>
      </c>
      <c r="G200" s="3">
        <v>0</v>
      </c>
      <c r="H200" s="3">
        <v>0</v>
      </c>
      <c r="I200" s="3">
        <f t="shared" si="3"/>
        <v>0</v>
      </c>
      <c r="J200" s="2"/>
      <c r="K200"/>
    </row>
    <row r="201" spans="1:11" x14ac:dyDescent="0.3">
      <c r="A201">
        <f>'Section 619 Awards LY Comp'!A201</f>
        <v>2332</v>
      </c>
      <c r="B201" t="s">
        <v>241</v>
      </c>
      <c r="C201" s="3">
        <v>0</v>
      </c>
      <c r="D201" s="3">
        <v>0</v>
      </c>
      <c r="E201" s="3">
        <v>0</v>
      </c>
      <c r="F201" s="3">
        <v>0</v>
      </c>
      <c r="G201" s="3">
        <v>0</v>
      </c>
      <c r="H201" s="3">
        <v>0</v>
      </c>
      <c r="I201" s="3">
        <f t="shared" si="3"/>
        <v>0</v>
      </c>
      <c r="J201" s="2"/>
      <c r="K201"/>
    </row>
    <row r="202" spans="1:11" x14ac:dyDescent="0.3">
      <c r="A202">
        <f>'Section 619 Awards LY Comp'!A202</f>
        <v>0</v>
      </c>
      <c r="B202" t="s">
        <v>182</v>
      </c>
      <c r="C202" s="3">
        <v>343</v>
      </c>
      <c r="D202" s="3">
        <v>0</v>
      </c>
      <c r="E202" s="3">
        <v>0</v>
      </c>
      <c r="F202" s="3">
        <v>0</v>
      </c>
      <c r="G202" s="3">
        <v>0</v>
      </c>
      <c r="H202" s="3">
        <v>0</v>
      </c>
      <c r="I202" s="3">
        <f t="shared" si="3"/>
        <v>343</v>
      </c>
      <c r="J202" s="2"/>
      <c r="K202"/>
    </row>
    <row r="203" spans="1:11" s="2" customFormat="1" x14ac:dyDescent="0.3">
      <c r="B203" t="s">
        <v>184</v>
      </c>
      <c r="C203" s="4">
        <f>SUBTOTAL(109,Sect619[District])</f>
        <v>909610</v>
      </c>
      <c r="D203" s="4">
        <f>SUBTOTAL(109,Sect619[Regional])</f>
        <v>137964</v>
      </c>
      <c r="E203" s="4">
        <f>SUBTOTAL(109,Sect619[OSD])</f>
        <v>1032</v>
      </c>
      <c r="F203" s="4">
        <f>SUBTOTAL(109,Sect619[LTCT])</f>
        <v>271</v>
      </c>
      <c r="G203" s="4">
        <f>SUBTOTAL(109,Sect619[Hospital])</f>
        <v>0</v>
      </c>
      <c r="H203" s="4">
        <f>SUBTOTAL(109,Sect619[ECSE])</f>
        <v>2066231</v>
      </c>
      <c r="I203" s="4">
        <f>SUBTOTAL(109,Sect619[Gross Total])</f>
        <v>3115108</v>
      </c>
      <c r="J203" s="5"/>
    </row>
    <row r="204" spans="1:11" hidden="1" x14ac:dyDescent="0.3">
      <c r="B204" s="2"/>
      <c r="C204" s="5"/>
      <c r="D204" s="5"/>
      <c r="E204" s="5"/>
      <c r="F204" s="5"/>
      <c r="G204" s="5"/>
      <c r="H204" s="5"/>
      <c r="I204" s="5"/>
    </row>
  </sheetData>
  <sheetProtection sort="0" autoFilter="0"/>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D503-BCE0-4F12-A035-3D65D32AF9AA}">
  <dimension ref="A1:L204"/>
  <sheetViews>
    <sheetView topLeftCell="B1" zoomScaleNormal="100" workbookViewId="0">
      <selection activeCell="B1" sqref="B1"/>
    </sheetView>
  </sheetViews>
  <sheetFormatPr defaultColWidth="0" defaultRowHeight="13" customHeight="1" zeroHeight="1" x14ac:dyDescent="0.3"/>
  <cols>
    <col min="1" max="1" width="7.296875" hidden="1" customWidth="1"/>
    <col min="2" max="2" width="30.296875" customWidth="1"/>
    <col min="3" max="10" width="16.296875" customWidth="1"/>
    <col min="11" max="12" width="0" hidden="1" customWidth="1"/>
    <col min="13" max="16384" width="7.296875" hidden="1"/>
  </cols>
  <sheetData>
    <row r="1" spans="1:10" x14ac:dyDescent="0.3">
      <c r="A1" t="s">
        <v>254</v>
      </c>
      <c r="B1" t="s">
        <v>0</v>
      </c>
      <c r="C1" s="6" t="s">
        <v>174</v>
      </c>
      <c r="D1" s="6" t="s">
        <v>175</v>
      </c>
      <c r="E1" s="6" t="s">
        <v>170</v>
      </c>
      <c r="F1" s="6" t="s">
        <v>171</v>
      </c>
      <c r="G1" s="6" t="s">
        <v>176</v>
      </c>
      <c r="H1" s="6" t="s">
        <v>177</v>
      </c>
      <c r="I1" s="6" t="s">
        <v>178</v>
      </c>
      <c r="J1" s="2"/>
    </row>
    <row r="2" spans="1:10" x14ac:dyDescent="0.3">
      <c r="A2">
        <v>2063</v>
      </c>
      <c r="B2" t="s">
        <v>79</v>
      </c>
      <c r="C2" s="28">
        <v>484.4116246228603</v>
      </c>
      <c r="D2" s="28">
        <v>0</v>
      </c>
      <c r="E2" s="28">
        <v>0</v>
      </c>
      <c r="F2" s="28">
        <v>0</v>
      </c>
      <c r="G2" s="28">
        <v>0</v>
      </c>
      <c r="H2" s="28">
        <v>0</v>
      </c>
      <c r="I2" s="28">
        <f t="shared" ref="I2:I65" si="0">SUM(C2:H2)</f>
        <v>484.4116246228603</v>
      </c>
      <c r="J2" s="2"/>
    </row>
    <row r="3" spans="1:10" x14ac:dyDescent="0.3">
      <c r="A3">
        <v>2113</v>
      </c>
      <c r="B3" t="s">
        <v>106</v>
      </c>
      <c r="C3" s="28">
        <v>353.91329711468325</v>
      </c>
      <c r="D3" s="28">
        <v>0</v>
      </c>
      <c r="E3" s="28">
        <v>0</v>
      </c>
      <c r="F3" s="28">
        <v>0</v>
      </c>
      <c r="G3" s="28">
        <v>0</v>
      </c>
      <c r="H3" s="28">
        <v>0</v>
      </c>
      <c r="I3" s="28">
        <f t="shared" si="0"/>
        <v>353.91329711468325</v>
      </c>
      <c r="J3" s="2"/>
    </row>
    <row r="4" spans="1:10" x14ac:dyDescent="0.3">
      <c r="A4">
        <v>1899</v>
      </c>
      <c r="B4" t="s">
        <v>5</v>
      </c>
      <c r="C4" s="28">
        <v>0</v>
      </c>
      <c r="D4" s="28">
        <v>1050.8251093647684</v>
      </c>
      <c r="E4" s="28">
        <v>0</v>
      </c>
      <c r="F4" s="28">
        <v>0</v>
      </c>
      <c r="G4" s="28">
        <v>0</v>
      </c>
      <c r="H4" s="28">
        <v>525.41255468238421</v>
      </c>
      <c r="I4" s="28">
        <f t="shared" si="0"/>
        <v>1576.2376640471525</v>
      </c>
      <c r="J4" s="2"/>
    </row>
    <row r="5" spans="1:10" x14ac:dyDescent="0.3">
      <c r="A5">
        <v>2252</v>
      </c>
      <c r="B5" t="s">
        <v>161</v>
      </c>
      <c r="C5" s="28">
        <v>0</v>
      </c>
      <c r="D5" s="28">
        <v>3823.1991160336497</v>
      </c>
      <c r="E5" s="28">
        <v>0</v>
      </c>
      <c r="F5" s="28">
        <v>0</v>
      </c>
      <c r="G5" s="28">
        <v>0</v>
      </c>
      <c r="H5" s="28">
        <v>4460.3989687059247</v>
      </c>
      <c r="I5" s="28">
        <f t="shared" si="0"/>
        <v>8283.5980847395749</v>
      </c>
      <c r="J5" s="2"/>
    </row>
    <row r="6" spans="1:10" x14ac:dyDescent="0.3">
      <c r="A6">
        <v>2111</v>
      </c>
      <c r="B6" t="s">
        <v>104</v>
      </c>
      <c r="C6" s="28">
        <v>814.00235583533811</v>
      </c>
      <c r="D6" s="28">
        <v>0</v>
      </c>
      <c r="E6" s="28">
        <v>0</v>
      </c>
      <c r="F6" s="28">
        <v>0</v>
      </c>
      <c r="G6" s="28">
        <v>0</v>
      </c>
      <c r="H6" s="28">
        <v>0</v>
      </c>
      <c r="I6" s="28">
        <f t="shared" si="0"/>
        <v>814.00235583533811</v>
      </c>
      <c r="J6" s="2"/>
    </row>
    <row r="7" spans="1:10" x14ac:dyDescent="0.3">
      <c r="A7">
        <v>2005</v>
      </c>
      <c r="B7" t="s">
        <v>44</v>
      </c>
      <c r="C7" s="28">
        <v>0</v>
      </c>
      <c r="D7" s="28">
        <v>131.10011660514792</v>
      </c>
      <c r="E7" s="28">
        <v>0</v>
      </c>
      <c r="F7" s="28">
        <v>0</v>
      </c>
      <c r="G7" s="28">
        <v>0</v>
      </c>
      <c r="H7" s="28">
        <v>655.50058302573973</v>
      </c>
      <c r="I7" s="28">
        <f t="shared" si="0"/>
        <v>786.60069963088768</v>
      </c>
      <c r="J7" s="2"/>
    </row>
    <row r="8" spans="1:10" x14ac:dyDescent="0.3">
      <c r="A8">
        <v>2115</v>
      </c>
      <c r="B8" t="s">
        <v>108</v>
      </c>
      <c r="C8" s="28">
        <v>0</v>
      </c>
      <c r="D8" s="28">
        <v>0</v>
      </c>
      <c r="E8" s="28">
        <v>0</v>
      </c>
      <c r="F8" s="28">
        <v>0</v>
      </c>
      <c r="G8" s="28">
        <v>0</v>
      </c>
      <c r="H8" s="28">
        <v>0</v>
      </c>
      <c r="I8" s="28">
        <f t="shared" si="0"/>
        <v>0</v>
      </c>
      <c r="J8" s="2"/>
    </row>
    <row r="9" spans="1:10" x14ac:dyDescent="0.3">
      <c r="A9">
        <v>2041</v>
      </c>
      <c r="B9" t="s">
        <v>61</v>
      </c>
      <c r="C9" s="28">
        <v>4709.8952569732182</v>
      </c>
      <c r="D9" s="28">
        <v>1345.6843591352051</v>
      </c>
      <c r="E9" s="28">
        <v>0</v>
      </c>
      <c r="F9" s="28">
        <v>0</v>
      </c>
      <c r="G9" s="28">
        <v>0</v>
      </c>
      <c r="H9" s="28">
        <v>9419.7905139464365</v>
      </c>
      <c r="I9" s="28">
        <f t="shared" si="0"/>
        <v>15475.37013005486</v>
      </c>
      <c r="J9" s="2"/>
    </row>
    <row r="10" spans="1:10" x14ac:dyDescent="0.3">
      <c r="A10">
        <v>2051</v>
      </c>
      <c r="B10" t="s">
        <v>70</v>
      </c>
      <c r="C10" s="28">
        <v>0</v>
      </c>
      <c r="D10" s="28">
        <v>0</v>
      </c>
      <c r="E10" s="28">
        <v>0</v>
      </c>
      <c r="F10" s="28">
        <v>0</v>
      </c>
      <c r="G10" s="28">
        <v>0</v>
      </c>
      <c r="H10" s="28">
        <v>0</v>
      </c>
      <c r="I10" s="28">
        <f t="shared" si="0"/>
        <v>0</v>
      </c>
      <c r="J10" s="2"/>
    </row>
    <row r="11" spans="1:10" x14ac:dyDescent="0.3">
      <c r="A11">
        <v>1933</v>
      </c>
      <c r="B11" t="s">
        <v>209</v>
      </c>
      <c r="C11" s="28">
        <v>1537.7699126847704</v>
      </c>
      <c r="D11" s="28">
        <v>768.88495634238518</v>
      </c>
      <c r="E11" s="28">
        <v>0</v>
      </c>
      <c r="F11" s="28">
        <v>0</v>
      </c>
      <c r="G11" s="28">
        <v>0</v>
      </c>
      <c r="H11" s="28">
        <v>6919.964607081467</v>
      </c>
      <c r="I11" s="28">
        <f t="shared" si="0"/>
        <v>9226.6194761086226</v>
      </c>
      <c r="J11" s="2"/>
    </row>
    <row r="12" spans="1:10" x14ac:dyDescent="0.3">
      <c r="A12">
        <v>2208</v>
      </c>
      <c r="B12" t="s">
        <v>210</v>
      </c>
      <c r="C12" s="28">
        <v>1939.5463825142976</v>
      </c>
      <c r="D12" s="28">
        <v>0</v>
      </c>
      <c r="E12" s="28">
        <v>0</v>
      </c>
      <c r="F12" s="28">
        <v>0</v>
      </c>
      <c r="G12" s="28">
        <v>0</v>
      </c>
      <c r="H12" s="28">
        <v>3232.5773041904968</v>
      </c>
      <c r="I12" s="28">
        <f t="shared" si="0"/>
        <v>5172.1236867047946</v>
      </c>
      <c r="J12" s="2"/>
    </row>
    <row r="13" spans="1:10" x14ac:dyDescent="0.3">
      <c r="A13">
        <v>1894</v>
      </c>
      <c r="B13" t="s">
        <v>1</v>
      </c>
      <c r="C13" s="28">
        <v>6905.4037667576022</v>
      </c>
      <c r="D13" s="28">
        <v>383.63354259764458</v>
      </c>
      <c r="E13" s="28">
        <v>0</v>
      </c>
      <c r="F13" s="28">
        <v>0</v>
      </c>
      <c r="G13" s="28">
        <v>0</v>
      </c>
      <c r="H13" s="28">
        <v>8439.9379371481809</v>
      </c>
      <c r="I13" s="28">
        <f t="shared" si="0"/>
        <v>15728.975246503429</v>
      </c>
      <c r="J13" s="2"/>
    </row>
    <row r="14" spans="1:10" x14ac:dyDescent="0.3">
      <c r="A14">
        <v>1969</v>
      </c>
      <c r="B14" t="s">
        <v>29</v>
      </c>
      <c r="C14" s="28">
        <v>1899.178747129059</v>
      </c>
      <c r="D14" s="28">
        <v>633.05958237635309</v>
      </c>
      <c r="E14" s="28">
        <v>0</v>
      </c>
      <c r="F14" s="28">
        <v>0</v>
      </c>
      <c r="G14" s="28">
        <v>0</v>
      </c>
      <c r="H14" s="28">
        <v>3165.2979118817657</v>
      </c>
      <c r="I14" s="28">
        <f t="shared" si="0"/>
        <v>5697.5362413871781</v>
      </c>
      <c r="J14" s="2"/>
    </row>
    <row r="15" spans="1:10" x14ac:dyDescent="0.3">
      <c r="A15">
        <v>2240</v>
      </c>
      <c r="B15" t="s">
        <v>152</v>
      </c>
      <c r="C15" s="28">
        <v>885.39734083314124</v>
      </c>
      <c r="D15" s="28">
        <v>505.94133761893789</v>
      </c>
      <c r="E15" s="28">
        <v>0</v>
      </c>
      <c r="F15" s="28">
        <v>0</v>
      </c>
      <c r="G15" s="28">
        <v>0</v>
      </c>
      <c r="H15" s="28">
        <v>758.91200642840693</v>
      </c>
      <c r="I15" s="28">
        <f t="shared" si="0"/>
        <v>2150.250684880486</v>
      </c>
      <c r="J15" s="2"/>
    </row>
    <row r="16" spans="1:10" x14ac:dyDescent="0.3">
      <c r="A16">
        <v>2243</v>
      </c>
      <c r="B16" t="s">
        <v>155</v>
      </c>
      <c r="C16" s="28">
        <v>28378.730416118055</v>
      </c>
      <c r="D16" s="28">
        <v>28787.05747246508</v>
      </c>
      <c r="E16" s="28">
        <v>0</v>
      </c>
      <c r="F16" s="28">
        <v>0</v>
      </c>
      <c r="G16" s="28">
        <v>0</v>
      </c>
      <c r="H16" s="28">
        <v>79215.448931322346</v>
      </c>
      <c r="I16" s="28">
        <f t="shared" si="0"/>
        <v>136381.23681990546</v>
      </c>
      <c r="J16" s="2"/>
    </row>
    <row r="17" spans="1:10" x14ac:dyDescent="0.3">
      <c r="A17">
        <v>1976</v>
      </c>
      <c r="B17" t="s">
        <v>211</v>
      </c>
      <c r="C17" s="28">
        <v>11569.208917801017</v>
      </c>
      <c r="D17" s="28">
        <v>9438.0388539955675</v>
      </c>
      <c r="E17" s="28">
        <v>0</v>
      </c>
      <c r="F17" s="28">
        <v>0</v>
      </c>
      <c r="G17" s="28">
        <v>0</v>
      </c>
      <c r="H17" s="28">
        <v>48408.005735009523</v>
      </c>
      <c r="I17" s="28">
        <f t="shared" si="0"/>
        <v>69415.253506806112</v>
      </c>
      <c r="J17" s="2"/>
    </row>
    <row r="18" spans="1:10" x14ac:dyDescent="0.3">
      <c r="A18">
        <v>2088</v>
      </c>
      <c r="B18" t="s">
        <v>86</v>
      </c>
      <c r="C18" s="28">
        <v>8897.50521115845</v>
      </c>
      <c r="D18" s="28">
        <v>593.16701407722996</v>
      </c>
      <c r="E18" s="28">
        <v>0</v>
      </c>
      <c r="F18" s="28">
        <v>0</v>
      </c>
      <c r="G18" s="28">
        <v>0</v>
      </c>
      <c r="H18" s="28">
        <v>24122.125239140685</v>
      </c>
      <c r="I18" s="28">
        <f t="shared" si="0"/>
        <v>33612.797464376366</v>
      </c>
      <c r="J18" s="2"/>
    </row>
    <row r="19" spans="1:10" x14ac:dyDescent="0.3">
      <c r="A19">
        <v>2095</v>
      </c>
      <c r="B19" t="s">
        <v>92</v>
      </c>
      <c r="C19" s="28">
        <v>324.20767243047777</v>
      </c>
      <c r="D19" s="28">
        <v>0</v>
      </c>
      <c r="E19" s="28">
        <v>0</v>
      </c>
      <c r="F19" s="28">
        <v>0</v>
      </c>
      <c r="G19" s="28">
        <v>0</v>
      </c>
      <c r="H19" s="28">
        <v>324.20767243047777</v>
      </c>
      <c r="I19" s="28">
        <f t="shared" si="0"/>
        <v>648.41534486095554</v>
      </c>
      <c r="J19" s="2"/>
    </row>
    <row r="20" spans="1:10" x14ac:dyDescent="0.3">
      <c r="A20">
        <v>2052</v>
      </c>
      <c r="B20" t="s">
        <v>71</v>
      </c>
      <c r="C20" s="28">
        <v>0</v>
      </c>
      <c r="D20" s="28">
        <v>0</v>
      </c>
      <c r="E20" s="28">
        <v>0</v>
      </c>
      <c r="F20" s="28">
        <v>0</v>
      </c>
      <c r="G20" s="28">
        <v>0</v>
      </c>
      <c r="H20" s="28">
        <v>0</v>
      </c>
      <c r="I20" s="28">
        <f t="shared" si="0"/>
        <v>0</v>
      </c>
      <c r="J20" s="2"/>
    </row>
    <row r="21" spans="1:10" x14ac:dyDescent="0.3">
      <c r="A21">
        <v>1974</v>
      </c>
      <c r="B21" t="s">
        <v>212</v>
      </c>
      <c r="C21" s="28">
        <v>1205.8368292440839</v>
      </c>
      <c r="D21" s="28">
        <v>2411.6736584881678</v>
      </c>
      <c r="E21" s="28">
        <v>0</v>
      </c>
      <c r="F21" s="28">
        <v>0</v>
      </c>
      <c r="G21" s="28">
        <v>0</v>
      </c>
      <c r="H21" s="28">
        <v>11455.449877818795</v>
      </c>
      <c r="I21" s="28">
        <f t="shared" si="0"/>
        <v>15072.960365551047</v>
      </c>
      <c r="J21" s="2"/>
    </row>
    <row r="22" spans="1:10" x14ac:dyDescent="0.3">
      <c r="A22">
        <v>1896</v>
      </c>
      <c r="B22" t="s">
        <v>3</v>
      </c>
      <c r="C22" s="28">
        <v>270.29755963687239</v>
      </c>
      <c r="D22" s="28">
        <v>0</v>
      </c>
      <c r="E22" s="28">
        <v>0</v>
      </c>
      <c r="F22" s="28">
        <v>0</v>
      </c>
      <c r="G22" s="28">
        <v>0</v>
      </c>
      <c r="H22" s="28">
        <v>0</v>
      </c>
      <c r="I22" s="28">
        <f t="shared" si="0"/>
        <v>270.29755963687239</v>
      </c>
      <c r="J22" s="2"/>
    </row>
    <row r="23" spans="1:10" x14ac:dyDescent="0.3">
      <c r="A23">
        <v>2046</v>
      </c>
      <c r="B23" t="s">
        <v>66</v>
      </c>
      <c r="C23" s="28">
        <v>0</v>
      </c>
      <c r="D23" s="28">
        <v>0</v>
      </c>
      <c r="E23" s="28">
        <v>0</v>
      </c>
      <c r="F23" s="28">
        <v>0</v>
      </c>
      <c r="G23" s="28">
        <v>0</v>
      </c>
      <c r="H23" s="28">
        <v>525.4125546823841</v>
      </c>
      <c r="I23" s="28">
        <f t="shared" si="0"/>
        <v>525.4125546823841</v>
      </c>
      <c r="J23" s="2"/>
    </row>
    <row r="24" spans="1:10" x14ac:dyDescent="0.3">
      <c r="A24">
        <v>1995</v>
      </c>
      <c r="B24" t="s">
        <v>213</v>
      </c>
      <c r="C24" s="28">
        <v>176.95664855734162</v>
      </c>
      <c r="D24" s="28">
        <v>0</v>
      </c>
      <c r="E24" s="28">
        <v>0</v>
      </c>
      <c r="F24" s="28">
        <v>0</v>
      </c>
      <c r="G24" s="28">
        <v>0</v>
      </c>
      <c r="H24" s="28">
        <v>176.95664855734162</v>
      </c>
      <c r="I24" s="28">
        <f t="shared" si="0"/>
        <v>353.91329711468325</v>
      </c>
      <c r="J24" s="2"/>
    </row>
    <row r="25" spans="1:10" x14ac:dyDescent="0.3">
      <c r="A25">
        <v>1929</v>
      </c>
      <c r="B25" t="s">
        <v>14</v>
      </c>
      <c r="C25" s="28">
        <v>3638.0863890792716</v>
      </c>
      <c r="D25" s="28">
        <v>4708.1117976319983</v>
      </c>
      <c r="E25" s="28">
        <v>0</v>
      </c>
      <c r="F25" s="28">
        <v>0</v>
      </c>
      <c r="G25" s="28">
        <v>0</v>
      </c>
      <c r="H25" s="28">
        <v>9630.2286769745406</v>
      </c>
      <c r="I25" s="28">
        <f t="shared" si="0"/>
        <v>17976.426863685811</v>
      </c>
      <c r="J25" s="2"/>
    </row>
    <row r="26" spans="1:10" x14ac:dyDescent="0.3">
      <c r="A26">
        <v>2139</v>
      </c>
      <c r="B26" t="s">
        <v>112</v>
      </c>
      <c r="C26" s="28">
        <v>2440.7506100954365</v>
      </c>
      <c r="D26" s="28">
        <v>5857.8014642290473</v>
      </c>
      <c r="E26" s="28">
        <v>0</v>
      </c>
      <c r="F26" s="28">
        <v>0</v>
      </c>
      <c r="G26" s="28">
        <v>0</v>
      </c>
      <c r="H26" s="28">
        <v>4393.3510981717855</v>
      </c>
      <c r="I26" s="28">
        <f t="shared" si="0"/>
        <v>12691.90317249627</v>
      </c>
      <c r="J26" s="2"/>
    </row>
    <row r="27" spans="1:10" x14ac:dyDescent="0.3">
      <c r="A27">
        <v>2185</v>
      </c>
      <c r="B27" t="s">
        <v>125</v>
      </c>
      <c r="C27" s="28">
        <v>7221.3297876576489</v>
      </c>
      <c r="D27" s="28">
        <v>10276.507774743579</v>
      </c>
      <c r="E27" s="28">
        <v>0</v>
      </c>
      <c r="F27" s="28">
        <v>0</v>
      </c>
      <c r="G27" s="28">
        <v>0</v>
      </c>
      <c r="H27" s="28">
        <v>19442.04173600136</v>
      </c>
      <c r="I27" s="28">
        <f t="shared" si="0"/>
        <v>36939.879298402586</v>
      </c>
      <c r="J27" s="2"/>
    </row>
    <row r="28" spans="1:10" x14ac:dyDescent="0.3">
      <c r="A28">
        <v>1972</v>
      </c>
      <c r="B28" t="s">
        <v>30</v>
      </c>
      <c r="C28" s="28">
        <v>2101.6502187295364</v>
      </c>
      <c r="D28" s="28">
        <v>0</v>
      </c>
      <c r="E28" s="28">
        <v>0</v>
      </c>
      <c r="F28" s="28">
        <v>0</v>
      </c>
      <c r="G28" s="28">
        <v>0</v>
      </c>
      <c r="H28" s="28">
        <v>2101.6502187295364</v>
      </c>
      <c r="I28" s="28">
        <f t="shared" si="0"/>
        <v>4203.3004374590728</v>
      </c>
      <c r="J28" s="2"/>
    </row>
    <row r="29" spans="1:10" x14ac:dyDescent="0.3">
      <c r="A29">
        <v>2105</v>
      </c>
      <c r="B29" t="s">
        <v>100</v>
      </c>
      <c r="C29" s="28">
        <v>471.5890408353996</v>
      </c>
      <c r="D29" s="28">
        <v>471.5890408353996</v>
      </c>
      <c r="E29" s="28">
        <v>0</v>
      </c>
      <c r="F29" s="28">
        <v>0</v>
      </c>
      <c r="G29" s="28">
        <v>0</v>
      </c>
      <c r="H29" s="28">
        <v>3301.1232858477974</v>
      </c>
      <c r="I29" s="28">
        <f t="shared" si="0"/>
        <v>4244.3013675185966</v>
      </c>
      <c r="J29" s="2"/>
    </row>
    <row r="30" spans="1:10" x14ac:dyDescent="0.3">
      <c r="A30">
        <v>2042</v>
      </c>
      <c r="B30" t="s">
        <v>62</v>
      </c>
      <c r="C30" s="28">
        <v>10529.301962442951</v>
      </c>
      <c r="D30" s="28">
        <v>7581.097412958924</v>
      </c>
      <c r="E30" s="28">
        <v>0</v>
      </c>
      <c r="F30" s="28">
        <v>0</v>
      </c>
      <c r="G30" s="28">
        <v>0</v>
      </c>
      <c r="H30" s="28">
        <v>15162.194825917848</v>
      </c>
      <c r="I30" s="28">
        <f t="shared" si="0"/>
        <v>33272.59420131972</v>
      </c>
      <c r="J30" s="2"/>
    </row>
    <row r="31" spans="1:10" x14ac:dyDescent="0.3">
      <c r="A31">
        <v>2191</v>
      </c>
      <c r="B31" t="s">
        <v>130</v>
      </c>
      <c r="C31" s="28">
        <v>2700.6358059759145</v>
      </c>
      <c r="D31" s="28">
        <v>5401.2716119518291</v>
      </c>
      <c r="E31" s="28">
        <v>0</v>
      </c>
      <c r="F31" s="28">
        <v>0</v>
      </c>
      <c r="G31" s="28">
        <v>0</v>
      </c>
      <c r="H31" s="28">
        <v>8439.4868936747334</v>
      </c>
      <c r="I31" s="28">
        <f t="shared" si="0"/>
        <v>16541.394311602475</v>
      </c>
      <c r="J31" s="2"/>
    </row>
    <row r="32" spans="1:10" x14ac:dyDescent="0.3">
      <c r="A32">
        <v>1945</v>
      </c>
      <c r="B32" t="s">
        <v>20</v>
      </c>
      <c r="C32" s="28">
        <v>1404.0974792726176</v>
      </c>
      <c r="D32" s="28">
        <v>351.02436981815441</v>
      </c>
      <c r="E32" s="28">
        <v>0</v>
      </c>
      <c r="F32" s="28">
        <v>0</v>
      </c>
      <c r="G32" s="28">
        <v>0</v>
      </c>
      <c r="H32" s="28">
        <v>7020.487396363088</v>
      </c>
      <c r="I32" s="28">
        <f t="shared" si="0"/>
        <v>8775.6092454538593</v>
      </c>
      <c r="J32" s="2"/>
    </row>
    <row r="33" spans="1:10" x14ac:dyDescent="0.3">
      <c r="A33">
        <v>1927</v>
      </c>
      <c r="B33" t="s">
        <v>12</v>
      </c>
      <c r="C33" s="28">
        <v>0</v>
      </c>
      <c r="D33" s="28">
        <v>0</v>
      </c>
      <c r="E33" s="28">
        <v>0</v>
      </c>
      <c r="F33" s="28">
        <v>0</v>
      </c>
      <c r="G33" s="28">
        <v>0</v>
      </c>
      <c r="H33" s="28">
        <v>5779.5381015062248</v>
      </c>
      <c r="I33" s="28">
        <f t="shared" si="0"/>
        <v>5779.5381015062248</v>
      </c>
      <c r="J33" s="2"/>
    </row>
    <row r="34" spans="1:10" x14ac:dyDescent="0.3">
      <c r="A34">
        <v>2006</v>
      </c>
      <c r="B34" t="s">
        <v>45</v>
      </c>
      <c r="C34" s="28">
        <v>711.63783846071681</v>
      </c>
      <c r="D34" s="28">
        <v>0</v>
      </c>
      <c r="E34" s="28">
        <v>0</v>
      </c>
      <c r="F34" s="28">
        <v>0</v>
      </c>
      <c r="G34" s="28">
        <v>0</v>
      </c>
      <c r="H34" s="28">
        <v>355.8189192303584</v>
      </c>
      <c r="I34" s="28">
        <f t="shared" si="0"/>
        <v>1067.4567576910752</v>
      </c>
      <c r="J34" s="2"/>
    </row>
    <row r="35" spans="1:10" x14ac:dyDescent="0.3">
      <c r="A35">
        <v>1965</v>
      </c>
      <c r="B35" t="s">
        <v>25</v>
      </c>
      <c r="C35" s="28">
        <v>6046.682449548638</v>
      </c>
      <c r="D35" s="28">
        <v>806.22432660648508</v>
      </c>
      <c r="E35" s="28">
        <v>0</v>
      </c>
      <c r="F35" s="28">
        <v>0</v>
      </c>
      <c r="G35" s="28">
        <v>0</v>
      </c>
      <c r="H35" s="28">
        <v>22977.393308284827</v>
      </c>
      <c r="I35" s="28">
        <f t="shared" si="0"/>
        <v>29830.30008443995</v>
      </c>
      <c r="J35" s="2"/>
    </row>
    <row r="36" spans="1:10" x14ac:dyDescent="0.3">
      <c r="A36">
        <v>1964</v>
      </c>
      <c r="B36" t="s">
        <v>24</v>
      </c>
      <c r="C36" s="28">
        <v>1667.3489952484085</v>
      </c>
      <c r="D36" s="28">
        <v>833.67449762420426</v>
      </c>
      <c r="E36" s="28">
        <v>0</v>
      </c>
      <c r="F36" s="28">
        <v>0</v>
      </c>
      <c r="G36" s="28">
        <v>0</v>
      </c>
      <c r="H36" s="28">
        <v>6669.3959809936341</v>
      </c>
      <c r="I36" s="28">
        <f t="shared" si="0"/>
        <v>9170.4194738662463</v>
      </c>
      <c r="J36" s="2"/>
    </row>
    <row r="37" spans="1:10" x14ac:dyDescent="0.3">
      <c r="A37">
        <v>2186</v>
      </c>
      <c r="B37" t="s">
        <v>126</v>
      </c>
      <c r="C37" s="28">
        <v>1900.44533647763</v>
      </c>
      <c r="D37" s="28">
        <v>380.08906729552604</v>
      </c>
      <c r="E37" s="28">
        <v>0</v>
      </c>
      <c r="F37" s="28">
        <v>0</v>
      </c>
      <c r="G37" s="28">
        <v>0</v>
      </c>
      <c r="H37" s="28">
        <v>1520.3562691821041</v>
      </c>
      <c r="I37" s="28">
        <f t="shared" si="0"/>
        <v>3800.89067295526</v>
      </c>
      <c r="J37" s="2"/>
    </row>
    <row r="38" spans="1:10" x14ac:dyDescent="0.3">
      <c r="A38">
        <v>1901</v>
      </c>
      <c r="B38" t="s">
        <v>7</v>
      </c>
      <c r="C38" s="28">
        <v>7701.4965440643009</v>
      </c>
      <c r="D38" s="28">
        <v>7248.4673355899295</v>
      </c>
      <c r="E38" s="28">
        <v>0</v>
      </c>
      <c r="F38" s="28">
        <v>453.02920847437059</v>
      </c>
      <c r="G38" s="28">
        <v>0</v>
      </c>
      <c r="H38" s="28">
        <v>24010.548049141646</v>
      </c>
      <c r="I38" s="28">
        <f t="shared" si="0"/>
        <v>39413.541137270251</v>
      </c>
      <c r="J38" s="2"/>
    </row>
    <row r="39" spans="1:10" x14ac:dyDescent="0.3">
      <c r="A39">
        <v>2216</v>
      </c>
      <c r="B39" t="s">
        <v>144</v>
      </c>
      <c r="C39" s="28">
        <v>767.61836699381445</v>
      </c>
      <c r="D39" s="28">
        <v>0</v>
      </c>
      <c r="E39" s="28">
        <v>0</v>
      </c>
      <c r="F39" s="28">
        <v>0</v>
      </c>
      <c r="G39" s="28">
        <v>0</v>
      </c>
      <c r="H39" s="28">
        <v>767.61836699381445</v>
      </c>
      <c r="I39" s="28">
        <f t="shared" si="0"/>
        <v>1535.2367339876289</v>
      </c>
      <c r="J39" s="2"/>
    </row>
    <row r="40" spans="1:10" x14ac:dyDescent="0.3">
      <c r="A40">
        <v>2086</v>
      </c>
      <c r="B40" t="s">
        <v>85</v>
      </c>
      <c r="C40" s="28">
        <v>3039.1523393540438</v>
      </c>
      <c r="D40" s="28">
        <v>0</v>
      </c>
      <c r="E40" s="28">
        <v>0</v>
      </c>
      <c r="F40" s="28">
        <v>0</v>
      </c>
      <c r="G40" s="28">
        <v>0</v>
      </c>
      <c r="H40" s="28">
        <v>6630.8778313179137</v>
      </c>
      <c r="I40" s="28">
        <f t="shared" si="0"/>
        <v>9670.0301706719583</v>
      </c>
      <c r="J40" s="2"/>
    </row>
    <row r="41" spans="1:10" x14ac:dyDescent="0.3">
      <c r="A41">
        <v>1970</v>
      </c>
      <c r="B41" t="s">
        <v>214</v>
      </c>
      <c r="C41" s="28">
        <v>5354.4215420982164</v>
      </c>
      <c r="D41" s="28">
        <v>2059.3929008070063</v>
      </c>
      <c r="E41" s="28">
        <v>0</v>
      </c>
      <c r="F41" s="28">
        <v>0</v>
      </c>
      <c r="G41" s="28">
        <v>0</v>
      </c>
      <c r="H41" s="28">
        <v>18946.414687424458</v>
      </c>
      <c r="I41" s="28">
        <f t="shared" si="0"/>
        <v>26360.229130329681</v>
      </c>
      <c r="J41" s="2"/>
    </row>
    <row r="42" spans="1:10" x14ac:dyDescent="0.3">
      <c r="A42">
        <v>2089</v>
      </c>
      <c r="B42" t="s">
        <v>215</v>
      </c>
      <c r="C42" s="28">
        <v>0</v>
      </c>
      <c r="D42" s="28">
        <v>0</v>
      </c>
      <c r="E42" s="28">
        <v>0</v>
      </c>
      <c r="F42" s="28">
        <v>0</v>
      </c>
      <c r="G42" s="28">
        <v>0</v>
      </c>
      <c r="H42" s="28">
        <v>1658.2395241662002</v>
      </c>
      <c r="I42" s="28">
        <f t="shared" si="0"/>
        <v>1658.2395241662002</v>
      </c>
      <c r="J42" s="2"/>
    </row>
    <row r="43" spans="1:10" x14ac:dyDescent="0.3">
      <c r="A43">
        <v>2050</v>
      </c>
      <c r="B43" t="s">
        <v>69</v>
      </c>
      <c r="C43" s="28">
        <v>2571.1813785468721</v>
      </c>
      <c r="D43" s="28">
        <v>428.53022975781204</v>
      </c>
      <c r="E43" s="28">
        <v>0</v>
      </c>
      <c r="F43" s="28">
        <v>0</v>
      </c>
      <c r="G43" s="28">
        <v>0</v>
      </c>
      <c r="H43" s="28">
        <v>1285.5906892734361</v>
      </c>
      <c r="I43" s="28">
        <f t="shared" si="0"/>
        <v>4285.3022975781205</v>
      </c>
      <c r="J43" s="2"/>
    </row>
    <row r="44" spans="1:10" x14ac:dyDescent="0.3">
      <c r="A44">
        <v>2190</v>
      </c>
      <c r="B44" t="s">
        <v>129</v>
      </c>
      <c r="C44" s="28">
        <v>6011.2132263258554</v>
      </c>
      <c r="D44" s="28">
        <v>7104.1610856578282</v>
      </c>
      <c r="E44" s="28">
        <v>0</v>
      </c>
      <c r="F44" s="28">
        <v>0</v>
      </c>
      <c r="G44" s="28">
        <v>0</v>
      </c>
      <c r="H44" s="28">
        <v>12022.426452651711</v>
      </c>
      <c r="I44" s="28">
        <f t="shared" si="0"/>
        <v>25137.800764635394</v>
      </c>
      <c r="J44" s="2"/>
    </row>
    <row r="45" spans="1:10" x14ac:dyDescent="0.3">
      <c r="A45">
        <v>2187</v>
      </c>
      <c r="B45" t="s">
        <v>127</v>
      </c>
      <c r="C45" s="28">
        <v>8216.7952968033787</v>
      </c>
      <c r="D45" s="28">
        <v>15024.99711415475</v>
      </c>
      <c r="E45" s="28">
        <v>0</v>
      </c>
      <c r="F45" s="28">
        <v>0</v>
      </c>
      <c r="G45" s="28">
        <v>0</v>
      </c>
      <c r="H45" s="28">
        <v>31928.118867578836</v>
      </c>
      <c r="I45" s="28">
        <f t="shared" si="0"/>
        <v>55169.911278536965</v>
      </c>
      <c r="J45" s="2"/>
    </row>
    <row r="46" spans="1:10" x14ac:dyDescent="0.3">
      <c r="A46">
        <v>2253</v>
      </c>
      <c r="B46" t="s">
        <v>162</v>
      </c>
      <c r="C46" s="28">
        <v>2627.0627734119207</v>
      </c>
      <c r="D46" s="28">
        <v>525.4125546823841</v>
      </c>
      <c r="E46" s="28">
        <v>0</v>
      </c>
      <c r="F46" s="28">
        <v>0</v>
      </c>
      <c r="G46" s="28">
        <v>0</v>
      </c>
      <c r="H46" s="28">
        <v>1576.2376640471521</v>
      </c>
      <c r="I46" s="28">
        <f t="shared" si="0"/>
        <v>4728.7129921414571</v>
      </c>
      <c r="J46" s="2"/>
    </row>
    <row r="47" spans="1:10" x14ac:dyDescent="0.3">
      <c r="A47">
        <v>2011</v>
      </c>
      <c r="B47" t="s">
        <v>49</v>
      </c>
      <c r="C47" s="28">
        <v>1009.8241793052445</v>
      </c>
      <c r="D47" s="28">
        <v>0</v>
      </c>
      <c r="E47" s="28">
        <v>0</v>
      </c>
      <c r="F47" s="28">
        <v>0</v>
      </c>
      <c r="G47" s="28">
        <v>0</v>
      </c>
      <c r="H47" s="28">
        <v>1009.8241793052445</v>
      </c>
      <c r="I47" s="28">
        <f t="shared" si="0"/>
        <v>2019.6483586104889</v>
      </c>
      <c r="J47" s="2"/>
    </row>
    <row r="48" spans="1:10" x14ac:dyDescent="0.3">
      <c r="A48">
        <v>2017</v>
      </c>
      <c r="B48" t="s">
        <v>54</v>
      </c>
      <c r="C48" s="28">
        <v>263.6023683578814</v>
      </c>
      <c r="D48" s="28">
        <v>0</v>
      </c>
      <c r="E48" s="28">
        <v>0</v>
      </c>
      <c r="F48" s="28">
        <v>0</v>
      </c>
      <c r="G48" s="28">
        <v>0</v>
      </c>
      <c r="H48" s="28">
        <v>0</v>
      </c>
      <c r="I48" s="28">
        <f t="shared" si="0"/>
        <v>263.6023683578814</v>
      </c>
      <c r="J48" s="2"/>
    </row>
    <row r="49" spans="1:10" x14ac:dyDescent="0.3">
      <c r="A49">
        <v>2021</v>
      </c>
      <c r="B49" t="s">
        <v>58</v>
      </c>
      <c r="C49" s="28">
        <v>221.57613802041146</v>
      </c>
      <c r="D49" s="28">
        <v>0</v>
      </c>
      <c r="E49" s="28">
        <v>0</v>
      </c>
      <c r="F49" s="28">
        <v>0</v>
      </c>
      <c r="G49" s="28">
        <v>0</v>
      </c>
      <c r="H49" s="28">
        <v>0</v>
      </c>
      <c r="I49" s="28">
        <f t="shared" si="0"/>
        <v>221.57613802041146</v>
      </c>
      <c r="J49" s="2"/>
    </row>
    <row r="50" spans="1:10" x14ac:dyDescent="0.3">
      <c r="A50">
        <v>1993</v>
      </c>
      <c r="B50" t="s">
        <v>216</v>
      </c>
      <c r="C50" s="28">
        <v>1453.2348738685812</v>
      </c>
      <c r="D50" s="28">
        <v>0</v>
      </c>
      <c r="E50" s="28">
        <v>0</v>
      </c>
      <c r="F50" s="28">
        <v>0</v>
      </c>
      <c r="G50" s="28">
        <v>0</v>
      </c>
      <c r="H50" s="28">
        <v>0</v>
      </c>
      <c r="I50" s="28">
        <f t="shared" si="0"/>
        <v>1453.2348738685812</v>
      </c>
      <c r="J50" s="2"/>
    </row>
    <row r="51" spans="1:10" x14ac:dyDescent="0.3">
      <c r="A51">
        <v>1991</v>
      </c>
      <c r="B51" t="s">
        <v>217</v>
      </c>
      <c r="C51" s="28">
        <v>12017.245156894283</v>
      </c>
      <c r="D51" s="28">
        <v>3719.623500943469</v>
      </c>
      <c r="E51" s="28">
        <v>0</v>
      </c>
      <c r="F51" s="28">
        <v>0</v>
      </c>
      <c r="G51" s="28">
        <v>0</v>
      </c>
      <c r="H51" s="28">
        <v>31759.862200363466</v>
      </c>
      <c r="I51" s="28">
        <f t="shared" si="0"/>
        <v>47496.730858201219</v>
      </c>
      <c r="J51" s="2"/>
    </row>
    <row r="52" spans="1:10" x14ac:dyDescent="0.3">
      <c r="A52">
        <v>2019</v>
      </c>
      <c r="B52" t="s">
        <v>56</v>
      </c>
      <c r="C52" s="28">
        <v>0</v>
      </c>
      <c r="D52" s="28">
        <v>0</v>
      </c>
      <c r="E52" s="28">
        <v>0</v>
      </c>
      <c r="F52" s="28">
        <v>0</v>
      </c>
      <c r="G52" s="28">
        <v>0</v>
      </c>
      <c r="H52" s="28">
        <v>0</v>
      </c>
      <c r="I52" s="28">
        <f t="shared" si="0"/>
        <v>0</v>
      </c>
      <c r="J52" s="2"/>
    </row>
    <row r="53" spans="1:10" x14ac:dyDescent="0.3">
      <c r="A53">
        <v>2229</v>
      </c>
      <c r="B53" t="s">
        <v>150</v>
      </c>
      <c r="C53" s="28">
        <v>1050.8251093647684</v>
      </c>
      <c r="D53" s="28">
        <v>0</v>
      </c>
      <c r="E53" s="28">
        <v>0</v>
      </c>
      <c r="F53" s="28">
        <v>0</v>
      </c>
      <c r="G53" s="28">
        <v>0</v>
      </c>
      <c r="H53" s="28">
        <v>525.41255468238421</v>
      </c>
      <c r="I53" s="28">
        <f t="shared" si="0"/>
        <v>1576.2376640471525</v>
      </c>
      <c r="J53" s="2"/>
    </row>
    <row r="54" spans="1:10" x14ac:dyDescent="0.3">
      <c r="A54">
        <v>2043</v>
      </c>
      <c r="B54" t="s">
        <v>63</v>
      </c>
      <c r="C54" s="28">
        <v>4277.4495582243508</v>
      </c>
      <c r="D54" s="28">
        <v>3774.220198433251</v>
      </c>
      <c r="E54" s="28">
        <v>0</v>
      </c>
      <c r="F54" s="28">
        <v>0</v>
      </c>
      <c r="G54" s="28">
        <v>0</v>
      </c>
      <c r="H54" s="28">
        <v>15096.880793733004</v>
      </c>
      <c r="I54" s="28">
        <f t="shared" si="0"/>
        <v>23148.550550390606</v>
      </c>
      <c r="J54" s="2"/>
    </row>
    <row r="55" spans="1:10" x14ac:dyDescent="0.3">
      <c r="A55">
        <v>2203</v>
      </c>
      <c r="B55" t="s">
        <v>138</v>
      </c>
      <c r="C55" s="28">
        <v>486.31150864571669</v>
      </c>
      <c r="D55" s="28">
        <v>0</v>
      </c>
      <c r="E55" s="28">
        <v>0</v>
      </c>
      <c r="F55" s="28">
        <v>0</v>
      </c>
      <c r="G55" s="28">
        <v>0</v>
      </c>
      <c r="H55" s="28">
        <v>162.10383621523889</v>
      </c>
      <c r="I55" s="28">
        <f t="shared" si="0"/>
        <v>648.41534486095554</v>
      </c>
      <c r="J55" s="2"/>
    </row>
    <row r="56" spans="1:10" x14ac:dyDescent="0.3">
      <c r="A56">
        <v>2217</v>
      </c>
      <c r="B56" t="s">
        <v>145</v>
      </c>
      <c r="C56" s="28">
        <v>284.47333171952482</v>
      </c>
      <c r="D56" s="28">
        <v>0</v>
      </c>
      <c r="E56" s="28">
        <v>0</v>
      </c>
      <c r="F56" s="28">
        <v>0</v>
      </c>
      <c r="G56" s="28">
        <v>0</v>
      </c>
      <c r="H56" s="28">
        <v>568.94666343904964</v>
      </c>
      <c r="I56" s="28">
        <f t="shared" si="0"/>
        <v>853.41999515857447</v>
      </c>
      <c r="J56" s="2"/>
    </row>
    <row r="57" spans="1:10" x14ac:dyDescent="0.3">
      <c r="A57">
        <v>1998</v>
      </c>
      <c r="B57" t="s">
        <v>38</v>
      </c>
      <c r="C57" s="28">
        <v>484.4116246228603</v>
      </c>
      <c r="D57" s="28">
        <v>0</v>
      </c>
      <c r="E57" s="28">
        <v>0</v>
      </c>
      <c r="F57" s="28">
        <v>0</v>
      </c>
      <c r="G57" s="28">
        <v>0</v>
      </c>
      <c r="H57" s="28">
        <v>0</v>
      </c>
      <c r="I57" s="28">
        <f t="shared" si="0"/>
        <v>484.4116246228603</v>
      </c>
      <c r="J57" s="2"/>
    </row>
    <row r="58" spans="1:10" x14ac:dyDescent="0.3">
      <c r="A58">
        <v>2221</v>
      </c>
      <c r="B58" t="s">
        <v>148</v>
      </c>
      <c r="C58" s="28">
        <v>1012.3573580023863</v>
      </c>
      <c r="D58" s="28">
        <v>404.94294320095457</v>
      </c>
      <c r="E58" s="28">
        <v>0</v>
      </c>
      <c r="F58" s="28">
        <v>0</v>
      </c>
      <c r="G58" s="28">
        <v>0</v>
      </c>
      <c r="H58" s="28">
        <v>1619.7717728038183</v>
      </c>
      <c r="I58" s="28">
        <f t="shared" si="0"/>
        <v>3037.0720740071592</v>
      </c>
      <c r="J58" s="2"/>
    </row>
    <row r="59" spans="1:10" x14ac:dyDescent="0.3">
      <c r="A59">
        <v>1930</v>
      </c>
      <c r="B59" t="s">
        <v>15</v>
      </c>
      <c r="C59" s="28">
        <v>3812.1306734037353</v>
      </c>
      <c r="D59" s="28">
        <v>1524.8522693614941</v>
      </c>
      <c r="E59" s="28">
        <v>0</v>
      </c>
      <c r="F59" s="28">
        <v>0</v>
      </c>
      <c r="G59" s="28">
        <v>0</v>
      </c>
      <c r="H59" s="28">
        <v>7370.1193019138882</v>
      </c>
      <c r="I59" s="28">
        <f t="shared" si="0"/>
        <v>12707.102244679118</v>
      </c>
      <c r="J59" s="2"/>
    </row>
    <row r="60" spans="1:10" x14ac:dyDescent="0.3">
      <c r="A60">
        <v>2082</v>
      </c>
      <c r="B60" t="s">
        <v>81</v>
      </c>
      <c r="C60" s="28">
        <v>37294.299683179263</v>
      </c>
      <c r="D60" s="28">
        <v>1088.8846622826061</v>
      </c>
      <c r="E60" s="28">
        <v>0</v>
      </c>
      <c r="F60" s="28">
        <v>0</v>
      </c>
      <c r="G60" s="28">
        <v>0</v>
      </c>
      <c r="H60" s="28">
        <v>87655.215313749795</v>
      </c>
      <c r="I60" s="28">
        <f t="shared" si="0"/>
        <v>126038.39965921166</v>
      </c>
      <c r="J60" s="2"/>
    </row>
    <row r="61" spans="1:10" x14ac:dyDescent="0.3">
      <c r="A61">
        <v>2193</v>
      </c>
      <c r="B61" t="s">
        <v>132</v>
      </c>
      <c r="C61" s="28">
        <v>849.62022711286193</v>
      </c>
      <c r="D61" s="28">
        <v>0</v>
      </c>
      <c r="E61" s="28">
        <v>0</v>
      </c>
      <c r="F61" s="28">
        <v>0</v>
      </c>
      <c r="G61" s="28">
        <v>0</v>
      </c>
      <c r="H61" s="28">
        <v>283.20674237095398</v>
      </c>
      <c r="I61" s="28">
        <f t="shared" si="0"/>
        <v>1132.8269694838159</v>
      </c>
      <c r="J61" s="2"/>
    </row>
    <row r="62" spans="1:10" x14ac:dyDescent="0.3">
      <c r="A62">
        <v>2084</v>
      </c>
      <c r="B62" t="s">
        <v>83</v>
      </c>
      <c r="C62" s="28">
        <v>1956.0038472639412</v>
      </c>
      <c r="D62" s="28">
        <v>195.60038472639411</v>
      </c>
      <c r="E62" s="28">
        <v>0</v>
      </c>
      <c r="F62" s="28">
        <v>0</v>
      </c>
      <c r="G62" s="28">
        <v>0</v>
      </c>
      <c r="H62" s="28">
        <v>7041.6138501501882</v>
      </c>
      <c r="I62" s="28">
        <f t="shared" si="0"/>
        <v>9193.2180821405236</v>
      </c>
      <c r="J62" s="2"/>
    </row>
    <row r="63" spans="1:10" x14ac:dyDescent="0.3">
      <c r="A63">
        <v>2241</v>
      </c>
      <c r="B63" t="s">
        <v>153</v>
      </c>
      <c r="C63" s="28">
        <v>6360.9750862549872</v>
      </c>
      <c r="D63" s="28">
        <v>4543.553633039277</v>
      </c>
      <c r="E63" s="28">
        <v>0</v>
      </c>
      <c r="F63" s="28">
        <v>0</v>
      </c>
      <c r="G63" s="28">
        <v>0</v>
      </c>
      <c r="H63" s="28">
        <v>15993.308788298255</v>
      </c>
      <c r="I63" s="28">
        <f t="shared" si="0"/>
        <v>26897.837507592518</v>
      </c>
      <c r="J63" s="2"/>
    </row>
    <row r="64" spans="1:10" x14ac:dyDescent="0.3">
      <c r="A64">
        <v>2248</v>
      </c>
      <c r="B64" t="s">
        <v>159</v>
      </c>
      <c r="C64" s="28">
        <v>707.82659422936649</v>
      </c>
      <c r="D64" s="28">
        <v>0</v>
      </c>
      <c r="E64" s="28">
        <v>0</v>
      </c>
      <c r="F64" s="28">
        <v>0</v>
      </c>
      <c r="G64" s="28">
        <v>0</v>
      </c>
      <c r="H64" s="28">
        <v>353.91329711468325</v>
      </c>
      <c r="I64" s="28">
        <f t="shared" si="0"/>
        <v>1061.7398913440497</v>
      </c>
      <c r="J64" s="2"/>
    </row>
    <row r="65" spans="1:10" x14ac:dyDescent="0.3">
      <c r="A65">
        <v>2020</v>
      </c>
      <c r="B65" t="s">
        <v>57</v>
      </c>
      <c r="C65" s="28">
        <v>270.29755963687239</v>
      </c>
      <c r="D65" s="28">
        <v>0</v>
      </c>
      <c r="E65" s="28">
        <v>0</v>
      </c>
      <c r="F65" s="28">
        <v>0</v>
      </c>
      <c r="G65" s="28">
        <v>0</v>
      </c>
      <c r="H65" s="28">
        <v>0</v>
      </c>
      <c r="I65" s="28">
        <f t="shared" si="0"/>
        <v>270.29755963687239</v>
      </c>
      <c r="J65" s="2"/>
    </row>
    <row r="66" spans="1:10" x14ac:dyDescent="0.3">
      <c r="A66">
        <v>2245</v>
      </c>
      <c r="B66" t="s">
        <v>157</v>
      </c>
      <c r="C66" s="28">
        <v>856.02032684218136</v>
      </c>
      <c r="D66" s="28">
        <v>642.01524513163611</v>
      </c>
      <c r="E66" s="28">
        <v>0</v>
      </c>
      <c r="F66" s="28">
        <v>0</v>
      </c>
      <c r="G66" s="28">
        <v>0</v>
      </c>
      <c r="H66" s="28">
        <v>1498.0355719738177</v>
      </c>
      <c r="I66" s="28">
        <f t="shared" ref="I66:I129" si="1">SUM(C66:H66)</f>
        <v>2996.0711439476354</v>
      </c>
      <c r="J66" s="2"/>
    </row>
    <row r="67" spans="1:10" x14ac:dyDescent="0.3">
      <c r="A67">
        <v>2137</v>
      </c>
      <c r="B67" t="s">
        <v>110</v>
      </c>
      <c r="C67" s="28">
        <v>417.7655269884151</v>
      </c>
      <c r="D67" s="28">
        <v>835.53105397683021</v>
      </c>
      <c r="E67" s="28">
        <v>0</v>
      </c>
      <c r="F67" s="28">
        <v>0</v>
      </c>
      <c r="G67" s="28">
        <v>0</v>
      </c>
      <c r="H67" s="28">
        <v>2506.5931619304906</v>
      </c>
      <c r="I67" s="28">
        <f t="shared" si="1"/>
        <v>3759.8897428957362</v>
      </c>
      <c r="J67" s="2"/>
    </row>
    <row r="68" spans="1:10" x14ac:dyDescent="0.3">
      <c r="A68">
        <v>1931</v>
      </c>
      <c r="B68" t="s">
        <v>16</v>
      </c>
      <c r="C68" s="28">
        <v>1851.0623252127548</v>
      </c>
      <c r="D68" s="28">
        <v>1851.0623252127548</v>
      </c>
      <c r="E68" s="28">
        <v>0</v>
      </c>
      <c r="F68" s="28">
        <v>0</v>
      </c>
      <c r="G68" s="28">
        <v>0</v>
      </c>
      <c r="H68" s="28">
        <v>2420.6199637397563</v>
      </c>
      <c r="I68" s="28">
        <f t="shared" si="1"/>
        <v>6122.7446141652654</v>
      </c>
      <c r="J68" s="2"/>
    </row>
    <row r="69" spans="1:10" x14ac:dyDescent="0.3">
      <c r="A69">
        <v>2000</v>
      </c>
      <c r="B69" t="s">
        <v>40</v>
      </c>
      <c r="C69" s="28">
        <v>275.76650996819171</v>
      </c>
      <c r="D69" s="28">
        <v>0</v>
      </c>
      <c r="E69" s="28">
        <v>0</v>
      </c>
      <c r="F69" s="28">
        <v>0</v>
      </c>
      <c r="G69" s="28">
        <v>0</v>
      </c>
      <c r="H69" s="28">
        <v>413.64976495228757</v>
      </c>
      <c r="I69" s="28">
        <f t="shared" si="1"/>
        <v>689.41627492047928</v>
      </c>
      <c r="J69" s="2"/>
    </row>
    <row r="70" spans="1:10" x14ac:dyDescent="0.3">
      <c r="A70">
        <v>1992</v>
      </c>
      <c r="B70" t="s">
        <v>34</v>
      </c>
      <c r="C70" s="28">
        <v>1050.8251093647682</v>
      </c>
      <c r="D70" s="28">
        <v>1050.8251093647682</v>
      </c>
      <c r="E70" s="28">
        <v>0</v>
      </c>
      <c r="F70" s="28">
        <v>0</v>
      </c>
      <c r="G70" s="28">
        <v>0</v>
      </c>
      <c r="H70" s="28">
        <v>2101.6502187295364</v>
      </c>
      <c r="I70" s="28">
        <f t="shared" si="1"/>
        <v>4203.3004374590728</v>
      </c>
      <c r="J70" s="2"/>
    </row>
    <row r="71" spans="1:10" x14ac:dyDescent="0.3">
      <c r="A71">
        <v>2054</v>
      </c>
      <c r="B71" t="s">
        <v>73</v>
      </c>
      <c r="C71" s="28">
        <v>7487.0806554204255</v>
      </c>
      <c r="D71" s="28">
        <v>8318.978506022695</v>
      </c>
      <c r="E71" s="28">
        <v>0</v>
      </c>
      <c r="F71" s="28">
        <v>0</v>
      </c>
      <c r="G71" s="28">
        <v>0</v>
      </c>
      <c r="H71" s="28">
        <v>18301.752713249931</v>
      </c>
      <c r="I71" s="28">
        <f t="shared" si="1"/>
        <v>34107.811874693056</v>
      </c>
      <c r="J71" s="2"/>
    </row>
    <row r="72" spans="1:10" x14ac:dyDescent="0.3">
      <c r="A72">
        <v>2100</v>
      </c>
      <c r="B72" t="s">
        <v>218</v>
      </c>
      <c r="C72" s="28">
        <v>14755.761146601038</v>
      </c>
      <c r="D72" s="28">
        <v>5011.3905780909181</v>
      </c>
      <c r="E72" s="28">
        <v>0</v>
      </c>
      <c r="F72" s="28">
        <v>0</v>
      </c>
      <c r="G72" s="28">
        <v>0</v>
      </c>
      <c r="H72" s="28">
        <v>36471.786984995022</v>
      </c>
      <c r="I72" s="28">
        <f t="shared" si="1"/>
        <v>56238.938709686976</v>
      </c>
      <c r="J72" s="2"/>
    </row>
    <row r="73" spans="1:10" x14ac:dyDescent="0.3">
      <c r="A73">
        <v>2183</v>
      </c>
      <c r="B73" t="s">
        <v>124</v>
      </c>
      <c r="C73" s="28">
        <v>13183.629593706153</v>
      </c>
      <c r="D73" s="28">
        <v>21240.292123193249</v>
      </c>
      <c r="E73" s="28">
        <v>0</v>
      </c>
      <c r="F73" s="28">
        <v>0</v>
      </c>
      <c r="G73" s="28">
        <v>0</v>
      </c>
      <c r="H73" s="28">
        <v>33691.497850582396</v>
      </c>
      <c r="I73" s="28">
        <f t="shared" si="1"/>
        <v>68115.419567481789</v>
      </c>
      <c r="J73" s="2"/>
    </row>
    <row r="74" spans="1:10" x14ac:dyDescent="0.3">
      <c r="A74">
        <v>2014</v>
      </c>
      <c r="B74" t="s">
        <v>51</v>
      </c>
      <c r="C74" s="28">
        <v>3286.2033217934709</v>
      </c>
      <c r="D74" s="28">
        <v>657.24066435869418</v>
      </c>
      <c r="E74" s="28">
        <v>0</v>
      </c>
      <c r="F74" s="28">
        <v>0</v>
      </c>
      <c r="G74" s="28">
        <v>0</v>
      </c>
      <c r="H74" s="28">
        <v>6572.4066435869418</v>
      </c>
      <c r="I74" s="28">
        <f t="shared" si="1"/>
        <v>10515.850629739107</v>
      </c>
      <c r="J74" s="2"/>
    </row>
    <row r="75" spans="1:10" x14ac:dyDescent="0.3">
      <c r="A75">
        <v>2015</v>
      </c>
      <c r="B75" t="s">
        <v>52</v>
      </c>
      <c r="C75" s="28">
        <v>353.91272206528276</v>
      </c>
      <c r="D75" s="28">
        <v>0</v>
      </c>
      <c r="E75" s="28">
        <v>0</v>
      </c>
      <c r="F75" s="28">
        <v>0</v>
      </c>
      <c r="G75" s="28">
        <v>0</v>
      </c>
      <c r="H75" s="28">
        <v>0</v>
      </c>
      <c r="I75" s="28">
        <f t="shared" si="1"/>
        <v>353.91272206528276</v>
      </c>
      <c r="J75" s="2"/>
    </row>
    <row r="76" spans="1:10" x14ac:dyDescent="0.3">
      <c r="A76">
        <v>2023</v>
      </c>
      <c r="B76" t="s">
        <v>219</v>
      </c>
      <c r="C76" s="28">
        <v>41.00093005952381</v>
      </c>
      <c r="D76" s="28">
        <v>0</v>
      </c>
      <c r="E76" s="28">
        <v>0</v>
      </c>
      <c r="F76" s="28">
        <v>0</v>
      </c>
      <c r="G76" s="28">
        <v>0</v>
      </c>
      <c r="H76" s="28">
        <v>0</v>
      </c>
      <c r="I76" s="28">
        <f t="shared" si="1"/>
        <v>41.00093005952381</v>
      </c>
      <c r="J76" s="2"/>
    </row>
    <row r="77" spans="1:10" x14ac:dyDescent="0.3">
      <c r="A77">
        <v>2114</v>
      </c>
      <c r="B77" t="s">
        <v>107</v>
      </c>
      <c r="C77" s="28">
        <v>968.8232492457206</v>
      </c>
      <c r="D77" s="28">
        <v>0</v>
      </c>
      <c r="E77" s="28">
        <v>0</v>
      </c>
      <c r="F77" s="28">
        <v>0</v>
      </c>
      <c r="G77" s="28">
        <v>0</v>
      </c>
      <c r="H77" s="28">
        <v>0</v>
      </c>
      <c r="I77" s="28">
        <f t="shared" si="1"/>
        <v>968.8232492457206</v>
      </c>
      <c r="J77" s="2"/>
    </row>
    <row r="78" spans="1:10" x14ac:dyDescent="0.3">
      <c r="A78">
        <v>2099</v>
      </c>
      <c r="B78" t="s">
        <v>95</v>
      </c>
      <c r="C78" s="28">
        <v>519.33957396091171</v>
      </c>
      <c r="D78" s="28">
        <v>0</v>
      </c>
      <c r="E78" s="28">
        <v>0</v>
      </c>
      <c r="F78" s="28">
        <v>0</v>
      </c>
      <c r="G78" s="28">
        <v>0</v>
      </c>
      <c r="H78" s="28">
        <v>1384.9055305624315</v>
      </c>
      <c r="I78" s="28">
        <f t="shared" si="1"/>
        <v>1904.2451045233433</v>
      </c>
      <c r="J78" s="2"/>
    </row>
    <row r="79" spans="1:10" x14ac:dyDescent="0.3">
      <c r="A79">
        <v>2201</v>
      </c>
      <c r="B79" t="s">
        <v>136</v>
      </c>
      <c r="C79" s="28">
        <v>1009.8241793052445</v>
      </c>
      <c r="D79" s="28">
        <v>0</v>
      </c>
      <c r="E79" s="28">
        <v>0</v>
      </c>
      <c r="F79" s="28">
        <v>0</v>
      </c>
      <c r="G79" s="28">
        <v>0</v>
      </c>
      <c r="H79" s="28">
        <v>0</v>
      </c>
      <c r="I79" s="28">
        <f t="shared" si="1"/>
        <v>1009.8241793052445</v>
      </c>
      <c r="J79" s="2"/>
    </row>
    <row r="80" spans="1:10" x14ac:dyDescent="0.3">
      <c r="A80">
        <v>2206</v>
      </c>
      <c r="B80" t="s">
        <v>220</v>
      </c>
      <c r="C80" s="28">
        <v>4398.9872175333976</v>
      </c>
      <c r="D80" s="28">
        <v>1293.8197698627639</v>
      </c>
      <c r="E80" s="28">
        <v>0</v>
      </c>
      <c r="F80" s="28">
        <v>0</v>
      </c>
      <c r="G80" s="28">
        <v>0</v>
      </c>
      <c r="H80" s="28">
        <v>22512.463995612092</v>
      </c>
      <c r="I80" s="28">
        <f t="shared" si="1"/>
        <v>28205.270983008253</v>
      </c>
      <c r="J80" s="2"/>
    </row>
    <row r="81" spans="1:10" x14ac:dyDescent="0.3">
      <c r="A81">
        <v>2239</v>
      </c>
      <c r="B81" t="s">
        <v>151</v>
      </c>
      <c r="C81" s="28">
        <v>17162.769348478076</v>
      </c>
      <c r="D81" s="28">
        <v>14737.595418801826</v>
      </c>
      <c r="E81" s="28">
        <v>0</v>
      </c>
      <c r="F81" s="28">
        <v>0</v>
      </c>
      <c r="G81" s="28">
        <v>0</v>
      </c>
      <c r="H81" s="28">
        <v>47570.719389803358</v>
      </c>
      <c r="I81" s="28">
        <f t="shared" si="1"/>
        <v>79471.084157083256</v>
      </c>
      <c r="J81" s="2"/>
    </row>
    <row r="82" spans="1:10" x14ac:dyDescent="0.3">
      <c r="A82">
        <v>2024</v>
      </c>
      <c r="B82" t="s">
        <v>221</v>
      </c>
      <c r="C82" s="28">
        <v>7477.5433762964876</v>
      </c>
      <c r="D82" s="28">
        <v>2199.2774636166141</v>
      </c>
      <c r="E82" s="28">
        <v>0</v>
      </c>
      <c r="F82" s="28">
        <v>0</v>
      </c>
      <c r="G82" s="28">
        <v>0</v>
      </c>
      <c r="H82" s="28">
        <v>14735.159006231315</v>
      </c>
      <c r="I82" s="28">
        <f t="shared" si="1"/>
        <v>24411.979846144415</v>
      </c>
      <c r="J82" s="2"/>
    </row>
    <row r="83" spans="1:10" x14ac:dyDescent="0.3">
      <c r="A83">
        <v>1895</v>
      </c>
      <c r="B83" t="s">
        <v>2</v>
      </c>
      <c r="C83" s="28">
        <v>484.41008786813916</v>
      </c>
      <c r="D83" s="28">
        <v>0</v>
      </c>
      <c r="E83" s="28">
        <v>0</v>
      </c>
      <c r="F83" s="28">
        <v>0</v>
      </c>
      <c r="G83" s="28">
        <v>0</v>
      </c>
      <c r="H83" s="28">
        <v>0</v>
      </c>
      <c r="I83" s="28">
        <f t="shared" si="1"/>
        <v>484.41008786813916</v>
      </c>
      <c r="J83" s="2"/>
    </row>
    <row r="84" spans="1:10" x14ac:dyDescent="0.3">
      <c r="A84">
        <v>2215</v>
      </c>
      <c r="B84" t="s">
        <v>143</v>
      </c>
      <c r="C84" s="28">
        <v>0</v>
      </c>
      <c r="D84" s="28">
        <v>283.20674237095398</v>
      </c>
      <c r="E84" s="28">
        <v>0</v>
      </c>
      <c r="F84" s="28">
        <v>0</v>
      </c>
      <c r="G84" s="28">
        <v>0</v>
      </c>
      <c r="H84" s="28">
        <v>283.20674237095398</v>
      </c>
      <c r="I84" s="28">
        <f t="shared" si="1"/>
        <v>566.41348474190795</v>
      </c>
      <c r="J84" s="2"/>
    </row>
    <row r="85" spans="1:10" x14ac:dyDescent="0.3">
      <c r="A85">
        <v>3997</v>
      </c>
      <c r="B85" t="s">
        <v>222</v>
      </c>
      <c r="C85" s="28">
        <v>525.4125546823841</v>
      </c>
      <c r="D85" s="28">
        <v>0</v>
      </c>
      <c r="E85" s="28">
        <v>0</v>
      </c>
      <c r="F85" s="28">
        <v>0</v>
      </c>
      <c r="G85" s="28">
        <v>0</v>
      </c>
      <c r="H85" s="28">
        <v>0</v>
      </c>
      <c r="I85" s="28">
        <f t="shared" si="1"/>
        <v>525.4125546823841</v>
      </c>
      <c r="J85" s="2"/>
    </row>
    <row r="86" spans="1:10" x14ac:dyDescent="0.3">
      <c r="A86">
        <v>2053</v>
      </c>
      <c r="B86" t="s">
        <v>72</v>
      </c>
      <c r="C86" s="28">
        <v>11699.300620666439</v>
      </c>
      <c r="D86" s="28">
        <v>8508.5822695755924</v>
      </c>
      <c r="E86" s="28">
        <v>0</v>
      </c>
      <c r="F86" s="28">
        <v>0</v>
      </c>
      <c r="G86" s="28">
        <v>0</v>
      </c>
      <c r="H86" s="28">
        <v>20207.882890242032</v>
      </c>
      <c r="I86" s="28">
        <f t="shared" si="1"/>
        <v>40415.765780484064</v>
      </c>
      <c r="J86" s="2"/>
    </row>
    <row r="87" spans="1:10" x14ac:dyDescent="0.3">
      <c r="A87">
        <v>2140</v>
      </c>
      <c r="B87" t="s">
        <v>113</v>
      </c>
      <c r="C87" s="28">
        <v>0</v>
      </c>
      <c r="D87" s="28">
        <v>1293.0309216761987</v>
      </c>
      <c r="E87" s="28">
        <v>0</v>
      </c>
      <c r="F87" s="28">
        <v>0</v>
      </c>
      <c r="G87" s="28">
        <v>0</v>
      </c>
      <c r="H87" s="28">
        <v>1293.0309216761987</v>
      </c>
      <c r="I87" s="28">
        <f t="shared" si="1"/>
        <v>2586.0618433523973</v>
      </c>
      <c r="J87" s="2"/>
    </row>
    <row r="88" spans="1:10" x14ac:dyDescent="0.3">
      <c r="A88">
        <v>1934</v>
      </c>
      <c r="B88" t="s">
        <v>17</v>
      </c>
      <c r="C88" s="28">
        <v>968.8232492457206</v>
      </c>
      <c r="D88" s="28">
        <v>0</v>
      </c>
      <c r="E88" s="28">
        <v>0</v>
      </c>
      <c r="F88" s="28">
        <v>0</v>
      </c>
      <c r="G88" s="28">
        <v>0</v>
      </c>
      <c r="H88" s="28">
        <v>0</v>
      </c>
      <c r="I88" s="28">
        <f t="shared" si="1"/>
        <v>968.8232492457206</v>
      </c>
      <c r="J88" s="2"/>
    </row>
    <row r="89" spans="1:10" x14ac:dyDescent="0.3">
      <c r="A89">
        <v>2008</v>
      </c>
      <c r="B89" t="s">
        <v>46</v>
      </c>
      <c r="C89" s="28">
        <v>2121.2007417478703</v>
      </c>
      <c r="D89" s="28">
        <v>1414.1338278319135</v>
      </c>
      <c r="E89" s="28">
        <v>0</v>
      </c>
      <c r="F89" s="28">
        <v>0</v>
      </c>
      <c r="G89" s="28">
        <v>0</v>
      </c>
      <c r="H89" s="28">
        <v>2121.2007417478703</v>
      </c>
      <c r="I89" s="28">
        <f t="shared" si="1"/>
        <v>5656.5353113276542</v>
      </c>
      <c r="J89" s="2"/>
    </row>
    <row r="90" spans="1:10" x14ac:dyDescent="0.3">
      <c r="A90">
        <v>2107</v>
      </c>
      <c r="B90" t="s">
        <v>101</v>
      </c>
      <c r="C90" s="28">
        <v>484.4116246228603</v>
      </c>
      <c r="D90" s="28">
        <v>0</v>
      </c>
      <c r="E90" s="28">
        <v>0</v>
      </c>
      <c r="F90" s="28">
        <v>0</v>
      </c>
      <c r="G90" s="28">
        <v>0</v>
      </c>
      <c r="H90" s="28">
        <v>0</v>
      </c>
      <c r="I90" s="28">
        <f t="shared" si="1"/>
        <v>484.4116246228603</v>
      </c>
      <c r="J90" s="2"/>
    </row>
    <row r="91" spans="1:10" x14ac:dyDescent="0.3">
      <c r="A91">
        <v>2219</v>
      </c>
      <c r="B91" t="s">
        <v>146</v>
      </c>
      <c r="C91" s="28">
        <v>646.51546083809933</v>
      </c>
      <c r="D91" s="28">
        <v>0</v>
      </c>
      <c r="E91" s="28">
        <v>0</v>
      </c>
      <c r="F91" s="28">
        <v>0</v>
      </c>
      <c r="G91" s="28">
        <v>0</v>
      </c>
      <c r="H91" s="28">
        <v>1939.5463825142976</v>
      </c>
      <c r="I91" s="28">
        <f t="shared" si="1"/>
        <v>2586.0618433523969</v>
      </c>
      <c r="J91" s="2"/>
    </row>
    <row r="92" spans="1:10" x14ac:dyDescent="0.3">
      <c r="A92">
        <v>2091</v>
      </c>
      <c r="B92" t="s">
        <v>88</v>
      </c>
      <c r="C92" s="28">
        <v>4967.0145762060065</v>
      </c>
      <c r="D92" s="28">
        <v>0</v>
      </c>
      <c r="E92" s="28">
        <v>0</v>
      </c>
      <c r="F92" s="28">
        <v>0</v>
      </c>
      <c r="G92" s="28">
        <v>0</v>
      </c>
      <c r="H92" s="28">
        <v>10810.561136448368</v>
      </c>
      <c r="I92" s="28">
        <f t="shared" si="1"/>
        <v>15777.575712654376</v>
      </c>
      <c r="J92" s="2"/>
    </row>
    <row r="93" spans="1:10" x14ac:dyDescent="0.3">
      <c r="A93">
        <v>2109</v>
      </c>
      <c r="B93" t="s">
        <v>102</v>
      </c>
      <c r="C93" s="28">
        <v>0</v>
      </c>
      <c r="D93" s="28">
        <v>0</v>
      </c>
      <c r="E93" s="28">
        <v>0</v>
      </c>
      <c r="F93" s="28">
        <v>0</v>
      </c>
      <c r="G93" s="28">
        <v>0</v>
      </c>
      <c r="H93" s="28">
        <v>0</v>
      </c>
      <c r="I93" s="28">
        <f t="shared" si="1"/>
        <v>0</v>
      </c>
      <c r="J93" s="2"/>
    </row>
    <row r="94" spans="1:10" x14ac:dyDescent="0.3">
      <c r="A94">
        <v>2057</v>
      </c>
      <c r="B94" t="s">
        <v>74</v>
      </c>
      <c r="C94" s="28">
        <v>10975.092384466123</v>
      </c>
      <c r="D94" s="28">
        <v>3658.3641281553751</v>
      </c>
      <c r="E94" s="28">
        <v>0</v>
      </c>
      <c r="F94" s="28">
        <v>0</v>
      </c>
      <c r="G94" s="28">
        <v>0</v>
      </c>
      <c r="H94" s="28">
        <v>23357.247895145858</v>
      </c>
      <c r="I94" s="28">
        <f t="shared" si="1"/>
        <v>37990.704407767356</v>
      </c>
      <c r="J94" s="2"/>
    </row>
    <row r="95" spans="1:10" x14ac:dyDescent="0.3">
      <c r="A95">
        <v>2056</v>
      </c>
      <c r="B95" t="s">
        <v>223</v>
      </c>
      <c r="C95" s="28">
        <v>5734.9212153494473</v>
      </c>
      <c r="D95" s="28">
        <v>2112.8657109182172</v>
      </c>
      <c r="E95" s="28">
        <v>0</v>
      </c>
      <c r="F95" s="28">
        <v>0</v>
      </c>
      <c r="G95" s="28">
        <v>0</v>
      </c>
      <c r="H95" s="28">
        <v>19619.467315669164</v>
      </c>
      <c r="I95" s="28">
        <f t="shared" si="1"/>
        <v>27467.254241936829</v>
      </c>
      <c r="J95" s="2"/>
    </row>
    <row r="96" spans="1:10" x14ac:dyDescent="0.3">
      <c r="A96">
        <v>2262</v>
      </c>
      <c r="B96" t="s">
        <v>167</v>
      </c>
      <c r="C96" s="28">
        <v>801.17906465057592</v>
      </c>
      <c r="D96" s="28">
        <v>534.11937643371721</v>
      </c>
      <c r="E96" s="28">
        <v>0</v>
      </c>
      <c r="F96" s="28">
        <v>0</v>
      </c>
      <c r="G96" s="28">
        <v>0</v>
      </c>
      <c r="H96" s="28">
        <v>2670.596882168586</v>
      </c>
      <c r="I96" s="28">
        <f t="shared" si="1"/>
        <v>4005.8953232528793</v>
      </c>
      <c r="J96" s="2"/>
    </row>
    <row r="97" spans="1:10" x14ac:dyDescent="0.3">
      <c r="A97">
        <v>2212</v>
      </c>
      <c r="B97" t="s">
        <v>140</v>
      </c>
      <c r="C97" s="28">
        <v>3763.6282402919637</v>
      </c>
      <c r="D97" s="28">
        <v>752.72564805839272</v>
      </c>
      <c r="E97" s="28">
        <v>0</v>
      </c>
      <c r="F97" s="28">
        <v>0</v>
      </c>
      <c r="G97" s="28">
        <v>0</v>
      </c>
      <c r="H97" s="28">
        <v>10161.796248788303</v>
      </c>
      <c r="I97" s="28">
        <f t="shared" si="1"/>
        <v>14678.150137138658</v>
      </c>
      <c r="J97" s="2"/>
    </row>
    <row r="98" spans="1:10" x14ac:dyDescent="0.3">
      <c r="A98">
        <v>2059</v>
      </c>
      <c r="B98" t="s">
        <v>75</v>
      </c>
      <c r="C98" s="28">
        <v>2847.249875513221</v>
      </c>
      <c r="D98" s="28">
        <v>0</v>
      </c>
      <c r="E98" s="28">
        <v>0</v>
      </c>
      <c r="F98" s="28">
        <v>0</v>
      </c>
      <c r="G98" s="28">
        <v>0</v>
      </c>
      <c r="H98" s="28">
        <v>3416.6998506158652</v>
      </c>
      <c r="I98" s="28">
        <f t="shared" si="1"/>
        <v>6263.9497261290862</v>
      </c>
      <c r="J98" s="2"/>
    </row>
    <row r="99" spans="1:10" x14ac:dyDescent="0.3">
      <c r="A99">
        <v>1923</v>
      </c>
      <c r="B99" t="s">
        <v>8</v>
      </c>
      <c r="C99" s="28">
        <v>2514.2598510083812</v>
      </c>
      <c r="D99" s="28">
        <v>4190.4330850139695</v>
      </c>
      <c r="E99" s="28">
        <v>0</v>
      </c>
      <c r="F99" s="28">
        <v>0</v>
      </c>
      <c r="G99" s="28">
        <v>0</v>
      </c>
      <c r="H99" s="28">
        <v>10895.126021036322</v>
      </c>
      <c r="I99" s="28">
        <f t="shared" si="1"/>
        <v>17599.818957058673</v>
      </c>
      <c r="J99" s="2"/>
    </row>
    <row r="100" spans="1:10" x14ac:dyDescent="0.3">
      <c r="A100">
        <v>2101</v>
      </c>
      <c r="B100" t="s">
        <v>96</v>
      </c>
      <c r="C100" s="28">
        <v>3678.2051065962387</v>
      </c>
      <c r="D100" s="28">
        <v>3678.2051065962387</v>
      </c>
      <c r="E100" s="28">
        <v>0</v>
      </c>
      <c r="F100" s="28">
        <v>0</v>
      </c>
      <c r="G100" s="28">
        <v>0</v>
      </c>
      <c r="H100" s="28">
        <v>17655.384511661949</v>
      </c>
      <c r="I100" s="28">
        <f t="shared" si="1"/>
        <v>25011.794724854426</v>
      </c>
      <c r="J100" s="2"/>
    </row>
    <row r="101" spans="1:10" x14ac:dyDescent="0.3">
      <c r="A101">
        <v>2097</v>
      </c>
      <c r="B101" t="s">
        <v>94</v>
      </c>
      <c r="C101" s="28">
        <v>15762.376640471522</v>
      </c>
      <c r="D101" s="28">
        <v>11559.07620301245</v>
      </c>
      <c r="E101" s="28">
        <v>0</v>
      </c>
      <c r="F101" s="28">
        <v>0</v>
      </c>
      <c r="G101" s="28">
        <v>0</v>
      </c>
      <c r="H101" s="28">
        <v>27846.865398166359</v>
      </c>
      <c r="I101" s="28">
        <f t="shared" si="1"/>
        <v>55168.318241650333</v>
      </c>
      <c r="J101" s="2"/>
    </row>
    <row r="102" spans="1:10" x14ac:dyDescent="0.3">
      <c r="A102">
        <v>2012</v>
      </c>
      <c r="B102" t="s">
        <v>50</v>
      </c>
      <c r="C102" s="28">
        <v>482.85214896063189</v>
      </c>
      <c r="D102" s="28">
        <v>0</v>
      </c>
      <c r="E102" s="28">
        <v>0</v>
      </c>
      <c r="F102" s="28">
        <v>0</v>
      </c>
      <c r="G102" s="28">
        <v>0</v>
      </c>
      <c r="H102" s="28">
        <v>0</v>
      </c>
      <c r="I102" s="28">
        <f t="shared" si="1"/>
        <v>482.85214896063189</v>
      </c>
      <c r="J102" s="2"/>
    </row>
    <row r="103" spans="1:10" x14ac:dyDescent="0.3">
      <c r="A103">
        <v>2092</v>
      </c>
      <c r="B103" t="s">
        <v>89</v>
      </c>
      <c r="C103" s="28">
        <v>1186.4529870867912</v>
      </c>
      <c r="D103" s="28">
        <v>131.82810967631013</v>
      </c>
      <c r="E103" s="28">
        <v>0</v>
      </c>
      <c r="F103" s="28">
        <v>0</v>
      </c>
      <c r="G103" s="28">
        <v>0</v>
      </c>
      <c r="H103" s="28">
        <v>790.96865805786081</v>
      </c>
      <c r="I103" s="28">
        <f t="shared" si="1"/>
        <v>2109.2497548209622</v>
      </c>
      <c r="J103" s="2"/>
    </row>
    <row r="104" spans="1:10" x14ac:dyDescent="0.3">
      <c r="A104">
        <v>2112</v>
      </c>
      <c r="B104" t="s">
        <v>105</v>
      </c>
      <c r="C104" s="28">
        <v>0</v>
      </c>
      <c r="D104" s="28">
        <v>0</v>
      </c>
      <c r="E104" s="28">
        <v>0</v>
      </c>
      <c r="F104" s="28">
        <v>0</v>
      </c>
      <c r="G104" s="28">
        <v>0</v>
      </c>
      <c r="H104" s="28">
        <v>0</v>
      </c>
      <c r="I104" s="28">
        <f t="shared" si="1"/>
        <v>0</v>
      </c>
      <c r="J104" s="2"/>
    </row>
    <row r="105" spans="1:10" x14ac:dyDescent="0.3">
      <c r="A105">
        <v>2085</v>
      </c>
      <c r="B105" t="s">
        <v>84</v>
      </c>
      <c r="C105" s="28">
        <v>445.31057858619295</v>
      </c>
      <c r="D105" s="28">
        <v>0</v>
      </c>
      <c r="E105" s="28">
        <v>0</v>
      </c>
      <c r="F105" s="28">
        <v>0</v>
      </c>
      <c r="G105" s="28">
        <v>0</v>
      </c>
      <c r="H105" s="28">
        <v>1335.9317357585787</v>
      </c>
      <c r="I105" s="28">
        <f t="shared" si="1"/>
        <v>1781.2423143447718</v>
      </c>
      <c r="J105" s="2"/>
    </row>
    <row r="106" spans="1:10" x14ac:dyDescent="0.3">
      <c r="A106">
        <v>2094</v>
      </c>
      <c r="B106" t="s">
        <v>91</v>
      </c>
      <c r="C106" s="28">
        <v>234.76557990866792</v>
      </c>
      <c r="D106" s="28">
        <v>234.76557990866792</v>
      </c>
      <c r="E106" s="28">
        <v>0</v>
      </c>
      <c r="F106" s="28">
        <v>0</v>
      </c>
      <c r="G106" s="28">
        <v>0</v>
      </c>
      <c r="H106" s="28">
        <v>704.29673972600381</v>
      </c>
      <c r="I106" s="28">
        <f t="shared" si="1"/>
        <v>1173.8278995433398</v>
      </c>
      <c r="J106" s="2"/>
    </row>
    <row r="107" spans="1:10" x14ac:dyDescent="0.3">
      <c r="A107">
        <v>2090</v>
      </c>
      <c r="B107" t="s">
        <v>87</v>
      </c>
      <c r="C107" s="28">
        <v>283.20674237095398</v>
      </c>
      <c r="D107" s="28">
        <v>0</v>
      </c>
      <c r="E107" s="28">
        <v>0</v>
      </c>
      <c r="F107" s="28">
        <v>0</v>
      </c>
      <c r="G107" s="28">
        <v>0</v>
      </c>
      <c r="H107" s="28">
        <v>283.20674237095398</v>
      </c>
      <c r="I107" s="28">
        <f t="shared" si="1"/>
        <v>566.41348474190795</v>
      </c>
      <c r="J107" s="2"/>
    </row>
    <row r="108" spans="1:10" x14ac:dyDescent="0.3">
      <c r="A108">
        <v>2256</v>
      </c>
      <c r="B108" t="s">
        <v>165</v>
      </c>
      <c r="C108" s="28">
        <v>9064.8716677202756</v>
      </c>
      <c r="D108" s="28">
        <v>8240.7924252002504</v>
      </c>
      <c r="E108" s="28">
        <v>0</v>
      </c>
      <c r="F108" s="28">
        <v>0</v>
      </c>
      <c r="G108" s="28">
        <v>0</v>
      </c>
      <c r="H108" s="28">
        <v>21426.060305520652</v>
      </c>
      <c r="I108" s="28">
        <f t="shared" si="1"/>
        <v>38731.724398441176</v>
      </c>
      <c r="J108" s="2"/>
    </row>
    <row r="109" spans="1:10" x14ac:dyDescent="0.3">
      <c r="A109">
        <v>2048</v>
      </c>
      <c r="B109" t="s">
        <v>68</v>
      </c>
      <c r="C109" s="28">
        <v>20693.438392741595</v>
      </c>
      <c r="D109" s="28">
        <v>31566.261955029557</v>
      </c>
      <c r="E109" s="28">
        <v>0</v>
      </c>
      <c r="F109" s="28">
        <v>0</v>
      </c>
      <c r="G109" s="28">
        <v>0</v>
      </c>
      <c r="H109" s="28">
        <v>42088.349273372733</v>
      </c>
      <c r="I109" s="28">
        <f t="shared" si="1"/>
        <v>94348.049621143888</v>
      </c>
      <c r="J109" s="2"/>
    </row>
    <row r="110" spans="1:10" x14ac:dyDescent="0.3">
      <c r="A110">
        <v>2205</v>
      </c>
      <c r="B110" t="s">
        <v>224</v>
      </c>
      <c r="C110" s="28">
        <v>2173.4149038588489</v>
      </c>
      <c r="D110" s="28">
        <v>543.35372596471223</v>
      </c>
      <c r="E110" s="28">
        <v>0</v>
      </c>
      <c r="F110" s="28">
        <v>0</v>
      </c>
      <c r="G110" s="28">
        <v>0</v>
      </c>
      <c r="H110" s="28">
        <v>11953.781971223669</v>
      </c>
      <c r="I110" s="28">
        <f t="shared" si="1"/>
        <v>14670.550601047231</v>
      </c>
      <c r="J110" s="2"/>
    </row>
    <row r="111" spans="1:10" x14ac:dyDescent="0.3">
      <c r="A111">
        <v>2249</v>
      </c>
      <c r="B111" t="s">
        <v>160</v>
      </c>
      <c r="C111" s="28">
        <v>176.14970987795999</v>
      </c>
      <c r="D111" s="28">
        <v>176.14970987795999</v>
      </c>
      <c r="E111" s="28">
        <v>0</v>
      </c>
      <c r="F111" s="28">
        <v>0</v>
      </c>
      <c r="G111" s="28">
        <v>0</v>
      </c>
      <c r="H111" s="28">
        <v>0</v>
      </c>
      <c r="I111" s="28">
        <f t="shared" si="1"/>
        <v>352.29941975591998</v>
      </c>
      <c r="J111" s="2"/>
    </row>
    <row r="112" spans="1:10" x14ac:dyDescent="0.3">
      <c r="A112">
        <v>1925</v>
      </c>
      <c r="B112" t="s">
        <v>10</v>
      </c>
      <c r="C112" s="28">
        <v>3013.7867744484583</v>
      </c>
      <c r="D112" s="28">
        <v>3709.2760300904101</v>
      </c>
      <c r="E112" s="28">
        <v>0</v>
      </c>
      <c r="F112" s="28">
        <v>0</v>
      </c>
      <c r="G112" s="28">
        <v>0</v>
      </c>
      <c r="H112" s="28">
        <v>8577.7008195840735</v>
      </c>
      <c r="I112" s="28">
        <f t="shared" si="1"/>
        <v>15300.763624122941</v>
      </c>
      <c r="J112" s="2"/>
    </row>
    <row r="113" spans="1:10" x14ac:dyDescent="0.3">
      <c r="A113">
        <v>1898</v>
      </c>
      <c r="B113" t="s">
        <v>4</v>
      </c>
      <c r="C113" s="28">
        <v>324.20767243047777</v>
      </c>
      <c r="D113" s="28">
        <v>486.31150864571669</v>
      </c>
      <c r="E113" s="28">
        <v>0</v>
      </c>
      <c r="F113" s="28">
        <v>0</v>
      </c>
      <c r="G113" s="28">
        <v>0</v>
      </c>
      <c r="H113" s="28">
        <v>1134.7268535066723</v>
      </c>
      <c r="I113" s="28">
        <f t="shared" si="1"/>
        <v>1945.2460345828667</v>
      </c>
      <c r="J113" s="2"/>
    </row>
    <row r="114" spans="1:10" x14ac:dyDescent="0.3">
      <c r="A114">
        <v>2010</v>
      </c>
      <c r="B114" t="s">
        <v>48</v>
      </c>
      <c r="C114" s="28">
        <v>767.61836699381445</v>
      </c>
      <c r="D114" s="28">
        <v>767.61836699381445</v>
      </c>
      <c r="E114" s="28">
        <v>0</v>
      </c>
      <c r="F114" s="28">
        <v>0</v>
      </c>
      <c r="G114" s="28">
        <v>0</v>
      </c>
      <c r="H114" s="28">
        <v>0</v>
      </c>
      <c r="I114" s="28">
        <f t="shared" si="1"/>
        <v>1535.2367339876289</v>
      </c>
      <c r="J114" s="2"/>
    </row>
    <row r="115" spans="1:10" x14ac:dyDescent="0.3">
      <c r="A115">
        <v>2147</v>
      </c>
      <c r="B115" t="s">
        <v>120</v>
      </c>
      <c r="C115" s="28">
        <v>1368.1073463203636</v>
      </c>
      <c r="D115" s="28">
        <v>608.04770947571717</v>
      </c>
      <c r="E115" s="28">
        <v>0</v>
      </c>
      <c r="F115" s="28">
        <v>0</v>
      </c>
      <c r="G115" s="28">
        <v>0</v>
      </c>
      <c r="H115" s="28">
        <v>5320.4174579125247</v>
      </c>
      <c r="I115" s="28">
        <f t="shared" si="1"/>
        <v>7296.5725137086056</v>
      </c>
      <c r="J115" s="2"/>
    </row>
    <row r="116" spans="1:10" x14ac:dyDescent="0.3">
      <c r="A116">
        <v>2145</v>
      </c>
      <c r="B116" t="s">
        <v>118</v>
      </c>
      <c r="C116" s="28">
        <v>380.08906729552604</v>
      </c>
      <c r="D116" s="28">
        <v>2280.5344037731556</v>
      </c>
      <c r="E116" s="28">
        <v>0</v>
      </c>
      <c r="F116" s="28">
        <v>0</v>
      </c>
      <c r="G116" s="28">
        <v>0</v>
      </c>
      <c r="H116" s="28">
        <v>1140.2672018865778</v>
      </c>
      <c r="I116" s="28">
        <f t="shared" si="1"/>
        <v>3800.8906729552596</v>
      </c>
      <c r="J116" s="2"/>
    </row>
    <row r="117" spans="1:10" x14ac:dyDescent="0.3">
      <c r="A117">
        <v>1968</v>
      </c>
      <c r="B117" t="s">
        <v>28</v>
      </c>
      <c r="C117" s="28">
        <v>2302.8551009814432</v>
      </c>
      <c r="D117" s="28">
        <v>767.61836699381445</v>
      </c>
      <c r="E117" s="28">
        <v>0</v>
      </c>
      <c r="F117" s="28">
        <v>0</v>
      </c>
      <c r="G117" s="28">
        <v>0</v>
      </c>
      <c r="H117" s="28">
        <v>3070.4734679752578</v>
      </c>
      <c r="I117" s="28">
        <f t="shared" si="1"/>
        <v>6140.9469359505156</v>
      </c>
      <c r="J117" s="2"/>
    </row>
    <row r="118" spans="1:10" x14ac:dyDescent="0.3">
      <c r="A118">
        <v>2198</v>
      </c>
      <c r="B118" t="s">
        <v>134</v>
      </c>
      <c r="C118" s="28">
        <v>1244.5897592139127</v>
      </c>
      <c r="D118" s="28">
        <v>622.29487960695633</v>
      </c>
      <c r="E118" s="28">
        <v>0</v>
      </c>
      <c r="F118" s="28">
        <v>0</v>
      </c>
      <c r="G118" s="28">
        <v>0</v>
      </c>
      <c r="H118" s="28">
        <v>4356.0641572486938</v>
      </c>
      <c r="I118" s="28">
        <f t="shared" si="1"/>
        <v>6222.9487960695624</v>
      </c>
      <c r="J118" s="2"/>
    </row>
    <row r="119" spans="1:10" x14ac:dyDescent="0.3">
      <c r="A119">
        <v>2199</v>
      </c>
      <c r="B119" t="s">
        <v>135</v>
      </c>
      <c r="C119" s="28">
        <v>0</v>
      </c>
      <c r="D119" s="28">
        <v>0</v>
      </c>
      <c r="E119" s="28">
        <v>0</v>
      </c>
      <c r="F119" s="28">
        <v>0</v>
      </c>
      <c r="G119" s="28">
        <v>0</v>
      </c>
      <c r="H119" s="28">
        <v>3916.2939270424063</v>
      </c>
      <c r="I119" s="28">
        <f t="shared" si="1"/>
        <v>3916.2939270424063</v>
      </c>
      <c r="J119" s="2"/>
    </row>
    <row r="120" spans="1:10" x14ac:dyDescent="0.3">
      <c r="A120">
        <v>2254</v>
      </c>
      <c r="B120" t="s">
        <v>163</v>
      </c>
      <c r="C120" s="28">
        <v>7370.791025787772</v>
      </c>
      <c r="D120" s="28">
        <v>5768.4451506165169</v>
      </c>
      <c r="E120" s="28">
        <v>0</v>
      </c>
      <c r="F120" s="28">
        <v>0</v>
      </c>
      <c r="G120" s="28">
        <v>0</v>
      </c>
      <c r="H120" s="28">
        <v>11857.359476267286</v>
      </c>
      <c r="I120" s="28">
        <f t="shared" si="1"/>
        <v>24996.595652671574</v>
      </c>
      <c r="J120" s="2"/>
    </row>
    <row r="121" spans="1:10" x14ac:dyDescent="0.3">
      <c r="A121">
        <v>1966</v>
      </c>
      <c r="B121" t="s">
        <v>26</v>
      </c>
      <c r="C121" s="28">
        <v>4285.3022975781205</v>
      </c>
      <c r="D121" s="28">
        <v>2999.711608304684</v>
      </c>
      <c r="E121" s="28">
        <v>0</v>
      </c>
      <c r="F121" s="28">
        <v>0</v>
      </c>
      <c r="G121" s="28">
        <v>0</v>
      </c>
      <c r="H121" s="28">
        <v>9856.1952844296757</v>
      </c>
      <c r="I121" s="28">
        <f t="shared" si="1"/>
        <v>17141.209190312482</v>
      </c>
      <c r="J121" s="2"/>
    </row>
    <row r="122" spans="1:10" x14ac:dyDescent="0.3">
      <c r="A122">
        <v>1924</v>
      </c>
      <c r="B122" t="s">
        <v>9</v>
      </c>
      <c r="C122" s="28">
        <v>16022.781062201551</v>
      </c>
      <c r="D122" s="28">
        <v>20126.176212277562</v>
      </c>
      <c r="E122" s="28">
        <v>0</v>
      </c>
      <c r="F122" s="28">
        <v>0</v>
      </c>
      <c r="G122" s="28">
        <v>0</v>
      </c>
      <c r="H122" s="28">
        <v>44160.347805579884</v>
      </c>
      <c r="I122" s="28">
        <f t="shared" si="1"/>
        <v>80309.305080058999</v>
      </c>
      <c r="J122" s="2"/>
    </row>
    <row r="123" spans="1:10" x14ac:dyDescent="0.3">
      <c r="A123">
        <v>1996</v>
      </c>
      <c r="B123" t="s">
        <v>36</v>
      </c>
      <c r="C123" s="28">
        <v>275.76650996819171</v>
      </c>
      <c r="D123" s="28">
        <v>0</v>
      </c>
      <c r="E123" s="28">
        <v>0</v>
      </c>
      <c r="F123" s="28">
        <v>0</v>
      </c>
      <c r="G123" s="28">
        <v>0</v>
      </c>
      <c r="H123" s="28">
        <v>1103.0660398727669</v>
      </c>
      <c r="I123" s="28">
        <f t="shared" si="1"/>
        <v>1378.8325498409586</v>
      </c>
      <c r="J123" s="2"/>
    </row>
    <row r="124" spans="1:10" x14ac:dyDescent="0.3">
      <c r="A124">
        <v>2061</v>
      </c>
      <c r="B124" t="s">
        <v>77</v>
      </c>
      <c r="C124" s="28">
        <v>0</v>
      </c>
      <c r="D124" s="28">
        <v>0</v>
      </c>
      <c r="E124" s="28">
        <v>0</v>
      </c>
      <c r="F124" s="28">
        <v>0</v>
      </c>
      <c r="G124" s="28">
        <v>0</v>
      </c>
      <c r="H124" s="28">
        <v>2627.0627734119207</v>
      </c>
      <c r="I124" s="28">
        <f t="shared" si="1"/>
        <v>2627.0627734119207</v>
      </c>
      <c r="J124" s="2"/>
    </row>
    <row r="125" spans="1:10" x14ac:dyDescent="0.3">
      <c r="A125">
        <v>2141</v>
      </c>
      <c r="B125" t="s">
        <v>114</v>
      </c>
      <c r="C125" s="28">
        <v>3567.6852920567558</v>
      </c>
      <c r="D125" s="28">
        <v>2378.4568613711708</v>
      </c>
      <c r="E125" s="28">
        <v>0</v>
      </c>
      <c r="F125" s="28">
        <v>0</v>
      </c>
      <c r="G125" s="28">
        <v>0</v>
      </c>
      <c r="H125" s="28">
        <v>2378.4568613711708</v>
      </c>
      <c r="I125" s="28">
        <f t="shared" si="1"/>
        <v>8324.5990147990979</v>
      </c>
      <c r="J125" s="2"/>
    </row>
    <row r="126" spans="1:10" x14ac:dyDescent="0.3">
      <c r="A126">
        <v>2214</v>
      </c>
      <c r="B126" t="s">
        <v>142</v>
      </c>
      <c r="C126" s="28">
        <v>0</v>
      </c>
      <c r="D126" s="28">
        <v>0</v>
      </c>
      <c r="E126" s="28">
        <v>0</v>
      </c>
      <c r="F126" s="28">
        <v>0</v>
      </c>
      <c r="G126" s="28">
        <v>0</v>
      </c>
      <c r="H126" s="28">
        <v>525.4125546823841</v>
      </c>
      <c r="I126" s="28">
        <f t="shared" si="1"/>
        <v>525.4125546823841</v>
      </c>
      <c r="J126" s="2"/>
    </row>
    <row r="127" spans="1:10" x14ac:dyDescent="0.3">
      <c r="A127">
        <v>2143</v>
      </c>
      <c r="B127" t="s">
        <v>116</v>
      </c>
      <c r="C127" s="28">
        <v>1778.7091356476296</v>
      </c>
      <c r="D127" s="28">
        <v>2223.3864195595374</v>
      </c>
      <c r="E127" s="28">
        <v>0</v>
      </c>
      <c r="F127" s="28">
        <v>0</v>
      </c>
      <c r="G127" s="28">
        <v>0</v>
      </c>
      <c r="H127" s="28">
        <v>4002.0955552071669</v>
      </c>
      <c r="I127" s="28">
        <f t="shared" si="1"/>
        <v>8004.1911104143346</v>
      </c>
      <c r="J127" s="2"/>
    </row>
    <row r="128" spans="1:10" x14ac:dyDescent="0.3">
      <c r="A128">
        <v>4131</v>
      </c>
      <c r="B128" t="s">
        <v>225</v>
      </c>
      <c r="C128" s="28">
        <v>8262.9968902301152</v>
      </c>
      <c r="D128" s="28">
        <v>1906.8454362069501</v>
      </c>
      <c r="E128" s="28">
        <v>0</v>
      </c>
      <c r="F128" s="28">
        <v>0</v>
      </c>
      <c r="G128" s="28">
        <v>0</v>
      </c>
      <c r="H128" s="28">
        <v>18750.646789368344</v>
      </c>
      <c r="I128" s="28">
        <f t="shared" si="1"/>
        <v>28920.489115805409</v>
      </c>
      <c r="J128" s="2"/>
    </row>
    <row r="129" spans="1:10" x14ac:dyDescent="0.3">
      <c r="A129">
        <v>2110</v>
      </c>
      <c r="B129" t="s">
        <v>103</v>
      </c>
      <c r="C129" s="28">
        <v>1967.0466654544318</v>
      </c>
      <c r="D129" s="28">
        <v>0</v>
      </c>
      <c r="E129" s="28">
        <v>0</v>
      </c>
      <c r="F129" s="28">
        <v>0</v>
      </c>
      <c r="G129" s="28">
        <v>0</v>
      </c>
      <c r="H129" s="28">
        <v>3540.6839978179773</v>
      </c>
      <c r="I129" s="28">
        <f t="shared" si="1"/>
        <v>5507.7306632724094</v>
      </c>
      <c r="J129" s="2"/>
    </row>
    <row r="130" spans="1:10" x14ac:dyDescent="0.3">
      <c r="A130">
        <v>1990</v>
      </c>
      <c r="B130" t="s">
        <v>33</v>
      </c>
      <c r="C130" s="28">
        <v>1505.4512961167852</v>
      </c>
      <c r="D130" s="28">
        <v>752.72564805839261</v>
      </c>
      <c r="E130" s="28">
        <v>0</v>
      </c>
      <c r="F130" s="28">
        <v>0</v>
      </c>
      <c r="G130" s="28">
        <v>0</v>
      </c>
      <c r="H130" s="28">
        <v>2634.539768204374</v>
      </c>
      <c r="I130" s="28">
        <f t="shared" ref="I130:I193" si="2">SUM(C130:H130)</f>
        <v>4892.7167123795516</v>
      </c>
      <c r="J130" s="2"/>
    </row>
    <row r="131" spans="1:10" x14ac:dyDescent="0.3">
      <c r="A131">
        <v>2093</v>
      </c>
      <c r="B131" t="s">
        <v>90</v>
      </c>
      <c r="C131" s="28">
        <v>2013.5753778890164</v>
      </c>
      <c r="D131" s="28">
        <v>0</v>
      </c>
      <c r="E131" s="28">
        <v>0</v>
      </c>
      <c r="F131" s="28">
        <v>0</v>
      </c>
      <c r="G131" s="28">
        <v>0</v>
      </c>
      <c r="H131" s="28">
        <v>9061.0892005005753</v>
      </c>
      <c r="I131" s="28">
        <f t="shared" si="2"/>
        <v>11074.664578389591</v>
      </c>
      <c r="J131" s="2"/>
    </row>
    <row r="132" spans="1:10" x14ac:dyDescent="0.3">
      <c r="A132">
        <v>2108</v>
      </c>
      <c r="B132" t="s">
        <v>226</v>
      </c>
      <c r="C132" s="28">
        <v>5285.9986062639518</v>
      </c>
      <c r="D132" s="28">
        <v>251.71421934590245</v>
      </c>
      <c r="E132" s="28">
        <v>0</v>
      </c>
      <c r="F132" s="28">
        <v>0</v>
      </c>
      <c r="G132" s="28">
        <v>0</v>
      </c>
      <c r="H132" s="28">
        <v>10320.282993182002</v>
      </c>
      <c r="I132" s="28">
        <f t="shared" si="2"/>
        <v>15857.995818791856</v>
      </c>
      <c r="J132" s="2"/>
    </row>
    <row r="133" spans="1:10" x14ac:dyDescent="0.3">
      <c r="A133">
        <v>1928</v>
      </c>
      <c r="B133" t="s">
        <v>13</v>
      </c>
      <c r="C133" s="28">
        <v>10783.98697054281</v>
      </c>
      <c r="D133" s="28">
        <v>8357.5899021706773</v>
      </c>
      <c r="E133" s="28">
        <v>0</v>
      </c>
      <c r="F133" s="28">
        <v>0</v>
      </c>
      <c r="G133" s="28">
        <v>0</v>
      </c>
      <c r="H133" s="28">
        <v>28847.165146202016</v>
      </c>
      <c r="I133" s="28">
        <f t="shared" si="2"/>
        <v>47988.742018915502</v>
      </c>
      <c r="J133" s="2"/>
    </row>
    <row r="134" spans="1:10" x14ac:dyDescent="0.3">
      <c r="A134">
        <v>1926</v>
      </c>
      <c r="B134" t="s">
        <v>11</v>
      </c>
      <c r="C134" s="28">
        <v>6082.7621773400697</v>
      </c>
      <c r="D134" s="28">
        <v>6995.1765039410802</v>
      </c>
      <c r="E134" s="28">
        <v>0</v>
      </c>
      <c r="F134" s="28">
        <v>0</v>
      </c>
      <c r="G134" s="28">
        <v>0</v>
      </c>
      <c r="H134" s="28">
        <v>11557.248136946131</v>
      </c>
      <c r="I134" s="28">
        <f t="shared" si="2"/>
        <v>24635.186818227281</v>
      </c>
      <c r="J134" s="2"/>
    </row>
    <row r="135" spans="1:10" x14ac:dyDescent="0.3">
      <c r="A135">
        <v>2060</v>
      </c>
      <c r="B135" t="s">
        <v>76</v>
      </c>
      <c r="C135" s="28">
        <v>484.4116246228603</v>
      </c>
      <c r="D135" s="28">
        <v>0</v>
      </c>
      <c r="E135" s="28">
        <v>0</v>
      </c>
      <c r="F135" s="28">
        <v>0</v>
      </c>
      <c r="G135" s="28">
        <v>0</v>
      </c>
      <c r="H135" s="28">
        <v>0</v>
      </c>
      <c r="I135" s="28">
        <f t="shared" si="2"/>
        <v>484.4116246228603</v>
      </c>
      <c r="J135" s="2"/>
    </row>
    <row r="136" spans="1:10" x14ac:dyDescent="0.3">
      <c r="A136">
        <v>2181</v>
      </c>
      <c r="B136" t="s">
        <v>122</v>
      </c>
      <c r="C136" s="28">
        <v>2064.4490567157254</v>
      </c>
      <c r="D136" s="28">
        <v>4128.8981134314508</v>
      </c>
      <c r="E136" s="28">
        <v>0</v>
      </c>
      <c r="F136" s="28">
        <v>0</v>
      </c>
      <c r="G136" s="28">
        <v>0</v>
      </c>
      <c r="H136" s="28">
        <v>10322.245283578626</v>
      </c>
      <c r="I136" s="28">
        <f t="shared" si="2"/>
        <v>16515.592453725803</v>
      </c>
      <c r="J136" s="2"/>
    </row>
    <row r="137" spans="1:10" x14ac:dyDescent="0.3">
      <c r="A137">
        <v>2207</v>
      </c>
      <c r="B137" t="s">
        <v>227</v>
      </c>
      <c r="C137" s="28">
        <v>3093.8237590393037</v>
      </c>
      <c r="D137" s="28">
        <v>2406.3073681416804</v>
      </c>
      <c r="E137" s="28">
        <v>0</v>
      </c>
      <c r="F137" s="28">
        <v>0</v>
      </c>
      <c r="G137" s="28">
        <v>0</v>
      </c>
      <c r="H137" s="28">
        <v>19250.458945133443</v>
      </c>
      <c r="I137" s="28">
        <f t="shared" si="2"/>
        <v>24750.59007231443</v>
      </c>
      <c r="J137" s="2"/>
    </row>
    <row r="138" spans="1:10" x14ac:dyDescent="0.3">
      <c r="A138">
        <v>2192</v>
      </c>
      <c r="B138" t="s">
        <v>131</v>
      </c>
      <c r="C138" s="28">
        <v>1009.8241793052445</v>
      </c>
      <c r="D138" s="28">
        <v>0</v>
      </c>
      <c r="E138" s="28">
        <v>0</v>
      </c>
      <c r="F138" s="28">
        <v>0</v>
      </c>
      <c r="G138" s="28">
        <v>0</v>
      </c>
      <c r="H138" s="28">
        <v>0</v>
      </c>
      <c r="I138" s="28">
        <f t="shared" si="2"/>
        <v>1009.8241793052445</v>
      </c>
      <c r="J138" s="2"/>
    </row>
    <row r="139" spans="1:10" x14ac:dyDescent="0.3">
      <c r="A139">
        <v>1900</v>
      </c>
      <c r="B139" t="s">
        <v>6</v>
      </c>
      <c r="C139" s="28">
        <v>5797.1887405017042</v>
      </c>
      <c r="D139" s="28">
        <v>0</v>
      </c>
      <c r="E139" s="28">
        <v>0</v>
      </c>
      <c r="F139" s="28">
        <v>0</v>
      </c>
      <c r="G139" s="28">
        <v>0</v>
      </c>
      <c r="H139" s="28">
        <v>7453.5283806450479</v>
      </c>
      <c r="I139" s="28">
        <f t="shared" si="2"/>
        <v>13250.717121146752</v>
      </c>
      <c r="J139" s="2"/>
    </row>
    <row r="140" spans="1:10" x14ac:dyDescent="0.3">
      <c r="A140">
        <v>2039</v>
      </c>
      <c r="B140" t="s">
        <v>60</v>
      </c>
      <c r="C140" s="28">
        <v>7321.5188357629395</v>
      </c>
      <c r="D140" s="28">
        <v>4118.3543451166533</v>
      </c>
      <c r="E140" s="28">
        <v>0</v>
      </c>
      <c r="F140" s="28">
        <v>0</v>
      </c>
      <c r="G140" s="28">
        <v>0</v>
      </c>
      <c r="H140" s="28">
        <v>11439.873180879593</v>
      </c>
      <c r="I140" s="28">
        <f t="shared" si="2"/>
        <v>22879.746361759186</v>
      </c>
      <c r="J140" s="2"/>
    </row>
    <row r="141" spans="1:10" x14ac:dyDescent="0.3">
      <c r="A141">
        <v>2202</v>
      </c>
      <c r="B141" t="s">
        <v>137</v>
      </c>
      <c r="C141" s="28">
        <v>525.41255468238421</v>
      </c>
      <c r="D141" s="28">
        <v>525.41255468238421</v>
      </c>
      <c r="E141" s="28">
        <v>0</v>
      </c>
      <c r="F141" s="28">
        <v>0</v>
      </c>
      <c r="G141" s="28">
        <v>0</v>
      </c>
      <c r="H141" s="28">
        <v>525.41255468238421</v>
      </c>
      <c r="I141" s="28">
        <f t="shared" si="2"/>
        <v>1576.2376640471525</v>
      </c>
      <c r="J141" s="2"/>
    </row>
    <row r="142" spans="1:10" x14ac:dyDescent="0.3">
      <c r="A142">
        <v>2016</v>
      </c>
      <c r="B142" t="s">
        <v>53</v>
      </c>
      <c r="C142" s="28">
        <v>271.91143699563565</v>
      </c>
      <c r="D142" s="28">
        <v>0</v>
      </c>
      <c r="E142" s="28">
        <v>0</v>
      </c>
      <c r="F142" s="28">
        <v>0</v>
      </c>
      <c r="G142" s="28">
        <v>0</v>
      </c>
      <c r="H142" s="28">
        <v>0</v>
      </c>
      <c r="I142" s="28">
        <f t="shared" si="2"/>
        <v>271.91143699563565</v>
      </c>
      <c r="J142" s="2"/>
    </row>
    <row r="143" spans="1:10" x14ac:dyDescent="0.3">
      <c r="A143">
        <v>1897</v>
      </c>
      <c r="B143" t="s">
        <v>228</v>
      </c>
      <c r="C143" s="28">
        <v>444.55044277989509</v>
      </c>
      <c r="D143" s="28">
        <v>0</v>
      </c>
      <c r="E143" s="28">
        <v>0</v>
      </c>
      <c r="F143" s="28">
        <v>0</v>
      </c>
      <c r="G143" s="28">
        <v>0</v>
      </c>
      <c r="H143" s="28">
        <v>222.27522138994755</v>
      </c>
      <c r="I143" s="28">
        <f t="shared" si="2"/>
        <v>666.82566416984264</v>
      </c>
      <c r="J143" s="2"/>
    </row>
    <row r="144" spans="1:10" x14ac:dyDescent="0.3">
      <c r="A144">
        <v>2047</v>
      </c>
      <c r="B144" t="s">
        <v>67</v>
      </c>
      <c r="C144" s="28">
        <v>968.8232492457206</v>
      </c>
      <c r="D144" s="28">
        <v>0</v>
      </c>
      <c r="E144" s="28">
        <v>0</v>
      </c>
      <c r="F144" s="28">
        <v>0</v>
      </c>
      <c r="G144" s="28">
        <v>0</v>
      </c>
      <c r="H144" s="28">
        <v>0</v>
      </c>
      <c r="I144" s="28">
        <f t="shared" si="2"/>
        <v>968.8232492457206</v>
      </c>
      <c r="J144" s="2"/>
    </row>
    <row r="145" spans="1:10" x14ac:dyDescent="0.3">
      <c r="A145">
        <v>2081</v>
      </c>
      <c r="B145" t="s">
        <v>80</v>
      </c>
      <c r="C145" s="28">
        <v>497.21182408149934</v>
      </c>
      <c r="D145" s="28">
        <v>497.21182408149934</v>
      </c>
      <c r="E145" s="28">
        <v>0</v>
      </c>
      <c r="F145" s="28">
        <v>0</v>
      </c>
      <c r="G145" s="28">
        <v>0</v>
      </c>
      <c r="H145" s="28">
        <v>2486.0591204074972</v>
      </c>
      <c r="I145" s="28">
        <f t="shared" si="2"/>
        <v>3480.4827685704959</v>
      </c>
      <c r="J145" s="2"/>
    </row>
    <row r="146" spans="1:10" x14ac:dyDescent="0.3">
      <c r="A146">
        <v>2062</v>
      </c>
      <c r="B146" t="s">
        <v>78</v>
      </c>
      <c r="C146" s="28">
        <v>0</v>
      </c>
      <c r="D146" s="28">
        <v>0</v>
      </c>
      <c r="E146" s="28">
        <v>0</v>
      </c>
      <c r="F146" s="28">
        <v>0</v>
      </c>
      <c r="G146" s="28">
        <v>0</v>
      </c>
      <c r="H146" s="28">
        <v>0</v>
      </c>
      <c r="I146" s="28">
        <f t="shared" si="2"/>
        <v>0</v>
      </c>
      <c r="J146" s="2"/>
    </row>
    <row r="147" spans="1:10" x14ac:dyDescent="0.3">
      <c r="A147">
        <v>1973</v>
      </c>
      <c r="B147" t="s">
        <v>229</v>
      </c>
      <c r="C147" s="28">
        <v>0</v>
      </c>
      <c r="D147" s="28">
        <v>2463.0590531738258</v>
      </c>
      <c r="E147" s="28">
        <v>0</v>
      </c>
      <c r="F147" s="28">
        <v>0</v>
      </c>
      <c r="G147" s="28">
        <v>0</v>
      </c>
      <c r="H147" s="28">
        <v>0</v>
      </c>
      <c r="I147" s="28">
        <f t="shared" si="2"/>
        <v>2463.0590531738258</v>
      </c>
      <c r="J147" s="2"/>
    </row>
    <row r="148" spans="1:10" x14ac:dyDescent="0.3">
      <c r="A148">
        <v>2180</v>
      </c>
      <c r="B148" t="s">
        <v>121</v>
      </c>
      <c r="C148" s="28">
        <v>83483.686867470562</v>
      </c>
      <c r="D148" s="28">
        <v>73434.72455934911</v>
      </c>
      <c r="E148" s="28">
        <v>0</v>
      </c>
      <c r="F148" s="28">
        <v>0</v>
      </c>
      <c r="G148" s="28">
        <v>0</v>
      </c>
      <c r="H148" s="28">
        <v>207936.22006805168</v>
      </c>
      <c r="I148" s="28">
        <f t="shared" si="2"/>
        <v>364854.63149487134</v>
      </c>
      <c r="J148" s="2"/>
    </row>
    <row r="149" spans="1:10" x14ac:dyDescent="0.3">
      <c r="A149">
        <v>1967</v>
      </c>
      <c r="B149" t="s">
        <v>27</v>
      </c>
      <c r="C149" s="28">
        <v>0</v>
      </c>
      <c r="D149" s="28">
        <v>206.41078948201908</v>
      </c>
      <c r="E149" s="28">
        <v>0</v>
      </c>
      <c r="F149" s="28">
        <v>0</v>
      </c>
      <c r="G149" s="28">
        <v>0</v>
      </c>
      <c r="H149" s="28">
        <v>206.41078948201908</v>
      </c>
      <c r="I149" s="28">
        <f t="shared" si="2"/>
        <v>412.82157896403817</v>
      </c>
      <c r="J149" s="2"/>
    </row>
    <row r="150" spans="1:10" x14ac:dyDescent="0.3">
      <c r="A150">
        <v>2009</v>
      </c>
      <c r="B150" t="s">
        <v>47</v>
      </c>
      <c r="C150" s="28">
        <v>1009.8241793052445</v>
      </c>
      <c r="D150" s="28">
        <v>0</v>
      </c>
      <c r="E150" s="28">
        <v>0</v>
      </c>
      <c r="F150" s="28">
        <v>0</v>
      </c>
      <c r="G150" s="28">
        <v>0</v>
      </c>
      <c r="H150" s="28">
        <v>1009.8241793052445</v>
      </c>
      <c r="I150" s="28">
        <f t="shared" si="2"/>
        <v>2019.6483586104889</v>
      </c>
      <c r="J150" s="2"/>
    </row>
    <row r="151" spans="1:10" x14ac:dyDescent="0.3">
      <c r="A151">
        <v>2045</v>
      </c>
      <c r="B151" t="s">
        <v>65</v>
      </c>
      <c r="C151" s="28">
        <v>0</v>
      </c>
      <c r="D151" s="28">
        <v>1009.8241793052445</v>
      </c>
      <c r="E151" s="28">
        <v>0</v>
      </c>
      <c r="F151" s="28">
        <v>0</v>
      </c>
      <c r="G151" s="28">
        <v>0</v>
      </c>
      <c r="H151" s="28">
        <v>0</v>
      </c>
      <c r="I151" s="28">
        <f t="shared" si="2"/>
        <v>1009.8241793052445</v>
      </c>
      <c r="J151" s="2"/>
    </row>
    <row r="152" spans="1:10" x14ac:dyDescent="0.3">
      <c r="A152">
        <v>1946</v>
      </c>
      <c r="B152" t="s">
        <v>21</v>
      </c>
      <c r="C152" s="28">
        <v>977.84683363067802</v>
      </c>
      <c r="D152" s="28">
        <v>325.94894454355932</v>
      </c>
      <c r="E152" s="28">
        <v>0</v>
      </c>
      <c r="F152" s="28">
        <v>0</v>
      </c>
      <c r="G152" s="28">
        <v>0</v>
      </c>
      <c r="H152" s="28">
        <v>4237.3362790662713</v>
      </c>
      <c r="I152" s="28">
        <f t="shared" si="2"/>
        <v>5541.1320572405084</v>
      </c>
      <c r="J152" s="2"/>
    </row>
    <row r="153" spans="1:10" x14ac:dyDescent="0.3">
      <c r="A153">
        <v>1977</v>
      </c>
      <c r="B153" t="s">
        <v>31</v>
      </c>
      <c r="C153" s="28">
        <v>4905.489184011557</v>
      </c>
      <c r="D153" s="28">
        <v>5431.0773108699377</v>
      </c>
      <c r="E153" s="28">
        <v>0</v>
      </c>
      <c r="F153" s="28">
        <v>0</v>
      </c>
      <c r="G153" s="28">
        <v>0</v>
      </c>
      <c r="H153" s="28">
        <v>15592.447763465303</v>
      </c>
      <c r="I153" s="28">
        <f t="shared" si="2"/>
        <v>25929.014258346797</v>
      </c>
      <c r="J153" s="2"/>
    </row>
    <row r="154" spans="1:10" x14ac:dyDescent="0.3">
      <c r="A154">
        <v>2001</v>
      </c>
      <c r="B154" t="s">
        <v>41</v>
      </c>
      <c r="C154" s="28">
        <v>3866.2701812411342</v>
      </c>
      <c r="D154" s="28">
        <v>552.32431160587635</v>
      </c>
      <c r="E154" s="28">
        <v>0</v>
      </c>
      <c r="F154" s="28">
        <v>0</v>
      </c>
      <c r="G154" s="28">
        <v>0</v>
      </c>
      <c r="H154" s="28">
        <v>5523.2431160587639</v>
      </c>
      <c r="I154" s="28">
        <f t="shared" si="2"/>
        <v>9941.8376089057747</v>
      </c>
      <c r="J154" s="2"/>
    </row>
    <row r="155" spans="1:10" x14ac:dyDescent="0.3">
      <c r="A155">
        <v>2182</v>
      </c>
      <c r="B155" t="s">
        <v>123</v>
      </c>
      <c r="C155" s="28">
        <v>9742.6935285161271</v>
      </c>
      <c r="D155" s="28">
        <v>12526.320250949306</v>
      </c>
      <c r="E155" s="28">
        <v>0</v>
      </c>
      <c r="F155" s="28">
        <v>0</v>
      </c>
      <c r="G155" s="28">
        <v>0</v>
      </c>
      <c r="H155" s="28">
        <v>30967.847287069118</v>
      </c>
      <c r="I155" s="28">
        <f t="shared" si="2"/>
        <v>53236.861066534548</v>
      </c>
      <c r="J155" s="2"/>
    </row>
    <row r="156" spans="1:10" x14ac:dyDescent="0.3">
      <c r="A156">
        <v>1999</v>
      </c>
      <c r="B156" t="s">
        <v>39</v>
      </c>
      <c r="C156" s="28">
        <v>189.64888781301656</v>
      </c>
      <c r="D156" s="28">
        <v>94.824443906508279</v>
      </c>
      <c r="E156" s="28">
        <v>0</v>
      </c>
      <c r="F156" s="28">
        <v>0</v>
      </c>
      <c r="G156" s="28">
        <v>0</v>
      </c>
      <c r="H156" s="28">
        <v>568.94666343904964</v>
      </c>
      <c r="I156" s="28">
        <f t="shared" si="2"/>
        <v>853.41999515857447</v>
      </c>
      <c r="J156" s="2"/>
    </row>
    <row r="157" spans="1:10" x14ac:dyDescent="0.3">
      <c r="A157">
        <v>2188</v>
      </c>
      <c r="B157" t="s">
        <v>128</v>
      </c>
      <c r="C157" s="28">
        <v>566.41348474190795</v>
      </c>
      <c r="D157" s="28">
        <v>0</v>
      </c>
      <c r="E157" s="28">
        <v>0</v>
      </c>
      <c r="F157" s="28">
        <v>0</v>
      </c>
      <c r="G157" s="28">
        <v>0</v>
      </c>
      <c r="H157" s="28">
        <v>0</v>
      </c>
      <c r="I157" s="28">
        <f t="shared" si="2"/>
        <v>566.41348474190795</v>
      </c>
      <c r="J157" s="2"/>
    </row>
    <row r="158" spans="1:10" x14ac:dyDescent="0.3">
      <c r="A158">
        <v>2044</v>
      </c>
      <c r="B158" t="s">
        <v>64</v>
      </c>
      <c r="C158" s="28">
        <v>2982.3986271347371</v>
      </c>
      <c r="D158" s="28">
        <v>1491.1993135673686</v>
      </c>
      <c r="E158" s="28">
        <v>0</v>
      </c>
      <c r="F158" s="28">
        <v>0</v>
      </c>
      <c r="G158" s="28">
        <v>0</v>
      </c>
      <c r="H158" s="28">
        <v>3727.9982839184213</v>
      </c>
      <c r="I158" s="28">
        <f t="shared" si="2"/>
        <v>8201.5962246205272</v>
      </c>
      <c r="J158" s="2"/>
    </row>
    <row r="159" spans="1:10" x14ac:dyDescent="0.3">
      <c r="A159">
        <v>2142</v>
      </c>
      <c r="B159" t="s">
        <v>115</v>
      </c>
      <c r="C159" s="28">
        <v>47889.290978760386</v>
      </c>
      <c r="D159" s="28">
        <v>30361.184476730439</v>
      </c>
      <c r="E159" s="28">
        <v>626.00380364392652</v>
      </c>
      <c r="F159" s="28">
        <v>0</v>
      </c>
      <c r="G159" s="28">
        <v>0</v>
      </c>
      <c r="H159" s="28">
        <v>78876.47925913475</v>
      </c>
      <c r="I159" s="28">
        <f t="shared" si="2"/>
        <v>157752.9585182695</v>
      </c>
      <c r="J159" s="2"/>
    </row>
    <row r="160" spans="1:10" x14ac:dyDescent="0.3">
      <c r="A160">
        <v>2104</v>
      </c>
      <c r="B160" t="s">
        <v>99</v>
      </c>
      <c r="C160" s="28">
        <v>646.51546083809933</v>
      </c>
      <c r="D160" s="28">
        <v>1293.0309216761987</v>
      </c>
      <c r="E160" s="28">
        <v>0</v>
      </c>
      <c r="F160" s="28">
        <v>0</v>
      </c>
      <c r="G160" s="28">
        <v>0</v>
      </c>
      <c r="H160" s="28">
        <v>646.51546083809933</v>
      </c>
      <c r="I160" s="28">
        <f t="shared" si="2"/>
        <v>2586.0618433523973</v>
      </c>
      <c r="J160" s="2"/>
    </row>
    <row r="161" spans="1:10" x14ac:dyDescent="0.3">
      <c r="A161">
        <v>1944</v>
      </c>
      <c r="B161" t="s">
        <v>19</v>
      </c>
      <c r="C161" s="28">
        <v>2269.4537070133447</v>
      </c>
      <c r="D161" s="28">
        <v>648.41534486095566</v>
      </c>
      <c r="E161" s="28">
        <v>0</v>
      </c>
      <c r="F161" s="28">
        <v>0</v>
      </c>
      <c r="G161" s="28">
        <v>0</v>
      </c>
      <c r="H161" s="28">
        <v>5511.5304313181223</v>
      </c>
      <c r="I161" s="28">
        <f t="shared" si="2"/>
        <v>8429.3994831924228</v>
      </c>
      <c r="J161" s="2"/>
    </row>
    <row r="162" spans="1:10" x14ac:dyDescent="0.3">
      <c r="A162">
        <v>2103</v>
      </c>
      <c r="B162" t="s">
        <v>98</v>
      </c>
      <c r="C162" s="28">
        <v>1091.826039424292</v>
      </c>
      <c r="D162" s="28">
        <v>0</v>
      </c>
      <c r="E162" s="28">
        <v>0</v>
      </c>
      <c r="F162" s="28">
        <v>0</v>
      </c>
      <c r="G162" s="28">
        <v>0</v>
      </c>
      <c r="H162" s="28">
        <v>1091.826039424292</v>
      </c>
      <c r="I162" s="28">
        <f t="shared" si="2"/>
        <v>2183.6520788485841</v>
      </c>
      <c r="J162" s="2"/>
    </row>
    <row r="163" spans="1:10" x14ac:dyDescent="0.3">
      <c r="A163">
        <v>1935</v>
      </c>
      <c r="B163" t="s">
        <v>18</v>
      </c>
      <c r="C163" s="28">
        <v>3483.0831002541026</v>
      </c>
      <c r="D163" s="28">
        <v>1548.0369334462675</v>
      </c>
      <c r="E163" s="28">
        <v>0</v>
      </c>
      <c r="F163" s="28">
        <v>0</v>
      </c>
      <c r="G163" s="28">
        <v>0</v>
      </c>
      <c r="H163" s="28">
        <v>5805.1385004235035</v>
      </c>
      <c r="I163" s="28">
        <f t="shared" si="2"/>
        <v>10836.258534123874</v>
      </c>
      <c r="J163" s="2"/>
    </row>
    <row r="164" spans="1:10" x14ac:dyDescent="0.3">
      <c r="A164">
        <v>2257</v>
      </c>
      <c r="B164" t="s">
        <v>166</v>
      </c>
      <c r="C164" s="28">
        <v>1742.8417159688547</v>
      </c>
      <c r="D164" s="28">
        <v>871.42085798442736</v>
      </c>
      <c r="E164" s="28">
        <v>0</v>
      </c>
      <c r="F164" s="28">
        <v>0</v>
      </c>
      <c r="G164" s="28">
        <v>0</v>
      </c>
      <c r="H164" s="28">
        <v>3485.6834319377094</v>
      </c>
      <c r="I164" s="28">
        <f t="shared" si="2"/>
        <v>6099.9460058909917</v>
      </c>
      <c r="J164" s="2"/>
    </row>
    <row r="165" spans="1:10" x14ac:dyDescent="0.3">
      <c r="A165">
        <v>2195</v>
      </c>
      <c r="B165" t="s">
        <v>230</v>
      </c>
      <c r="C165" s="28">
        <v>162.73713088952434</v>
      </c>
      <c r="D165" s="28">
        <v>0</v>
      </c>
      <c r="E165" s="28">
        <v>0</v>
      </c>
      <c r="F165" s="28">
        <v>0</v>
      </c>
      <c r="G165" s="28">
        <v>0</v>
      </c>
      <c r="H165" s="28">
        <v>813.68565444762169</v>
      </c>
      <c r="I165" s="28">
        <f t="shared" si="2"/>
        <v>976.42278533714602</v>
      </c>
      <c r="J165" s="2"/>
    </row>
    <row r="166" spans="1:10" x14ac:dyDescent="0.3">
      <c r="A166">
        <v>2244</v>
      </c>
      <c r="B166" t="s">
        <v>156</v>
      </c>
      <c r="C166" s="28">
        <v>1685.1456147940517</v>
      </c>
      <c r="D166" s="28">
        <v>2059.6224180816189</v>
      </c>
      <c r="E166" s="28">
        <v>0</v>
      </c>
      <c r="F166" s="28">
        <v>0</v>
      </c>
      <c r="G166" s="28">
        <v>0</v>
      </c>
      <c r="H166" s="28">
        <v>6178.8672542448567</v>
      </c>
      <c r="I166" s="28">
        <f t="shared" si="2"/>
        <v>9923.6352871205272</v>
      </c>
      <c r="J166" s="2"/>
    </row>
    <row r="167" spans="1:10" x14ac:dyDescent="0.3">
      <c r="A167">
        <v>2138</v>
      </c>
      <c r="B167" t="s">
        <v>111</v>
      </c>
      <c r="C167" s="28">
        <v>5074.7138340005604</v>
      </c>
      <c r="D167" s="28">
        <v>4059.7710672004482</v>
      </c>
      <c r="E167" s="28">
        <v>0</v>
      </c>
      <c r="F167" s="28">
        <v>0</v>
      </c>
      <c r="G167" s="28">
        <v>0</v>
      </c>
      <c r="H167" s="28">
        <v>4567.2424506005045</v>
      </c>
      <c r="I167" s="28">
        <f t="shared" si="2"/>
        <v>13701.727351801514</v>
      </c>
      <c r="J167" s="2"/>
    </row>
    <row r="168" spans="1:10" x14ac:dyDescent="0.3">
      <c r="A168">
        <v>1978</v>
      </c>
      <c r="B168" t="s">
        <v>32</v>
      </c>
      <c r="C168" s="28">
        <v>227.31309337600857</v>
      </c>
      <c r="D168" s="28">
        <v>1136.565466880043</v>
      </c>
      <c r="E168" s="28">
        <v>0</v>
      </c>
      <c r="F168" s="28">
        <v>0</v>
      </c>
      <c r="G168" s="28">
        <v>0</v>
      </c>
      <c r="H168" s="28">
        <v>1591.19165363206</v>
      </c>
      <c r="I168" s="28">
        <f t="shared" si="2"/>
        <v>2955.0702138881115</v>
      </c>
      <c r="J168" s="2"/>
    </row>
    <row r="169" spans="1:10" x14ac:dyDescent="0.3">
      <c r="A169">
        <v>2096</v>
      </c>
      <c r="B169" t="s">
        <v>93</v>
      </c>
      <c r="C169" s="28">
        <v>2944.870346113079</v>
      </c>
      <c r="D169" s="28">
        <v>0</v>
      </c>
      <c r="E169" s="28">
        <v>0</v>
      </c>
      <c r="F169" s="28">
        <v>0</v>
      </c>
      <c r="G169" s="28">
        <v>0</v>
      </c>
      <c r="H169" s="28">
        <v>10797.857935747958</v>
      </c>
      <c r="I169" s="28">
        <f t="shared" si="2"/>
        <v>13742.728281861037</v>
      </c>
      <c r="J169" s="2"/>
    </row>
    <row r="170" spans="1:10" x14ac:dyDescent="0.3">
      <c r="A170">
        <v>2022</v>
      </c>
      <c r="B170" t="s">
        <v>59</v>
      </c>
      <c r="C170" s="28">
        <v>271.91201204503614</v>
      </c>
      <c r="D170" s="28">
        <v>0</v>
      </c>
      <c r="E170" s="28">
        <v>0</v>
      </c>
      <c r="F170" s="28">
        <v>0</v>
      </c>
      <c r="G170" s="28">
        <v>0</v>
      </c>
      <c r="H170" s="28">
        <v>0</v>
      </c>
      <c r="I170" s="28">
        <f t="shared" si="2"/>
        <v>271.91201204503614</v>
      </c>
      <c r="J170" s="2"/>
    </row>
    <row r="171" spans="1:10" x14ac:dyDescent="0.3">
      <c r="A171">
        <v>2087</v>
      </c>
      <c r="B171" t="s">
        <v>231</v>
      </c>
      <c r="C171" s="28">
        <v>6041.7090171799618</v>
      </c>
      <c r="D171" s="28">
        <v>0</v>
      </c>
      <c r="E171" s="28">
        <v>0</v>
      </c>
      <c r="F171" s="28">
        <v>0</v>
      </c>
      <c r="G171" s="28">
        <v>0</v>
      </c>
      <c r="H171" s="28">
        <v>12780.538305572996</v>
      </c>
      <c r="I171" s="28">
        <f t="shared" si="2"/>
        <v>18822.247322752959</v>
      </c>
      <c r="J171" s="2"/>
    </row>
    <row r="172" spans="1:10" x14ac:dyDescent="0.3">
      <c r="A172">
        <v>1994</v>
      </c>
      <c r="B172" t="s">
        <v>35</v>
      </c>
      <c r="C172" s="28">
        <v>3758.4846157016354</v>
      </c>
      <c r="D172" s="28">
        <v>1445.5710060390904</v>
      </c>
      <c r="E172" s="28">
        <v>0</v>
      </c>
      <c r="F172" s="28">
        <v>0</v>
      </c>
      <c r="G172" s="28">
        <v>0</v>
      </c>
      <c r="H172" s="28">
        <v>6649.6266277798168</v>
      </c>
      <c r="I172" s="28">
        <f t="shared" si="2"/>
        <v>11853.682249520542</v>
      </c>
      <c r="J172" s="2"/>
    </row>
    <row r="173" spans="1:10" x14ac:dyDescent="0.3">
      <c r="A173">
        <v>2225</v>
      </c>
      <c r="B173" t="s">
        <v>232</v>
      </c>
      <c r="C173" s="28">
        <v>1494.2358039281046</v>
      </c>
      <c r="D173" s="28">
        <v>0</v>
      </c>
      <c r="E173" s="28">
        <v>0</v>
      </c>
      <c r="F173" s="28">
        <v>0</v>
      </c>
      <c r="G173" s="28">
        <v>0</v>
      </c>
      <c r="H173" s="28">
        <v>2988.4716078562092</v>
      </c>
      <c r="I173" s="28">
        <f t="shared" si="2"/>
        <v>4482.707411784314</v>
      </c>
      <c r="J173" s="2"/>
    </row>
    <row r="174" spans="1:10" x14ac:dyDescent="0.3">
      <c r="A174">
        <v>2247</v>
      </c>
      <c r="B174" t="s">
        <v>158</v>
      </c>
      <c r="C174" s="28">
        <v>584.82380405079516</v>
      </c>
      <c r="D174" s="28">
        <v>0</v>
      </c>
      <c r="E174" s="28">
        <v>0</v>
      </c>
      <c r="F174" s="28">
        <v>0</v>
      </c>
      <c r="G174" s="28">
        <v>0</v>
      </c>
      <c r="H174" s="28">
        <v>0</v>
      </c>
      <c r="I174" s="28">
        <f t="shared" si="2"/>
        <v>584.82380405079516</v>
      </c>
      <c r="J174" s="2"/>
    </row>
    <row r="175" spans="1:10" x14ac:dyDescent="0.3">
      <c r="A175">
        <v>2083</v>
      </c>
      <c r="B175" t="s">
        <v>82</v>
      </c>
      <c r="C175" s="28">
        <v>25888.816528534837</v>
      </c>
      <c r="D175" s="28">
        <v>1056.6863889197894</v>
      </c>
      <c r="E175" s="28">
        <v>0</v>
      </c>
      <c r="F175" s="28">
        <v>0</v>
      </c>
      <c r="G175" s="28">
        <v>0</v>
      </c>
      <c r="H175" s="28">
        <v>70533.816460395945</v>
      </c>
      <c r="I175" s="28">
        <f t="shared" si="2"/>
        <v>97479.319377850567</v>
      </c>
      <c r="J175" s="2"/>
    </row>
    <row r="176" spans="1:10" x14ac:dyDescent="0.3">
      <c r="A176">
        <v>1948</v>
      </c>
      <c r="B176" t="s">
        <v>23</v>
      </c>
      <c r="C176" s="28">
        <v>6068.4444959457487</v>
      </c>
      <c r="D176" s="28">
        <v>6646.3915907977253</v>
      </c>
      <c r="E176" s="28">
        <v>0</v>
      </c>
      <c r="F176" s="28">
        <v>0</v>
      </c>
      <c r="G176" s="28">
        <v>0</v>
      </c>
      <c r="H176" s="28">
        <v>11558.94189703952</v>
      </c>
      <c r="I176" s="28">
        <f t="shared" si="2"/>
        <v>24273.777983782995</v>
      </c>
      <c r="J176" s="2"/>
    </row>
    <row r="177" spans="1:10" x14ac:dyDescent="0.3">
      <c r="A177">
        <v>2144</v>
      </c>
      <c r="B177" t="s">
        <v>117</v>
      </c>
      <c r="C177" s="28">
        <v>0</v>
      </c>
      <c r="D177" s="28">
        <v>767.61836699381445</v>
      </c>
      <c r="E177" s="28">
        <v>0</v>
      </c>
      <c r="F177" s="28">
        <v>0</v>
      </c>
      <c r="G177" s="28">
        <v>0</v>
      </c>
      <c r="H177" s="28">
        <v>767.61836699381445</v>
      </c>
      <c r="I177" s="28">
        <f t="shared" si="2"/>
        <v>1535.2367339876289</v>
      </c>
      <c r="J177" s="2"/>
    </row>
    <row r="178" spans="1:10" x14ac:dyDescent="0.3">
      <c r="A178">
        <v>2209</v>
      </c>
      <c r="B178" t="s">
        <v>139</v>
      </c>
      <c r="C178" s="28">
        <v>622.29487960695633</v>
      </c>
      <c r="D178" s="28">
        <v>622.29487960695633</v>
      </c>
      <c r="E178" s="28">
        <v>0</v>
      </c>
      <c r="F178" s="28">
        <v>0</v>
      </c>
      <c r="G178" s="28">
        <v>0</v>
      </c>
      <c r="H178" s="28">
        <v>1866.8846388208688</v>
      </c>
      <c r="I178" s="28">
        <f t="shared" si="2"/>
        <v>3111.4743980347812</v>
      </c>
      <c r="J178" s="2"/>
    </row>
    <row r="179" spans="1:10" x14ac:dyDescent="0.3">
      <c r="A179">
        <v>2018</v>
      </c>
      <c r="B179" t="s">
        <v>55</v>
      </c>
      <c r="C179" s="28">
        <v>0</v>
      </c>
      <c r="D179" s="28">
        <v>0</v>
      </c>
      <c r="E179" s="28">
        <v>0</v>
      </c>
      <c r="F179" s="28">
        <v>0</v>
      </c>
      <c r="G179" s="28">
        <v>0</v>
      </c>
      <c r="H179" s="28">
        <v>0</v>
      </c>
      <c r="I179" s="28">
        <f t="shared" si="2"/>
        <v>0</v>
      </c>
      <c r="J179" s="2"/>
    </row>
    <row r="180" spans="1:10" x14ac:dyDescent="0.3">
      <c r="A180">
        <v>2003</v>
      </c>
      <c r="B180" t="s">
        <v>43</v>
      </c>
      <c r="C180" s="28">
        <v>2624.4624417283135</v>
      </c>
      <c r="D180" s="28">
        <v>1312.2312208641567</v>
      </c>
      <c r="E180" s="28">
        <v>0</v>
      </c>
      <c r="F180" s="28">
        <v>0</v>
      </c>
      <c r="G180" s="28">
        <v>0</v>
      </c>
      <c r="H180" s="28">
        <v>5248.924883456627</v>
      </c>
      <c r="I180" s="28">
        <f t="shared" si="2"/>
        <v>9185.618546049096</v>
      </c>
      <c r="J180" s="2"/>
    </row>
    <row r="181" spans="1:10" x14ac:dyDescent="0.3">
      <c r="A181">
        <v>2102</v>
      </c>
      <c r="B181" t="s">
        <v>97</v>
      </c>
      <c r="C181" s="28">
        <v>4916.0670034435998</v>
      </c>
      <c r="D181" s="28">
        <v>1638.6890011478665</v>
      </c>
      <c r="E181" s="28">
        <v>0</v>
      </c>
      <c r="F181" s="28">
        <v>0</v>
      </c>
      <c r="G181" s="28">
        <v>0</v>
      </c>
      <c r="H181" s="28">
        <v>6554.7560045914661</v>
      </c>
      <c r="I181" s="28">
        <f t="shared" si="2"/>
        <v>13109.512009182932</v>
      </c>
      <c r="J181" s="2"/>
    </row>
    <row r="182" spans="1:10" x14ac:dyDescent="0.3">
      <c r="A182">
        <v>2055</v>
      </c>
      <c r="B182" t="s">
        <v>233</v>
      </c>
      <c r="C182" s="28">
        <v>7340.895300747854</v>
      </c>
      <c r="D182" s="28">
        <v>8717.3131696380769</v>
      </c>
      <c r="E182" s="28">
        <v>0</v>
      </c>
      <c r="F182" s="28">
        <v>0</v>
      </c>
      <c r="G182" s="28">
        <v>0</v>
      </c>
      <c r="H182" s="28">
        <v>20646.268033353339</v>
      </c>
      <c r="I182" s="28">
        <f t="shared" si="2"/>
        <v>36704.476503739272</v>
      </c>
      <c r="J182" s="2"/>
    </row>
    <row r="183" spans="1:10" x14ac:dyDescent="0.3">
      <c r="A183">
        <v>2242</v>
      </c>
      <c r="B183" t="s">
        <v>154</v>
      </c>
      <c r="C183" s="28">
        <v>11795.030680465543</v>
      </c>
      <c r="D183" s="28">
        <v>9650.4796476536249</v>
      </c>
      <c r="E183" s="28">
        <v>0</v>
      </c>
      <c r="F183" s="28">
        <v>0</v>
      </c>
      <c r="G183" s="28">
        <v>0</v>
      </c>
      <c r="H183" s="28">
        <v>30023.714459366834</v>
      </c>
      <c r="I183" s="28">
        <f t="shared" si="2"/>
        <v>51469.224787486004</v>
      </c>
      <c r="J183" s="2"/>
    </row>
    <row r="184" spans="1:10" x14ac:dyDescent="0.3">
      <c r="A184">
        <v>2197</v>
      </c>
      <c r="B184" t="s">
        <v>133</v>
      </c>
      <c r="C184" s="28">
        <v>2773.6528501473495</v>
      </c>
      <c r="D184" s="28">
        <v>1981.1806072481068</v>
      </c>
      <c r="E184" s="28">
        <v>0</v>
      </c>
      <c r="F184" s="28">
        <v>0</v>
      </c>
      <c r="G184" s="28">
        <v>0</v>
      </c>
      <c r="H184" s="28">
        <v>7132.2501860931843</v>
      </c>
      <c r="I184" s="28">
        <f t="shared" si="2"/>
        <v>11887.083643488641</v>
      </c>
      <c r="J184" s="2"/>
    </row>
    <row r="185" spans="1:10" x14ac:dyDescent="0.3">
      <c r="A185">
        <v>2222</v>
      </c>
      <c r="B185" t="s">
        <v>149</v>
      </c>
      <c r="C185" s="28">
        <v>0</v>
      </c>
      <c r="D185" s="28">
        <v>0</v>
      </c>
      <c r="E185" s="28">
        <v>0</v>
      </c>
      <c r="F185" s="28">
        <v>0</v>
      </c>
      <c r="G185" s="28">
        <v>0</v>
      </c>
      <c r="H185" s="28">
        <v>0</v>
      </c>
      <c r="I185" s="28">
        <f t="shared" si="2"/>
        <v>0</v>
      </c>
      <c r="J185" s="2"/>
    </row>
    <row r="186" spans="1:10" x14ac:dyDescent="0.3">
      <c r="A186">
        <v>2210</v>
      </c>
      <c r="B186" t="s">
        <v>234</v>
      </c>
      <c r="C186" s="28">
        <v>0</v>
      </c>
      <c r="D186" s="28">
        <v>0</v>
      </c>
      <c r="E186" s="28">
        <v>0</v>
      </c>
      <c r="F186" s="28">
        <v>0</v>
      </c>
      <c r="G186" s="28">
        <v>0</v>
      </c>
      <c r="H186" s="28">
        <v>0</v>
      </c>
      <c r="I186" s="28">
        <f t="shared" si="2"/>
        <v>0</v>
      </c>
      <c r="J186" s="2"/>
    </row>
    <row r="187" spans="1:10" x14ac:dyDescent="0.3">
      <c r="A187">
        <v>2204</v>
      </c>
      <c r="B187" t="s">
        <v>235</v>
      </c>
      <c r="C187" s="28">
        <v>3199.2115026604479</v>
      </c>
      <c r="D187" s="28">
        <v>228.5151073328891</v>
      </c>
      <c r="E187" s="28">
        <v>0</v>
      </c>
      <c r="F187" s="28">
        <v>0</v>
      </c>
      <c r="G187" s="28">
        <v>0</v>
      </c>
      <c r="H187" s="28">
        <v>3656.2417173262256</v>
      </c>
      <c r="I187" s="28">
        <f t="shared" si="2"/>
        <v>7083.9683273195624</v>
      </c>
      <c r="J187" s="2"/>
    </row>
    <row r="188" spans="1:10" x14ac:dyDescent="0.3">
      <c r="A188">
        <v>2213</v>
      </c>
      <c r="B188" t="s">
        <v>141</v>
      </c>
      <c r="C188" s="28">
        <v>121.73620083000051</v>
      </c>
      <c r="D188" s="28">
        <v>0</v>
      </c>
      <c r="E188" s="28">
        <v>0</v>
      </c>
      <c r="F188" s="28">
        <v>0</v>
      </c>
      <c r="G188" s="28">
        <v>0</v>
      </c>
      <c r="H188" s="28">
        <v>608.68100415000265</v>
      </c>
      <c r="I188" s="28">
        <f t="shared" si="2"/>
        <v>730.41720498000313</v>
      </c>
      <c r="J188" s="2"/>
    </row>
    <row r="189" spans="1:10" x14ac:dyDescent="0.3">
      <c r="A189">
        <v>2116</v>
      </c>
      <c r="B189" t="s">
        <v>109</v>
      </c>
      <c r="C189" s="28">
        <v>1161.6819381003947</v>
      </c>
      <c r="D189" s="28">
        <v>0</v>
      </c>
      <c r="E189" s="28">
        <v>0</v>
      </c>
      <c r="F189" s="28">
        <v>0</v>
      </c>
      <c r="G189" s="28">
        <v>0</v>
      </c>
      <c r="H189" s="28">
        <v>1677.9850217005703</v>
      </c>
      <c r="I189" s="28">
        <f t="shared" si="2"/>
        <v>2839.6669598009648</v>
      </c>
      <c r="J189" s="2"/>
    </row>
    <row r="190" spans="1:10" x14ac:dyDescent="0.3">
      <c r="A190">
        <v>1947</v>
      </c>
      <c r="B190" t="s">
        <v>22</v>
      </c>
      <c r="C190" s="28">
        <v>0</v>
      </c>
      <c r="D190" s="28">
        <v>0</v>
      </c>
      <c r="E190" s="28">
        <v>0</v>
      </c>
      <c r="F190" s="28">
        <v>0</v>
      </c>
      <c r="G190" s="28">
        <v>0</v>
      </c>
      <c r="H190" s="28">
        <v>5492.5315910895588</v>
      </c>
      <c r="I190" s="28">
        <f t="shared" si="2"/>
        <v>5492.5315910895588</v>
      </c>
      <c r="J190" s="2"/>
    </row>
    <row r="191" spans="1:10" x14ac:dyDescent="0.3">
      <c r="A191">
        <v>2220</v>
      </c>
      <c r="B191" t="s">
        <v>147</v>
      </c>
      <c r="C191" s="28">
        <v>857.06045951562407</v>
      </c>
      <c r="D191" s="28">
        <v>0</v>
      </c>
      <c r="E191" s="28">
        <v>0</v>
      </c>
      <c r="F191" s="28">
        <v>0</v>
      </c>
      <c r="G191" s="28">
        <v>0</v>
      </c>
      <c r="H191" s="28">
        <v>1285.5906892734361</v>
      </c>
      <c r="I191" s="28">
        <f t="shared" si="2"/>
        <v>2142.6511487890602</v>
      </c>
      <c r="J191" s="2"/>
    </row>
    <row r="192" spans="1:10" x14ac:dyDescent="0.3">
      <c r="A192">
        <v>1936</v>
      </c>
      <c r="B192" t="s">
        <v>236</v>
      </c>
      <c r="C192" s="28">
        <v>971.35642794286241</v>
      </c>
      <c r="D192" s="28">
        <v>728.51732095714692</v>
      </c>
      <c r="E192" s="28">
        <v>0</v>
      </c>
      <c r="F192" s="28">
        <v>0</v>
      </c>
      <c r="G192" s="28">
        <v>0</v>
      </c>
      <c r="H192" s="28">
        <v>4128.2648187571658</v>
      </c>
      <c r="I192" s="28">
        <f t="shared" si="2"/>
        <v>5828.1385676571754</v>
      </c>
      <c r="J192" s="2"/>
    </row>
    <row r="193" spans="1:10" x14ac:dyDescent="0.3">
      <c r="A193">
        <v>1922</v>
      </c>
      <c r="B193" t="s">
        <v>237</v>
      </c>
      <c r="C193" s="28">
        <v>5602.9718391072556</v>
      </c>
      <c r="D193" s="28">
        <v>8239.6644692753762</v>
      </c>
      <c r="E193" s="28">
        <v>0</v>
      </c>
      <c r="F193" s="28">
        <v>0</v>
      </c>
      <c r="G193" s="28">
        <v>0</v>
      </c>
      <c r="H193" s="28">
        <v>17138.502096092783</v>
      </c>
      <c r="I193" s="28">
        <f t="shared" si="2"/>
        <v>30981.138404475416</v>
      </c>
      <c r="J193" s="2"/>
    </row>
    <row r="194" spans="1:10" x14ac:dyDescent="0.3">
      <c r="A194">
        <v>2255</v>
      </c>
      <c r="B194" t="s">
        <v>164</v>
      </c>
      <c r="C194" s="28">
        <v>0</v>
      </c>
      <c r="D194" s="28">
        <v>2140.7512647662038</v>
      </c>
      <c r="E194" s="28">
        <v>0</v>
      </c>
      <c r="F194" s="28">
        <v>0</v>
      </c>
      <c r="G194" s="28">
        <v>0</v>
      </c>
      <c r="H194" s="28">
        <v>6422.253794298611</v>
      </c>
      <c r="I194" s="28">
        <f t="shared" ref="I194:I202" si="3">SUM(C194:H194)</f>
        <v>8563.0050590648152</v>
      </c>
      <c r="J194" s="2"/>
    </row>
    <row r="195" spans="1:10" x14ac:dyDescent="0.3">
      <c r="A195">
        <v>2002</v>
      </c>
      <c r="B195" t="s">
        <v>42</v>
      </c>
      <c r="C195" s="28">
        <v>2969.1650533197831</v>
      </c>
      <c r="D195" s="28">
        <v>593.83301066395654</v>
      </c>
      <c r="E195" s="28">
        <v>0</v>
      </c>
      <c r="F195" s="28">
        <v>0</v>
      </c>
      <c r="G195" s="28">
        <v>0</v>
      </c>
      <c r="H195" s="28">
        <v>12173.576718611112</v>
      </c>
      <c r="I195" s="28">
        <f t="shared" si="3"/>
        <v>15736.574782594851</v>
      </c>
      <c r="J195" s="2"/>
    </row>
    <row r="196" spans="1:10" x14ac:dyDescent="0.3">
      <c r="A196">
        <v>2146</v>
      </c>
      <c r="B196" t="s">
        <v>119</v>
      </c>
      <c r="C196" s="28">
        <v>3782.9492244538492</v>
      </c>
      <c r="D196" s="28">
        <v>5404.2131777912145</v>
      </c>
      <c r="E196" s="28">
        <v>0</v>
      </c>
      <c r="F196" s="28">
        <v>0</v>
      </c>
      <c r="G196" s="28">
        <v>0</v>
      </c>
      <c r="H196" s="28">
        <v>7746.0388881674062</v>
      </c>
      <c r="I196" s="28">
        <f t="shared" si="3"/>
        <v>16933.201290412471</v>
      </c>
      <c r="J196" s="2"/>
    </row>
    <row r="197" spans="1:10" x14ac:dyDescent="0.3">
      <c r="A197">
        <v>2251</v>
      </c>
      <c r="B197" t="s">
        <v>238</v>
      </c>
      <c r="C197" s="28">
        <v>0</v>
      </c>
      <c r="D197" s="28">
        <v>1494.235803928105</v>
      </c>
      <c r="E197" s="28">
        <v>0</v>
      </c>
      <c r="F197" s="28">
        <v>0</v>
      </c>
      <c r="G197" s="28">
        <v>0</v>
      </c>
      <c r="H197" s="28">
        <v>4482.7074117843149</v>
      </c>
      <c r="I197" s="28">
        <f t="shared" si="3"/>
        <v>5976.9432157124202</v>
      </c>
      <c r="J197" s="2"/>
    </row>
    <row r="198" spans="1:10" x14ac:dyDescent="0.3">
      <c r="A198">
        <v>1997</v>
      </c>
      <c r="B198" t="s">
        <v>37</v>
      </c>
      <c r="C198" s="28">
        <v>0</v>
      </c>
      <c r="D198" s="28">
        <v>0</v>
      </c>
      <c r="E198" s="28">
        <v>0</v>
      </c>
      <c r="F198" s="28">
        <v>0</v>
      </c>
      <c r="G198" s="28">
        <v>0</v>
      </c>
      <c r="H198" s="28">
        <v>2224.6530089081079</v>
      </c>
      <c r="I198" s="28">
        <f t="shared" si="3"/>
        <v>2224.6530089081079</v>
      </c>
      <c r="J198" s="2"/>
    </row>
    <row r="199" spans="1:10" x14ac:dyDescent="0.3">
      <c r="A199">
        <v>3476</v>
      </c>
      <c r="B199" t="s">
        <v>239</v>
      </c>
      <c r="C199" s="28">
        <v>0</v>
      </c>
      <c r="D199" s="28">
        <v>0</v>
      </c>
      <c r="E199" s="28">
        <v>0</v>
      </c>
      <c r="F199" s="28">
        <v>0</v>
      </c>
      <c r="G199" s="28">
        <v>0</v>
      </c>
      <c r="H199" s="28">
        <v>0</v>
      </c>
      <c r="I199" s="28">
        <f t="shared" si="3"/>
        <v>0</v>
      </c>
      <c r="J199" s="2"/>
    </row>
    <row r="200" spans="1:10" x14ac:dyDescent="0.3">
      <c r="A200">
        <v>3477</v>
      </c>
      <c r="B200" t="s">
        <v>240</v>
      </c>
      <c r="C200" s="28">
        <v>0</v>
      </c>
      <c r="D200" s="28">
        <v>0</v>
      </c>
      <c r="E200" s="28">
        <v>0</v>
      </c>
      <c r="F200" s="28">
        <v>0</v>
      </c>
      <c r="G200" s="28">
        <v>0</v>
      </c>
      <c r="H200" s="28">
        <v>0</v>
      </c>
      <c r="I200" s="28">
        <f t="shared" si="3"/>
        <v>0</v>
      </c>
      <c r="J200" s="2"/>
    </row>
    <row r="201" spans="1:10" x14ac:dyDescent="0.3">
      <c r="A201">
        <v>2332</v>
      </c>
      <c r="B201" t="s">
        <v>241</v>
      </c>
      <c r="C201" s="28">
        <v>0</v>
      </c>
      <c r="D201" s="28">
        <v>0</v>
      </c>
      <c r="E201" s="28">
        <v>0</v>
      </c>
      <c r="F201" s="28">
        <v>0</v>
      </c>
      <c r="G201" s="28">
        <v>0</v>
      </c>
      <c r="H201" s="28">
        <v>0</v>
      </c>
      <c r="I201" s="28">
        <f t="shared" si="3"/>
        <v>0</v>
      </c>
      <c r="J201" s="2"/>
    </row>
    <row r="202" spans="1:10" x14ac:dyDescent="0.3">
      <c r="B202" t="s">
        <v>182</v>
      </c>
      <c r="C202" s="28">
        <v>344</v>
      </c>
      <c r="D202" s="28">
        <v>0</v>
      </c>
      <c r="E202" s="28">
        <v>0</v>
      </c>
      <c r="F202" s="28">
        <v>0</v>
      </c>
      <c r="G202" s="28">
        <v>0</v>
      </c>
      <c r="H202" s="28">
        <v>0</v>
      </c>
      <c r="I202" s="28">
        <f t="shared" si="3"/>
        <v>344</v>
      </c>
      <c r="J202" s="2"/>
    </row>
    <row r="203" spans="1:10" s="2" customFormat="1" x14ac:dyDescent="0.3">
      <c r="B203" t="s">
        <v>184</v>
      </c>
      <c r="C203" s="4">
        <f>SUBTOTAL(109,Sect61979[District])</f>
        <v>768314.26129036699</v>
      </c>
      <c r="D203" s="4">
        <f>SUBTOTAL(109,Sect61979[Regional])</f>
        <v>535758.27818848868</v>
      </c>
      <c r="E203" s="4">
        <f>SUBTOTAL(109,Sect61979[OSD])</f>
        <v>626.00380364392652</v>
      </c>
      <c r="F203" s="4">
        <f>SUBTOTAL(109,Sect61979[LTCT])</f>
        <v>453.02920847437059</v>
      </c>
      <c r="G203" s="4">
        <f>SUBTOTAL(109,Sect61979[Hospital])</f>
        <v>0</v>
      </c>
      <c r="H203" s="4">
        <f>SUBTOTAL(109,Sect61979[ECSE])</f>
        <v>1871269.746031899</v>
      </c>
      <c r="I203" s="4">
        <f>SUBTOTAL(109,Sect61979[Gross Total])</f>
        <v>3176421.3185228715</v>
      </c>
      <c r="J203" s="5"/>
    </row>
    <row r="204" spans="1:10" hidden="1" x14ac:dyDescent="0.3">
      <c r="B204" s="2"/>
      <c r="C204" s="5"/>
      <c r="D204" s="5"/>
      <c r="E204" s="5"/>
      <c r="F204" s="5"/>
      <c r="G204" s="5"/>
      <c r="H204" s="5"/>
      <c r="I204" s="5"/>
      <c r="J204" s="5"/>
    </row>
  </sheetData>
  <sheetProtection algorithmName="SHA-512" hashValue="PcJQwC8B24Yn1SFrl5erY5ndNJinpvkvebsEm37ImnmTabEj042Ken1jFlPLyu7YI7iTl2nFzQCuQ0O//XIGJw==" saltValue="ZhIkeEjk/duupqBnCaclbQ==" spinCount="100000" sheet="1" sort="0" autoFilter="0"/>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
  <sheetViews>
    <sheetView workbookViewId="0"/>
  </sheetViews>
  <sheetFormatPr defaultColWidth="0" defaultRowHeight="13" zeroHeight="1" x14ac:dyDescent="0.3"/>
  <cols>
    <col min="1" max="1" width="30.296875" customWidth="1"/>
    <col min="2" max="3" width="21.09765625" bestFit="1" customWidth="1"/>
    <col min="4" max="4" width="16.09765625" customWidth="1"/>
    <col min="5" max="5" width="9.296875" customWidth="1"/>
    <col min="6" max="7" width="0" hidden="1" customWidth="1"/>
    <col min="8" max="16384" width="7.296875" hidden="1"/>
  </cols>
  <sheetData>
    <row r="1" spans="1:4" x14ac:dyDescent="0.3">
      <c r="A1" t="s">
        <v>180</v>
      </c>
      <c r="B1" s="6" t="s">
        <v>248</v>
      </c>
      <c r="C1" s="6" t="s">
        <v>249</v>
      </c>
      <c r="D1" s="6" t="s">
        <v>184</v>
      </c>
    </row>
    <row r="2" spans="1:4" x14ac:dyDescent="0.3">
      <c r="A2" t="s">
        <v>169</v>
      </c>
      <c r="B2" s="28">
        <f>Sect6116[[#Totals],[Regional]]</f>
        <v>20779417.35836149</v>
      </c>
      <c r="C2" s="28">
        <f>Sect6197[[#Totals],[Regional]]</f>
        <v>535758.27818848868</v>
      </c>
      <c r="D2" s="27">
        <f>Programs[[#This Row],[Section 611 Regular]]+Programs[[#This Row],[Section 619 Regular]]</f>
        <v>21315175.636549979</v>
      </c>
    </row>
    <row r="3" spans="1:4" x14ac:dyDescent="0.3">
      <c r="A3" t="s">
        <v>179</v>
      </c>
      <c r="B3" s="28">
        <f>Sect6116[[#Totals],[OSD]]</f>
        <v>147833.14730013642</v>
      </c>
      <c r="C3" s="28">
        <f>Sect6197[[#Totals],[OSD]]</f>
        <v>626.00380364392652</v>
      </c>
      <c r="D3" s="27">
        <f>Programs[[#This Row],[Section 611 Regular]]+Programs[[#This Row],[Section 619 Regular]]</f>
        <v>148459.15110378034</v>
      </c>
    </row>
    <row r="4" spans="1:4" x14ac:dyDescent="0.3">
      <c r="A4" t="s">
        <v>181</v>
      </c>
      <c r="B4" s="28">
        <f>Sect6116[[#Totals],[LTCT]]</f>
        <v>340713.59779570653</v>
      </c>
      <c r="C4" s="28">
        <f>Sect6197[[#Totals],[LTCT]]</f>
        <v>453.02920847437059</v>
      </c>
      <c r="D4" s="27">
        <f>Programs[[#This Row],[Section 611 Regular]]+Programs[[#This Row],[Section 619 Regular]]</f>
        <v>341166.62700418092</v>
      </c>
    </row>
    <row r="5" spans="1:4" x14ac:dyDescent="0.3">
      <c r="A5" t="s">
        <v>172</v>
      </c>
      <c r="B5" s="28">
        <f>Sect6116[[#Totals],[Hospital]]</f>
        <v>12687.433510635514</v>
      </c>
      <c r="C5" s="28">
        <f>Sect6197[[#Totals],[Hospital]]</f>
        <v>0</v>
      </c>
      <c r="D5" s="27">
        <f>Programs[[#This Row],[Section 611 Regular]]+Programs[[#This Row],[Section 619 Regular]]</f>
        <v>12687.433510635514</v>
      </c>
    </row>
    <row r="6" spans="1:4" x14ac:dyDescent="0.3">
      <c r="A6" t="s">
        <v>182</v>
      </c>
      <c r="B6" s="28">
        <f>Sect6116[[#Totals],[PNF]]</f>
        <v>32866.748476155335</v>
      </c>
      <c r="C6" s="28">
        <v>0</v>
      </c>
      <c r="D6" s="27">
        <f>Programs[[#This Row],[Section 611 Regular]]+Programs[[#This Row],[Section 619 Regular]]</f>
        <v>32866.748476155335</v>
      </c>
    </row>
    <row r="7" spans="1:4" x14ac:dyDescent="0.3">
      <c r="A7" t="s">
        <v>173</v>
      </c>
      <c r="B7" s="28">
        <f>Sect6116[[#Totals],[ECSE]]</f>
        <v>10307190.099295314</v>
      </c>
      <c r="C7" s="28">
        <f>Sect6197[[#Totals],[ECSE]]</f>
        <v>1871269.746031899</v>
      </c>
      <c r="D7" s="27">
        <f>Programs[[#This Row],[Section 611 Regular]]+Programs[[#This Row],[Section 619 Regular]]</f>
        <v>12178459.845327213</v>
      </c>
    </row>
    <row r="8" spans="1:4" x14ac:dyDescent="0.3">
      <c r="A8" t="s">
        <v>174</v>
      </c>
      <c r="B8" s="28">
        <f>Sect6116[[#Totals],[District]]</f>
        <v>109553557.61526054</v>
      </c>
      <c r="C8" s="28">
        <f>Sect6197[[#Totals],[District]]</f>
        <v>768314.26129036699</v>
      </c>
      <c r="D8" s="27">
        <f>Programs[[#This Row],[Section 611 Regular]]+Programs[[#This Row],[Section 619 Regular]]</f>
        <v>110321871.87655091</v>
      </c>
    </row>
    <row r="9" spans="1:4" x14ac:dyDescent="0.3">
      <c r="A9" t="s">
        <v>184</v>
      </c>
      <c r="B9" s="27">
        <f>SUBTOTAL(109,Programs[Section 611 Regular])</f>
        <v>141174265.99999997</v>
      </c>
      <c r="C9" s="27">
        <f>SUBTOTAL(109,Programs[Section 619 Regular])</f>
        <v>3176421.3185228733</v>
      </c>
      <c r="D9" s="27">
        <f>SUBTOTAL(109,Programs[Total])</f>
        <v>144350687.31852287</v>
      </c>
    </row>
    <row r="10" spans="1:4" x14ac:dyDescent="0.3">
      <c r="B10" s="3"/>
      <c r="C10" s="3"/>
      <c r="D10" s="4"/>
    </row>
  </sheetData>
  <sheetProtection algorithmName="SHA-512" hashValue="nwjad7KU6z1yH8JKKUP8WYzvsnxVHXwKcv4U96huU0vSu1iKMLygWiDne2GCPB6FUkF8qHsiV/YxXcIXr7AqpA==" saltValue="+amrJraK5Uea95hS4eZD4Q==" spinCount="100000" sheet="1" sort="0" autoFilter="0"/>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04"/>
  <sheetViews>
    <sheetView topLeftCell="B1" workbookViewId="0">
      <selection activeCell="C6" sqref="C6"/>
    </sheetView>
  </sheetViews>
  <sheetFormatPr defaultColWidth="0" defaultRowHeight="13" zeroHeight="1" x14ac:dyDescent="0.3"/>
  <cols>
    <col min="1" max="1" width="7.296875" hidden="1" customWidth="1"/>
    <col min="2" max="3" width="26.69921875" customWidth="1"/>
    <col min="4" max="4" width="9.296875" style="2" customWidth="1"/>
    <col min="5" max="7" width="0" hidden="1" customWidth="1"/>
    <col min="10" max="16384" width="7.296875" hidden="1"/>
  </cols>
  <sheetData>
    <row r="1" spans="1:3" x14ac:dyDescent="0.3">
      <c r="A1" t="s">
        <v>254</v>
      </c>
      <c r="B1" t="s">
        <v>0</v>
      </c>
      <c r="C1" s="6" t="s">
        <v>250</v>
      </c>
    </row>
    <row r="2" spans="1:3" x14ac:dyDescent="0.3">
      <c r="A2">
        <v>2063</v>
      </c>
      <c r="B2" t="s">
        <v>79</v>
      </c>
      <c r="C2" s="28">
        <v>604.55805101415297</v>
      </c>
    </row>
    <row r="3" spans="1:3" x14ac:dyDescent="0.3">
      <c r="A3">
        <v>2113</v>
      </c>
      <c r="B3" t="s">
        <v>106</v>
      </c>
      <c r="C3" s="28">
        <v>9172.3000810132035</v>
      </c>
    </row>
    <row r="4" spans="1:3" x14ac:dyDescent="0.3">
      <c r="A4">
        <v>1899</v>
      </c>
      <c r="B4" t="s">
        <v>5</v>
      </c>
      <c r="C4" s="28">
        <v>18220.354075379284</v>
      </c>
    </row>
    <row r="5" spans="1:3" x14ac:dyDescent="0.3">
      <c r="A5">
        <v>2252</v>
      </c>
      <c r="B5" t="s">
        <v>161</v>
      </c>
      <c r="C5" s="28">
        <v>35987.637654812257</v>
      </c>
    </row>
    <row r="6" spans="1:3" x14ac:dyDescent="0.3">
      <c r="A6">
        <v>2111</v>
      </c>
      <c r="B6" t="s">
        <v>104</v>
      </c>
      <c r="C6" s="28">
        <v>3738.2851172392211</v>
      </c>
    </row>
    <row r="7" spans="1:3" x14ac:dyDescent="0.3">
      <c r="A7">
        <v>2005</v>
      </c>
      <c r="B7" t="s">
        <v>44</v>
      </c>
      <c r="C7" s="28">
        <v>6467.8701477100967</v>
      </c>
    </row>
    <row r="8" spans="1:3" x14ac:dyDescent="0.3">
      <c r="A8">
        <v>2115</v>
      </c>
      <c r="B8" t="s">
        <v>108</v>
      </c>
      <c r="C8" s="28">
        <v>233.25</v>
      </c>
    </row>
    <row r="9" spans="1:3" x14ac:dyDescent="0.3">
      <c r="A9">
        <v>2041</v>
      </c>
      <c r="B9" t="s">
        <v>61</v>
      </c>
      <c r="C9" s="28">
        <v>96373.276003602019</v>
      </c>
    </row>
    <row r="10" spans="1:3" x14ac:dyDescent="0.3">
      <c r="A10">
        <v>2051</v>
      </c>
      <c r="B10" t="s">
        <v>70</v>
      </c>
      <c r="C10" s="28">
        <v>0</v>
      </c>
    </row>
    <row r="11" spans="1:3" x14ac:dyDescent="0.3">
      <c r="A11">
        <v>1933</v>
      </c>
      <c r="B11" t="s">
        <v>209</v>
      </c>
      <c r="C11" s="28">
        <v>71325.771805455923</v>
      </c>
    </row>
    <row r="12" spans="1:3" x14ac:dyDescent="0.3">
      <c r="A12">
        <v>2208</v>
      </c>
      <c r="B12" t="s">
        <v>210</v>
      </c>
      <c r="C12" s="28">
        <v>21072.946383215967</v>
      </c>
    </row>
    <row r="13" spans="1:3" x14ac:dyDescent="0.3">
      <c r="A13">
        <v>1894</v>
      </c>
      <c r="B13" t="s">
        <v>1</v>
      </c>
      <c r="C13" s="28">
        <v>128461.14207962017</v>
      </c>
    </row>
    <row r="14" spans="1:3" x14ac:dyDescent="0.3">
      <c r="A14">
        <v>1969</v>
      </c>
      <c r="B14" t="s">
        <v>29</v>
      </c>
      <c r="C14" s="28">
        <v>28732.331302244271</v>
      </c>
    </row>
    <row r="15" spans="1:3" x14ac:dyDescent="0.3">
      <c r="A15">
        <v>2240</v>
      </c>
      <c r="B15" t="s">
        <v>152</v>
      </c>
      <c r="C15" s="28">
        <v>40197.273194070396</v>
      </c>
    </row>
    <row r="16" spans="1:3" x14ac:dyDescent="0.3">
      <c r="A16">
        <v>2243</v>
      </c>
      <c r="B16" t="s">
        <v>155</v>
      </c>
      <c r="C16" s="28">
        <v>1224109.7325625976</v>
      </c>
    </row>
    <row r="17" spans="1:3" x14ac:dyDescent="0.3">
      <c r="A17">
        <v>1976</v>
      </c>
      <c r="B17" t="s">
        <v>211</v>
      </c>
      <c r="C17" s="28">
        <v>504093.21533428167</v>
      </c>
    </row>
    <row r="18" spans="1:3" x14ac:dyDescent="0.3">
      <c r="A18">
        <v>2088</v>
      </c>
      <c r="B18" t="s">
        <v>86</v>
      </c>
      <c r="C18" s="28">
        <v>258051.2707090445</v>
      </c>
    </row>
    <row r="19" spans="1:3" x14ac:dyDescent="0.3">
      <c r="A19">
        <v>2095</v>
      </c>
      <c r="B19" t="s">
        <v>92</v>
      </c>
      <c r="C19" s="28">
        <v>11719.022785289037</v>
      </c>
    </row>
    <row r="20" spans="1:3" x14ac:dyDescent="0.3">
      <c r="A20">
        <v>2052</v>
      </c>
      <c r="B20" t="s">
        <v>71</v>
      </c>
      <c r="C20" s="28">
        <v>417.19430732072391</v>
      </c>
    </row>
    <row r="21" spans="1:3" x14ac:dyDescent="0.3">
      <c r="A21">
        <v>1974</v>
      </c>
      <c r="B21" t="s">
        <v>212</v>
      </c>
      <c r="C21" s="28">
        <v>60887.272867027459</v>
      </c>
    </row>
    <row r="22" spans="1:3" x14ac:dyDescent="0.3">
      <c r="A22">
        <v>1896</v>
      </c>
      <c r="B22" t="s">
        <v>3</v>
      </c>
      <c r="C22" s="28">
        <v>2231.7132485869784</v>
      </c>
    </row>
    <row r="23" spans="1:3" x14ac:dyDescent="0.3">
      <c r="A23">
        <v>2046</v>
      </c>
      <c r="B23" t="s">
        <v>66</v>
      </c>
      <c r="C23" s="28">
        <v>11312.491175028352</v>
      </c>
    </row>
    <row r="24" spans="1:3" x14ac:dyDescent="0.3">
      <c r="A24">
        <v>1995</v>
      </c>
      <c r="B24" t="s">
        <v>213</v>
      </c>
      <c r="C24" s="28">
        <v>9416.264165719962</v>
      </c>
    </row>
    <row r="25" spans="1:3" x14ac:dyDescent="0.3">
      <c r="A25">
        <v>1929</v>
      </c>
      <c r="B25" t="s">
        <v>14</v>
      </c>
      <c r="C25" s="28">
        <v>169822.11743410514</v>
      </c>
    </row>
    <row r="26" spans="1:3" x14ac:dyDescent="0.3">
      <c r="A26">
        <v>2139</v>
      </c>
      <c r="B26" t="s">
        <v>112</v>
      </c>
      <c r="C26" s="28">
        <v>104961.03746120252</v>
      </c>
    </row>
    <row r="27" spans="1:3" x14ac:dyDescent="0.3">
      <c r="A27">
        <v>2185</v>
      </c>
      <c r="B27" t="s">
        <v>125</v>
      </c>
      <c r="C27" s="28">
        <v>224491.50433822532</v>
      </c>
    </row>
    <row r="28" spans="1:3" x14ac:dyDescent="0.3">
      <c r="A28">
        <v>1972</v>
      </c>
      <c r="B28" t="s">
        <v>30</v>
      </c>
      <c r="C28" s="28">
        <v>19552.432555957683</v>
      </c>
    </row>
    <row r="29" spans="1:3" x14ac:dyDescent="0.3">
      <c r="A29">
        <v>2105</v>
      </c>
      <c r="B29" t="s">
        <v>100</v>
      </c>
      <c r="C29" s="28">
        <v>24983.801378484706</v>
      </c>
    </row>
    <row r="30" spans="1:3" x14ac:dyDescent="0.3">
      <c r="A30">
        <v>2042</v>
      </c>
      <c r="B30" t="s">
        <v>62</v>
      </c>
      <c r="C30" s="28">
        <v>170127.20272672124</v>
      </c>
    </row>
    <row r="31" spans="1:3" x14ac:dyDescent="0.3">
      <c r="A31">
        <v>2191</v>
      </c>
      <c r="B31" t="s">
        <v>130</v>
      </c>
      <c r="C31" s="28">
        <v>108706.97878808914</v>
      </c>
    </row>
    <row r="32" spans="1:3" x14ac:dyDescent="0.3">
      <c r="A32">
        <v>1945</v>
      </c>
      <c r="B32" t="s">
        <v>20</v>
      </c>
      <c r="C32" s="28">
        <v>36524.396041300221</v>
      </c>
    </row>
    <row r="33" spans="1:3" x14ac:dyDescent="0.3">
      <c r="A33">
        <v>1927</v>
      </c>
      <c r="B33" t="s">
        <v>12</v>
      </c>
      <c r="C33" s="28">
        <v>29127.49983681292</v>
      </c>
    </row>
    <row r="34" spans="1:3" x14ac:dyDescent="0.3">
      <c r="A34">
        <v>2006</v>
      </c>
      <c r="B34" t="s">
        <v>45</v>
      </c>
      <c r="C34" s="28">
        <v>4518.071686637858</v>
      </c>
    </row>
    <row r="35" spans="1:3" x14ac:dyDescent="0.3">
      <c r="A35">
        <v>1965</v>
      </c>
      <c r="B35" t="s">
        <v>25</v>
      </c>
      <c r="C35" s="28">
        <v>156745.10006383646</v>
      </c>
    </row>
    <row r="36" spans="1:3" x14ac:dyDescent="0.3">
      <c r="A36">
        <v>1964</v>
      </c>
      <c r="B36" t="s">
        <v>24</v>
      </c>
      <c r="C36" s="28">
        <v>47056.669554326021</v>
      </c>
    </row>
    <row r="37" spans="1:3" x14ac:dyDescent="0.3">
      <c r="A37">
        <v>2186</v>
      </c>
      <c r="B37" t="s">
        <v>126</v>
      </c>
      <c r="C37" s="28">
        <v>36815.464026510577</v>
      </c>
    </row>
    <row r="38" spans="1:3" x14ac:dyDescent="0.3">
      <c r="A38">
        <v>1901</v>
      </c>
      <c r="B38" t="s">
        <v>7</v>
      </c>
      <c r="C38" s="28">
        <v>236081.04518177902</v>
      </c>
    </row>
    <row r="39" spans="1:3" x14ac:dyDescent="0.3">
      <c r="A39">
        <v>2216</v>
      </c>
      <c r="B39" t="s">
        <v>144</v>
      </c>
      <c r="C39" s="28">
        <v>10008.115594933146</v>
      </c>
    </row>
    <row r="40" spans="1:3" x14ac:dyDescent="0.3">
      <c r="A40">
        <v>2086</v>
      </c>
      <c r="B40" t="s">
        <v>85</v>
      </c>
      <c r="C40" s="28">
        <v>60525.632536314377</v>
      </c>
    </row>
    <row r="41" spans="1:3" x14ac:dyDescent="0.3">
      <c r="A41">
        <v>1970</v>
      </c>
      <c r="B41" t="s">
        <v>214</v>
      </c>
      <c r="C41" s="28">
        <v>127441.39281351274</v>
      </c>
    </row>
    <row r="42" spans="1:3" x14ac:dyDescent="0.3">
      <c r="A42">
        <v>2089</v>
      </c>
      <c r="B42" t="s">
        <v>215</v>
      </c>
      <c r="C42" s="28">
        <v>13498.375882360129</v>
      </c>
    </row>
    <row r="43" spans="1:3" x14ac:dyDescent="0.3">
      <c r="A43">
        <v>2050</v>
      </c>
      <c r="B43" t="s">
        <v>69</v>
      </c>
      <c r="C43" s="28">
        <v>24180.061137727189</v>
      </c>
    </row>
    <row r="44" spans="1:3" x14ac:dyDescent="0.3">
      <c r="A44">
        <v>2190</v>
      </c>
      <c r="B44" t="s">
        <v>129</v>
      </c>
      <c r="C44" s="28">
        <v>140972.33288435763</v>
      </c>
    </row>
    <row r="45" spans="1:3" x14ac:dyDescent="0.3">
      <c r="A45">
        <v>2187</v>
      </c>
      <c r="B45" t="s">
        <v>127</v>
      </c>
      <c r="C45" s="28">
        <v>320188.48747387686</v>
      </c>
    </row>
    <row r="46" spans="1:3" x14ac:dyDescent="0.3">
      <c r="A46">
        <v>2253</v>
      </c>
      <c r="B46" t="s">
        <v>162</v>
      </c>
      <c r="C46" s="28">
        <v>33188.103220296449</v>
      </c>
    </row>
    <row r="47" spans="1:3" x14ac:dyDescent="0.3">
      <c r="A47">
        <v>2011</v>
      </c>
      <c r="B47" t="s">
        <v>49</v>
      </c>
      <c r="C47" s="28">
        <v>2732.7221940555551</v>
      </c>
    </row>
    <row r="48" spans="1:3" x14ac:dyDescent="0.3">
      <c r="A48">
        <v>2017</v>
      </c>
      <c r="B48" t="s">
        <v>54</v>
      </c>
      <c r="C48" s="28">
        <v>419.48175891404412</v>
      </c>
    </row>
    <row r="49" spans="1:3" x14ac:dyDescent="0.3">
      <c r="A49">
        <v>2021</v>
      </c>
      <c r="B49" t="s">
        <v>58</v>
      </c>
      <c r="C49" s="28">
        <v>110.98592070306172</v>
      </c>
    </row>
    <row r="50" spans="1:3" x14ac:dyDescent="0.3">
      <c r="A50">
        <v>1993</v>
      </c>
      <c r="B50" t="s">
        <v>216</v>
      </c>
      <c r="C50" s="28">
        <v>11365.978460323271</v>
      </c>
    </row>
    <row r="51" spans="1:3" x14ac:dyDescent="0.3">
      <c r="A51">
        <v>1991</v>
      </c>
      <c r="B51" t="s">
        <v>217</v>
      </c>
      <c r="C51" s="28">
        <v>233269.55741032455</v>
      </c>
    </row>
    <row r="52" spans="1:3" x14ac:dyDescent="0.3">
      <c r="A52">
        <v>2019</v>
      </c>
      <c r="B52" t="s">
        <v>56</v>
      </c>
      <c r="C52" s="28">
        <v>103.66700000000002</v>
      </c>
    </row>
    <row r="53" spans="1:3" x14ac:dyDescent="0.3">
      <c r="A53">
        <v>2229</v>
      </c>
      <c r="B53" t="s">
        <v>150</v>
      </c>
      <c r="C53" s="28">
        <v>13168.161676549511</v>
      </c>
    </row>
    <row r="54" spans="1:3" x14ac:dyDescent="0.3">
      <c r="A54">
        <v>2043</v>
      </c>
      <c r="B54" t="s">
        <v>63</v>
      </c>
      <c r="C54" s="28">
        <v>169541.62035399786</v>
      </c>
    </row>
    <row r="55" spans="1:3" x14ac:dyDescent="0.3">
      <c r="A55">
        <v>2203</v>
      </c>
      <c r="B55" t="s">
        <v>138</v>
      </c>
      <c r="C55" s="28">
        <v>9358.6703518039831</v>
      </c>
    </row>
    <row r="56" spans="1:3" x14ac:dyDescent="0.3">
      <c r="A56">
        <v>2217</v>
      </c>
      <c r="B56" t="s">
        <v>145</v>
      </c>
      <c r="C56" s="28">
        <v>17110.506276151795</v>
      </c>
    </row>
    <row r="57" spans="1:3" x14ac:dyDescent="0.3">
      <c r="A57">
        <v>1998</v>
      </c>
      <c r="B57" t="s">
        <v>38</v>
      </c>
      <c r="C57" s="28">
        <v>6896.0569453672906</v>
      </c>
    </row>
    <row r="58" spans="1:3" x14ac:dyDescent="0.3">
      <c r="A58">
        <v>2221</v>
      </c>
      <c r="B58" t="s">
        <v>148</v>
      </c>
      <c r="C58" s="28">
        <v>22369.914450356842</v>
      </c>
    </row>
    <row r="59" spans="1:3" x14ac:dyDescent="0.3">
      <c r="A59">
        <v>1930</v>
      </c>
      <c r="B59" t="s">
        <v>15</v>
      </c>
      <c r="C59" s="28">
        <v>104308.38321589296</v>
      </c>
    </row>
    <row r="60" spans="1:3" x14ac:dyDescent="0.3">
      <c r="A60">
        <v>2082</v>
      </c>
      <c r="B60" t="s">
        <v>81</v>
      </c>
      <c r="C60" s="28">
        <v>656430.89094797906</v>
      </c>
    </row>
    <row r="61" spans="1:3" x14ac:dyDescent="0.3">
      <c r="A61">
        <v>2193</v>
      </c>
      <c r="B61" t="s">
        <v>132</v>
      </c>
      <c r="C61" s="28">
        <v>9947.2478662145149</v>
      </c>
    </row>
    <row r="62" spans="1:3" x14ac:dyDescent="0.3">
      <c r="A62">
        <v>2084</v>
      </c>
      <c r="B62" t="s">
        <v>83</v>
      </c>
      <c r="C62" s="28">
        <v>75525.044742720405</v>
      </c>
    </row>
    <row r="63" spans="1:3" x14ac:dyDescent="0.3">
      <c r="A63">
        <v>2241</v>
      </c>
      <c r="B63" t="s">
        <v>153</v>
      </c>
      <c r="C63" s="28">
        <v>232848.98994266836</v>
      </c>
    </row>
    <row r="64" spans="1:3" x14ac:dyDescent="0.3">
      <c r="A64">
        <v>2248</v>
      </c>
      <c r="B64" t="s">
        <v>159</v>
      </c>
      <c r="C64" s="28">
        <v>21637.32302870306</v>
      </c>
    </row>
    <row r="65" spans="1:3" x14ac:dyDescent="0.3">
      <c r="A65">
        <v>2020</v>
      </c>
      <c r="B65" t="s">
        <v>57</v>
      </c>
      <c r="C65" s="28">
        <v>558.91994126625468</v>
      </c>
    </row>
    <row r="66" spans="1:3" x14ac:dyDescent="0.3">
      <c r="A66">
        <v>2245</v>
      </c>
      <c r="B66" t="s">
        <v>157</v>
      </c>
      <c r="C66" s="28">
        <v>23960.767775928067</v>
      </c>
    </row>
    <row r="67" spans="1:3" x14ac:dyDescent="0.3">
      <c r="A67">
        <v>2137</v>
      </c>
      <c r="B67" t="s">
        <v>110</v>
      </c>
      <c r="C67" s="28">
        <v>48173.030670717533</v>
      </c>
    </row>
    <row r="68" spans="1:3" x14ac:dyDescent="0.3">
      <c r="A68">
        <v>1931</v>
      </c>
      <c r="B68" t="s">
        <v>16</v>
      </c>
      <c r="C68" s="28">
        <v>75740.722095264209</v>
      </c>
    </row>
    <row r="69" spans="1:3" x14ac:dyDescent="0.3">
      <c r="A69">
        <v>2000</v>
      </c>
      <c r="B69" t="s">
        <v>40</v>
      </c>
      <c r="C69" s="28">
        <v>13738.346431576894</v>
      </c>
    </row>
    <row r="70" spans="1:3" x14ac:dyDescent="0.3">
      <c r="A70">
        <v>1992</v>
      </c>
      <c r="B70" t="s">
        <v>34</v>
      </c>
      <c r="C70" s="28">
        <v>34887.426545811468</v>
      </c>
    </row>
    <row r="71" spans="1:3" x14ac:dyDescent="0.3">
      <c r="A71">
        <v>2054</v>
      </c>
      <c r="B71" t="s">
        <v>73</v>
      </c>
      <c r="C71" s="28">
        <v>205177.63072677481</v>
      </c>
    </row>
    <row r="72" spans="1:3" x14ac:dyDescent="0.3">
      <c r="A72">
        <v>2100</v>
      </c>
      <c r="B72" t="s">
        <v>218</v>
      </c>
      <c r="C72" s="28">
        <v>360467.33786443301</v>
      </c>
    </row>
    <row r="73" spans="1:3" x14ac:dyDescent="0.3">
      <c r="A73">
        <v>2183</v>
      </c>
      <c r="B73" t="s">
        <v>124</v>
      </c>
      <c r="C73" s="28">
        <v>440656.91670172609</v>
      </c>
    </row>
    <row r="74" spans="1:3" x14ac:dyDescent="0.3">
      <c r="A74">
        <v>2014</v>
      </c>
      <c r="B74" t="s">
        <v>51</v>
      </c>
      <c r="C74" s="28">
        <v>40827.127473968292</v>
      </c>
    </row>
    <row r="75" spans="1:3" x14ac:dyDescent="0.3">
      <c r="A75">
        <v>2015</v>
      </c>
      <c r="B75" t="s">
        <v>52</v>
      </c>
      <c r="C75" s="28">
        <v>18454.089563364902</v>
      </c>
    </row>
    <row r="76" spans="1:3" x14ac:dyDescent="0.3">
      <c r="A76">
        <v>2023</v>
      </c>
      <c r="B76" t="s">
        <v>219</v>
      </c>
      <c r="C76" s="28">
        <v>17661.443487243316</v>
      </c>
    </row>
    <row r="77" spans="1:3" x14ac:dyDescent="0.3">
      <c r="A77">
        <v>2114</v>
      </c>
      <c r="B77" t="s">
        <v>107</v>
      </c>
      <c r="C77" s="28">
        <v>4991.0024700813947</v>
      </c>
    </row>
    <row r="78" spans="1:3" x14ac:dyDescent="0.3">
      <c r="A78">
        <v>2099</v>
      </c>
      <c r="B78" t="s">
        <v>95</v>
      </c>
      <c r="C78" s="28">
        <v>27781.279997340007</v>
      </c>
    </row>
    <row r="79" spans="1:3" x14ac:dyDescent="0.3">
      <c r="A79">
        <v>2201</v>
      </c>
      <c r="B79" t="s">
        <v>136</v>
      </c>
      <c r="C79" s="28">
        <v>3885.3734891219392</v>
      </c>
    </row>
    <row r="80" spans="1:3" x14ac:dyDescent="0.3">
      <c r="A80">
        <v>2206</v>
      </c>
      <c r="B80" t="s">
        <v>220</v>
      </c>
      <c r="C80" s="28">
        <v>178479.77741102449</v>
      </c>
    </row>
    <row r="81" spans="1:3" x14ac:dyDescent="0.3">
      <c r="A81">
        <v>2239</v>
      </c>
      <c r="B81" t="s">
        <v>151</v>
      </c>
      <c r="C81" s="28">
        <v>716341.06374568667</v>
      </c>
    </row>
    <row r="82" spans="1:3" x14ac:dyDescent="0.3">
      <c r="A82">
        <v>2024</v>
      </c>
      <c r="B82" t="s">
        <v>221</v>
      </c>
      <c r="C82" s="28">
        <v>147638.09404268241</v>
      </c>
    </row>
    <row r="83" spans="1:3" x14ac:dyDescent="0.3">
      <c r="A83">
        <v>1895</v>
      </c>
      <c r="B83" t="s">
        <v>2</v>
      </c>
      <c r="C83" s="28">
        <v>2511.2477424631161</v>
      </c>
    </row>
    <row r="84" spans="1:3" x14ac:dyDescent="0.3">
      <c r="A84">
        <v>2215</v>
      </c>
      <c r="B84" t="s">
        <v>143</v>
      </c>
      <c r="C84" s="28">
        <v>11617.656169989072</v>
      </c>
    </row>
    <row r="85" spans="1:3" x14ac:dyDescent="0.3">
      <c r="A85">
        <v>3997</v>
      </c>
      <c r="B85" t="s">
        <v>222</v>
      </c>
      <c r="C85" s="28">
        <v>5258.0097341897317</v>
      </c>
    </row>
    <row r="86" spans="1:3" x14ac:dyDescent="0.3">
      <c r="A86">
        <v>2053</v>
      </c>
      <c r="B86" t="s">
        <v>72</v>
      </c>
      <c r="C86" s="28">
        <v>133421.02149974371</v>
      </c>
    </row>
    <row r="87" spans="1:3" x14ac:dyDescent="0.3">
      <c r="A87">
        <v>2140</v>
      </c>
      <c r="B87" t="s">
        <v>113</v>
      </c>
      <c r="C87" s="28">
        <v>31121.280601104841</v>
      </c>
    </row>
    <row r="88" spans="1:3" x14ac:dyDescent="0.3">
      <c r="A88">
        <v>1934</v>
      </c>
      <c r="B88" t="s">
        <v>17</v>
      </c>
      <c r="C88" s="28">
        <v>5695.8090788959062</v>
      </c>
    </row>
    <row r="89" spans="1:3" x14ac:dyDescent="0.3">
      <c r="A89">
        <v>2008</v>
      </c>
      <c r="B89" t="s">
        <v>46</v>
      </c>
      <c r="C89" s="28">
        <v>27425.105974886661</v>
      </c>
    </row>
    <row r="90" spans="1:3" x14ac:dyDescent="0.3">
      <c r="A90">
        <v>2107</v>
      </c>
      <c r="B90" t="s">
        <v>101</v>
      </c>
      <c r="C90" s="28">
        <v>2108.3298583348769</v>
      </c>
    </row>
    <row r="91" spans="1:3" x14ac:dyDescent="0.3">
      <c r="A91">
        <v>2219</v>
      </c>
      <c r="B91" t="s">
        <v>146</v>
      </c>
      <c r="C91" s="28">
        <v>10816.699558188717</v>
      </c>
    </row>
    <row r="92" spans="1:3" x14ac:dyDescent="0.3">
      <c r="A92">
        <v>2091</v>
      </c>
      <c r="B92" t="s">
        <v>88</v>
      </c>
      <c r="C92" s="28">
        <v>82843.559786143567</v>
      </c>
    </row>
    <row r="93" spans="1:3" x14ac:dyDescent="0.3">
      <c r="A93">
        <v>2109</v>
      </c>
      <c r="B93" t="s">
        <v>102</v>
      </c>
      <c r="C93" s="28">
        <v>134.767</v>
      </c>
    </row>
    <row r="94" spans="1:3" x14ac:dyDescent="0.3">
      <c r="A94">
        <v>2057</v>
      </c>
      <c r="B94" t="s">
        <v>74</v>
      </c>
      <c r="C94" s="28">
        <v>300702.11253319582</v>
      </c>
    </row>
    <row r="95" spans="1:3" x14ac:dyDescent="0.3">
      <c r="A95">
        <v>2056</v>
      </c>
      <c r="B95" t="s">
        <v>223</v>
      </c>
      <c r="C95" s="28">
        <v>148224.65301490738</v>
      </c>
    </row>
    <row r="96" spans="1:3" x14ac:dyDescent="0.3">
      <c r="A96">
        <v>2262</v>
      </c>
      <c r="B96" t="s">
        <v>167</v>
      </c>
      <c r="C96" s="28">
        <v>25131.87320112775</v>
      </c>
    </row>
    <row r="97" spans="1:3" x14ac:dyDescent="0.3">
      <c r="A97">
        <v>2212</v>
      </c>
      <c r="B97" t="s">
        <v>140</v>
      </c>
      <c r="C97" s="28">
        <v>109366.48619429635</v>
      </c>
    </row>
    <row r="98" spans="1:3" x14ac:dyDescent="0.3">
      <c r="A98">
        <v>2059</v>
      </c>
      <c r="B98" t="s">
        <v>75</v>
      </c>
      <c r="C98" s="28">
        <v>30497.899494502442</v>
      </c>
    </row>
    <row r="99" spans="1:3" x14ac:dyDescent="0.3">
      <c r="A99">
        <v>1923</v>
      </c>
      <c r="B99" t="s">
        <v>8</v>
      </c>
      <c r="C99" s="28">
        <v>214102.42944823595</v>
      </c>
    </row>
    <row r="100" spans="1:3" x14ac:dyDescent="0.3">
      <c r="A100">
        <v>2101</v>
      </c>
      <c r="B100" t="s">
        <v>96</v>
      </c>
      <c r="C100" s="28">
        <v>194161.67204727558</v>
      </c>
    </row>
    <row r="101" spans="1:3" x14ac:dyDescent="0.3">
      <c r="A101">
        <v>2097</v>
      </c>
      <c r="B101" t="s">
        <v>94</v>
      </c>
      <c r="C101" s="28">
        <v>229922.10206584897</v>
      </c>
    </row>
    <row r="102" spans="1:3" x14ac:dyDescent="0.3">
      <c r="A102">
        <v>2012</v>
      </c>
      <c r="B102" t="s">
        <v>50</v>
      </c>
      <c r="C102" s="28">
        <v>795.15822600445676</v>
      </c>
    </row>
    <row r="103" spans="1:3" x14ac:dyDescent="0.3">
      <c r="A103">
        <v>2092</v>
      </c>
      <c r="B103" t="s">
        <v>89</v>
      </c>
      <c r="C103" s="28">
        <v>28549.48453540984</v>
      </c>
    </row>
    <row r="104" spans="1:3" x14ac:dyDescent="0.3">
      <c r="A104">
        <v>2112</v>
      </c>
      <c r="B104" t="s">
        <v>105</v>
      </c>
      <c r="C104" s="28">
        <v>0</v>
      </c>
    </row>
    <row r="105" spans="1:3" x14ac:dyDescent="0.3">
      <c r="A105">
        <v>2085</v>
      </c>
      <c r="B105" t="s">
        <v>84</v>
      </c>
      <c r="C105" s="28">
        <v>11654.282764283298</v>
      </c>
    </row>
    <row r="106" spans="1:3" x14ac:dyDescent="0.3">
      <c r="A106">
        <v>2094</v>
      </c>
      <c r="B106" t="s">
        <v>91</v>
      </c>
      <c r="C106" s="28">
        <v>22012.246454628057</v>
      </c>
    </row>
    <row r="107" spans="1:3" x14ac:dyDescent="0.3">
      <c r="A107">
        <v>2090</v>
      </c>
      <c r="B107" t="s">
        <v>87</v>
      </c>
      <c r="C107" s="28">
        <v>10040.76524716359</v>
      </c>
    </row>
    <row r="108" spans="1:3" x14ac:dyDescent="0.3">
      <c r="A108">
        <v>2256</v>
      </c>
      <c r="B108" t="s">
        <v>165</v>
      </c>
      <c r="C108" s="28">
        <v>231806.28935728117</v>
      </c>
    </row>
    <row r="109" spans="1:3" x14ac:dyDescent="0.3">
      <c r="A109">
        <v>2048</v>
      </c>
      <c r="B109" t="s">
        <v>68</v>
      </c>
      <c r="C109" s="28">
        <v>542287.94105098746</v>
      </c>
    </row>
    <row r="110" spans="1:3" x14ac:dyDescent="0.3">
      <c r="A110">
        <v>2205</v>
      </c>
      <c r="B110" t="s">
        <v>224</v>
      </c>
      <c r="C110" s="28">
        <v>64065.146548447243</v>
      </c>
    </row>
    <row r="111" spans="1:3" x14ac:dyDescent="0.3">
      <c r="A111">
        <v>2249</v>
      </c>
      <c r="B111" t="s">
        <v>160</v>
      </c>
      <c r="C111" s="28">
        <v>29565.528402281663</v>
      </c>
    </row>
    <row r="112" spans="1:3" x14ac:dyDescent="0.3">
      <c r="A112">
        <v>1925</v>
      </c>
      <c r="B112" t="s">
        <v>10</v>
      </c>
      <c r="C112" s="28">
        <v>116274.93677980462</v>
      </c>
    </row>
    <row r="113" spans="1:3" x14ac:dyDescent="0.3">
      <c r="A113">
        <v>1898</v>
      </c>
      <c r="B113" t="s">
        <v>4</v>
      </c>
      <c r="C113" s="28">
        <v>16224.751892488423</v>
      </c>
    </row>
    <row r="114" spans="1:3" x14ac:dyDescent="0.3">
      <c r="A114">
        <v>2010</v>
      </c>
      <c r="B114" t="s">
        <v>48</v>
      </c>
      <c r="C114" s="28">
        <v>2691.8506430414022</v>
      </c>
    </row>
    <row r="115" spans="1:3" x14ac:dyDescent="0.3">
      <c r="A115">
        <v>2147</v>
      </c>
      <c r="B115" t="s">
        <v>120</v>
      </c>
      <c r="C115" s="28">
        <v>90413.33677264805</v>
      </c>
    </row>
    <row r="116" spans="1:3" x14ac:dyDescent="0.3">
      <c r="A116">
        <v>2145</v>
      </c>
      <c r="B116" t="s">
        <v>118</v>
      </c>
      <c r="C116" s="28">
        <v>28027.290774300207</v>
      </c>
    </row>
    <row r="117" spans="1:3" x14ac:dyDescent="0.3">
      <c r="A117">
        <v>1968</v>
      </c>
      <c r="B117" t="s">
        <v>28</v>
      </c>
      <c r="C117" s="28">
        <v>28065.40285152334</v>
      </c>
    </row>
    <row r="118" spans="1:3" x14ac:dyDescent="0.3">
      <c r="A118">
        <v>2198</v>
      </c>
      <c r="B118" t="s">
        <v>134</v>
      </c>
      <c r="C118" s="28">
        <v>29763.664125710613</v>
      </c>
    </row>
    <row r="119" spans="1:3" x14ac:dyDescent="0.3">
      <c r="A119">
        <v>2199</v>
      </c>
      <c r="B119" t="s">
        <v>135</v>
      </c>
      <c r="C119" s="28">
        <v>21967.49024894206</v>
      </c>
    </row>
    <row r="120" spans="1:3" x14ac:dyDescent="0.3">
      <c r="A120">
        <v>2254</v>
      </c>
      <c r="B120" t="s">
        <v>163</v>
      </c>
      <c r="C120" s="28">
        <v>178259.43211205836</v>
      </c>
    </row>
    <row r="121" spans="1:3" x14ac:dyDescent="0.3">
      <c r="A121">
        <v>1966</v>
      </c>
      <c r="B121" t="s">
        <v>26</v>
      </c>
      <c r="C121" s="28">
        <v>143194.99232495856</v>
      </c>
    </row>
    <row r="122" spans="1:3" x14ac:dyDescent="0.3">
      <c r="A122">
        <v>1924</v>
      </c>
      <c r="B122" t="s">
        <v>9</v>
      </c>
      <c r="C122" s="28">
        <v>698169.38470699475</v>
      </c>
    </row>
    <row r="123" spans="1:3" x14ac:dyDescent="0.3">
      <c r="A123">
        <v>1996</v>
      </c>
      <c r="B123" t="s">
        <v>36</v>
      </c>
      <c r="C123" s="28">
        <v>18203.980917408433</v>
      </c>
    </row>
    <row r="124" spans="1:3" x14ac:dyDescent="0.3">
      <c r="A124">
        <v>2061</v>
      </c>
      <c r="B124" t="s">
        <v>77</v>
      </c>
      <c r="C124" s="28">
        <v>13242.679617331696</v>
      </c>
    </row>
    <row r="125" spans="1:3" x14ac:dyDescent="0.3">
      <c r="A125">
        <v>2141</v>
      </c>
      <c r="B125" t="s">
        <v>114</v>
      </c>
      <c r="C125" s="28">
        <v>67250.136829675335</v>
      </c>
    </row>
    <row r="126" spans="1:3" x14ac:dyDescent="0.3">
      <c r="A126">
        <v>2214</v>
      </c>
      <c r="B126" t="s">
        <v>142</v>
      </c>
      <c r="C126" s="28">
        <v>10016.920489165297</v>
      </c>
    </row>
    <row r="127" spans="1:3" x14ac:dyDescent="0.3">
      <c r="A127">
        <v>2143</v>
      </c>
      <c r="B127" t="s">
        <v>116</v>
      </c>
      <c r="C127" s="28">
        <v>96018.006664652814</v>
      </c>
    </row>
    <row r="128" spans="1:3" x14ac:dyDescent="0.3">
      <c r="A128">
        <v>4131</v>
      </c>
      <c r="B128" t="s">
        <v>225</v>
      </c>
      <c r="C128" s="28">
        <v>134057.84347045407</v>
      </c>
    </row>
    <row r="129" spans="1:3" x14ac:dyDescent="0.3">
      <c r="A129">
        <v>2110</v>
      </c>
      <c r="B129" t="s">
        <v>103</v>
      </c>
      <c r="C129" s="28">
        <v>44961.213414431673</v>
      </c>
    </row>
    <row r="130" spans="1:3" x14ac:dyDescent="0.3">
      <c r="A130">
        <v>1990</v>
      </c>
      <c r="B130" t="s">
        <v>33</v>
      </c>
      <c r="C130" s="28">
        <v>29085.35856074181</v>
      </c>
    </row>
    <row r="131" spans="1:3" x14ac:dyDescent="0.3">
      <c r="A131">
        <v>2093</v>
      </c>
      <c r="B131" t="s">
        <v>90</v>
      </c>
      <c r="C131" s="28">
        <v>34548.593107700057</v>
      </c>
    </row>
    <row r="132" spans="1:3" x14ac:dyDescent="0.3">
      <c r="A132">
        <v>2108</v>
      </c>
      <c r="B132" t="s">
        <v>226</v>
      </c>
      <c r="C132" s="28">
        <v>99805.671965390618</v>
      </c>
    </row>
    <row r="133" spans="1:3" x14ac:dyDescent="0.3">
      <c r="A133">
        <v>1928</v>
      </c>
      <c r="B133" t="s">
        <v>13</v>
      </c>
      <c r="C133" s="28">
        <v>314083.9390016144</v>
      </c>
    </row>
    <row r="134" spans="1:3" x14ac:dyDescent="0.3">
      <c r="A134">
        <v>1926</v>
      </c>
      <c r="B134" t="s">
        <v>11</v>
      </c>
      <c r="C134" s="28">
        <v>161556.69127032891</v>
      </c>
    </row>
    <row r="135" spans="1:3" x14ac:dyDescent="0.3">
      <c r="A135">
        <v>2060</v>
      </c>
      <c r="B135" t="s">
        <v>76</v>
      </c>
      <c r="C135" s="28">
        <v>6176.1814095377222</v>
      </c>
    </row>
    <row r="136" spans="1:3" x14ac:dyDescent="0.3">
      <c r="A136">
        <v>2181</v>
      </c>
      <c r="B136" t="s">
        <v>122</v>
      </c>
      <c r="C136" s="28">
        <v>118518.34281979874</v>
      </c>
    </row>
    <row r="137" spans="1:3" x14ac:dyDescent="0.3">
      <c r="A137">
        <v>2207</v>
      </c>
      <c r="B137" t="s">
        <v>227</v>
      </c>
      <c r="C137" s="28">
        <v>138282.68828603579</v>
      </c>
    </row>
    <row r="138" spans="1:3" x14ac:dyDescent="0.3">
      <c r="A138">
        <v>2192</v>
      </c>
      <c r="B138" t="s">
        <v>131</v>
      </c>
      <c r="C138" s="28">
        <v>6672.1072367066436</v>
      </c>
    </row>
    <row r="139" spans="1:3" x14ac:dyDescent="0.3">
      <c r="A139">
        <v>1900</v>
      </c>
      <c r="B139" t="s">
        <v>6</v>
      </c>
      <c r="C139" s="28">
        <v>53807.399285978689</v>
      </c>
    </row>
    <row r="140" spans="1:3" x14ac:dyDescent="0.3">
      <c r="A140">
        <v>2039</v>
      </c>
      <c r="B140" t="s">
        <v>60</v>
      </c>
      <c r="C140" s="28">
        <v>99304.083581613755</v>
      </c>
    </row>
    <row r="141" spans="1:3" x14ac:dyDescent="0.3">
      <c r="A141">
        <v>2202</v>
      </c>
      <c r="B141" t="s">
        <v>137</v>
      </c>
      <c r="C141" s="28">
        <v>14533.973121644083</v>
      </c>
    </row>
    <row r="142" spans="1:3" x14ac:dyDescent="0.3">
      <c r="A142">
        <v>2016</v>
      </c>
      <c r="B142" t="s">
        <v>53</v>
      </c>
      <c r="C142" s="28">
        <v>212.25771554934536</v>
      </c>
    </row>
    <row r="143" spans="1:3" x14ac:dyDescent="0.3">
      <c r="A143">
        <v>1897</v>
      </c>
      <c r="B143" t="s">
        <v>228</v>
      </c>
      <c r="C143" s="28">
        <v>8970.8607784628202</v>
      </c>
    </row>
    <row r="144" spans="1:3" x14ac:dyDescent="0.3">
      <c r="A144">
        <v>2047</v>
      </c>
      <c r="B144" t="s">
        <v>67</v>
      </c>
      <c r="C144" s="28">
        <v>1124.2842947075819</v>
      </c>
    </row>
    <row r="145" spans="1:3" x14ac:dyDescent="0.3">
      <c r="A145">
        <v>2081</v>
      </c>
      <c r="B145" t="s">
        <v>80</v>
      </c>
      <c r="C145" s="28">
        <v>40931.493222238409</v>
      </c>
    </row>
    <row r="146" spans="1:3" x14ac:dyDescent="0.3">
      <c r="A146">
        <v>2062</v>
      </c>
      <c r="B146" t="s">
        <v>78</v>
      </c>
      <c r="C146" s="28">
        <v>489.48040366036196</v>
      </c>
    </row>
    <row r="147" spans="1:3" x14ac:dyDescent="0.3">
      <c r="A147">
        <v>1973</v>
      </c>
      <c r="B147" t="s">
        <v>229</v>
      </c>
      <c r="C147" s="28">
        <v>12401.536178768016</v>
      </c>
    </row>
    <row r="148" spans="1:3" x14ac:dyDescent="0.3">
      <c r="A148">
        <v>2180</v>
      </c>
      <c r="B148" t="s">
        <v>121</v>
      </c>
      <c r="C148" s="28">
        <v>1990512.1026710467</v>
      </c>
    </row>
    <row r="149" spans="1:3" x14ac:dyDescent="0.3">
      <c r="A149">
        <v>1967</v>
      </c>
      <c r="B149" t="s">
        <v>27</v>
      </c>
      <c r="C149" s="28">
        <v>5675.993713712206</v>
      </c>
    </row>
    <row r="150" spans="1:3" x14ac:dyDescent="0.3">
      <c r="A150">
        <v>2009</v>
      </c>
      <c r="B150" t="s">
        <v>47</v>
      </c>
      <c r="C150" s="28">
        <v>28560.921591864782</v>
      </c>
    </row>
    <row r="151" spans="1:3" x14ac:dyDescent="0.3">
      <c r="A151">
        <v>2045</v>
      </c>
      <c r="B151" t="s">
        <v>65</v>
      </c>
      <c r="C151" s="28">
        <v>7440.7954476877312</v>
      </c>
    </row>
    <row r="152" spans="1:3" x14ac:dyDescent="0.3">
      <c r="A152">
        <v>1946</v>
      </c>
      <c r="B152" t="s">
        <v>21</v>
      </c>
      <c r="C152" s="28">
        <v>46310.95302718725</v>
      </c>
    </row>
    <row r="153" spans="1:3" x14ac:dyDescent="0.3">
      <c r="A153">
        <v>1977</v>
      </c>
      <c r="B153" t="s">
        <v>31</v>
      </c>
      <c r="C153" s="28">
        <v>228216.85512007229</v>
      </c>
    </row>
    <row r="154" spans="1:3" x14ac:dyDescent="0.3">
      <c r="A154">
        <v>2001</v>
      </c>
      <c r="B154" t="s">
        <v>41</v>
      </c>
      <c r="C154" s="28">
        <v>35400.128213522563</v>
      </c>
    </row>
    <row r="155" spans="1:3" x14ac:dyDescent="0.3">
      <c r="A155">
        <v>2182</v>
      </c>
      <c r="B155" t="s">
        <v>123</v>
      </c>
      <c r="C155" s="28">
        <v>425578.76399133599</v>
      </c>
    </row>
    <row r="156" spans="1:3" x14ac:dyDescent="0.3">
      <c r="A156">
        <v>1999</v>
      </c>
      <c r="B156" t="s">
        <v>39</v>
      </c>
      <c r="C156" s="28">
        <v>19270.517082194365</v>
      </c>
    </row>
    <row r="157" spans="1:3" x14ac:dyDescent="0.3">
      <c r="A157">
        <v>2188</v>
      </c>
      <c r="B157" t="s">
        <v>128</v>
      </c>
      <c r="C157" s="28">
        <v>13290.541031351915</v>
      </c>
    </row>
    <row r="158" spans="1:3" x14ac:dyDescent="0.3">
      <c r="A158">
        <v>2044</v>
      </c>
      <c r="B158" t="s">
        <v>64</v>
      </c>
      <c r="C158" s="28">
        <v>41904.866785251594</v>
      </c>
    </row>
    <row r="159" spans="1:3" x14ac:dyDescent="0.3">
      <c r="A159">
        <v>2142</v>
      </c>
      <c r="B159" t="s">
        <v>115</v>
      </c>
      <c r="C159" s="28">
        <v>1584640.8922522001</v>
      </c>
    </row>
    <row r="160" spans="1:3" x14ac:dyDescent="0.3">
      <c r="A160">
        <v>2104</v>
      </c>
      <c r="B160" t="s">
        <v>99</v>
      </c>
      <c r="C160" s="28">
        <v>107173.37711111421</v>
      </c>
    </row>
    <row r="161" spans="1:3" x14ac:dyDescent="0.3">
      <c r="A161">
        <v>1944</v>
      </c>
      <c r="B161" t="s">
        <v>19</v>
      </c>
      <c r="C161" s="28">
        <v>90963.652769007414</v>
      </c>
    </row>
    <row r="162" spans="1:3" x14ac:dyDescent="0.3">
      <c r="A162">
        <v>2103</v>
      </c>
      <c r="B162" t="s">
        <v>98</v>
      </c>
      <c r="C162" s="28">
        <v>47777.59670488914</v>
      </c>
    </row>
    <row r="163" spans="1:3" x14ac:dyDescent="0.3">
      <c r="A163">
        <v>1935</v>
      </c>
      <c r="B163" t="s">
        <v>18</v>
      </c>
      <c r="C163" s="28">
        <v>57515.255970756756</v>
      </c>
    </row>
    <row r="164" spans="1:3" x14ac:dyDescent="0.3">
      <c r="A164">
        <v>2257</v>
      </c>
      <c r="B164" t="s">
        <v>166</v>
      </c>
      <c r="C164" s="28">
        <v>36696.38784262901</v>
      </c>
    </row>
    <row r="165" spans="1:3" x14ac:dyDescent="0.3">
      <c r="A165">
        <v>2195</v>
      </c>
      <c r="B165" t="s">
        <v>230</v>
      </c>
      <c r="C165" s="28">
        <v>13264.873830565986</v>
      </c>
    </row>
    <row r="166" spans="1:3" x14ac:dyDescent="0.3">
      <c r="A166">
        <v>2244</v>
      </c>
      <c r="B166" t="s">
        <v>156</v>
      </c>
      <c r="C166" s="28">
        <v>128578.73487684687</v>
      </c>
    </row>
    <row r="167" spans="1:3" x14ac:dyDescent="0.3">
      <c r="A167">
        <v>2138</v>
      </c>
      <c r="B167" t="s">
        <v>111</v>
      </c>
      <c r="C167" s="28">
        <v>119501.67324111998</v>
      </c>
    </row>
    <row r="168" spans="1:3" x14ac:dyDescent="0.3">
      <c r="A168">
        <v>1978</v>
      </c>
      <c r="B168" t="s">
        <v>32</v>
      </c>
      <c r="C168" s="28">
        <v>38261.035906760044</v>
      </c>
    </row>
    <row r="169" spans="1:3" x14ac:dyDescent="0.3">
      <c r="A169">
        <v>2096</v>
      </c>
      <c r="B169" t="s">
        <v>93</v>
      </c>
      <c r="C169" s="28">
        <v>54147.263756030661</v>
      </c>
    </row>
    <row r="170" spans="1:3" x14ac:dyDescent="0.3">
      <c r="A170">
        <v>2022</v>
      </c>
      <c r="B170" t="s">
        <v>59</v>
      </c>
      <c r="C170" s="28">
        <v>452.51620546711735</v>
      </c>
    </row>
    <row r="171" spans="1:3" x14ac:dyDescent="0.3">
      <c r="A171">
        <v>2087</v>
      </c>
      <c r="B171" t="s">
        <v>231</v>
      </c>
      <c r="C171" s="28">
        <v>136983.41950290927</v>
      </c>
    </row>
    <row r="172" spans="1:3" x14ac:dyDescent="0.3">
      <c r="A172">
        <v>1994</v>
      </c>
      <c r="B172" t="s">
        <v>35</v>
      </c>
      <c r="C172" s="28">
        <v>69923.177918089568</v>
      </c>
    </row>
    <row r="173" spans="1:3" x14ac:dyDescent="0.3">
      <c r="A173">
        <v>2225</v>
      </c>
      <c r="B173" t="s">
        <v>232</v>
      </c>
      <c r="C173" s="28">
        <v>13725.942583804657</v>
      </c>
    </row>
    <row r="174" spans="1:3" x14ac:dyDescent="0.3">
      <c r="A174">
        <v>2247</v>
      </c>
      <c r="B174" t="s">
        <v>158</v>
      </c>
      <c r="C174" s="28">
        <v>1469.6009925697911</v>
      </c>
    </row>
    <row r="175" spans="1:3" x14ac:dyDescent="0.3">
      <c r="A175">
        <v>2083</v>
      </c>
      <c r="B175" t="s">
        <v>82</v>
      </c>
      <c r="C175" s="28">
        <v>476720.41905768262</v>
      </c>
    </row>
    <row r="176" spans="1:3" x14ac:dyDescent="0.3">
      <c r="A176">
        <v>1948</v>
      </c>
      <c r="B176" t="s">
        <v>23</v>
      </c>
      <c r="C176" s="28">
        <v>139389.81490344583</v>
      </c>
    </row>
    <row r="177" spans="1:3" x14ac:dyDescent="0.3">
      <c r="A177">
        <v>2144</v>
      </c>
      <c r="B177" t="s">
        <v>117</v>
      </c>
      <c r="C177" s="28">
        <v>8032.066638210812</v>
      </c>
    </row>
    <row r="178" spans="1:3" x14ac:dyDescent="0.3">
      <c r="A178">
        <v>2209</v>
      </c>
      <c r="B178" t="s">
        <v>139</v>
      </c>
      <c r="C178" s="28">
        <v>19668.18551894409</v>
      </c>
    </row>
    <row r="179" spans="1:3" x14ac:dyDescent="0.3">
      <c r="A179">
        <v>2018</v>
      </c>
      <c r="B179" t="s">
        <v>55</v>
      </c>
      <c r="C179" s="28">
        <v>155.50050000000002</v>
      </c>
    </row>
    <row r="180" spans="1:3" x14ac:dyDescent="0.3">
      <c r="A180">
        <v>2003</v>
      </c>
      <c r="B180" t="s">
        <v>43</v>
      </c>
      <c r="C180" s="28">
        <v>60054.772239947008</v>
      </c>
    </row>
    <row r="181" spans="1:3" x14ac:dyDescent="0.3">
      <c r="A181">
        <v>2102</v>
      </c>
      <c r="B181" t="s">
        <v>97</v>
      </c>
      <c r="C181" s="28">
        <v>115760.64875586105</v>
      </c>
    </row>
    <row r="182" spans="1:3" x14ac:dyDescent="0.3">
      <c r="A182">
        <v>2055</v>
      </c>
      <c r="B182" t="s">
        <v>233</v>
      </c>
      <c r="C182" s="28">
        <v>188710.32492689163</v>
      </c>
    </row>
    <row r="183" spans="1:3" x14ac:dyDescent="0.3">
      <c r="A183">
        <v>2242</v>
      </c>
      <c r="B183" t="s">
        <v>154</v>
      </c>
      <c r="C183" s="28">
        <v>384520.11226641416</v>
      </c>
    </row>
    <row r="184" spans="1:3" x14ac:dyDescent="0.3">
      <c r="A184">
        <v>2197</v>
      </c>
      <c r="B184" t="s">
        <v>133</v>
      </c>
      <c r="C184" s="28">
        <v>90182.232309348168</v>
      </c>
    </row>
    <row r="185" spans="1:3" x14ac:dyDescent="0.3">
      <c r="A185">
        <v>2222</v>
      </c>
      <c r="B185" t="s">
        <v>149</v>
      </c>
      <c r="C185" s="28">
        <v>489.48040366036196</v>
      </c>
    </row>
    <row r="186" spans="1:3" x14ac:dyDescent="0.3">
      <c r="A186">
        <v>2210</v>
      </c>
      <c r="B186" t="s">
        <v>234</v>
      </c>
      <c r="C186" s="28">
        <v>1001.9397109810859</v>
      </c>
    </row>
    <row r="187" spans="1:3" x14ac:dyDescent="0.3">
      <c r="A187">
        <v>2204</v>
      </c>
      <c r="B187" t="s">
        <v>235</v>
      </c>
      <c r="C187" s="28">
        <v>39415.808834755844</v>
      </c>
    </row>
    <row r="188" spans="1:3" x14ac:dyDescent="0.3">
      <c r="A188">
        <v>2213</v>
      </c>
      <c r="B188" t="s">
        <v>141</v>
      </c>
      <c r="C188" s="28">
        <v>16342.381615010161</v>
      </c>
    </row>
    <row r="189" spans="1:3" x14ac:dyDescent="0.3">
      <c r="A189">
        <v>2116</v>
      </c>
      <c r="B189" t="s">
        <v>109</v>
      </c>
      <c r="C189" s="28">
        <v>35265.662635170491</v>
      </c>
    </row>
    <row r="190" spans="1:3" x14ac:dyDescent="0.3">
      <c r="A190">
        <v>1947</v>
      </c>
      <c r="B190" t="s">
        <v>22</v>
      </c>
      <c r="C190" s="28">
        <v>24166.631815124212</v>
      </c>
    </row>
    <row r="191" spans="1:3" x14ac:dyDescent="0.3">
      <c r="A191">
        <v>2220</v>
      </c>
      <c r="B191" t="s">
        <v>147</v>
      </c>
      <c r="C191" s="28">
        <v>11264.972993110303</v>
      </c>
    </row>
    <row r="192" spans="1:3" x14ac:dyDescent="0.3">
      <c r="A192">
        <v>1936</v>
      </c>
      <c r="B192" t="s">
        <v>236</v>
      </c>
      <c r="C192" s="28">
        <v>40027.914274466842</v>
      </c>
    </row>
    <row r="193" spans="1:3" x14ac:dyDescent="0.3">
      <c r="A193">
        <v>1922</v>
      </c>
      <c r="B193" t="s">
        <v>237</v>
      </c>
      <c r="C193" s="28">
        <v>279347.79818993277</v>
      </c>
    </row>
    <row r="194" spans="1:3" x14ac:dyDescent="0.3">
      <c r="A194">
        <v>2255</v>
      </c>
      <c r="B194" t="s">
        <v>164</v>
      </c>
      <c r="C194" s="28">
        <v>37571.765638367127</v>
      </c>
    </row>
    <row r="195" spans="1:3" x14ac:dyDescent="0.3">
      <c r="A195">
        <v>2002</v>
      </c>
      <c r="B195" t="s">
        <v>42</v>
      </c>
      <c r="C195" s="28">
        <v>71271.682777337788</v>
      </c>
    </row>
    <row r="196" spans="1:3" x14ac:dyDescent="0.3">
      <c r="A196">
        <v>2146</v>
      </c>
      <c r="B196" t="s">
        <v>119</v>
      </c>
      <c r="C196" s="28">
        <v>181800.92992710238</v>
      </c>
    </row>
    <row r="197" spans="1:3" x14ac:dyDescent="0.3">
      <c r="A197">
        <v>2251</v>
      </c>
      <c r="B197" t="s">
        <v>238</v>
      </c>
      <c r="C197" s="28">
        <v>44629.453174912349</v>
      </c>
    </row>
    <row r="198" spans="1:3" x14ac:dyDescent="0.3">
      <c r="A198">
        <v>1997</v>
      </c>
      <c r="B198" t="s">
        <v>37</v>
      </c>
      <c r="C198" s="28">
        <v>13255.994963252091</v>
      </c>
    </row>
    <row r="199" spans="1:3" x14ac:dyDescent="0.3">
      <c r="A199">
        <v>3476</v>
      </c>
      <c r="B199" t="s">
        <v>239</v>
      </c>
      <c r="C199" s="28">
        <v>8199.342917131582</v>
      </c>
    </row>
    <row r="200" spans="1:3" x14ac:dyDescent="0.3">
      <c r="A200">
        <v>3477</v>
      </c>
      <c r="B200" t="s">
        <v>240</v>
      </c>
      <c r="C200" s="28">
        <v>43894.214866036193</v>
      </c>
    </row>
    <row r="201" spans="1:3" x14ac:dyDescent="0.3">
      <c r="A201">
        <v>2332</v>
      </c>
      <c r="B201" t="s">
        <v>241</v>
      </c>
      <c r="C201" s="28">
        <v>1189.2304036603621</v>
      </c>
    </row>
    <row r="202" spans="1:3" x14ac:dyDescent="0.3">
      <c r="A202">
        <v>5269</v>
      </c>
      <c r="B202" t="s">
        <v>182</v>
      </c>
      <c r="C202" s="28">
        <v>4930.0122714233003</v>
      </c>
    </row>
    <row r="203" spans="1:3" s="2" customFormat="1" x14ac:dyDescent="0.3">
      <c r="B203" t="s">
        <v>184</v>
      </c>
      <c r="C203" s="27">
        <f>SUBTOTAL(109,OtherAmts[Maximum CEIS Reg Awd])</f>
        <v>21652551.497778431</v>
      </c>
    </row>
    <row r="204" spans="1:3" hidden="1" x14ac:dyDescent="0.3">
      <c r="B204" s="2"/>
      <c r="C204" s="2"/>
    </row>
  </sheetData>
  <sheetProtection algorithmName="SHA-512" hashValue="A0YcQfrxg7nNB+iqQ+qlTTtdlREsJ0oKlLkSRBjjP6p4J2qL+ZKaRfPm6rQq2AiaUryEQeI6jIFOpHkW0aqE3A==" saltValue="vIqDbMBO4hkt5WOG7lstUA==" spinCount="100000" sheet="1"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B5BEF-FC36-4E83-BEB9-D92DDCA5818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4031767-dd6d-417c-ab73-583408f47564"/>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BD799C19-D529-4825-85C1-6EE1630A7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Information</vt:lpstr>
      <vt:lpstr>Section 611 Awards 23</vt:lpstr>
      <vt:lpstr>Section 611 Awards 22</vt:lpstr>
      <vt:lpstr>Section 611 Awards LY Comp</vt:lpstr>
      <vt:lpstr>Section 619 Awards LY Comp</vt:lpstr>
      <vt:lpstr>Section 619 Awards 22</vt:lpstr>
      <vt:lpstr>Section 619 Awards 23</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IDEA Flow-Through Estimates</dc:title>
  <dc:subject/>
  <dc:creator>Oregon Department of Education</dc:creator>
  <cp:keywords>IDEA; Flow-through;</cp:keywords>
  <dc:description/>
  <cp:lastModifiedBy>"VermillA"</cp:lastModifiedBy>
  <cp:revision/>
  <cp:lastPrinted>2019-07-08T21:12:13Z</cp:lastPrinted>
  <dcterms:created xsi:type="dcterms:W3CDTF">2019-04-16T19:55:58Z</dcterms:created>
  <dcterms:modified xsi:type="dcterms:W3CDTF">2023-06-23T17:01:29Z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