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0" yWindow="0" windowWidth="22560" windowHeight="10110" tabRatio="375"/>
  </bookViews>
  <sheets>
    <sheet name="B049 entrees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'B049 entrees'!$A$1:$X$161</definedName>
    <definedName name="_xlnm.Print_Titles" localSheetId="0">'B049 entrees'!$1:$3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" l="1"/>
  <c r="M20" i="1"/>
  <c r="U11" i="1" l="1"/>
  <c r="U9" i="1"/>
  <c r="V9" i="1" l="1"/>
  <c r="V11" i="1"/>
  <c r="AA150" i="1"/>
  <c r="AA149" i="1"/>
  <c r="AA148" i="1"/>
  <c r="AA147" i="1"/>
  <c r="AA146" i="1"/>
  <c r="AA145" i="1"/>
  <c r="AA144" i="1"/>
  <c r="AA143" i="1"/>
  <c r="AA142" i="1"/>
  <c r="AA141" i="1"/>
  <c r="AA116" i="1"/>
  <c r="AA115" i="1"/>
  <c r="AA114" i="1"/>
  <c r="AA113" i="1"/>
  <c r="AA112" i="1"/>
  <c r="AA111" i="1"/>
  <c r="AA110" i="1"/>
  <c r="AA109" i="1"/>
  <c r="AA107" i="1"/>
  <c r="AA106" i="1"/>
  <c r="AA105" i="1"/>
  <c r="AA104" i="1"/>
  <c r="AA103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V79" i="1" s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V6" i="1" s="1"/>
  <c r="O109" i="1" l="1"/>
  <c r="S109" i="1" s="1"/>
  <c r="Z109" i="1"/>
  <c r="T109" i="1" s="1"/>
  <c r="U109" i="1" s="1"/>
  <c r="V109" i="1"/>
  <c r="W109" i="1"/>
  <c r="X109" i="1" s="1"/>
  <c r="Z96" i="1" l="1"/>
  <c r="T96" i="1" s="1"/>
  <c r="U96" i="1" s="1"/>
  <c r="AE96" i="1"/>
  <c r="W96" i="1"/>
  <c r="X96" i="1" s="1"/>
  <c r="V96" i="1"/>
  <c r="K96" i="1"/>
  <c r="O96" i="1" s="1"/>
  <c r="S96" i="1" s="1"/>
  <c r="W74" i="1"/>
  <c r="X74" i="1" s="1"/>
  <c r="W73" i="1"/>
  <c r="X73" i="1" s="1"/>
  <c r="V74" i="1"/>
  <c r="Z73" i="1"/>
  <c r="V73" i="1"/>
  <c r="Z74" i="1" l="1"/>
  <c r="T74" i="1"/>
  <c r="U74" i="1" s="1"/>
  <c r="T73" i="1"/>
  <c r="U73" i="1" s="1"/>
  <c r="K74" i="1"/>
  <c r="O74" i="1" s="1"/>
  <c r="S74" i="1" s="1"/>
  <c r="K73" i="1"/>
  <c r="O73" i="1" s="1"/>
  <c r="S73" i="1" s="1"/>
  <c r="M103" i="1"/>
  <c r="I103" i="1"/>
  <c r="K103" i="1" s="1"/>
  <c r="O103" i="1" s="1"/>
  <c r="S103" i="1" s="1"/>
  <c r="E65" i="1"/>
  <c r="E103" i="1" l="1"/>
  <c r="V103" i="1"/>
  <c r="Z103" i="1"/>
  <c r="T103" i="1" s="1"/>
  <c r="U103" i="1" s="1"/>
  <c r="W103" i="1"/>
  <c r="X103" i="1" s="1"/>
  <c r="AE103" i="1"/>
  <c r="E68" i="1"/>
  <c r="W68" i="1"/>
  <c r="X68" i="1" s="1"/>
  <c r="W67" i="1"/>
  <c r="X67" i="1" s="1"/>
  <c r="K68" i="1"/>
  <c r="O68" i="1" s="1"/>
  <c r="S68" i="1" s="1"/>
  <c r="K67" i="1"/>
  <c r="O67" i="1" s="1"/>
  <c r="S67" i="1" s="1"/>
  <c r="AE68" i="1"/>
  <c r="AE67" i="1"/>
  <c r="V68" i="1" l="1"/>
  <c r="V67" i="1"/>
  <c r="Z67" i="1" l="1"/>
  <c r="T67" i="1" s="1"/>
  <c r="U67" i="1" s="1"/>
  <c r="Z68" i="1"/>
  <c r="Z150" i="1"/>
  <c r="Z149" i="1"/>
  <c r="Z148" i="1"/>
  <c r="Z147" i="1"/>
  <c r="Z146" i="1"/>
  <c r="Z145" i="1"/>
  <c r="Z144" i="1"/>
  <c r="Z143" i="1"/>
  <c r="Z142" i="1"/>
  <c r="Z141" i="1"/>
  <c r="Z110" i="1"/>
  <c r="AA99" i="1"/>
  <c r="Z99" i="1" s="1"/>
  <c r="Z76" i="1"/>
  <c r="Z75" i="1"/>
  <c r="Z66" i="1"/>
  <c r="Z65" i="1"/>
  <c r="Z13" i="1"/>
  <c r="Z12" i="1"/>
  <c r="W147" i="1"/>
  <c r="X147" i="1" s="1"/>
  <c r="K147" i="1"/>
  <c r="O147" i="1" s="1"/>
  <c r="S147" i="1" s="1"/>
  <c r="AE66" i="1"/>
  <c r="AE65" i="1"/>
  <c r="T68" i="1" l="1"/>
  <c r="U68" i="1" s="1"/>
  <c r="V147" i="1"/>
  <c r="T147" i="1"/>
  <c r="U147" i="1" s="1"/>
  <c r="W66" i="1"/>
  <c r="X66" i="1" s="1"/>
  <c r="V66" i="1"/>
  <c r="W65" i="1"/>
  <c r="X65" i="1" s="1"/>
  <c r="V65" i="1"/>
  <c r="T66" i="1"/>
  <c r="U66" i="1" s="1"/>
  <c r="T65" i="1"/>
  <c r="U65" i="1" s="1"/>
  <c r="K66" i="1"/>
  <c r="O66" i="1" s="1"/>
  <c r="S66" i="1" s="1"/>
  <c r="K65" i="1"/>
  <c r="O65" i="1" s="1"/>
  <c r="S65" i="1" s="1"/>
  <c r="K150" i="1" l="1"/>
  <c r="O150" i="1" s="1"/>
  <c r="S150" i="1" s="1"/>
  <c r="K149" i="1"/>
  <c r="O149" i="1" s="1"/>
  <c r="S149" i="1" s="1"/>
  <c r="K148" i="1"/>
  <c r="O148" i="1" s="1"/>
  <c r="S148" i="1" s="1"/>
  <c r="K146" i="1"/>
  <c r="O146" i="1" s="1"/>
  <c r="S146" i="1" s="1"/>
  <c r="K145" i="1"/>
  <c r="O145" i="1" s="1"/>
  <c r="S145" i="1" s="1"/>
  <c r="K144" i="1"/>
  <c r="O144" i="1" s="1"/>
  <c r="S144" i="1" s="1"/>
  <c r="K143" i="1"/>
  <c r="O143" i="1" s="1"/>
  <c r="S143" i="1" s="1"/>
  <c r="K142" i="1"/>
  <c r="O142" i="1" s="1"/>
  <c r="S142" i="1" s="1"/>
  <c r="K141" i="1"/>
  <c r="O141" i="1" s="1"/>
  <c r="S141" i="1" s="1"/>
  <c r="W150" i="1"/>
  <c r="X150" i="1" s="1"/>
  <c r="W149" i="1"/>
  <c r="X149" i="1" s="1"/>
  <c r="W148" i="1"/>
  <c r="X148" i="1" s="1"/>
  <c r="W146" i="1"/>
  <c r="X146" i="1" s="1"/>
  <c r="W145" i="1"/>
  <c r="X145" i="1" s="1"/>
  <c r="W144" i="1"/>
  <c r="X144" i="1" s="1"/>
  <c r="W143" i="1"/>
  <c r="X143" i="1" s="1"/>
  <c r="W142" i="1"/>
  <c r="X142" i="1" s="1"/>
  <c r="W141" i="1"/>
  <c r="X141" i="1" s="1"/>
  <c r="M79" i="1" l="1"/>
  <c r="Z79" i="1" s="1"/>
  <c r="M95" i="1" l="1"/>
  <c r="Z95" i="1" s="1"/>
  <c r="I95" i="1" l="1"/>
  <c r="K95" i="1" s="1"/>
  <c r="E95" i="1" l="1"/>
  <c r="O95" i="1"/>
  <c r="S95" i="1" s="1"/>
  <c r="W95" i="1"/>
  <c r="X95" i="1" s="1"/>
  <c r="AE33" i="1"/>
  <c r="I106" i="1"/>
  <c r="K106" i="1" s="1"/>
  <c r="I105" i="1"/>
  <c r="K105" i="1" s="1"/>
  <c r="I104" i="1"/>
  <c r="K104" i="1" s="1"/>
  <c r="I71" i="1"/>
  <c r="I70" i="1"/>
  <c r="K70" i="1" s="1"/>
  <c r="I69" i="1"/>
  <c r="K69" i="1" s="1"/>
  <c r="I107" i="1"/>
  <c r="E107" i="1" s="1"/>
  <c r="K71" i="1" l="1"/>
  <c r="M70" i="1" l="1"/>
  <c r="Z70" i="1" s="1"/>
  <c r="W70" i="1" l="1"/>
  <c r="X70" i="1" s="1"/>
  <c r="O70" i="1"/>
  <c r="S70" i="1" s="1"/>
  <c r="M69" i="1" l="1"/>
  <c r="Z69" i="1" s="1"/>
  <c r="M105" i="1"/>
  <c r="Z105" i="1" s="1"/>
  <c r="W105" i="1" l="1"/>
  <c r="X105" i="1" s="1"/>
  <c r="O105" i="1"/>
  <c r="S105" i="1" s="1"/>
  <c r="W69" i="1"/>
  <c r="X69" i="1" s="1"/>
  <c r="O69" i="1"/>
  <c r="S69" i="1" s="1"/>
  <c r="M106" i="1"/>
  <c r="Z106" i="1" s="1"/>
  <c r="W106" i="1" l="1"/>
  <c r="X106" i="1" s="1"/>
  <c r="O106" i="1"/>
  <c r="S106" i="1" s="1"/>
  <c r="M71" i="1"/>
  <c r="Z71" i="1" s="1"/>
  <c r="M104" i="1"/>
  <c r="Z104" i="1" s="1"/>
  <c r="M107" i="1"/>
  <c r="Z107" i="1" s="1"/>
  <c r="W104" i="1" l="1"/>
  <c r="X104" i="1" s="1"/>
  <c r="O104" i="1"/>
  <c r="S104" i="1" s="1"/>
  <c r="W71" i="1"/>
  <c r="X71" i="1" s="1"/>
  <c r="O71" i="1"/>
  <c r="S71" i="1" s="1"/>
  <c r="W107" i="1" l="1"/>
  <c r="E105" i="1"/>
  <c r="E70" i="1"/>
  <c r="E104" i="1"/>
  <c r="E71" i="1"/>
  <c r="I72" i="1"/>
  <c r="K72" i="1" s="1"/>
  <c r="K107" i="1" l="1"/>
  <c r="O107" i="1" s="1"/>
  <c r="S107" i="1" s="1"/>
  <c r="X107" i="1"/>
  <c r="E69" i="1"/>
  <c r="E106" i="1"/>
  <c r="I115" i="1"/>
  <c r="I88" i="1"/>
  <c r="AC152" i="1" l="1"/>
  <c r="Z153" i="1"/>
  <c r="Z152" i="1"/>
  <c r="I98" i="1" l="1"/>
  <c r="I97" i="1"/>
  <c r="I99" i="1"/>
  <c r="I94" i="1"/>
  <c r="I138" i="1"/>
  <c r="C138" i="1"/>
  <c r="M139" i="1"/>
  <c r="M137" i="1"/>
  <c r="I139" i="1"/>
  <c r="I137" i="1"/>
  <c r="C139" i="1"/>
  <c r="C137" i="1"/>
  <c r="I136" i="1"/>
  <c r="I135" i="1"/>
  <c r="M134" i="1"/>
  <c r="I134" i="1"/>
  <c r="C134" i="1"/>
  <c r="M133" i="1"/>
  <c r="M132" i="1"/>
  <c r="M131" i="1"/>
  <c r="I133" i="1"/>
  <c r="I132" i="1"/>
  <c r="I131" i="1"/>
  <c r="C133" i="1"/>
  <c r="C132" i="1"/>
  <c r="C131" i="1"/>
  <c r="M130" i="1"/>
  <c r="I130" i="1"/>
  <c r="C130" i="1"/>
  <c r="M129" i="1"/>
  <c r="M126" i="1"/>
  <c r="I129" i="1"/>
  <c r="I126" i="1"/>
  <c r="C126" i="1"/>
  <c r="C124" i="1"/>
  <c r="C123" i="1"/>
  <c r="C122" i="1"/>
  <c r="I119" i="1"/>
  <c r="I118" i="1"/>
  <c r="I117" i="1"/>
  <c r="I116" i="1"/>
  <c r="I114" i="1"/>
  <c r="I113" i="1"/>
  <c r="I112" i="1"/>
  <c r="I111" i="1"/>
  <c r="C112" i="1"/>
  <c r="C111" i="1"/>
  <c r="I110" i="1"/>
  <c r="I102" i="1"/>
  <c r="C102" i="1"/>
  <c r="I93" i="1"/>
  <c r="I92" i="1"/>
  <c r="I91" i="1"/>
  <c r="I82" i="1"/>
  <c r="E82" i="1" s="1"/>
  <c r="I87" i="1"/>
  <c r="C87" i="1"/>
  <c r="I81" i="1"/>
  <c r="C81" i="1"/>
  <c r="I80" i="1"/>
  <c r="I75" i="1"/>
  <c r="I100" i="1"/>
  <c r="M90" i="1"/>
  <c r="I90" i="1"/>
  <c r="I89" i="1"/>
  <c r="C90" i="1"/>
  <c r="M62" i="1"/>
  <c r="I62" i="1"/>
  <c r="C62" i="1"/>
  <c r="I61" i="1"/>
  <c r="C61" i="1"/>
  <c r="I50" i="1"/>
  <c r="C50" i="1"/>
  <c r="I49" i="1"/>
  <c r="C49" i="1"/>
  <c r="I48" i="1"/>
  <c r="C48" i="1"/>
  <c r="I47" i="1"/>
  <c r="C47" i="1"/>
  <c r="I46" i="1"/>
  <c r="C46" i="1"/>
  <c r="I38" i="1"/>
  <c r="AC153" i="1"/>
  <c r="I51" i="1"/>
  <c r="C55" i="1"/>
  <c r="C53" i="1"/>
  <c r="C52" i="1"/>
  <c r="C51" i="1"/>
  <c r="I45" i="1"/>
  <c r="I39" i="1"/>
  <c r="I32" i="1"/>
  <c r="I26" i="1"/>
  <c r="C26" i="1"/>
  <c r="I25" i="1"/>
  <c r="C25" i="1"/>
  <c r="I27" i="1"/>
  <c r="C27" i="1"/>
  <c r="I22" i="1"/>
  <c r="I21" i="1"/>
  <c r="C22" i="1"/>
  <c r="C21" i="1"/>
  <c r="M30" i="1"/>
  <c r="M29" i="1"/>
  <c r="M28" i="1"/>
  <c r="I30" i="1"/>
  <c r="I29" i="1"/>
  <c r="I28" i="1"/>
  <c r="I24" i="1"/>
  <c r="I23" i="1"/>
  <c r="I20" i="1"/>
  <c r="I19" i="1"/>
  <c r="I18" i="1"/>
  <c r="I17" i="1"/>
  <c r="I16" i="1"/>
  <c r="I15" i="1"/>
  <c r="I14" i="1"/>
  <c r="C24" i="1"/>
  <c r="C23" i="1"/>
  <c r="C20" i="1"/>
  <c r="C18" i="1"/>
  <c r="C17" i="1"/>
  <c r="C16" i="1"/>
  <c r="C15" i="1"/>
  <c r="C14" i="1"/>
  <c r="C10" i="1"/>
  <c r="C5" i="1"/>
  <c r="C4" i="1"/>
  <c r="I8" i="1"/>
  <c r="B10" i="1"/>
  <c r="B5" i="1"/>
  <c r="B4" i="1"/>
  <c r="T141" i="1" l="1"/>
  <c r="U141" i="1" s="1"/>
  <c r="V150" i="1"/>
  <c r="T150" i="1" s="1"/>
  <c r="U150" i="1" s="1"/>
  <c r="V143" i="1"/>
  <c r="T143" i="1" s="1"/>
  <c r="U143" i="1" s="1"/>
  <c r="T149" i="1"/>
  <c r="U149" i="1" s="1"/>
  <c r="V148" i="1"/>
  <c r="T148" i="1" s="1"/>
  <c r="U148" i="1" s="1"/>
  <c r="T144" i="1"/>
  <c r="U144" i="1" s="1"/>
  <c r="T142" i="1"/>
  <c r="U142" i="1" s="1"/>
  <c r="V146" i="1"/>
  <c r="T146" i="1" s="1"/>
  <c r="U146" i="1" s="1"/>
  <c r="T145" i="1"/>
  <c r="U145" i="1" s="1"/>
  <c r="V69" i="1"/>
  <c r="T69" i="1" s="1"/>
  <c r="U69" i="1" s="1"/>
  <c r="AE106" i="1"/>
  <c r="V106" i="1"/>
  <c r="T106" i="1" s="1"/>
  <c r="U106" i="1" s="1"/>
  <c r="V104" i="1"/>
  <c r="T104" i="1" s="1"/>
  <c r="U104" i="1" s="1"/>
  <c r="AE104" i="1"/>
  <c r="AE105" i="1"/>
  <c r="V105" i="1"/>
  <c r="T105" i="1" s="1"/>
  <c r="U105" i="1" s="1"/>
  <c r="V107" i="1"/>
  <c r="T107" i="1" s="1"/>
  <c r="U107" i="1" s="1"/>
  <c r="AE107" i="1"/>
  <c r="AE71" i="1"/>
  <c r="V71" i="1"/>
  <c r="T71" i="1" s="1"/>
  <c r="U71" i="1" s="1"/>
  <c r="AE70" i="1"/>
  <c r="V70" i="1"/>
  <c r="T70" i="1" s="1"/>
  <c r="U70" i="1" s="1"/>
  <c r="M61" i="1"/>
  <c r="K98" i="1"/>
  <c r="K97" i="1"/>
  <c r="E97" i="1"/>
  <c r="K100" i="1"/>
  <c r="K99" i="1"/>
  <c r="AE69" i="1" l="1"/>
  <c r="T95" i="1"/>
  <c r="U95" i="1" s="1"/>
  <c r="AE95" i="1" s="1"/>
  <c r="V95" i="1"/>
  <c r="K94" i="1"/>
  <c r="C93" i="1" l="1"/>
  <c r="M112" i="1"/>
  <c r="Z118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5" i="1"/>
  <c r="Z4" i="1"/>
  <c r="E119" i="1" l="1"/>
  <c r="K118" i="1"/>
  <c r="E118" i="1"/>
  <c r="M93" i="1" l="1"/>
  <c r="K119" i="1"/>
  <c r="T118" i="1"/>
  <c r="U118" i="1" s="1"/>
  <c r="K50" i="1"/>
  <c r="C91" i="1" l="1"/>
  <c r="C92" i="1"/>
  <c r="C80" i="1"/>
  <c r="E49" i="1"/>
  <c r="K49" i="1"/>
  <c r="E50" i="1"/>
  <c r="K89" i="1" l="1"/>
  <c r="M92" i="1" l="1"/>
  <c r="K27" i="1"/>
  <c r="E27" i="1"/>
  <c r="K22" i="1"/>
  <c r="E22" i="1"/>
  <c r="M91" i="1" l="1"/>
  <c r="E48" i="1"/>
  <c r="K26" i="1"/>
  <c r="K25" i="1"/>
  <c r="K21" i="1"/>
  <c r="C58" i="1"/>
  <c r="E24" i="1"/>
  <c r="K129" i="1"/>
  <c r="K126" i="1"/>
  <c r="K136" i="1"/>
  <c r="E135" i="1"/>
  <c r="K39" i="1"/>
  <c r="K32" i="1"/>
  <c r="K139" i="1"/>
  <c r="K137" i="1"/>
  <c r="K134" i="1"/>
  <c r="E132" i="1"/>
  <c r="M42" i="1"/>
  <c r="I42" i="1"/>
  <c r="K42" i="1" s="1"/>
  <c r="C42" i="1"/>
  <c r="M41" i="1"/>
  <c r="I41" i="1"/>
  <c r="K41" i="1" s="1"/>
  <c r="C41" i="1"/>
  <c r="K38" i="1"/>
  <c r="W30" i="1"/>
  <c r="X30" i="1" s="1"/>
  <c r="W29" i="1"/>
  <c r="K28" i="1"/>
  <c r="O28" i="1" s="1"/>
  <c r="K24" i="1"/>
  <c r="E23" i="1"/>
  <c r="K20" i="1"/>
  <c r="K19" i="1"/>
  <c r="K14" i="1"/>
  <c r="E16" i="1"/>
  <c r="K8" i="1"/>
  <c r="K62" i="1"/>
  <c r="K138" i="1"/>
  <c r="V31" i="1"/>
  <c r="I44" i="1"/>
  <c r="K44" i="1" s="1"/>
  <c r="M37" i="1"/>
  <c r="I37" i="1"/>
  <c r="E37" i="1" s="1"/>
  <c r="I35" i="1"/>
  <c r="I43" i="1"/>
  <c r="M36" i="1"/>
  <c r="I36" i="1"/>
  <c r="E36" i="1" s="1"/>
  <c r="I34" i="1"/>
  <c r="I40" i="1"/>
  <c r="I31" i="1"/>
  <c r="K31" i="1" s="1"/>
  <c r="O31" i="1" s="1"/>
  <c r="S31" i="1" s="1"/>
  <c r="K77" i="1"/>
  <c r="E77" i="1"/>
  <c r="K76" i="1"/>
  <c r="E76" i="1"/>
  <c r="K75" i="1"/>
  <c r="E75" i="1"/>
  <c r="M64" i="1"/>
  <c r="AA64" i="1" s="1"/>
  <c r="W127" i="1"/>
  <c r="X127" i="1" s="1"/>
  <c r="AS127" i="1"/>
  <c r="W128" i="1"/>
  <c r="X128" i="1" s="1"/>
  <c r="AS128" i="1"/>
  <c r="K124" i="1"/>
  <c r="F63" i="1"/>
  <c r="AS129" i="1"/>
  <c r="AS134" i="1"/>
  <c r="I121" i="1"/>
  <c r="K121" i="1" s="1"/>
  <c r="F121" i="1"/>
  <c r="D121" i="1"/>
  <c r="C121" i="1"/>
  <c r="B121" i="1"/>
  <c r="A121" i="1"/>
  <c r="AK126" i="1"/>
  <c r="AL134" i="1"/>
  <c r="E64" i="1"/>
  <c r="K64" i="1"/>
  <c r="B32" i="1"/>
  <c r="K85" i="1"/>
  <c r="C45" i="1"/>
  <c r="E45" i="1" s="1"/>
  <c r="D45" i="1"/>
  <c r="W111" i="1"/>
  <c r="W110" i="1"/>
  <c r="K83" i="1"/>
  <c r="K84" i="1"/>
  <c r="K86" i="1"/>
  <c r="K122" i="1"/>
  <c r="K123" i="1"/>
  <c r="E85" i="1"/>
  <c r="E86" i="1"/>
  <c r="E84" i="1"/>
  <c r="E83" i="1"/>
  <c r="D18" i="1"/>
  <c r="D19" i="1" s="1"/>
  <c r="D15" i="1"/>
  <c r="D17" i="1" s="1"/>
  <c r="D23" i="1" s="1"/>
  <c r="W102" i="1"/>
  <c r="AF126" i="1"/>
  <c r="AF130" i="1"/>
  <c r="AH130" i="1"/>
  <c r="AF134" i="1"/>
  <c r="AG134" i="1"/>
  <c r="E137" i="1"/>
  <c r="E139" i="1"/>
  <c r="W40" i="1"/>
  <c r="W31" i="1"/>
  <c r="K127" i="1"/>
  <c r="O127" i="1" s="1"/>
  <c r="S127" i="1" s="1"/>
  <c r="T124" i="1"/>
  <c r="U124" i="1" s="1"/>
  <c r="T122" i="1"/>
  <c r="U122" i="1" s="1"/>
  <c r="T123" i="1"/>
  <c r="U123" i="1" s="1"/>
  <c r="K46" i="1"/>
  <c r="K128" i="1"/>
  <c r="O128" i="1" s="1"/>
  <c r="S128" i="1" s="1"/>
  <c r="E32" i="1"/>
  <c r="E134" i="1"/>
  <c r="K135" i="1"/>
  <c r="K16" i="1"/>
  <c r="C56" i="1"/>
  <c r="K48" i="1"/>
  <c r="V29" i="1"/>
  <c r="E47" i="1"/>
  <c r="K47" i="1"/>
  <c r="E25" i="1"/>
  <c r="E26" i="1"/>
  <c r="I53" i="1"/>
  <c r="K53" i="1" s="1"/>
  <c r="I59" i="1"/>
  <c r="K59" i="1" s="1"/>
  <c r="I52" i="1"/>
  <c r="E20" i="1"/>
  <c r="V30" i="1"/>
  <c r="T139" i="1"/>
  <c r="U139" i="1" s="1"/>
  <c r="V110" i="1"/>
  <c r="V111" i="1"/>
  <c r="AA128" i="1"/>
  <c r="V128" i="1" s="1"/>
  <c r="E136" i="1"/>
  <c r="K132" i="1"/>
  <c r="E21" i="1"/>
  <c r="K33" i="1"/>
  <c r="AA102" i="1"/>
  <c r="V102" i="1" s="1"/>
  <c r="E46" i="1"/>
  <c r="T138" i="1"/>
  <c r="U138" i="1" s="1"/>
  <c r="AA127" i="1"/>
  <c r="V127" i="1" s="1"/>
  <c r="E39" i="1"/>
  <c r="I63" i="1"/>
  <c r="E63" i="1" s="1"/>
  <c r="K15" i="1"/>
  <c r="E51" i="1"/>
  <c r="I58" i="1"/>
  <c r="E15" i="1"/>
  <c r="W28" i="1"/>
  <c r="X28" i="1" s="1"/>
  <c r="V28" i="1"/>
  <c r="K90" i="1"/>
  <c r="K30" i="1"/>
  <c r="O30" i="1" s="1"/>
  <c r="E130" i="1"/>
  <c r="K130" i="1"/>
  <c r="V40" i="1"/>
  <c r="K61" i="1"/>
  <c r="K45" i="1"/>
  <c r="K18" i="1"/>
  <c r="E18" i="1"/>
  <c r="K133" i="1"/>
  <c r="E133" i="1"/>
  <c r="W64" i="1" l="1"/>
  <c r="X64" i="1" s="1"/>
  <c r="W42" i="1"/>
  <c r="V42" i="1"/>
  <c r="W37" i="1"/>
  <c r="X37" i="1" s="1"/>
  <c r="V37" i="1"/>
  <c r="W41" i="1"/>
  <c r="X41" i="1" s="1"/>
  <c r="V41" i="1"/>
  <c r="W36" i="1"/>
  <c r="X36" i="1" s="1"/>
  <c r="V36" i="1"/>
  <c r="K37" i="1"/>
  <c r="O37" i="1" s="1"/>
  <c r="S37" i="1" s="1"/>
  <c r="O41" i="1"/>
  <c r="S41" i="1" s="1"/>
  <c r="E41" i="1"/>
  <c r="K36" i="1"/>
  <c r="O36" i="1" s="1"/>
  <c r="S36" i="1" s="1"/>
  <c r="E44" i="1"/>
  <c r="E35" i="1"/>
  <c r="K43" i="1"/>
  <c r="E34" i="1"/>
  <c r="E43" i="1"/>
  <c r="K34" i="1"/>
  <c r="E31" i="1"/>
  <c r="E58" i="1"/>
  <c r="E121" i="1"/>
  <c r="O42" i="1"/>
  <c r="S42" i="1" s="1"/>
  <c r="E59" i="1"/>
  <c r="E53" i="1"/>
  <c r="K63" i="1"/>
  <c r="K17" i="1"/>
  <c r="T137" i="1"/>
  <c r="U137" i="1" s="1"/>
  <c r="C60" i="1"/>
  <c r="C57" i="1"/>
  <c r="E52" i="1"/>
  <c r="K131" i="1"/>
  <c r="E17" i="1"/>
  <c r="K58" i="1"/>
  <c r="I55" i="1"/>
  <c r="I60" i="1"/>
  <c r="I57" i="1"/>
  <c r="I54" i="1"/>
  <c r="K51" i="1"/>
  <c r="I56" i="1"/>
  <c r="K23" i="1"/>
  <c r="E131" i="1"/>
  <c r="X42" i="1"/>
  <c r="E14" i="1"/>
  <c r="K52" i="1"/>
  <c r="E40" i="1"/>
  <c r="K40" i="1"/>
  <c r="O40" i="1" s="1"/>
  <c r="S40" i="1" s="1"/>
  <c r="K29" i="1"/>
  <c r="O29" i="1" s="1"/>
  <c r="X29" i="1"/>
  <c r="E42" i="1"/>
  <c r="X31" i="1"/>
  <c r="X40" i="1"/>
  <c r="O64" i="1"/>
  <c r="S64" i="1" s="1"/>
  <c r="K35" i="1"/>
  <c r="M121" i="1"/>
  <c r="K60" i="1" l="1"/>
  <c r="V64" i="1"/>
  <c r="E57" i="1"/>
  <c r="E60" i="1"/>
  <c r="K54" i="1"/>
  <c r="E54" i="1"/>
  <c r="K55" i="1"/>
  <c r="K56" i="1"/>
  <c r="E56" i="1"/>
  <c r="K57" i="1"/>
  <c r="E55" i="1"/>
  <c r="W121" i="1"/>
  <c r="X121" i="1" s="1"/>
  <c r="AA121" i="1"/>
  <c r="O121" i="1"/>
  <c r="S121" i="1" s="1"/>
  <c r="V121" i="1" l="1"/>
  <c r="E90" i="1" l="1"/>
  <c r="W90" i="1" l="1"/>
  <c r="X90" i="1" s="1"/>
  <c r="O90" i="1"/>
  <c r="S90" i="1" s="1"/>
  <c r="V90" i="1" l="1"/>
  <c r="T126" i="1" l="1"/>
  <c r="U126" i="1" s="1"/>
  <c r="T131" i="1"/>
  <c r="U131" i="1" s="1"/>
  <c r="T134" i="1"/>
  <c r="U134" i="1" s="1"/>
  <c r="T130" i="1" l="1"/>
  <c r="U130" i="1" s="1"/>
  <c r="T132" i="1"/>
  <c r="U132" i="1" s="1"/>
  <c r="T136" i="1"/>
  <c r="U136" i="1" s="1"/>
  <c r="T135" i="1"/>
  <c r="U135" i="1" s="1"/>
  <c r="T133" i="1"/>
  <c r="U133" i="1" s="1"/>
  <c r="T128" i="1"/>
  <c r="U128" i="1" s="1"/>
  <c r="AD128" i="1" s="1"/>
  <c r="T127" i="1"/>
  <c r="U127" i="1" s="1"/>
  <c r="AD127" i="1" s="1"/>
  <c r="T129" i="1"/>
  <c r="U129" i="1" s="1"/>
  <c r="K82" i="1" l="1"/>
  <c r="E61" i="1"/>
  <c r="E62" i="1" l="1"/>
  <c r="O133" i="1"/>
  <c r="S133" i="1" s="1"/>
  <c r="W133" i="1"/>
  <c r="X133" i="1" s="1"/>
  <c r="AA133" i="1"/>
  <c r="E102" i="1"/>
  <c r="K87" i="1"/>
  <c r="K88" i="1"/>
  <c r="K91" i="1"/>
  <c r="K92" i="1"/>
  <c r="K93" i="1"/>
  <c r="O134" i="1"/>
  <c r="S134" i="1" s="1"/>
  <c r="W134" i="1"/>
  <c r="X134" i="1" s="1"/>
  <c r="AA134" i="1"/>
  <c r="X110" i="1"/>
  <c r="K110" i="1"/>
  <c r="O110" i="1" s="1"/>
  <c r="S110" i="1" s="1"/>
  <c r="K113" i="1"/>
  <c r="E122" i="1"/>
  <c r="E124" i="1"/>
  <c r="E123" i="1"/>
  <c r="K80" i="1"/>
  <c r="T102" i="1"/>
  <c r="U102" i="1" s="1"/>
  <c r="AD102" i="1" s="1"/>
  <c r="K102" i="1"/>
  <c r="O102" i="1" s="1"/>
  <c r="S102" i="1" s="1"/>
  <c r="X102" i="1"/>
  <c r="E81" i="1" l="1"/>
  <c r="E111" i="1"/>
  <c r="K112" i="1"/>
  <c r="O129" i="1"/>
  <c r="S129" i="1" s="1"/>
  <c r="M138" i="1"/>
  <c r="AA129" i="1"/>
  <c r="W129" i="1"/>
  <c r="X129" i="1" s="1"/>
  <c r="W139" i="1"/>
  <c r="X139" i="1" s="1"/>
  <c r="O139" i="1"/>
  <c r="S139" i="1" s="1"/>
  <c r="AA139" i="1"/>
  <c r="E115" i="1"/>
  <c r="K115" i="1"/>
  <c r="E87" i="1"/>
  <c r="K114" i="1"/>
  <c r="AD134" i="1"/>
  <c r="V134" i="1"/>
  <c r="E112" i="1"/>
  <c r="K81" i="1"/>
  <c r="O126" i="1"/>
  <c r="S126" i="1" s="1"/>
  <c r="W126" i="1"/>
  <c r="X126" i="1" s="1"/>
  <c r="AA126" i="1"/>
  <c r="O132" i="1"/>
  <c r="S132" i="1" s="1"/>
  <c r="W132" i="1"/>
  <c r="X132" i="1" s="1"/>
  <c r="AA132" i="1"/>
  <c r="AA130" i="1"/>
  <c r="O130" i="1"/>
  <c r="S130" i="1" s="1"/>
  <c r="W130" i="1"/>
  <c r="X130" i="1" s="1"/>
  <c r="E117" i="1"/>
  <c r="K117" i="1"/>
  <c r="K111" i="1"/>
  <c r="O111" i="1" s="1"/>
  <c r="S111" i="1" s="1"/>
  <c r="X111" i="1"/>
  <c r="K116" i="1"/>
  <c r="AD133" i="1"/>
  <c r="V133" i="1"/>
  <c r="O137" i="1"/>
  <c r="S137" i="1" s="1"/>
  <c r="AA137" i="1"/>
  <c r="W137" i="1"/>
  <c r="X137" i="1" s="1"/>
  <c r="O131" i="1"/>
  <c r="S131" i="1" s="1"/>
  <c r="AA131" i="1"/>
  <c r="W131" i="1"/>
  <c r="X131" i="1" s="1"/>
  <c r="V131" i="1" l="1"/>
  <c r="AD131" i="1"/>
  <c r="AD137" i="1"/>
  <c r="V137" i="1"/>
  <c r="AD130" i="1"/>
  <c r="V130" i="1"/>
  <c r="O112" i="1"/>
  <c r="S112" i="1" s="1"/>
  <c r="V132" i="1"/>
  <c r="AD132" i="1"/>
  <c r="V126" i="1"/>
  <c r="AD126" i="1"/>
  <c r="AD139" i="1"/>
  <c r="V139" i="1"/>
  <c r="V129" i="1"/>
  <c r="AD129" i="1"/>
  <c r="O138" i="1"/>
  <c r="S138" i="1" s="1"/>
  <c r="AA138" i="1"/>
  <c r="W138" i="1"/>
  <c r="X138" i="1" s="1"/>
  <c r="AD138" i="1" l="1"/>
  <c r="V138" i="1"/>
  <c r="W112" i="1"/>
  <c r="X112" i="1" s="1"/>
  <c r="M63" i="1"/>
  <c r="AA63" i="1" s="1"/>
  <c r="O62" i="1"/>
  <c r="S62" i="1" s="1"/>
  <c r="W62" i="1"/>
  <c r="X62" i="1" s="1"/>
  <c r="V62" i="1" l="1"/>
  <c r="O63" i="1"/>
  <c r="S63" i="1" s="1"/>
  <c r="V63" i="1"/>
  <c r="W63" i="1"/>
  <c r="X63" i="1" s="1"/>
  <c r="V112" i="1"/>
  <c r="O61" i="1"/>
  <c r="S61" i="1" s="1"/>
  <c r="W61" i="1"/>
  <c r="X61" i="1" s="1"/>
  <c r="V61" i="1" l="1"/>
  <c r="E93" i="1" l="1"/>
  <c r="E92" i="1" l="1"/>
  <c r="E91" i="1"/>
  <c r="E80" i="1"/>
  <c r="W93" i="1" l="1"/>
  <c r="X93" i="1" s="1"/>
  <c r="O93" i="1"/>
  <c r="S93" i="1" s="1"/>
  <c r="V93" i="1" l="1"/>
  <c r="W92" i="1" l="1"/>
  <c r="X92" i="1" s="1"/>
  <c r="O92" i="1"/>
  <c r="S92" i="1" s="1"/>
  <c r="W91" i="1"/>
  <c r="X91" i="1" s="1"/>
  <c r="O91" i="1"/>
  <c r="S91" i="1" s="1"/>
  <c r="V91" i="1" l="1"/>
  <c r="V92" i="1"/>
  <c r="M80" i="1" l="1"/>
  <c r="O80" i="1" l="1"/>
  <c r="S80" i="1" s="1"/>
  <c r="W80" i="1"/>
  <c r="X80" i="1" s="1"/>
  <c r="V80" i="1"/>
  <c r="AF80" i="1" s="1"/>
  <c r="T110" i="1" l="1"/>
  <c r="U110" i="1" s="1"/>
  <c r="C72" i="1" l="1"/>
  <c r="E72" i="1" s="1"/>
  <c r="M54" i="1"/>
  <c r="Z54" i="1" s="1"/>
  <c r="T54" i="1" s="1"/>
  <c r="U54" i="1" s="1"/>
  <c r="M18" i="1" l="1"/>
  <c r="M55" i="1"/>
  <c r="O55" i="1" s="1"/>
  <c r="S55" i="1" s="1"/>
  <c r="C30" i="1"/>
  <c r="E30" i="1" s="1"/>
  <c r="I10" i="1"/>
  <c r="M25" i="1"/>
  <c r="M32" i="1"/>
  <c r="C8" i="1"/>
  <c r="E8" i="1" s="1"/>
  <c r="M58" i="1"/>
  <c r="Z58" i="1" s="1"/>
  <c r="T58" i="1" s="1"/>
  <c r="U58" i="1" s="1"/>
  <c r="M72" i="1"/>
  <c r="Z72" i="1" s="1"/>
  <c r="M26" i="1"/>
  <c r="Z26" i="1" s="1"/>
  <c r="M43" i="1"/>
  <c r="M97" i="1"/>
  <c r="M118" i="1"/>
  <c r="O118" i="1" s="1"/>
  <c r="S118" i="1" s="1"/>
  <c r="M57" i="1"/>
  <c r="W76" i="1"/>
  <c r="X76" i="1" s="1"/>
  <c r="M53" i="1"/>
  <c r="M136" i="1"/>
  <c r="M49" i="1"/>
  <c r="Z49" i="1" s="1"/>
  <c r="T49" i="1" s="1"/>
  <c r="U49" i="1" s="1"/>
  <c r="M48" i="1"/>
  <c r="W99" i="1"/>
  <c r="X99" i="1" s="1"/>
  <c r="I6" i="1"/>
  <c r="M51" i="1"/>
  <c r="Z51" i="1" s="1"/>
  <c r="T51" i="1" s="1"/>
  <c r="U51" i="1" s="1"/>
  <c r="M27" i="1"/>
  <c r="Z27" i="1" s="1"/>
  <c r="M52" i="1"/>
  <c r="Z52" i="1" s="1"/>
  <c r="T52" i="1" s="1"/>
  <c r="U52" i="1" s="1"/>
  <c r="M44" i="1"/>
  <c r="I7" i="1"/>
  <c r="M56" i="1"/>
  <c r="Z56" i="1" s="1"/>
  <c r="T56" i="1" s="1"/>
  <c r="U56" i="1" s="1"/>
  <c r="W54" i="1"/>
  <c r="X54" i="1" s="1"/>
  <c r="O54" i="1"/>
  <c r="S54" i="1" s="1"/>
  <c r="M89" i="1"/>
  <c r="M100" i="1"/>
  <c r="AA100" i="1" s="1"/>
  <c r="Z100" i="1" s="1"/>
  <c r="M59" i="1"/>
  <c r="Z59" i="1" s="1"/>
  <c r="T59" i="1" s="1"/>
  <c r="U59" i="1" s="1"/>
  <c r="W118" i="1"/>
  <c r="X118" i="1" s="1"/>
  <c r="Z20" i="1"/>
  <c r="M135" i="1"/>
  <c r="C29" i="1"/>
  <c r="E29" i="1" s="1"/>
  <c r="C28" i="1"/>
  <c r="E28" i="1" s="1"/>
  <c r="C38" i="1"/>
  <c r="E38" i="1" s="1"/>
  <c r="C9" i="1"/>
  <c r="C11" i="1"/>
  <c r="I9" i="1"/>
  <c r="I11" i="1"/>
  <c r="O72" i="1"/>
  <c r="S72" i="1" s="1"/>
  <c r="C7" i="1"/>
  <c r="C6" i="1"/>
  <c r="I79" i="1"/>
  <c r="I78" i="1"/>
  <c r="E78" i="1" s="1"/>
  <c r="I4" i="1"/>
  <c r="I5" i="1"/>
  <c r="C89" i="1"/>
  <c r="E89" i="1" s="1"/>
  <c r="C100" i="1"/>
  <c r="E100" i="1" s="1"/>
  <c r="C136" i="1"/>
  <c r="C135" i="1"/>
  <c r="W97" i="1" l="1"/>
  <c r="X97" i="1" s="1"/>
  <c r="AA97" i="1"/>
  <c r="Z97" i="1" s="1"/>
  <c r="T97" i="1" s="1"/>
  <c r="U97" i="1" s="1"/>
  <c r="AE97" i="1" s="1"/>
  <c r="O32" i="1"/>
  <c r="S32" i="1" s="1"/>
  <c r="O43" i="1"/>
  <c r="S43" i="1" s="1"/>
  <c r="W53" i="1"/>
  <c r="X53" i="1" s="1"/>
  <c r="Z53" i="1"/>
  <c r="T53" i="1" s="1"/>
  <c r="U53" i="1" s="1"/>
  <c r="W57" i="1"/>
  <c r="X57" i="1" s="1"/>
  <c r="Z57" i="1"/>
  <c r="T57" i="1" s="1"/>
  <c r="U57" i="1" s="1"/>
  <c r="W55" i="1"/>
  <c r="X55" i="1" s="1"/>
  <c r="Z55" i="1"/>
  <c r="T55" i="1" s="1"/>
  <c r="U55" i="1" s="1"/>
  <c r="O48" i="1"/>
  <c r="S48" i="1" s="1"/>
  <c r="Z48" i="1"/>
  <c r="T48" i="1" s="1"/>
  <c r="U48" i="1" s="1"/>
  <c r="AE55" i="1"/>
  <c r="AA118" i="1"/>
  <c r="AD118" i="1" s="1"/>
  <c r="W26" i="1"/>
  <c r="X26" i="1" s="1"/>
  <c r="W43" i="1"/>
  <c r="X43" i="1" s="1"/>
  <c r="K10" i="1"/>
  <c r="W49" i="1"/>
  <c r="X49" i="1" s="1"/>
  <c r="AE48" i="1"/>
  <c r="E10" i="1"/>
  <c r="AE57" i="1"/>
  <c r="O58" i="1"/>
  <c r="S58" i="1" s="1"/>
  <c r="V58" i="1"/>
  <c r="W58" i="1"/>
  <c r="X58" i="1" s="1"/>
  <c r="M60" i="1"/>
  <c r="M4" i="1"/>
  <c r="M5" i="1"/>
  <c r="W5" i="1" s="1"/>
  <c r="X5" i="1" s="1"/>
  <c r="O99" i="1"/>
  <c r="S99" i="1" s="1"/>
  <c r="W48" i="1"/>
  <c r="X48" i="1" s="1"/>
  <c r="O97" i="1"/>
  <c r="S97" i="1" s="1"/>
  <c r="T99" i="1"/>
  <c r="U99" i="1" s="1"/>
  <c r="AE99" i="1" s="1"/>
  <c r="M24" i="1"/>
  <c r="W24" i="1" s="1"/>
  <c r="X24" i="1" s="1"/>
  <c r="O49" i="1"/>
  <c r="S49" i="1" s="1"/>
  <c r="M8" i="1"/>
  <c r="M7" i="1"/>
  <c r="V76" i="1"/>
  <c r="AF76" i="1" s="1"/>
  <c r="M34" i="1"/>
  <c r="M35" i="1"/>
  <c r="M33" i="1"/>
  <c r="O25" i="1"/>
  <c r="S25" i="1" s="1"/>
  <c r="W25" i="1"/>
  <c r="X25" i="1" s="1"/>
  <c r="V25" i="1"/>
  <c r="W18" i="1"/>
  <c r="X18" i="1" s="1"/>
  <c r="O18" i="1"/>
  <c r="S18" i="1" s="1"/>
  <c r="V18" i="1"/>
  <c r="M22" i="1"/>
  <c r="Z22" i="1" s="1"/>
  <c r="O26" i="1"/>
  <c r="S26" i="1" s="1"/>
  <c r="O53" i="1"/>
  <c r="S53" i="1" s="1"/>
  <c r="M115" i="1"/>
  <c r="O57" i="1"/>
  <c r="S57" i="1" s="1"/>
  <c r="Z21" i="1"/>
  <c r="M6" i="1"/>
  <c r="Z6" i="1" s="1"/>
  <c r="W72" i="1"/>
  <c r="X72" i="1" s="1"/>
  <c r="M114" i="1"/>
  <c r="M50" i="1"/>
  <c r="Z50" i="1" s="1"/>
  <c r="T50" i="1" s="1"/>
  <c r="U50" i="1" s="1"/>
  <c r="O76" i="1"/>
  <c r="S76" i="1" s="1"/>
  <c r="M77" i="1"/>
  <c r="M45" i="1"/>
  <c r="K79" i="1"/>
  <c r="K4" i="1"/>
  <c r="T4" i="1"/>
  <c r="U4" i="1" s="1"/>
  <c r="E4" i="1"/>
  <c r="M98" i="1"/>
  <c r="AA98" i="1" s="1"/>
  <c r="Z98" i="1" s="1"/>
  <c r="O136" i="1"/>
  <c r="S136" i="1" s="1"/>
  <c r="W136" i="1"/>
  <c r="X136" i="1" s="1"/>
  <c r="AA136" i="1"/>
  <c r="V26" i="1"/>
  <c r="O59" i="1"/>
  <c r="S59" i="1" s="1"/>
  <c r="W59" i="1"/>
  <c r="X59" i="1" s="1"/>
  <c r="V54" i="1"/>
  <c r="AE54" i="1"/>
  <c r="E7" i="1"/>
  <c r="K7" i="1"/>
  <c r="W135" i="1"/>
  <c r="X135" i="1" s="1"/>
  <c r="O135" i="1"/>
  <c r="S135" i="1" s="1"/>
  <c r="AA135" i="1"/>
  <c r="M46" i="1"/>
  <c r="O100" i="1"/>
  <c r="S100" i="1" s="1"/>
  <c r="W100" i="1"/>
  <c r="X100" i="1" s="1"/>
  <c r="E6" i="1"/>
  <c r="K6" i="1"/>
  <c r="W44" i="1"/>
  <c r="X44" i="1" s="1"/>
  <c r="O44" i="1"/>
  <c r="S44" i="1" s="1"/>
  <c r="O27" i="1"/>
  <c r="S27" i="1" s="1"/>
  <c r="W27" i="1"/>
  <c r="X27" i="1" s="1"/>
  <c r="K78" i="1"/>
  <c r="T72" i="1"/>
  <c r="U72" i="1" s="1"/>
  <c r="AE72" i="1" s="1"/>
  <c r="V72" i="1"/>
  <c r="W89" i="1"/>
  <c r="X89" i="1" s="1"/>
  <c r="O89" i="1"/>
  <c r="S89" i="1" s="1"/>
  <c r="V32" i="1"/>
  <c r="M39" i="1"/>
  <c r="E11" i="1"/>
  <c r="K11" i="1"/>
  <c r="M94" i="1"/>
  <c r="Z94" i="1" s="1"/>
  <c r="E5" i="1"/>
  <c r="K5" i="1"/>
  <c r="T5" i="1"/>
  <c r="U5" i="1" s="1"/>
  <c r="E9" i="1"/>
  <c r="K9" i="1"/>
  <c r="AE58" i="1"/>
  <c r="W20" i="1"/>
  <c r="X20" i="1" s="1"/>
  <c r="O20" i="1"/>
  <c r="S20" i="1" s="1"/>
  <c r="AH20" i="1"/>
  <c r="AI20" i="1" s="1"/>
  <c r="O56" i="1"/>
  <c r="S56" i="1" s="1"/>
  <c r="W56" i="1"/>
  <c r="X56" i="1" s="1"/>
  <c r="V49" i="1"/>
  <c r="AE49" i="1"/>
  <c r="O52" i="1"/>
  <c r="S52" i="1" s="1"/>
  <c r="W52" i="1"/>
  <c r="X52" i="1" s="1"/>
  <c r="O51" i="1"/>
  <c r="S51" i="1" s="1"/>
  <c r="W51" i="1"/>
  <c r="X51" i="1" s="1"/>
  <c r="S152" i="1" l="1"/>
  <c r="V55" i="1"/>
  <c r="V97" i="1"/>
  <c r="V53" i="1"/>
  <c r="V118" i="1"/>
  <c r="W32" i="1"/>
  <c r="X32" i="1" s="1"/>
  <c r="Z33" i="1"/>
  <c r="W115" i="1"/>
  <c r="X115" i="1" s="1"/>
  <c r="Z115" i="1"/>
  <c r="O35" i="1"/>
  <c r="S35" i="1" s="1"/>
  <c r="O24" i="1"/>
  <c r="S24" i="1" s="1"/>
  <c r="Z24" i="1"/>
  <c r="Z114" i="1"/>
  <c r="T114" i="1" s="1"/>
  <c r="U114" i="1" s="1"/>
  <c r="W34" i="1"/>
  <c r="X34" i="1" s="1"/>
  <c r="Z60" i="1"/>
  <c r="T60" i="1" s="1"/>
  <c r="U60" i="1" s="1"/>
  <c r="W6" i="1"/>
  <c r="X6" i="1" s="1"/>
  <c r="T6" i="1"/>
  <c r="U6" i="1" s="1"/>
  <c r="W7" i="1"/>
  <c r="X7" i="1" s="1"/>
  <c r="V43" i="1"/>
  <c r="O5" i="1"/>
  <c r="S5" i="1" s="1"/>
  <c r="AA5" i="1"/>
  <c r="V5" i="1" s="1"/>
  <c r="V57" i="1"/>
  <c r="O115" i="1"/>
  <c r="S115" i="1" s="1"/>
  <c r="W22" i="1"/>
  <c r="X22" i="1" s="1"/>
  <c r="O7" i="1"/>
  <c r="S7" i="1" s="1"/>
  <c r="W35" i="1"/>
  <c r="X35" i="1" s="1"/>
  <c r="O33" i="1"/>
  <c r="S33" i="1" s="1"/>
  <c r="O22" i="1"/>
  <c r="S22" i="1" s="1"/>
  <c r="O4" i="1"/>
  <c r="S4" i="1" s="1"/>
  <c r="V99" i="1"/>
  <c r="O21" i="1"/>
  <c r="S21" i="1" s="1"/>
  <c r="O34" i="1"/>
  <c r="S34" i="1" s="1"/>
  <c r="W21" i="1"/>
  <c r="X21" i="1" s="1"/>
  <c r="O114" i="1"/>
  <c r="S114" i="1" s="1"/>
  <c r="V48" i="1"/>
  <c r="W4" i="1"/>
  <c r="X4" i="1" s="1"/>
  <c r="O8" i="1"/>
  <c r="S8" i="1" s="1"/>
  <c r="AA4" i="1"/>
  <c r="V4" i="1" s="1"/>
  <c r="W8" i="1"/>
  <c r="X8" i="1" s="1"/>
  <c r="O6" i="1"/>
  <c r="S6" i="1" s="1"/>
  <c r="AE53" i="1"/>
  <c r="T20" i="1"/>
  <c r="U20" i="1" s="1"/>
  <c r="AE20" i="1" s="1"/>
  <c r="T21" i="1"/>
  <c r="U21" i="1" s="1"/>
  <c r="AE21" i="1" s="1"/>
  <c r="T22" i="1"/>
  <c r="U22" i="1" s="1"/>
  <c r="AE22" i="1" s="1"/>
  <c r="T76" i="1"/>
  <c r="U76" i="1" s="1"/>
  <c r="AE76" i="1" s="1"/>
  <c r="O60" i="1"/>
  <c r="S60" i="1" s="1"/>
  <c r="W60" i="1"/>
  <c r="X60" i="1" s="1"/>
  <c r="M47" i="1"/>
  <c r="Z47" i="1" s="1"/>
  <c r="T47" i="1" s="1"/>
  <c r="U47" i="1" s="1"/>
  <c r="W50" i="1"/>
  <c r="X50" i="1" s="1"/>
  <c r="O50" i="1"/>
  <c r="S50" i="1" s="1"/>
  <c r="W114" i="1"/>
  <c r="X114" i="1" s="1"/>
  <c r="AE60" i="1"/>
  <c r="M19" i="1"/>
  <c r="M17" i="1"/>
  <c r="M23" i="1"/>
  <c r="M14" i="1"/>
  <c r="M16" i="1"/>
  <c r="C19" i="1"/>
  <c r="E19" i="1" s="1"/>
  <c r="M15" i="1"/>
  <c r="M87" i="1"/>
  <c r="V100" i="1"/>
  <c r="T100" i="1"/>
  <c r="U100" i="1" s="1"/>
  <c r="AE100" i="1" s="1"/>
  <c r="W98" i="1"/>
  <c r="X98" i="1" s="1"/>
  <c r="O98" i="1"/>
  <c r="S98" i="1" s="1"/>
  <c r="M10" i="1"/>
  <c r="W45" i="1"/>
  <c r="X45" i="1" s="1"/>
  <c r="O45" i="1"/>
  <c r="S45" i="1" s="1"/>
  <c r="V52" i="1"/>
  <c r="AE52" i="1"/>
  <c r="V51" i="1"/>
  <c r="AE51" i="1"/>
  <c r="V20" i="1"/>
  <c r="W94" i="1"/>
  <c r="X94" i="1" s="1"/>
  <c r="O94" i="1"/>
  <c r="S94" i="1" s="1"/>
  <c r="V22" i="1"/>
  <c r="O75" i="1"/>
  <c r="S75" i="1" s="1"/>
  <c r="W75" i="1"/>
  <c r="X75" i="1" s="1"/>
  <c r="W46" i="1"/>
  <c r="X46" i="1" s="1"/>
  <c r="O46" i="1"/>
  <c r="S46" i="1" s="1"/>
  <c r="V21" i="1"/>
  <c r="V56" i="1"/>
  <c r="AE56" i="1"/>
  <c r="W39" i="1"/>
  <c r="X39" i="1" s="1"/>
  <c r="O39" i="1"/>
  <c r="S39" i="1" s="1"/>
  <c r="V89" i="1"/>
  <c r="V8" i="1"/>
  <c r="V27" i="1"/>
  <c r="V44" i="1"/>
  <c r="AD135" i="1"/>
  <c r="V135" i="1"/>
  <c r="M38" i="1"/>
  <c r="W77" i="1"/>
  <c r="X77" i="1" s="1"/>
  <c r="O77" i="1"/>
  <c r="S77" i="1" s="1"/>
  <c r="V59" i="1"/>
  <c r="AE59" i="1"/>
  <c r="V136" i="1"/>
  <c r="AD136" i="1"/>
  <c r="V33" i="1" l="1"/>
  <c r="V24" i="1"/>
  <c r="V115" i="1"/>
  <c r="AF115" i="1" s="1"/>
  <c r="V60" i="1"/>
  <c r="T115" i="1"/>
  <c r="U115" i="1" s="1"/>
  <c r="Z7" i="1"/>
  <c r="T7" i="1" s="1"/>
  <c r="U7" i="1" s="1"/>
  <c r="V7" i="1"/>
  <c r="V114" i="1"/>
  <c r="AF114" i="1" s="1"/>
  <c r="V35" i="1"/>
  <c r="V34" i="1"/>
  <c r="AJ20" i="1"/>
  <c r="T26" i="1"/>
  <c r="U26" i="1" s="1"/>
  <c r="AE26" i="1" s="1"/>
  <c r="T27" i="1"/>
  <c r="U27" i="1" s="1"/>
  <c r="AE27" i="1" s="1"/>
  <c r="T24" i="1"/>
  <c r="U24" i="1" s="1"/>
  <c r="AE24" i="1" s="1"/>
  <c r="W47" i="1"/>
  <c r="X47" i="1" s="1"/>
  <c r="O47" i="1"/>
  <c r="S47" i="1" s="1"/>
  <c r="AE50" i="1"/>
  <c r="V50" i="1"/>
  <c r="O19" i="1"/>
  <c r="S19" i="1" s="1"/>
  <c r="W19" i="1"/>
  <c r="X19" i="1" s="1"/>
  <c r="W17" i="1"/>
  <c r="X17" i="1" s="1"/>
  <c r="O17" i="1"/>
  <c r="S17" i="1" s="1"/>
  <c r="W15" i="1"/>
  <c r="X15" i="1" s="1"/>
  <c r="O15" i="1"/>
  <c r="S15" i="1" s="1"/>
  <c r="W14" i="1"/>
  <c r="X14" i="1" s="1"/>
  <c r="O14" i="1"/>
  <c r="S14" i="1" s="1"/>
  <c r="M122" i="1"/>
  <c r="M123" i="1"/>
  <c r="M124" i="1"/>
  <c r="W23" i="1"/>
  <c r="X23" i="1" s="1"/>
  <c r="O23" i="1"/>
  <c r="S23" i="1" s="1"/>
  <c r="O16" i="1"/>
  <c r="S16" i="1" s="1"/>
  <c r="W16" i="1"/>
  <c r="X16" i="1" s="1"/>
  <c r="M11" i="1"/>
  <c r="Z11" i="1" s="1"/>
  <c r="T11" i="1" s="1"/>
  <c r="M9" i="1"/>
  <c r="Z9" i="1" s="1"/>
  <c r="T9" i="1" s="1"/>
  <c r="O87" i="1"/>
  <c r="S87" i="1" s="1"/>
  <c r="V87" i="1"/>
  <c r="W87" i="1"/>
  <c r="X87" i="1" s="1"/>
  <c r="M117" i="1"/>
  <c r="M116" i="1"/>
  <c r="Z116" i="1" s="1"/>
  <c r="M113" i="1"/>
  <c r="Z113" i="1" s="1"/>
  <c r="W38" i="1"/>
  <c r="X38" i="1" s="1"/>
  <c r="O38" i="1"/>
  <c r="S38" i="1" s="1"/>
  <c r="V39" i="1"/>
  <c r="V46" i="1"/>
  <c r="V94" i="1"/>
  <c r="T94" i="1"/>
  <c r="U94" i="1" s="1"/>
  <c r="AE94" i="1" s="1"/>
  <c r="W10" i="1"/>
  <c r="X10" i="1" s="1"/>
  <c r="O10" i="1"/>
  <c r="S10" i="1" s="1"/>
  <c r="V77" i="1"/>
  <c r="AF77" i="1" s="1"/>
  <c r="V98" i="1"/>
  <c r="T98" i="1"/>
  <c r="U98" i="1" s="1"/>
  <c r="AE98" i="1" s="1"/>
  <c r="V75" i="1"/>
  <c r="AF75" i="1" s="1"/>
  <c r="T75" i="1"/>
  <c r="U75" i="1" s="1"/>
  <c r="AE75" i="1" s="1"/>
  <c r="V45" i="1"/>
  <c r="V47" i="1" l="1"/>
  <c r="AE47" i="1"/>
  <c r="V15" i="1"/>
  <c r="V19" i="1"/>
  <c r="W124" i="1"/>
  <c r="X124" i="1" s="1"/>
  <c r="O124" i="1"/>
  <c r="S124" i="1" s="1"/>
  <c r="AA124" i="1"/>
  <c r="W11" i="1"/>
  <c r="X11" i="1" s="1"/>
  <c r="O11" i="1"/>
  <c r="S11" i="1" s="1"/>
  <c r="M88" i="1"/>
  <c r="Z88" i="1" s="1"/>
  <c r="W9" i="1"/>
  <c r="X9" i="1" s="1"/>
  <c r="O9" i="1"/>
  <c r="S9" i="1" s="1"/>
  <c r="V23" i="1"/>
  <c r="AA123" i="1"/>
  <c r="O123" i="1"/>
  <c r="S123" i="1" s="1"/>
  <c r="W123" i="1"/>
  <c r="X123" i="1" s="1"/>
  <c r="V14" i="1"/>
  <c r="V16" i="1"/>
  <c r="O122" i="1"/>
  <c r="S122" i="1" s="1"/>
  <c r="AA122" i="1"/>
  <c r="W122" i="1"/>
  <c r="X122" i="1" s="1"/>
  <c r="V17" i="1"/>
  <c r="V113" i="1"/>
  <c r="W113" i="1"/>
  <c r="X113" i="1" s="1"/>
  <c r="O113" i="1"/>
  <c r="S113" i="1" s="1"/>
  <c r="O116" i="1"/>
  <c r="S116" i="1" s="1"/>
  <c r="V116" i="1"/>
  <c r="W116" i="1"/>
  <c r="X116" i="1" s="1"/>
  <c r="W117" i="1"/>
  <c r="X117" i="1" s="1"/>
  <c r="O117" i="1"/>
  <c r="S117" i="1" s="1"/>
  <c r="AA117" i="1"/>
  <c r="V117" i="1" s="1"/>
  <c r="Z117" i="1" s="1"/>
  <c r="T117" i="1" s="1"/>
  <c r="U117" i="1" s="1"/>
  <c r="AD117" i="1" s="1"/>
  <c r="V10" i="1"/>
  <c r="V38" i="1"/>
  <c r="O88" i="1" l="1"/>
  <c r="S88" i="1" s="1"/>
  <c r="W88" i="1"/>
  <c r="X88" i="1" s="1"/>
  <c r="V122" i="1"/>
  <c r="AF122" i="1" s="1"/>
  <c r="AD122" i="1"/>
  <c r="AD124" i="1"/>
  <c r="V124" i="1"/>
  <c r="AF124" i="1" s="1"/>
  <c r="V123" i="1"/>
  <c r="AD123" i="1"/>
  <c r="O79" i="1"/>
  <c r="S79" i="1" s="1"/>
  <c r="W79" i="1"/>
  <c r="X79" i="1" s="1"/>
  <c r="M119" i="1"/>
  <c r="V88" i="1"/>
  <c r="T88" i="1"/>
  <c r="U88" i="1" s="1"/>
  <c r="AE88" i="1" s="1"/>
  <c r="AF116" i="1"/>
  <c r="T116" i="1"/>
  <c r="U116" i="1" s="1"/>
  <c r="AF113" i="1"/>
  <c r="T113" i="1"/>
  <c r="U113" i="1" s="1"/>
  <c r="T79" i="1" l="1"/>
  <c r="W119" i="1"/>
  <c r="X119" i="1" s="1"/>
  <c r="AA119" i="1"/>
  <c r="V119" i="1" s="1"/>
  <c r="Z119" i="1" s="1"/>
  <c r="T119" i="1" s="1"/>
  <c r="U119" i="1" s="1"/>
  <c r="AD119" i="1" s="1"/>
  <c r="O119" i="1"/>
  <c r="S119" i="1" s="1"/>
  <c r="AE79" i="1" l="1"/>
  <c r="U79" i="1"/>
  <c r="M83" i="1"/>
  <c r="M81" i="1"/>
  <c r="M84" i="1"/>
  <c r="M78" i="1"/>
  <c r="Z78" i="1" s="1"/>
  <c r="M86" i="1"/>
  <c r="M85" i="1"/>
  <c r="M82" i="1"/>
  <c r="Z82" i="1" s="1"/>
  <c r="W78" i="1" l="1"/>
  <c r="X78" i="1" s="1"/>
  <c r="O78" i="1"/>
  <c r="S78" i="1" s="1"/>
  <c r="O84" i="1"/>
  <c r="W84" i="1"/>
  <c r="X84" i="1" s="1"/>
  <c r="O82" i="1"/>
  <c r="S82" i="1" s="1"/>
  <c r="W82" i="1"/>
  <c r="X82" i="1" s="1"/>
  <c r="W85" i="1"/>
  <c r="X85" i="1" s="1"/>
  <c r="O85" i="1"/>
  <c r="S85" i="1" s="1"/>
  <c r="W81" i="1"/>
  <c r="X81" i="1" s="1"/>
  <c r="O81" i="1"/>
  <c r="S81" i="1" s="1"/>
  <c r="O86" i="1"/>
  <c r="W86" i="1"/>
  <c r="X86" i="1" s="1"/>
  <c r="W83" i="1"/>
  <c r="X83" i="1" s="1"/>
  <c r="O83" i="1"/>
  <c r="S83" i="1" s="1"/>
  <c r="V83" i="1" l="1"/>
  <c r="V86" i="1"/>
  <c r="V85" i="1"/>
  <c r="V78" i="1"/>
  <c r="AF78" i="1" s="1"/>
  <c r="V81" i="1"/>
  <c r="V82" i="1"/>
  <c r="T82" i="1"/>
  <c r="U82" i="1" s="1"/>
  <c r="AE82" i="1" s="1"/>
  <c r="V84" i="1"/>
  <c r="T78" i="1" l="1"/>
  <c r="U78" i="1" s="1"/>
  <c r="AE78" i="1" s="1"/>
  <c r="AE29" i="1"/>
  <c r="AE86" i="1"/>
  <c r="AE32" i="1"/>
  <c r="AE28" i="1"/>
  <c r="AE30" i="1"/>
  <c r="AE83" i="1"/>
  <c r="AE84" i="1"/>
  <c r="AE62" i="1"/>
  <c r="AE64" i="1"/>
  <c r="AE25" i="1"/>
  <c r="AE38" i="1"/>
  <c r="U25" i="1"/>
  <c r="AD25" i="1"/>
  <c r="Z25" i="1"/>
  <c r="T25" i="1"/>
  <c r="AE44" i="1"/>
  <c r="AE35" i="1"/>
  <c r="AE45" i="1"/>
  <c r="AE77" i="1"/>
  <c r="AE39" i="1"/>
  <c r="AE81" i="1"/>
  <c r="AE87" i="1"/>
  <c r="AE31" i="1"/>
  <c r="AE34" i="1"/>
  <c r="AE23" i="1"/>
  <c r="T23" i="1"/>
  <c r="U23" i="1"/>
  <c r="AD23" i="1"/>
  <c r="Z23" i="1"/>
  <c r="AE36" i="1"/>
  <c r="AE80" i="1"/>
  <c r="AE89" i="1"/>
  <c r="Z31" i="1"/>
  <c r="T31" i="1"/>
  <c r="U31" i="1"/>
  <c r="AD31" i="1"/>
  <c r="AE41" i="1"/>
  <c r="AE42" i="1"/>
  <c r="AE46" i="1"/>
  <c r="AD121" i="1"/>
  <c r="AE43" i="1"/>
  <c r="AE63" i="1"/>
  <c r="AD16" i="1"/>
  <c r="Z16" i="1"/>
  <c r="T16" i="1"/>
  <c r="U16" i="1"/>
  <c r="AE37" i="1"/>
  <c r="Z34" i="1"/>
  <c r="T34" i="1"/>
  <c r="U34" i="1"/>
  <c r="AD34" i="1"/>
  <c r="U77" i="1"/>
  <c r="AD77" i="1"/>
  <c r="Z77" i="1"/>
  <c r="T77" i="1"/>
  <c r="Z28" i="1"/>
  <c r="T28" i="1"/>
  <c r="U28" i="1"/>
  <c r="AD28" i="1"/>
  <c r="AE85" i="1"/>
  <c r="T85" i="1"/>
  <c r="U85" i="1"/>
  <c r="AD85" i="1"/>
  <c r="Z85" i="1"/>
  <c r="U41" i="1"/>
  <c r="AD41" i="1"/>
  <c r="Z41" i="1"/>
  <c r="T41" i="1"/>
  <c r="Z62" i="1"/>
  <c r="T62" i="1"/>
  <c r="U62" i="1"/>
  <c r="AD62" i="1"/>
  <c r="Z61" i="1"/>
  <c r="T61" i="1"/>
  <c r="U61" i="1"/>
  <c r="AD61" i="1"/>
  <c r="AE61" i="1"/>
  <c r="AD86" i="1"/>
  <c r="Z86" i="1"/>
  <c r="T86" i="1"/>
  <c r="U86" i="1"/>
  <c r="Z121" i="1"/>
  <c r="T121" i="1"/>
  <c r="U121" i="1"/>
  <c r="AD91" i="1"/>
  <c r="Z91" i="1"/>
  <c r="T91" i="1"/>
  <c r="U91" i="1"/>
  <c r="AD30" i="1"/>
  <c r="Z30" i="1"/>
  <c r="T30" i="1"/>
  <c r="U30" i="1"/>
  <c r="Z10" i="1"/>
  <c r="T10" i="1"/>
  <c r="U10" i="1"/>
  <c r="AD10" i="1"/>
  <c r="U44" i="1"/>
  <c r="AD44" i="1"/>
  <c r="Z44" i="1"/>
  <c r="T44" i="1"/>
  <c r="AD18" i="1"/>
  <c r="Z18" i="1"/>
  <c r="T18" i="1"/>
  <c r="U18" i="1"/>
  <c r="AD81" i="1"/>
  <c r="Z81" i="1"/>
  <c r="T81" i="1"/>
  <c r="U81" i="1"/>
  <c r="AE40" i="1"/>
  <c r="AD35" i="1"/>
  <c r="Z35" i="1"/>
  <c r="T35" i="1"/>
  <c r="U35" i="1"/>
  <c r="AD19" i="1"/>
  <c r="Z19" i="1"/>
  <c r="T19" i="1"/>
  <c r="U19" i="1"/>
  <c r="AD42" i="1"/>
  <c r="Z42" i="1"/>
  <c r="T42" i="1"/>
  <c r="U42" i="1"/>
  <c r="Z90" i="1"/>
  <c r="T90" i="1"/>
  <c r="U90" i="1"/>
  <c r="AD90" i="1"/>
  <c r="Z39" i="1"/>
  <c r="T39" i="1"/>
  <c r="U39" i="1"/>
  <c r="AD39" i="1"/>
  <c r="AD32" i="1"/>
  <c r="Z32" i="1"/>
  <c r="T32" i="1"/>
  <c r="U32" i="1"/>
  <c r="T93" i="1"/>
  <c r="U93" i="1"/>
  <c r="AD93" i="1"/>
  <c r="Z93" i="1"/>
  <c r="Z38" i="1"/>
  <c r="T38" i="1"/>
  <c r="U38" i="1"/>
  <c r="AD38" i="1"/>
  <c r="Z80" i="1"/>
  <c r="T80" i="1"/>
  <c r="U80" i="1"/>
  <c r="AD80" i="1"/>
  <c r="Z89" i="1"/>
  <c r="T89" i="1"/>
  <c r="U89" i="1"/>
  <c r="AD89" i="1"/>
  <c r="U8" i="1"/>
  <c r="AD8" i="1"/>
  <c r="Z8" i="1"/>
  <c r="T8" i="1"/>
  <c r="AD111" i="1"/>
  <c r="Z111" i="1"/>
  <c r="T111" i="1"/>
  <c r="U111" i="1"/>
  <c r="AD36" i="1"/>
  <c r="Z36" i="1"/>
  <c r="T36" i="1"/>
  <c r="U36" i="1"/>
  <c r="AD29" i="1"/>
  <c r="Z29" i="1"/>
  <c r="T29" i="1"/>
  <c r="U29" i="1"/>
  <c r="Z87" i="1"/>
  <c r="T87" i="1"/>
  <c r="U87" i="1"/>
  <c r="AD87" i="1"/>
  <c r="Z46" i="1"/>
  <c r="T46" i="1"/>
  <c r="U46" i="1"/>
  <c r="AD46" i="1"/>
  <c r="AD40" i="1"/>
  <c r="Z40" i="1"/>
  <c r="T40" i="1"/>
  <c r="U40" i="1"/>
  <c r="Z92" i="1"/>
  <c r="T92" i="1"/>
  <c r="U92" i="1"/>
  <c r="AD92" i="1"/>
  <c r="AD17" i="1"/>
  <c r="Z17" i="1"/>
  <c r="T17" i="1"/>
  <c r="U17" i="1"/>
  <c r="U14" i="1"/>
  <c r="AD14" i="1"/>
  <c r="Z14" i="1"/>
  <c r="T14" i="1"/>
  <c r="AD45" i="1"/>
  <c r="Z45" i="1"/>
  <c r="T45" i="1"/>
  <c r="U45" i="1"/>
  <c r="Z112" i="1"/>
  <c r="T112" i="1"/>
  <c r="U112" i="1"/>
  <c r="AD112" i="1"/>
  <c r="Z84" i="1"/>
  <c r="T84" i="1"/>
  <c r="U84" i="1"/>
  <c r="AD84" i="1"/>
  <c r="T15" i="1"/>
  <c r="U15" i="1"/>
  <c r="AD15" i="1"/>
  <c r="Z15" i="1"/>
  <c r="U37" i="1"/>
  <c r="AD37" i="1"/>
  <c r="Z37" i="1"/>
  <c r="T37" i="1"/>
  <c r="AD83" i="1"/>
  <c r="Z83" i="1"/>
  <c r="T83" i="1"/>
  <c r="U83" i="1"/>
  <c r="U63" i="1"/>
  <c r="AD63" i="1"/>
  <c r="Z63" i="1"/>
  <c r="T63" i="1"/>
  <c r="Z64" i="1"/>
  <c r="T64" i="1"/>
  <c r="U64" i="1"/>
  <c r="AD64" i="1"/>
  <c r="AD43" i="1"/>
  <c r="Z43" i="1"/>
  <c r="T43" i="1"/>
  <c r="U43" i="1"/>
</calcChain>
</file>

<file path=xl/sharedStrings.xml><?xml version="1.0" encoding="utf-8"?>
<sst xmlns="http://schemas.openxmlformats.org/spreadsheetml/2006/main" count="1416" uniqueCount="351">
  <si>
    <t>Item #</t>
  </si>
  <si>
    <t>Description</t>
  </si>
  <si>
    <t>Servings Per Case</t>
  </si>
  <si>
    <t>Cases</t>
  </si>
  <si>
    <t>Servings</t>
  </si>
  <si>
    <t xml:space="preserve"> Approximate Return Yield per 1,000 lbs. of Donated Food           </t>
  </si>
  <si>
    <t>=</t>
  </si>
  <si>
    <t>X</t>
  </si>
  <si>
    <t xml:space="preserve">Contact: </t>
  </si>
  <si>
    <t xml:space="preserve">E-Mail Address: </t>
  </si>
  <si>
    <t xml:space="preserve">÷ </t>
  </si>
  <si>
    <t>(Pounds)</t>
  </si>
  <si>
    <t>A</t>
  </si>
  <si>
    <t>B</t>
  </si>
  <si>
    <t>C</t>
  </si>
  <si>
    <t>D</t>
  </si>
  <si>
    <t>E</t>
  </si>
  <si>
    <t>CN Per Serving</t>
  </si>
  <si>
    <t>Fax:</t>
  </si>
  <si>
    <t>If you have any questions, please contact:</t>
  </si>
  <si>
    <t>Finished
Case
Net
Weight</t>
  </si>
  <si>
    <t xml:space="preserve"> ADP/
Estimated Servings per Menu</t>
  </si>
  <si>
    <t>Number of Cases per Serving</t>
  </si>
  <si>
    <t># DF
per
Case</t>
  </si>
  <si>
    <t># DF
Needed to Order</t>
  </si>
  <si>
    <t>F</t>
  </si>
  <si>
    <t>G</t>
  </si>
  <si>
    <t># DF
per
Menu Date</t>
  </si>
  <si>
    <t>Serv Size (oz.)</t>
  </si>
  <si>
    <t>Num of Times on Menu</t>
  </si>
  <si>
    <t>1m/ma</t>
  </si>
  <si>
    <t>Cost Per Serving (not incl delivery, state fees)</t>
  </si>
  <si>
    <t>PLEASE RETURN COPY VIA FAX OR EMAIL ABOVE</t>
  </si>
  <si>
    <t>value of DF (B049)</t>
  </si>
  <si>
    <t>value of DF (B114)</t>
  </si>
  <si>
    <t>amnt of NDM</t>
  </si>
  <si>
    <t>cs cost</t>
  </si>
  <si>
    <t>Case Cost</t>
  </si>
  <si>
    <t>Value Pass Thru per Case</t>
  </si>
  <si>
    <t xml:space="preserve">% of Cheese Allocation:  </t>
  </si>
  <si>
    <t>61921</t>
  </si>
  <si>
    <t>61404</t>
  </si>
  <si>
    <t>61406</t>
  </si>
  <si>
    <t>Meal Breaks Beef &amp; Cheese Stick Meal</t>
  </si>
  <si>
    <t>Meal Breaks Turkey Stick &amp; Cheese Sauce Cup Meal</t>
  </si>
  <si>
    <t>61923</t>
  </si>
  <si>
    <t>61924</t>
  </si>
  <si>
    <t>Meal Breaks Turkey Ham &amp; Cheese Meal</t>
  </si>
  <si>
    <t>61925</t>
  </si>
  <si>
    <t>61134</t>
  </si>
  <si>
    <t>Thaw &amp; Serve Breakfast Break String Mozzarella Cheese Stick</t>
  </si>
  <si>
    <t>(516) 364-7478 Fax</t>
  </si>
  <si>
    <t>(516) 682-5494 Phone</t>
  </si>
  <si>
    <t>61144</t>
  </si>
  <si>
    <t>Thaw &amp; Serve Breakfast Break String Mozz Cheese Stick A416</t>
  </si>
  <si>
    <t>61943</t>
  </si>
  <si>
    <t>61944</t>
  </si>
  <si>
    <t>61945</t>
  </si>
  <si>
    <t>Meal Breaks Uncrustables (2.8oz) &amp; String Cheese Meal A416</t>
  </si>
  <si>
    <t>Meal Breaks Turkey Bologna &amp; Cheese Meal A416</t>
  </si>
  <si>
    <t>Meal Breaks Turkey Ham &amp; Cheese Meal A416</t>
  </si>
  <si>
    <t>Meal Breaks Turkey &amp; Cheese Meal A416</t>
  </si>
  <si>
    <t>25304W</t>
  </si>
  <si>
    <t>25305W</t>
  </si>
  <si>
    <t xml:space="preserve">Grand Total:  </t>
  </si>
  <si>
    <t>BILL TO Customer's Name:</t>
  </si>
  <si>
    <t>Authorized Signature:</t>
  </si>
  <si>
    <t>SHIP TO Customer's Name:</t>
  </si>
  <si>
    <t>Phone:</t>
  </si>
  <si>
    <t>City / State  Zip:</t>
  </si>
  <si>
    <t>Address:</t>
  </si>
  <si>
    <r>
      <t xml:space="preserve">Reduced Fat Pepperoni Pizza Sandwich Stuffer </t>
    </r>
    <r>
      <rPr>
        <b/>
        <sz val="10"/>
        <rFont val="Times New Roman"/>
        <family val="1"/>
      </rPr>
      <t>Whole Grain</t>
    </r>
  </si>
  <si>
    <r>
      <t xml:space="preserve">Philly Steak &amp; Cheese Sandwich Stuffer </t>
    </r>
    <r>
      <rPr>
        <b/>
        <sz val="10"/>
        <rFont val="Times New Roman"/>
        <family val="1"/>
      </rPr>
      <t>Whole Grain</t>
    </r>
  </si>
  <si>
    <t>SHIPS SEPARATELY</t>
  </si>
  <si>
    <t>40234</t>
  </si>
  <si>
    <t>40244</t>
  </si>
  <si>
    <t>40251</t>
  </si>
  <si>
    <t>10129</t>
  </si>
  <si>
    <t>75553</t>
  </si>
  <si>
    <t>25315W</t>
  </si>
  <si>
    <r>
      <t>Individually Wrapped</t>
    </r>
    <r>
      <rPr>
        <sz val="10"/>
        <rFont val="Times New Roman"/>
        <family val="1"/>
      </rPr>
      <t xml:space="preserve"> Philly Steak &amp; Cheese Sandwich Stuffer </t>
    </r>
    <r>
      <rPr>
        <b/>
        <sz val="10"/>
        <rFont val="Times New Roman"/>
        <family val="1"/>
      </rPr>
      <t>Whole Grain</t>
    </r>
  </si>
  <si>
    <r>
      <t>Individually Wrapped</t>
    </r>
    <r>
      <rPr>
        <sz val="10"/>
        <rFont val="Times New Roman"/>
        <family val="1"/>
      </rPr>
      <t xml:space="preserve"> Reduced Fat Pepperoni Pizza Sandwich Stuffer </t>
    </r>
    <r>
      <rPr>
        <b/>
        <sz val="10"/>
        <rFont val="Times New Roman"/>
        <family val="1"/>
      </rPr>
      <t>Whole Grain</t>
    </r>
  </si>
  <si>
    <t>25314W</t>
  </si>
  <si>
    <t>E S Foods</t>
  </si>
  <si>
    <t>05904</t>
  </si>
  <si>
    <t>25324</t>
  </si>
  <si>
    <t>25308</t>
  </si>
  <si>
    <r>
      <t xml:space="preserve">RF CN Mac &amp; Cheese, </t>
    </r>
    <r>
      <rPr>
        <b/>
        <sz val="10"/>
        <rFont val="Times New Roman"/>
        <family val="1"/>
      </rPr>
      <t>REDUCED SODIUM - Pouch Product</t>
    </r>
  </si>
  <si>
    <t>61408</t>
  </si>
  <si>
    <t>Meal Breaks Pepperoni Stick &amp; Cheese Stick Meal</t>
  </si>
  <si>
    <r>
      <t xml:space="preserve">RF CN Nacho/Spicy Cheese Sauce, </t>
    </r>
    <r>
      <rPr>
        <b/>
        <sz val="10"/>
        <rFont val="Times New Roman"/>
        <family val="1"/>
      </rPr>
      <t>REDUCED SODIUM - Pouch Product</t>
    </r>
  </si>
  <si>
    <r>
      <t xml:space="preserve">RF CN Cheese Sauce, </t>
    </r>
    <r>
      <rPr>
        <b/>
        <sz val="10"/>
        <rFont val="Times New Roman"/>
        <family val="1"/>
      </rPr>
      <t>REDUCED SODIUM - Pouch Product</t>
    </r>
  </si>
  <si>
    <t>61937</t>
  </si>
  <si>
    <t>16923</t>
  </si>
  <si>
    <t>16924</t>
  </si>
  <si>
    <t>16925</t>
  </si>
  <si>
    <t>16926</t>
  </si>
  <si>
    <t>16937</t>
  </si>
  <si>
    <t>61253</t>
  </si>
  <si>
    <t>American Cheese Slice 160H RF/RS</t>
  </si>
  <si>
    <t>American Cheese Shred RF</t>
  </si>
  <si>
    <t>75550</t>
  </si>
  <si>
    <t>Cheddar Cheese Shred</t>
  </si>
  <si>
    <t>6/5#</t>
  </si>
  <si>
    <t>4/5#</t>
  </si>
  <si>
    <t>rf</t>
  </si>
  <si>
    <t>reg</t>
  </si>
  <si>
    <t>ched</t>
  </si>
  <si>
    <t>ched rf</t>
  </si>
  <si>
    <t>lt</t>
  </si>
  <si>
    <t>lite (list sy11)</t>
  </si>
  <si>
    <t>NC Allnce bid (LOL)</t>
  </si>
  <si>
    <t>rf (list sy11)</t>
  </si>
  <si>
    <t>2oz Cheddar Chs Sauce Cup RF/RS</t>
  </si>
  <si>
    <t>LMPS Mozzarella Cheese Shred</t>
  </si>
  <si>
    <t>16927</t>
  </si>
  <si>
    <t>16928</t>
  </si>
  <si>
    <t>16929</t>
  </si>
  <si>
    <t>16939</t>
  </si>
  <si>
    <t>Turkey Ham &amp; RF Cheese Sandwich</t>
  </si>
  <si>
    <t>Nuevo Cubano Sandwich</t>
  </si>
  <si>
    <t>WG Turkey Salami &amp; RF Cheese Sandwich</t>
  </si>
  <si>
    <t>WG The Italian Sandwich</t>
  </si>
  <si>
    <t>WG Combo (Turkey Salami, Bologna &amp; RF Cheese) Sandwich</t>
  </si>
  <si>
    <t>WG Turkey &amp; RF Cheese Sandwich</t>
  </si>
  <si>
    <t>WG Turkey Bologna &amp; RF Cheese Sandwich</t>
  </si>
  <si>
    <r>
      <t xml:space="preserve">WG RF CN Mac &amp; Chs, </t>
    </r>
    <r>
      <rPr>
        <b/>
        <sz val="10"/>
        <rFont val="Times New Roman"/>
        <family val="1"/>
      </rPr>
      <t>REDUCED SODIUM - Pouch Product</t>
    </r>
  </si>
  <si>
    <t>75551</t>
  </si>
  <si>
    <t>gross</t>
  </si>
  <si>
    <t>16951</t>
  </si>
  <si>
    <t>Pepperidge Farm WG Toasted RF Cheese Sandwich</t>
  </si>
  <si>
    <t>16952</t>
  </si>
  <si>
    <t>IW Pepperidge Farm WG Toasted RF Cheese Sandwich</t>
  </si>
  <si>
    <t>40239</t>
  </si>
  <si>
    <t>61931</t>
  </si>
  <si>
    <t>61933</t>
  </si>
  <si>
    <t>61934</t>
  </si>
  <si>
    <t>61935</t>
  </si>
  <si>
    <t>61801</t>
  </si>
  <si>
    <t>61802</t>
  </si>
  <si>
    <t>Simple Choice MB WG Crustless
PBJ</t>
  </si>
  <si>
    <t>Simple Choice MB WG Pepperidge Goldfish Sandwich (2 br)</t>
  </si>
  <si>
    <t>Simple Choice MB WG Crustless Sunbutter Sandwich</t>
  </si>
  <si>
    <t>Simple Choice MB WG Pepperidge Goldfish Sandwich (1 br)</t>
  </si>
  <si>
    <t>Meal Breaks WG Turkey Bologna &amp; Cheese Meal</t>
  </si>
  <si>
    <t>Meal Breaks WG Turkey &amp; Cheese Meal</t>
  </si>
  <si>
    <t>Meal Breaks WG Turkey Salami 
&amp; Cheese Meal</t>
  </si>
  <si>
    <t>Meal Breaks WG Combo Sandwich Meal</t>
  </si>
  <si>
    <t>Simple Choice Brunch Break Yogurt &amp; WG Granola Parfait</t>
  </si>
  <si>
    <t>16953</t>
  </si>
  <si>
    <t>61938</t>
  </si>
  <si>
    <t>Meal Breaks WG The Italian Meal</t>
  </si>
  <si>
    <t>40252</t>
  </si>
  <si>
    <t>2oz Jalapeno Chs Sauce Cup RF/RS</t>
  </si>
  <si>
    <t>61409</t>
  </si>
  <si>
    <t>Meal Breaks Cheese Stick Meal</t>
  </si>
  <si>
    <t>61410</t>
  </si>
  <si>
    <t>Meal Breaks Cheese Cup Meal</t>
  </si>
  <si>
    <t>40236</t>
  </si>
  <si>
    <t>1oz IW RF Cheddar Cheese Portion</t>
  </si>
  <si>
    <t>40235</t>
  </si>
  <si>
    <t>1oz IW Cheddar Cheese Portion</t>
  </si>
  <si>
    <t>1oz IW American Cheese Portion</t>
  </si>
  <si>
    <t>1oz IW Colby Jack Cheese Portion</t>
  </si>
  <si>
    <t>1oz IW LMPS Mozz Cheese String</t>
  </si>
  <si>
    <t>WG Turkey Sausage, Egg and Reduced Fat Cheese Breakfast Stuffed Sandwich</t>
  </si>
  <si>
    <t>IW WG Turkey Sausage, Egg and Reduced Fat Cheese Breakfast Stuffed Sandwich</t>
  </si>
  <si>
    <t>WG Cheese Pizza Stuffed Sandwich</t>
  </si>
  <si>
    <t>WG Reduced Fat Pepperoni Pizza Stuffed Sandwich</t>
  </si>
  <si>
    <t>WG Philly Steak &amp; Cheese Stuffed Sandwich</t>
  </si>
  <si>
    <t>mozz</t>
  </si>
  <si>
    <t>other</t>
  </si>
  <si>
    <t>IW WG Cheese Pizza Stuffed Sandwich</t>
  </si>
  <si>
    <t>SLIC SY12</t>
  </si>
  <si>
    <t>05915</t>
  </si>
  <si>
    <t>110242</t>
  </si>
  <si>
    <t>DF ID</t>
  </si>
  <si>
    <t>110244</t>
  </si>
  <si>
    <t>25314</t>
  </si>
  <si>
    <t>25315</t>
  </si>
  <si>
    <t>IW WG Reduced Fat Pepperoni Pizza Stuffed Sandwich</t>
  </si>
  <si>
    <t>IW WG Philly Steak &amp; Cheese Stuffed Sandwich</t>
  </si>
  <si>
    <t>05809</t>
  </si>
  <si>
    <t>05810</t>
  </si>
  <si>
    <t>05906</t>
  </si>
  <si>
    <t>61418</t>
  </si>
  <si>
    <t>61419</t>
  </si>
  <si>
    <t>61411</t>
  </si>
  <si>
    <t>Meal Breaks Sunbutter &amp; Jelly Meal</t>
  </si>
  <si>
    <t>Meal Breaks Marinara &amp; Cheese Stick Meal</t>
  </si>
  <si>
    <t>2m/ma, .75 oeg</t>
  </si>
  <si>
    <t>1m/ma, .5 oeg</t>
  </si>
  <si>
    <t>2 m/ma, 2 oeg</t>
  </si>
  <si>
    <t>2 m/ma, 2.5 oeg</t>
  </si>
  <si>
    <t>1.5 m/ma, 1 oeg</t>
  </si>
  <si>
    <t>1 m/ma, 1 oeg</t>
  </si>
  <si>
    <t>2m/ma, 2 oeg</t>
  </si>
  <si>
    <t>1m/ma, 2 oeg</t>
  </si>
  <si>
    <t>1m/ma, 1.25 oeg</t>
  </si>
  <si>
    <t>2m/ma, 3 oeg</t>
  </si>
  <si>
    <t>1 m/ma, 1 oeg, 1/2veg</t>
  </si>
  <si>
    <t>2 m/ma, 3.25 oeg, 7/8 f</t>
  </si>
  <si>
    <t>2 m/ma, 1 oeg, 1/2 f</t>
  </si>
  <si>
    <t>1.5 m/ma, 2 oeg, 1/2 f</t>
  </si>
  <si>
    <t>2 m/ma, 2 oeg, 3/4veg</t>
  </si>
  <si>
    <t>2 m/ma, 3.25 oeg, 3/4veg</t>
  </si>
  <si>
    <t>2 m/ma, 1 oeg, 1 f</t>
  </si>
  <si>
    <t>2 m/ma, 1 oeg, 1/2 f, 1/2 r v</t>
  </si>
  <si>
    <t>1 m/ma, 1 oeg, 1/2 f</t>
  </si>
  <si>
    <t>61430</t>
  </si>
  <si>
    <t>Meal Breaks Cheese Cup
&amp; Veg Juice Meal</t>
  </si>
  <si>
    <t>00008</t>
  </si>
  <si>
    <t>00009</t>
  </si>
  <si>
    <t>WG Combo (Turkey Salami, Bologna &amp; RF Cheese) Wrap</t>
  </si>
  <si>
    <t>WG Italian Wrap</t>
  </si>
  <si>
    <t>1m/ma, 1 oeg</t>
  </si>
  <si>
    <t>2 m/ma, 2 oeg, 7/8 f</t>
  </si>
  <si>
    <t>40232</t>
  </si>
  <si>
    <t>1oz IW American Cheese Singles RF/RS</t>
  </si>
  <si>
    <t>Meal Breaks Chips &amp; Dips Meal</t>
  </si>
  <si>
    <t>jack</t>
  </si>
  <si>
    <t>rainbow caterers, bob kaulkin</t>
  </si>
  <si>
    <t>forest &amp; brook, hauppauge</t>
  </si>
  <si>
    <t>now diamond catering</t>
  </si>
  <si>
    <t>nyc</t>
  </si>
  <si>
    <t>61157</t>
  </si>
  <si>
    <t>1 m/ma, 1.75 oeg, 1/2 f</t>
  </si>
  <si>
    <t>40231</t>
  </si>
  <si>
    <t>1oz IW Processed Mozzarella Cheese Singles</t>
  </si>
  <si>
    <t>1oz IW Processed Stawberry Cream Cheese Singles</t>
  </si>
  <si>
    <t>40230</t>
  </si>
  <si>
    <t>Simple Choice Brunch Break Yogurt &amp; WG Grahams</t>
  </si>
  <si>
    <t>61804</t>
  </si>
  <si>
    <t>IW WG Toasted RF/RS Cheese Sandwich</t>
  </si>
  <si>
    <t>WG Reduced Fat Pepperoni Pinwheel</t>
  </si>
  <si>
    <t>WG Philly Steak &amp; Cheese Pinwheel</t>
  </si>
  <si>
    <t>IW WG Mozzarella Cheese Pinwheel</t>
  </si>
  <si>
    <t>WG Mozzarella Cheese Pinwheel</t>
  </si>
  <si>
    <t>IW WG Reduced Fat Pepperoni Pinwheel</t>
  </si>
  <si>
    <t>IW WG Philly Steak &amp; Cheese Pinwheel</t>
  </si>
  <si>
    <t>WG Breakfast Empanada - Egg, Cheese, Potato, Salsa</t>
  </si>
  <si>
    <t>WG Empanada - Rice, Beans, Cheese (RBC) - Vegetarian</t>
  </si>
  <si>
    <t>05811</t>
  </si>
  <si>
    <t>05812</t>
  </si>
  <si>
    <t>2 m/ma, 1 oeg, 1/2 r v</t>
  </si>
  <si>
    <t>61853</t>
  </si>
  <si>
    <t>61856</t>
  </si>
  <si>
    <t>HOT Meal Breaks Anaheim Chicken Burrito Bowl</t>
  </si>
  <si>
    <t>IW WG Meatball Pinwheel</t>
  </si>
  <si>
    <t>IW WG Veggie Pinwheel</t>
  </si>
  <si>
    <t>WG Meatball Pinwheel</t>
  </si>
  <si>
    <t>WG Veggie Pinwheel</t>
  </si>
  <si>
    <t>int df/cs</t>
  </si>
  <si>
    <t>diff df</t>
  </si>
  <si>
    <t>diff /serv</t>
  </si>
  <si>
    <t>eff net</t>
  </si>
  <si>
    <t>Breakfast Breaks Bagel &amp; String Cheese</t>
  </si>
  <si>
    <t>Breakfast Breaks Rice Chex &amp; String Cheese - Gluten Free</t>
  </si>
  <si>
    <t>2 m/ma, 1 oeg, 1/2 v, 1/2 f</t>
  </si>
  <si>
    <t>2 m/ma, 2 oeg, 1/2 v, 1/2 f</t>
  </si>
  <si>
    <t>61920S</t>
  </si>
  <si>
    <t>2 m/ma, 1 oeg, 1/2 f, 3/4 v</t>
  </si>
  <si>
    <t>16934</t>
  </si>
  <si>
    <t>WG RF/RS Grilled Cheese Sandwich</t>
  </si>
  <si>
    <t>16943</t>
  </si>
  <si>
    <t>16944</t>
  </si>
  <si>
    <t>25341</t>
  </si>
  <si>
    <t>1 m/ma, 2 oeg</t>
  </si>
  <si>
    <t>WG Breakfast Bowtie w/ Egg &amp; Cheese</t>
  </si>
  <si>
    <t>25342</t>
  </si>
  <si>
    <t>(NO LONGER APPLIES, USING SAME DF AS INTEG)</t>
  </si>
  <si>
    <t>WG Ciabatta Cheese Melt Sandwich</t>
  </si>
  <si>
    <t>IW WG Ciabatta Cheese Melt Sandwich 1 m/ma</t>
  </si>
  <si>
    <t>IW WG Ciabatta Cheese Melt Sandwich</t>
  </si>
  <si>
    <t>sy21</t>
  </si>
  <si>
    <t>16935</t>
  </si>
  <si>
    <t>16945</t>
  </si>
  <si>
    <t>05905</t>
  </si>
  <si>
    <r>
      <t xml:space="preserve">RF CN Mac &amp; Chs, </t>
    </r>
    <r>
      <rPr>
        <b/>
        <sz val="10"/>
        <rFont val="Times New Roman"/>
        <family val="1"/>
      </rPr>
      <t>REDUCED SODIUM - Pouch Product</t>
    </r>
  </si>
  <si>
    <t>HOT Meal Breaks WG Macaroni &amp; Cheese w/ Carrots</t>
  </si>
  <si>
    <t>61940</t>
  </si>
  <si>
    <t>Meal Breaks Turkey Stick &amp; String Cheese Meal</t>
  </si>
  <si>
    <t>2 m/ma, 1 oeg</t>
  </si>
  <si>
    <t>61191</t>
  </si>
  <si>
    <t>1 m/ma, 1 oeg, 1/2c f</t>
  </si>
  <si>
    <t>25343</t>
  </si>
  <si>
    <t>25344</t>
  </si>
  <si>
    <t>WG Breakfast Bowtie w/ Egg &amp; Pepper Jack Cheese</t>
  </si>
  <si>
    <t>IW WG Breakfast Bowtie w/ Egg &amp; Pepper Jack Cheese</t>
  </si>
  <si>
    <t>IW WG Breakfast Bowtie w/ Egg &amp; Cheese</t>
  </si>
  <si>
    <t>IW WG Ciabatta Pepper Jack Cheese Melt Sandwich</t>
  </si>
  <si>
    <t>WG Ciabatta Pepper Jack Cheese Melt Sandwich</t>
  </si>
  <si>
    <t>61442</t>
  </si>
  <si>
    <t>Meal Breaks Cheese Stick Simple Choice Meal</t>
  </si>
  <si>
    <t>Meal Breaks Cheese Cup Simple Choice Meal</t>
  </si>
  <si>
    <t>61443</t>
  </si>
  <si>
    <t>sy20</t>
  </si>
  <si>
    <t>61954</t>
  </si>
  <si>
    <t>Meal Breaks WG Strawberry Crustless PBJ &amp; String Cheese Meal</t>
  </si>
  <si>
    <t>Meal Breaks WG Grape Crustless PBJ &amp; String Cheese Meal</t>
  </si>
  <si>
    <t>61862</t>
  </si>
  <si>
    <t>HOT Meal Breaks WG Lasagna w/ Veggie Crumbles</t>
  </si>
  <si>
    <t>61970</t>
  </si>
  <si>
    <t>Meal Breaks Chicken on Waffle Sandwich Meal</t>
  </si>
  <si>
    <t>2 m/ma, 1.5 oeg, 1/2 f, 1/2 r v</t>
  </si>
  <si>
    <t>Meal Breaks Pizza Sub Hoagie Sandwich Meal</t>
  </si>
  <si>
    <t>2 m/ma, 2 oeg, 1/2 f, 1/2 r v</t>
  </si>
  <si>
    <t>sy22</t>
  </si>
  <si>
    <t>Mozzarella Cheese</t>
  </si>
  <si>
    <t>Provolone Cheese</t>
  </si>
  <si>
    <t>Pepper Jack Cheese</t>
  </si>
  <si>
    <t>Wisconsin Swiss Cheese</t>
  </si>
  <si>
    <t>Asiago Cheese</t>
  </si>
  <si>
    <t>1 m/ma</t>
  </si>
  <si>
    <t>4 m/ma</t>
  </si>
  <si>
    <t>16 m/ma</t>
  </si>
  <si>
    <t>2 m/ma</t>
  </si>
  <si>
    <t>Meal Breaks WG Grape Crustless Sunbutter &amp; String Cheese Meal</t>
  </si>
  <si>
    <t>61949</t>
  </si>
  <si>
    <t>7 Day Meal Kit - Option 1
(7 Breakfasts &amp; 7 Lunches) Shelf Stable</t>
  </si>
  <si>
    <t>7 Day Meal Kit - Option 3
(7 Breakfasts &amp; 7 Lunches) Shelf Stable</t>
  </si>
  <si>
    <t>3 Day Meal Kit (3 Breakfasts &amp; 3 Lunches) Shelf Stable</t>
  </si>
  <si>
    <t>5 Day Meal Kit (5 Breakfasts &amp; 5 Lunches) Shelf Stable</t>
  </si>
  <si>
    <t>7 Day Meal Kit - Option 1 (7 Breakfasts &amp; 7 Lunches) Thaw &amp; Serve</t>
  </si>
  <si>
    <t>3 Day Meal Kit (3 Breakfasts &amp; 3 Lunches) Thaw &amp; Serve</t>
  </si>
  <si>
    <t>5 Day Meal Kit (5 Breakfasts &amp; 5 Lunches) Thaw &amp; Serve</t>
  </si>
  <si>
    <t>varies</t>
  </si>
  <si>
    <t>2 m/ma, 1oeg, 
1v, 1 f</t>
  </si>
  <si>
    <t>2 m/ma, 1oeg, 
1 v, 1 f</t>
  </si>
  <si>
    <t>IW Cheesy Chicken Turnover</t>
  </si>
  <si>
    <t>7 Day Meal Kit - Option 2 (7 Breakfasts &amp; 7 Lunches) Thaw &amp; Serve</t>
  </si>
  <si>
    <t>2 m/ma, 1 oeg, 1/2 f, 1/2 v</t>
  </si>
  <si>
    <t>sy23</t>
  </si>
  <si>
    <t>IW Spicy Egg &amp; Cheese Turnover</t>
  </si>
  <si>
    <t>IW Cheesy Spinach Turnover</t>
  </si>
  <si>
    <t xml:space="preserve">IW 3 Cheese Turnover </t>
  </si>
  <si>
    <t>IW Cheddar Cheese</t>
  </si>
  <si>
    <t>Meal Breaks WG Turkey Ham &amp; Cheese Sandwich Meal</t>
  </si>
  <si>
    <t>IW Mozzarella Cheese</t>
  </si>
  <si>
    <t>WG Cheesy Pretzel Stick</t>
  </si>
  <si>
    <t>WG Cheesy Pretzel Bites</t>
  </si>
  <si>
    <t>Meal Breaks WG Crustless Cocoa CPB Sandwich &amp; String Cheese Meal</t>
  </si>
  <si>
    <t>2 m/ma, 1.5 oeg, 1/2 v, 1/2 f</t>
  </si>
  <si>
    <t>Breakfast Breaks Annie's Organic Grahams &amp; String Cheese Meal</t>
  </si>
  <si>
    <t>1 m/ma, 1 oeg,
1/2 f</t>
  </si>
  <si>
    <t>sy24</t>
  </si>
  <si>
    <t>2 m/ma, 2.25 oeg</t>
  </si>
  <si>
    <t>2 m/ma, 1.25 oeg, 1/2 v, 1/2 f</t>
  </si>
  <si>
    <t>2 m/ma, 1 oeg, 
1/2 v, 1/2 f</t>
  </si>
  <si>
    <t>2 m/ma, 2 oeg, 
1/2 v, 1/2f</t>
  </si>
  <si>
    <t>2 m/ma, 2 oeg, 
1/2 f, 1/2 r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</si>
</sst>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_(* #,##0.0_);_(* \(#,##0.0\);_(* &quot;-&quot;_);_(@_)"/>
    <numFmt numFmtId="168" formatCode="_(* #,##0.00_);_(* \(#,##0.00\);_(* &quot;-&quot;_);_(@_)"/>
    <numFmt numFmtId="169" formatCode="0.000"/>
    <numFmt numFmtId="170" formatCode="0.0000%"/>
  </numFmts>
  <fonts count="14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41" fontId="3" fillId="0" borderId="3" xfId="1" applyNumberFormat="1" applyFont="1" applyFill="1" applyBorder="1" applyAlignment="1" applyProtection="1">
      <alignment horizontal="center" vertical="center"/>
      <protection locked="0"/>
    </xf>
    <xf numFmtId="41" fontId="3" fillId="0" borderId="1" xfId="1" applyNumberFormat="1" applyFont="1" applyFill="1" applyBorder="1" applyAlignment="1" applyProtection="1">
      <alignment horizontal="center" vertical="center"/>
      <protection locked="0"/>
    </xf>
    <xf numFmtId="41" fontId="5" fillId="0" borderId="11" xfId="1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3" fillId="0" borderId="3" xfId="0" quotePrefix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left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168" fontId="3" fillId="0" borderId="3" xfId="1" applyNumberFormat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7" fontId="3" fillId="0" borderId="3" xfId="1" applyNumberFormat="1" applyFont="1" applyFill="1" applyBorder="1" applyAlignment="1" applyProtection="1">
      <alignment vertical="center"/>
      <protection locked="0"/>
    </xf>
    <xf numFmtId="41" fontId="3" fillId="0" borderId="3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167" fontId="3" fillId="0" borderId="1" xfId="1" applyNumberFormat="1" applyFont="1" applyFill="1" applyBorder="1" applyAlignment="1" applyProtection="1">
      <alignment vertical="center"/>
      <protection locked="0"/>
    </xf>
    <xf numFmtId="41" fontId="3" fillId="0" borderId="1" xfId="1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quotePrefix="1" applyFont="1" applyBorder="1" applyAlignment="1" applyProtection="1">
      <alignment horizontal="center" vertical="center"/>
      <protection locked="0"/>
    </xf>
    <xf numFmtId="167" fontId="3" fillId="0" borderId="7" xfId="1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1" fontId="3" fillId="0" borderId="7" xfId="1" applyNumberFormat="1" applyFont="1" applyFill="1" applyBorder="1" applyAlignment="1" applyProtection="1">
      <alignment vertical="center"/>
      <protection locked="0"/>
    </xf>
    <xf numFmtId="41" fontId="3" fillId="0" borderId="7" xfId="1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Protection="1">
      <protection locked="0"/>
    </xf>
    <xf numFmtId="41" fontId="3" fillId="0" borderId="0" xfId="1" applyNumberFormat="1" applyFont="1" applyFill="1" applyProtection="1"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170" fontId="3" fillId="0" borderId="0" xfId="2" applyNumberFormat="1" applyFont="1" applyFill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left" vertical="top" wrapText="1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41" fontId="0" fillId="0" borderId="0" xfId="1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3" fontId="9" fillId="0" borderId="0" xfId="0" applyNumberFormat="1" applyFont="1" applyProtection="1">
      <protection locked="0"/>
    </xf>
    <xf numFmtId="0" fontId="8" fillId="0" borderId="0" xfId="0" quotePrefix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3" fillId="0" borderId="3" xfId="0" quotePrefix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2" fontId="3" fillId="0" borderId="3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2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5" fillId="0" borderId="11" xfId="1" applyNumberFormat="1" applyFont="1" applyFill="1" applyBorder="1" applyAlignment="1" applyProtection="1">
      <alignment vertical="center"/>
      <protection locked="0"/>
    </xf>
    <xf numFmtId="2" fontId="3" fillId="0" borderId="6" xfId="0" applyNumberFormat="1" applyFont="1" applyBorder="1" applyProtection="1">
      <protection locked="0"/>
    </xf>
    <xf numFmtId="2" fontId="7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/>
    <xf numFmtId="2" fontId="3" fillId="0" borderId="0" xfId="0" applyNumberFormat="1" applyFont="1"/>
    <xf numFmtId="0" fontId="12" fillId="0" borderId="0" xfId="0" applyFont="1"/>
    <xf numFmtId="2" fontId="12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9" fontId="3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3" fillId="0" borderId="3" xfId="0" quotePrefix="1" applyNumberFormat="1" applyFont="1" applyBorder="1" applyAlignment="1">
      <alignment horizontal="center" vertical="center"/>
    </xf>
    <xf numFmtId="166" fontId="3" fillId="2" borderId="0" xfId="0" applyNumberFormat="1" applyFont="1" applyFill="1" applyAlignment="1">
      <alignment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0" borderId="14" xfId="0" quotePrefix="1" applyFont="1" applyBorder="1" applyAlignment="1" applyProtection="1">
      <alignment horizontal="center" vertical="center" wrapText="1"/>
      <protection locked="0"/>
    </xf>
    <xf numFmtId="0" fontId="2" fillId="0" borderId="15" xfId="0" quotePrefix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 wrapText="1"/>
      <protection locked="0"/>
    </xf>
    <xf numFmtId="2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3" fontId="9" fillId="0" borderId="15" xfId="0" applyNumberFormat="1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160</xdr:row>
      <xdr:rowOff>0</xdr:rowOff>
    </xdr:from>
    <xdr:to>
      <xdr:col>6</xdr:col>
      <xdr:colOff>9525</xdr:colOff>
      <xdr:row>161</xdr:row>
      <xdr:rowOff>19050</xdr:rowOff>
    </xdr:to>
    <xdr:sp macro="" textlink="">
      <xdr:nvSpPr>
        <xdr:cNvPr id="1754" name="Rectangle 8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>
          <a:spLocks noChangeArrowheads="1"/>
        </xdr:cNvSpPr>
      </xdr:nvSpPr>
      <xdr:spPr bwMode="auto">
        <a:xfrm>
          <a:off x="409575" y="14878050"/>
          <a:ext cx="4429125" cy="2095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1847850</xdr:colOff>
      <xdr:row>154</xdr:row>
      <xdr:rowOff>19050</xdr:rowOff>
    </xdr:from>
    <xdr:to>
      <xdr:col>4</xdr:col>
      <xdr:colOff>95250</xdr:colOff>
      <xdr:row>159</xdr:row>
      <xdr:rowOff>9525</xdr:rowOff>
    </xdr:to>
    <xdr:pic>
      <xdr:nvPicPr>
        <xdr:cNvPr id="1755" name="Picture 30" descr="ESfoodsHigh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0" y="13763625"/>
          <a:ext cx="1495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Commodities\Prod_end%20data%20sched_acda_sy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Commodities\Comm_MarginAnal_marginfo_2122_122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ast%20Side%20Entrees%20&amp;%20NYFB\UPC-All%20Produc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Pricing\Proformas\foodservice%20proforma_ss%20ts%20hot%20fresh%20mb_new%20regs_122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DS 1 All DF"/>
      <sheetName val="EPDS 1 Master"/>
      <sheetName val="EPDS 4 NDM"/>
      <sheetName val="EPDS 4 Dairy"/>
      <sheetName val="00487Biery"/>
      <sheetName val="10132Chateaux"/>
      <sheetName val="10132Biery"/>
      <sheetName val="base"/>
      <sheetName val="Park100 pouch"/>
      <sheetName val="09116"/>
      <sheetName val="09117"/>
      <sheetName val="09119"/>
      <sheetName val="09139"/>
      <sheetName val="09699"/>
      <sheetName val="09700"/>
      <sheetName val="09701"/>
      <sheetName val="09702"/>
      <sheetName val="16929"/>
      <sheetName val="16934"/>
      <sheetName val="16935"/>
      <sheetName val="16939"/>
      <sheetName val="16943"/>
      <sheetName val="16944"/>
      <sheetName val="16945"/>
      <sheetName val="Latin Stuffed Sand"/>
      <sheetName val="PS Stuffed Sand"/>
      <sheetName val="00431"/>
      <sheetName val="00435"/>
      <sheetName val="25341"/>
      <sheetName val="25342"/>
      <sheetName val="25343"/>
      <sheetName val="25344"/>
      <sheetName val="25406"/>
      <sheetName val="25416"/>
      <sheetName val="Chs cups"/>
      <sheetName val="40244"/>
      <sheetName val="40245"/>
      <sheetName val="40246"/>
      <sheetName val="40247"/>
      <sheetName val="40248"/>
      <sheetName val="40249"/>
      <sheetName val="40250"/>
      <sheetName val="61191"/>
      <sheetName val="61406"/>
      <sheetName val="61442"/>
      <sheetName val="61443"/>
      <sheetName val="MB Chs Cup versions"/>
      <sheetName val="MB Chs Stick versions"/>
      <sheetName val="Hot MB"/>
      <sheetName val="T&amp;S MB"/>
      <sheetName val="61862"/>
      <sheetName val="61920S"/>
      <sheetName val="61921"/>
      <sheetName val="61925"/>
      <sheetName val="61937"/>
      <sheetName val="61938"/>
      <sheetName val="61940"/>
      <sheetName val="61948"/>
      <sheetName val="6711"/>
      <sheetName val="61949"/>
      <sheetName val="61952"/>
      <sheetName val="61953"/>
      <sheetName val="6721"/>
      <sheetName val="61954"/>
      <sheetName val="61970"/>
      <sheetName val="ESFSandwiches"/>
      <sheetName val="16923TBologna"/>
      <sheetName val="16924THam"/>
      <sheetName val="16925WTurkey"/>
      <sheetName val="16926Combo"/>
      <sheetName val="16938Italian"/>
      <sheetName val="02272 Turkey"/>
      <sheetName val="02284 Tsub"/>
      <sheetName val="02372 TColdCut"/>
      <sheetName val="02384 TCombo"/>
      <sheetName val="92296 Chs"/>
      <sheetName val="16190Animal"/>
      <sheetName val="5065toast"/>
      <sheetName val="70208chx"/>
      <sheetName val="70209tuna"/>
      <sheetName val="00487 RF Am orig"/>
      <sheetName val="12412 Restr Melt Ched orig"/>
      <sheetName val="30722 Am orig"/>
      <sheetName val="32442 Am Slice orig"/>
      <sheetName val="35632 Ched orig"/>
      <sheetName val="35915 Ched Cup orig"/>
      <sheetName val="35919 Jal Cup orig"/>
      <sheetName val="36629 Snack Pack orig"/>
      <sheetName val="Prod_end data sched_acda_sy22"/>
    </sheetNames>
    <definedNames>
      <definedName name="b04925304" refersTo="='PS Stuffed Sand'!$N$16"/>
      <definedName name="b04925305" refersTo="='PS Stuffed Sand'!$N$18"/>
      <definedName name="b04925309" refersTo="='PS Stuffed Sand'!$N$20"/>
      <definedName name="b04925314" refersTo="='PS Stuffed Sand'!$N$24"/>
      <definedName name="b04925315" refersTo="='PS Stuffed Sand'!$N$26"/>
      <definedName name="b04925319" refersTo="='PS Stuffed Sand'!$N$28"/>
      <definedName name="b04961856" refersTo="='Hot MB'!$N$18"/>
      <definedName name="b04961920" refersTo="='61920S'!$N$14"/>
      <definedName name="b04961923"/>
      <definedName name="b04961925" refersTo="='T&amp;S MB'!$N$38"/>
      <definedName name="b04961937" refersTo="='T&amp;S MB'!$N$43"/>
      <definedName name="b04961938" refersTo="='T&amp;S MB'!$N$48"/>
      <definedName name="usdachsval" refersTo="='base'!$B$36"/>
      <definedName name="usdamozzval" refersTo="='base'!$B$37"/>
    </definedNames>
    <sheetDataSet>
      <sheetData sheetId="0" refreshError="1"/>
      <sheetData sheetId="1" refreshError="1"/>
      <sheetData sheetId="2" refreshError="1"/>
      <sheetData sheetId="3" refreshError="1">
        <row r="24">
          <cell r="N24" t="str">
            <v>N______</v>
          </cell>
        </row>
      </sheetData>
      <sheetData sheetId="4" refreshError="1">
        <row r="24">
          <cell r="N24" t="str">
            <v>N_____</v>
          </cell>
        </row>
      </sheetData>
      <sheetData sheetId="5" refreshError="1">
        <row r="11">
          <cell r="D11">
            <v>320</v>
          </cell>
        </row>
        <row r="23">
          <cell r="E23">
            <v>1</v>
          </cell>
        </row>
        <row r="24">
          <cell r="N24" t="str">
            <v>N_____</v>
          </cell>
        </row>
      </sheetData>
      <sheetData sheetId="6" refreshError="1">
        <row r="24">
          <cell r="N24" t="str">
            <v>N_____</v>
          </cell>
        </row>
      </sheetData>
      <sheetData sheetId="7" refreshError="1">
        <row r="36">
          <cell r="B36">
            <v>1.7956000000000001</v>
          </cell>
        </row>
        <row r="37">
          <cell r="B37">
            <v>1.8467</v>
          </cell>
        </row>
      </sheetData>
      <sheetData sheetId="8" refreshError="1">
        <row r="12">
          <cell r="B12" t="str">
            <v>Pouch Products</v>
          </cell>
        </row>
        <row r="13">
          <cell r="B13" t="str">
            <v>RF Nacho/Spicy Cheese Sauce</v>
          </cell>
          <cell r="D13">
            <v>240</v>
          </cell>
        </row>
        <row r="14">
          <cell r="B14" t="str">
            <v>RF Cheese Sauce</v>
          </cell>
          <cell r="N14">
            <v>11.061473684210522</v>
          </cell>
        </row>
        <row r="17">
          <cell r="D17">
            <v>240</v>
          </cell>
          <cell r="N17">
            <v>10.593037974683542</v>
          </cell>
        </row>
        <row r="18">
          <cell r="N18">
            <v>2.3394504839910644</v>
          </cell>
        </row>
        <row r="19">
          <cell r="E19">
            <v>2</v>
          </cell>
        </row>
        <row r="20">
          <cell r="B20" t="str">
            <v>RF Mac &amp; Cheese, Red Sodium</v>
          </cell>
          <cell r="D20">
            <v>80</v>
          </cell>
          <cell r="N20">
            <v>6.6517499999999989</v>
          </cell>
        </row>
        <row r="21">
          <cell r="N21">
            <v>2.3348999999999998</v>
          </cell>
        </row>
        <row r="24">
          <cell r="N24">
            <v>6.1497726315789469</v>
          </cell>
        </row>
        <row r="26">
          <cell r="E26">
            <v>3.6</v>
          </cell>
        </row>
        <row r="28">
          <cell r="N28">
            <v>2.3348999999999998</v>
          </cell>
        </row>
        <row r="32">
          <cell r="E32">
            <v>6</v>
          </cell>
        </row>
        <row r="33">
          <cell r="D33">
            <v>80</v>
          </cell>
          <cell r="N33">
            <v>6.6517499999999981</v>
          </cell>
        </row>
        <row r="36">
          <cell r="B36" t="str">
            <v>WG RF Mac &amp; Cheese, Red Sodium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0">
          <cell r="D10">
            <v>96</v>
          </cell>
          <cell r="M10">
            <v>12.000000000000002</v>
          </cell>
        </row>
        <row r="19">
          <cell r="E19">
            <v>3.9</v>
          </cell>
        </row>
      </sheetData>
      <sheetData sheetId="19" refreshError="1"/>
      <sheetData sheetId="20" refreshError="1"/>
      <sheetData sheetId="21" refreshError="1">
        <row r="10">
          <cell r="D10">
            <v>96</v>
          </cell>
          <cell r="M10">
            <v>6.0000000000000009</v>
          </cell>
        </row>
        <row r="19">
          <cell r="E19">
            <v>2.9</v>
          </cell>
        </row>
      </sheetData>
      <sheetData sheetId="22" refreshError="1">
        <row r="10">
          <cell r="D10">
            <v>96</v>
          </cell>
          <cell r="M10">
            <v>12.000000000000002</v>
          </cell>
        </row>
        <row r="19">
          <cell r="E19">
            <v>3.9</v>
          </cell>
        </row>
      </sheetData>
      <sheetData sheetId="23" refreshError="1"/>
      <sheetData sheetId="24" refreshError="1">
        <row r="13">
          <cell r="D13">
            <v>160</v>
          </cell>
          <cell r="N13">
            <v>4.0199714821261221</v>
          </cell>
        </row>
        <row r="14">
          <cell r="N14">
            <v>1.1826910563663144</v>
          </cell>
        </row>
        <row r="15">
          <cell r="E15">
            <v>3.2593140841412298</v>
          </cell>
        </row>
        <row r="16">
          <cell r="N16">
            <v>0.57363322038586551</v>
          </cell>
        </row>
        <row r="18">
          <cell r="N18">
            <v>5.6682485136093375</v>
          </cell>
        </row>
        <row r="21">
          <cell r="D21">
            <v>64</v>
          </cell>
          <cell r="N21">
            <v>1.6490481952945009</v>
          </cell>
        </row>
        <row r="22">
          <cell r="E22">
            <v>5</v>
          </cell>
        </row>
      </sheetData>
      <sheetData sheetId="25" refreshError="1">
        <row r="14">
          <cell r="N14">
            <v>10.526319541892697</v>
          </cell>
        </row>
        <row r="16">
          <cell r="N16">
            <v>9.0214352527369641</v>
          </cell>
        </row>
        <row r="18">
          <cell r="N18">
            <v>7.8858760252137783</v>
          </cell>
        </row>
        <row r="20">
          <cell r="N20">
            <v>4.5380456568749441</v>
          </cell>
        </row>
        <row r="24">
          <cell r="N24">
            <v>9.0214352527369641</v>
          </cell>
        </row>
        <row r="26">
          <cell r="N26">
            <v>7.8858760252137783</v>
          </cell>
        </row>
        <row r="28">
          <cell r="N28">
            <v>4.5380456568749441</v>
          </cell>
        </row>
        <row r="30">
          <cell r="N30">
            <v>4.3401025475392627</v>
          </cell>
        </row>
        <row r="31">
          <cell r="N31">
            <v>4.3401025475392627</v>
          </cell>
        </row>
        <row r="36">
          <cell r="B36" t="str">
            <v>WG NY Cheesesteak</v>
          </cell>
          <cell r="D36">
            <v>96</v>
          </cell>
        </row>
        <row r="38">
          <cell r="N38">
            <v>5.0000000000000009</v>
          </cell>
        </row>
        <row r="44">
          <cell r="N44">
            <v>8.6999999999999993</v>
          </cell>
        </row>
        <row r="45">
          <cell r="E45">
            <v>4.0999999999999996</v>
          </cell>
        </row>
        <row r="46">
          <cell r="N46">
            <v>7.8000000000000007</v>
          </cell>
        </row>
        <row r="47">
          <cell r="E47">
            <v>4.3</v>
          </cell>
        </row>
        <row r="48">
          <cell r="N48">
            <v>7.5</v>
          </cell>
        </row>
        <row r="49">
          <cell r="E49">
            <v>4</v>
          </cell>
        </row>
        <row r="50">
          <cell r="N50">
            <v>8.1000000000000014</v>
          </cell>
        </row>
        <row r="52">
          <cell r="N52">
            <v>8.7000000000000011</v>
          </cell>
        </row>
        <row r="53">
          <cell r="E53">
            <v>4.5599999999999996</v>
          </cell>
        </row>
        <row r="54">
          <cell r="N54">
            <v>8.6999999999999993</v>
          </cell>
        </row>
        <row r="56">
          <cell r="N56">
            <v>7.8000000000000007</v>
          </cell>
        </row>
        <row r="58">
          <cell r="N58">
            <v>7.5</v>
          </cell>
        </row>
        <row r="60">
          <cell r="N60">
            <v>8.1000000000000014</v>
          </cell>
        </row>
        <row r="62">
          <cell r="N62">
            <v>8.7000000000000011</v>
          </cell>
        </row>
      </sheetData>
      <sheetData sheetId="26" refreshError="1"/>
      <sheetData sheetId="27" refreshError="1"/>
      <sheetData sheetId="28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29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0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1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2" refreshError="1"/>
      <sheetData sheetId="33" refreshError="1"/>
      <sheetData sheetId="34" refreshError="1">
        <row r="11">
          <cell r="D11">
            <v>240</v>
          </cell>
        </row>
        <row r="14">
          <cell r="N14">
            <v>15.360000000000001</v>
          </cell>
        </row>
        <row r="23">
          <cell r="E23">
            <v>2</v>
          </cell>
        </row>
        <row r="24">
          <cell r="N24" t="str">
            <v>N__x__</v>
          </cell>
        </row>
      </sheetData>
      <sheetData sheetId="35" refreshError="1">
        <row r="8">
          <cell r="D8">
            <v>160</v>
          </cell>
          <cell r="M8">
            <v>10</v>
          </cell>
        </row>
      </sheetData>
      <sheetData sheetId="36" refreshError="1">
        <row r="8">
          <cell r="D8">
            <v>48</v>
          </cell>
          <cell r="M8">
            <v>12</v>
          </cell>
        </row>
      </sheetData>
      <sheetData sheetId="37" refreshError="1">
        <row r="8">
          <cell r="D8">
            <v>12</v>
          </cell>
          <cell r="M8">
            <v>12</v>
          </cell>
        </row>
      </sheetData>
      <sheetData sheetId="38" refreshError="1">
        <row r="8">
          <cell r="D8">
            <v>160</v>
          </cell>
          <cell r="M8">
            <v>10</v>
          </cell>
        </row>
      </sheetData>
      <sheetData sheetId="39" refreshError="1">
        <row r="8">
          <cell r="D8">
            <v>160</v>
          </cell>
          <cell r="M8">
            <v>10</v>
          </cell>
        </row>
      </sheetData>
      <sheetData sheetId="40" refreshError="1">
        <row r="8">
          <cell r="D8">
            <v>160</v>
          </cell>
          <cell r="M8">
            <v>10</v>
          </cell>
        </row>
      </sheetData>
      <sheetData sheetId="41" refreshError="1">
        <row r="8">
          <cell r="D8">
            <v>84</v>
          </cell>
          <cell r="M8">
            <v>10.5</v>
          </cell>
        </row>
      </sheetData>
      <sheetData sheetId="42" refreshError="1">
        <row r="8">
          <cell r="M8">
            <v>3.7413563049853367</v>
          </cell>
        </row>
        <row r="13">
          <cell r="E13">
            <v>3.41</v>
          </cell>
        </row>
      </sheetData>
      <sheetData sheetId="43" refreshError="1">
        <row r="11">
          <cell r="D11">
            <v>30</v>
          </cell>
        </row>
        <row r="14">
          <cell r="N14">
            <v>1.7062499999999998</v>
          </cell>
        </row>
        <row r="24">
          <cell r="N24" t="str">
            <v>N__x__</v>
          </cell>
        </row>
      </sheetData>
      <sheetData sheetId="44" refreshError="1">
        <row r="8">
          <cell r="D8">
            <v>60</v>
          </cell>
          <cell r="M8">
            <v>3.7422338709677425</v>
          </cell>
        </row>
      </sheetData>
      <sheetData sheetId="45" refreshError="1">
        <row r="8">
          <cell r="D8">
            <v>60</v>
          </cell>
          <cell r="M8">
            <v>3.8690909090909105</v>
          </cell>
        </row>
      </sheetData>
      <sheetData sheetId="46" refreshError="1">
        <row r="14">
          <cell r="L14">
            <v>1.9399635117696794</v>
          </cell>
          <cell r="N14">
            <v>1.9399635117696794</v>
          </cell>
        </row>
        <row r="16">
          <cell r="N16" t="e">
            <v>#REF!</v>
          </cell>
        </row>
      </sheetData>
      <sheetData sheetId="47" refreshError="1">
        <row r="11">
          <cell r="D11">
            <v>30</v>
          </cell>
        </row>
        <row r="14">
          <cell r="L14">
            <v>1.5562499999999997</v>
          </cell>
          <cell r="N14">
            <v>1.5562499999999997</v>
          </cell>
        </row>
      </sheetData>
      <sheetData sheetId="48" refreshError="1">
        <row r="14">
          <cell r="N14">
            <v>2.3809999999999998</v>
          </cell>
        </row>
        <row r="16">
          <cell r="N16">
            <v>4.7110000000000003</v>
          </cell>
        </row>
        <row r="18">
          <cell r="N18">
            <v>1.1479999999999999</v>
          </cell>
        </row>
      </sheetData>
      <sheetData sheetId="49" refreshError="1">
        <row r="14">
          <cell r="N14" t="e">
            <v>#REF!</v>
          </cell>
        </row>
        <row r="16">
          <cell r="N16" t="e">
            <v>#REF!</v>
          </cell>
        </row>
        <row r="18">
          <cell r="N18" t="e">
            <v>#REF!</v>
          </cell>
        </row>
        <row r="20">
          <cell r="N20" t="e">
            <v>#REF!</v>
          </cell>
        </row>
        <row r="24">
          <cell r="N24">
            <v>8.4380000000000006</v>
          </cell>
        </row>
        <row r="28">
          <cell r="N28" t="e">
            <v>#REF!</v>
          </cell>
        </row>
        <row r="37">
          <cell r="B37" t="str">
            <v>White Turkey &amp;   Cheese Sandwich Meal</v>
          </cell>
        </row>
        <row r="38">
          <cell r="N38">
            <v>1.425</v>
          </cell>
        </row>
        <row r="43">
          <cell r="N43">
            <v>1.425</v>
          </cell>
        </row>
        <row r="48">
          <cell r="N48">
            <v>1.425</v>
          </cell>
        </row>
      </sheetData>
      <sheetData sheetId="50" refreshError="1">
        <row r="8">
          <cell r="D8">
            <v>48</v>
          </cell>
        </row>
      </sheetData>
      <sheetData sheetId="51" refreshError="1">
        <row r="14">
          <cell r="N14">
            <v>1.425</v>
          </cell>
        </row>
        <row r="24">
          <cell r="N24" t="str">
            <v>N__x__</v>
          </cell>
        </row>
      </sheetData>
      <sheetData sheetId="52" refreshError="1">
        <row r="11">
          <cell r="D11">
            <v>30</v>
          </cell>
        </row>
        <row r="14">
          <cell r="N14">
            <v>1.8750000000000002</v>
          </cell>
        </row>
        <row r="24">
          <cell r="N24" t="str">
            <v>N__x__</v>
          </cell>
        </row>
      </sheetData>
      <sheetData sheetId="53" refreshError="1">
        <row r="11">
          <cell r="D11">
            <v>30</v>
          </cell>
        </row>
        <row r="14">
          <cell r="N14">
            <v>1.425</v>
          </cell>
        </row>
        <row r="24">
          <cell r="N24" t="str">
            <v>N__x__</v>
          </cell>
        </row>
      </sheetData>
      <sheetData sheetId="54" refreshError="1">
        <row r="14">
          <cell r="N14">
            <v>1.4252235294117648</v>
          </cell>
        </row>
        <row r="24">
          <cell r="N24" t="str">
            <v>N__x__</v>
          </cell>
        </row>
      </sheetData>
      <sheetData sheetId="55" refreshError="1">
        <row r="11">
          <cell r="D11">
            <v>30</v>
          </cell>
        </row>
        <row r="14">
          <cell r="N14">
            <v>1.4252235294117648</v>
          </cell>
        </row>
        <row r="24">
          <cell r="N24" t="str">
            <v>N__x__</v>
          </cell>
        </row>
      </sheetData>
      <sheetData sheetId="56" refreshError="1">
        <row r="8">
          <cell r="D8">
            <v>60</v>
          </cell>
          <cell r="M8">
            <v>3.7422338709677425</v>
          </cell>
        </row>
        <row r="13">
          <cell r="E13">
            <v>3.1</v>
          </cell>
        </row>
      </sheetData>
      <sheetData sheetId="57" refreshError="1">
        <row r="8">
          <cell r="D8">
            <v>30</v>
          </cell>
          <cell r="M8">
            <v>0.93749999999999989</v>
          </cell>
        </row>
      </sheetData>
      <sheetData sheetId="58" refreshError="1"/>
      <sheetData sheetId="59" refreshError="1"/>
      <sheetData sheetId="60" refreshError="1">
        <row r="8">
          <cell r="D8">
            <v>30</v>
          </cell>
          <cell r="M8">
            <v>1.874625</v>
          </cell>
        </row>
      </sheetData>
      <sheetData sheetId="61" refreshError="1">
        <row r="8">
          <cell r="D8">
            <v>30</v>
          </cell>
          <cell r="M8">
            <v>0.9375</v>
          </cell>
        </row>
      </sheetData>
      <sheetData sheetId="62" refreshError="1"/>
      <sheetData sheetId="63" refreshError="1">
        <row r="8">
          <cell r="D8">
            <v>30</v>
          </cell>
        </row>
      </sheetData>
      <sheetData sheetId="64" refreshError="1"/>
      <sheetData sheetId="65" refreshError="1">
        <row r="13">
          <cell r="D13">
            <v>90</v>
          </cell>
        </row>
        <row r="14">
          <cell r="N14">
            <v>4.2759999999999998</v>
          </cell>
        </row>
        <row r="16">
          <cell r="E16">
            <v>4.25</v>
          </cell>
        </row>
        <row r="17">
          <cell r="D17">
            <v>90</v>
          </cell>
          <cell r="N17">
            <v>5.6260000000000003</v>
          </cell>
        </row>
        <row r="18">
          <cell r="E18">
            <v>0.76017777777777773</v>
          </cell>
          <cell r="N18">
            <v>4.2759999999999998</v>
          </cell>
        </row>
        <row r="20">
          <cell r="E20">
            <v>5.38</v>
          </cell>
        </row>
        <row r="21">
          <cell r="D21">
            <v>90</v>
          </cell>
        </row>
        <row r="22">
          <cell r="L22">
            <v>4.2756705882352932</v>
          </cell>
        </row>
        <row r="24">
          <cell r="E24">
            <v>4.76</v>
          </cell>
        </row>
        <row r="26">
          <cell r="N26" t="e">
            <v>#REF!</v>
          </cell>
        </row>
        <row r="27">
          <cell r="D27" t="str">
            <v>AND/OR</v>
          </cell>
        </row>
        <row r="30">
          <cell r="E30">
            <v>5.15</v>
          </cell>
        </row>
        <row r="31">
          <cell r="D31">
            <v>90</v>
          </cell>
        </row>
        <row r="32">
          <cell r="N32">
            <v>4.2759999999999998</v>
          </cell>
        </row>
        <row r="34">
          <cell r="E34">
            <v>4.9000000000000004</v>
          </cell>
        </row>
        <row r="35">
          <cell r="D35">
            <v>96</v>
          </cell>
          <cell r="N35">
            <v>12</v>
          </cell>
        </row>
        <row r="36">
          <cell r="B36" t="str">
            <v>IW Grilled Cheese Sandwich</v>
          </cell>
          <cell r="E36">
            <v>4.4000000000000004</v>
          </cell>
        </row>
        <row r="38">
          <cell r="E38">
            <v>2</v>
          </cell>
          <cell r="N38">
            <v>12</v>
          </cell>
        </row>
        <row r="48">
          <cell r="N48">
            <v>9</v>
          </cell>
        </row>
      </sheetData>
      <sheetData sheetId="66" refreshError="1">
        <row r="14">
          <cell r="N14">
            <v>3.7349999999999999</v>
          </cell>
        </row>
        <row r="24">
          <cell r="N24" t="str">
            <v>N__x__</v>
          </cell>
        </row>
      </sheetData>
      <sheetData sheetId="67" refreshError="1">
        <row r="14">
          <cell r="N14">
            <v>15.323</v>
          </cell>
        </row>
        <row r="24">
          <cell r="N24" t="str">
            <v>N__x__</v>
          </cell>
        </row>
      </sheetData>
      <sheetData sheetId="68" refreshError="1">
        <row r="14">
          <cell r="N14">
            <v>4.3579999999999997</v>
          </cell>
        </row>
        <row r="24">
          <cell r="N24" t="str">
            <v>N__x__</v>
          </cell>
        </row>
      </sheetData>
      <sheetData sheetId="69" refreshError="1">
        <row r="14">
          <cell r="N14">
            <v>3.7349999999999999</v>
          </cell>
        </row>
        <row r="24">
          <cell r="N24" t="str">
            <v>N__x__</v>
          </cell>
        </row>
      </sheetData>
      <sheetData sheetId="70" refreshError="1">
        <row r="14">
          <cell r="N14">
            <v>3.7360000000000002</v>
          </cell>
        </row>
        <row r="24">
          <cell r="N24" t="str">
            <v>N__x__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>
        <row r="37">
          <cell r="B37" t="str">
            <v>Signature</v>
          </cell>
        </row>
      </sheetData>
      <sheetData sheetId="81" refreshError="1">
        <row r="37">
          <cell r="B37" t="str">
            <v>Signature</v>
          </cell>
        </row>
      </sheetData>
      <sheetData sheetId="82" refreshError="1">
        <row r="37">
          <cell r="B37" t="str">
            <v>Signature</v>
          </cell>
        </row>
      </sheetData>
      <sheetData sheetId="83" refreshError="1"/>
      <sheetData sheetId="84" refreshError="1">
        <row r="37">
          <cell r="B37" t="str">
            <v>Signature</v>
          </cell>
        </row>
      </sheetData>
      <sheetData sheetId="85" refreshError="1">
        <row r="37">
          <cell r="B37" t="str">
            <v>Signature</v>
          </cell>
        </row>
      </sheetData>
      <sheetData sheetId="86" refreshError="1">
        <row r="37">
          <cell r="B37" t="str">
            <v>Signature</v>
          </cell>
        </row>
      </sheetData>
      <sheetData sheetId="87" refreshError="1">
        <row r="37">
          <cell r="B37" t="str">
            <v>Signature</v>
          </cell>
        </row>
      </sheetData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le"/>
      <sheetName val="Comm_MarginAnal_marginfo_2122_1"/>
    </sheetNames>
    <definedNames>
      <definedName name="sell10129e" refersTo="='entitle'!$M$97"/>
      <definedName name="sell40232e" refersTo="='entitle'!$M$98"/>
      <definedName name="sell40234e" refersTo="='entitle'!$M$99"/>
      <definedName name="sell40235e" refersTo="='entitle'!$M$100"/>
      <definedName name="sell40236e" refersTo="='entitle'!$M$101"/>
      <definedName name="sell40239e" refersTo="='entitle'!$M$102"/>
      <definedName name="sell40244e" refersTo="='entitle'!$M$103"/>
      <definedName name="sell40251e" refersTo="='entitle'!$M$110"/>
      <definedName name="sell5809e" refersTo="='entitle'!$M$8"/>
      <definedName name="sell5810e" refersTo="='entitle'!$M$7"/>
      <definedName name="sell75550e" refersTo="='entitle'!$M$111"/>
      <definedName name="sell75551e" refersTo="='entitle'!$M$112"/>
      <definedName name="sell75553e" refersTo="='entitle'!$M$113"/>
    </definedNames>
    <sheetDataSet>
      <sheetData sheetId="0">
        <row r="4">
          <cell r="M4">
            <v>40</v>
          </cell>
        </row>
        <row r="7">
          <cell r="M7">
            <v>39</v>
          </cell>
        </row>
        <row r="8">
          <cell r="M8">
            <v>39</v>
          </cell>
        </row>
        <row r="97">
          <cell r="M97">
            <v>30.6</v>
          </cell>
        </row>
        <row r="98">
          <cell r="M98">
            <v>39.840000000000003</v>
          </cell>
        </row>
        <row r="99">
          <cell r="M99">
            <v>18.75</v>
          </cell>
        </row>
        <row r="100">
          <cell r="M100">
            <v>30</v>
          </cell>
        </row>
        <row r="101">
          <cell r="M101">
            <v>30</v>
          </cell>
        </row>
        <row r="102">
          <cell r="M102">
            <v>30</v>
          </cell>
        </row>
        <row r="103">
          <cell r="M103">
            <v>35</v>
          </cell>
        </row>
        <row r="110">
          <cell r="M110">
            <v>84</v>
          </cell>
        </row>
        <row r="111">
          <cell r="M111">
            <v>15</v>
          </cell>
        </row>
        <row r="112">
          <cell r="M112">
            <v>22</v>
          </cell>
        </row>
        <row r="113">
          <cell r="M113">
            <v>15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4">
          <cell r="B224" t="str">
            <v>BB RS Cocoa Puffs with Juice (carton)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 proforma-ssmb"/>
      <sheetName val="FS proforma-tsmb"/>
      <sheetName val="FS proforma-hotmb"/>
      <sheetName val="FS proforma-freshmb"/>
      <sheetName val="FS proforma-ssmbmilk"/>
      <sheetName val="FS proforma-ssmbmilkAK15"/>
      <sheetName val="FS proforma-ssmbmilkAK15contain"/>
      <sheetName val="foodservice proforma_ss ts hot "/>
    </sheetNames>
    <sheetDataSet>
      <sheetData sheetId="0" refreshError="1">
        <row r="8">
          <cell r="S8">
            <v>68.400000000000006</v>
          </cell>
          <cell r="BP8">
            <v>83.399999999999991</v>
          </cell>
          <cell r="BR8">
            <v>75.599999999999994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3"/>
  <sheetViews>
    <sheetView tabSelected="1" zoomScaleNormal="100" workbookViewId="0">
      <selection activeCell="O24" sqref="O24"/>
    </sheetView>
  </sheetViews>
  <sheetFormatPr defaultColWidth="9.1796875" defaultRowHeight="13" x14ac:dyDescent="0.3"/>
  <cols>
    <col min="1" max="1" width="7.7265625" style="2" customWidth="1"/>
    <col min="2" max="2" width="32.81640625" style="2" customWidth="1"/>
    <col min="3" max="3" width="6.1796875" style="2" customWidth="1"/>
    <col min="4" max="4" width="15" style="2" customWidth="1"/>
    <col min="5" max="5" width="9" style="2" bestFit="1" customWidth="1"/>
    <col min="6" max="6" width="9.1796875" style="2" bestFit="1" customWidth="1"/>
    <col min="7" max="7" width="11.453125" style="37" customWidth="1"/>
    <col min="8" max="8" width="3" style="2" customWidth="1"/>
    <col min="9" max="9" width="8.1796875" style="2" customWidth="1"/>
    <col min="10" max="10" width="2.453125" style="2" customWidth="1"/>
    <col min="11" max="11" width="7.7265625" style="2" customWidth="1"/>
    <col min="12" max="12" width="2.81640625" style="2" customWidth="1"/>
    <col min="13" max="13" width="8" style="14" customWidth="1"/>
    <col min="14" max="14" width="2.26953125" style="2" customWidth="1"/>
    <col min="15" max="15" width="9.1796875" style="2" customWidth="1"/>
    <col min="16" max="16" width="2.81640625" style="2" customWidth="1"/>
    <col min="17" max="17" width="7.7265625" style="2" customWidth="1"/>
    <col min="18" max="18" width="2.26953125" style="2" customWidth="1"/>
    <col min="19" max="19" width="11" style="2" customWidth="1"/>
    <col min="20" max="20" width="11.54296875" style="2" customWidth="1"/>
    <col min="21" max="22" width="8.54296875" style="2" customWidth="1"/>
    <col min="23" max="23" width="7.7265625" style="2" customWidth="1"/>
    <col min="24" max="24" width="10" style="2" customWidth="1"/>
    <col min="25" max="25" width="2.7265625" style="90" hidden="1" customWidth="1"/>
    <col min="26" max="26" width="9.1796875" style="91" hidden="1" customWidth="1"/>
    <col min="27" max="28" width="9.1796875" style="90" hidden="1" customWidth="1"/>
    <col min="29" max="29" width="9.1796875" style="91" hidden="1" customWidth="1"/>
    <col min="30" max="38" width="9.1796875" style="90" hidden="1" customWidth="1"/>
    <col min="39" max="43" width="9.1796875" style="2" hidden="1" customWidth="1"/>
    <col min="44" max="51" width="9.1796875" style="2" customWidth="1"/>
    <col min="52" max="16384" width="9.1796875" style="2"/>
  </cols>
  <sheetData>
    <row r="1" spans="1:38" ht="19.5" customHeight="1" thickBot="1" x14ac:dyDescent="0.35">
      <c r="G1" s="10" t="s">
        <v>12</v>
      </c>
      <c r="H1" s="11"/>
      <c r="I1" s="12" t="s">
        <v>13</v>
      </c>
      <c r="J1" s="11"/>
      <c r="K1" s="12" t="s">
        <v>14</v>
      </c>
      <c r="L1" s="11"/>
      <c r="M1" s="86" t="s">
        <v>15</v>
      </c>
      <c r="N1" s="11"/>
      <c r="O1" s="12" t="s">
        <v>16</v>
      </c>
      <c r="P1" s="11"/>
      <c r="Q1" s="13" t="s">
        <v>25</v>
      </c>
      <c r="R1" s="11"/>
      <c r="S1" s="12" t="s">
        <v>26</v>
      </c>
    </row>
    <row r="2" spans="1:38" s="15" customFormat="1" ht="39.75" customHeight="1" x14ac:dyDescent="0.25">
      <c r="A2" s="122" t="s">
        <v>0</v>
      </c>
      <c r="B2" s="113" t="s">
        <v>1</v>
      </c>
      <c r="C2" s="113" t="s">
        <v>28</v>
      </c>
      <c r="D2" s="113" t="s">
        <v>17</v>
      </c>
      <c r="E2" s="113" t="s">
        <v>20</v>
      </c>
      <c r="F2" s="113" t="s">
        <v>176</v>
      </c>
      <c r="G2" s="126" t="s">
        <v>21</v>
      </c>
      <c r="H2" s="124" t="s">
        <v>10</v>
      </c>
      <c r="I2" s="113" t="s">
        <v>2</v>
      </c>
      <c r="J2" s="109" t="s">
        <v>6</v>
      </c>
      <c r="K2" s="113" t="s">
        <v>22</v>
      </c>
      <c r="L2" s="113" t="s">
        <v>7</v>
      </c>
      <c r="M2" s="120" t="s">
        <v>23</v>
      </c>
      <c r="N2" s="109" t="s">
        <v>6</v>
      </c>
      <c r="O2" s="113" t="s">
        <v>27</v>
      </c>
      <c r="P2" s="113" t="s">
        <v>7</v>
      </c>
      <c r="Q2" s="117" t="s">
        <v>29</v>
      </c>
      <c r="R2" s="109" t="s">
        <v>6</v>
      </c>
      <c r="S2" s="113" t="s">
        <v>24</v>
      </c>
      <c r="T2" s="115" t="s">
        <v>31</v>
      </c>
      <c r="U2" s="111" t="s">
        <v>37</v>
      </c>
      <c r="V2" s="111" t="s">
        <v>38</v>
      </c>
      <c r="W2" s="107" t="s">
        <v>5</v>
      </c>
      <c r="X2" s="108"/>
      <c r="Y2" s="92"/>
      <c r="Z2" s="93"/>
      <c r="AA2" s="92"/>
      <c r="AB2" s="92"/>
      <c r="AC2" s="93"/>
      <c r="AD2" s="92"/>
      <c r="AE2" s="92"/>
      <c r="AF2" s="92"/>
      <c r="AG2" s="92"/>
      <c r="AH2" s="92"/>
      <c r="AI2" s="92"/>
      <c r="AJ2" s="92"/>
      <c r="AK2" s="92"/>
      <c r="AL2" s="92"/>
    </row>
    <row r="3" spans="1:38" ht="11.25" customHeight="1" thickBot="1" x14ac:dyDescent="0.35">
      <c r="A3" s="123"/>
      <c r="B3" s="114"/>
      <c r="C3" s="114"/>
      <c r="D3" s="114"/>
      <c r="E3" s="114"/>
      <c r="F3" s="114"/>
      <c r="G3" s="127"/>
      <c r="H3" s="125"/>
      <c r="I3" s="114"/>
      <c r="J3" s="110"/>
      <c r="K3" s="114"/>
      <c r="L3" s="114"/>
      <c r="M3" s="121"/>
      <c r="N3" s="110"/>
      <c r="O3" s="114"/>
      <c r="P3" s="114"/>
      <c r="Q3" s="118"/>
      <c r="R3" s="110"/>
      <c r="S3" s="114"/>
      <c r="T3" s="116"/>
      <c r="U3" s="112"/>
      <c r="V3" s="112"/>
      <c r="W3" s="102" t="s">
        <v>3</v>
      </c>
      <c r="X3" s="103" t="s">
        <v>4</v>
      </c>
      <c r="Z3" s="94" t="s">
        <v>36</v>
      </c>
      <c r="AA3" s="95" t="s">
        <v>33</v>
      </c>
      <c r="AB3" s="95" t="s">
        <v>35</v>
      </c>
      <c r="AC3" s="96" t="s">
        <v>34</v>
      </c>
      <c r="AD3" s="95" t="s">
        <v>128</v>
      </c>
      <c r="AE3" s="95"/>
    </row>
    <row r="4" spans="1:38" s="26" customFormat="1" ht="25.5" hidden="1" customHeight="1" x14ac:dyDescent="0.25">
      <c r="A4" s="16" t="s">
        <v>182</v>
      </c>
      <c r="B4" s="17" t="str">
        <f>'[1]Park100 pouch'!$B$13&amp;" - "&amp;'[1]Park100 pouch'!$B$12</f>
        <v>RF Nacho/Spicy Cheese Sauce - Pouch Products</v>
      </c>
      <c r="C4" s="4" t="e">
        <f>#REF!</f>
        <v>#REF!</v>
      </c>
      <c r="D4" s="18" t="s">
        <v>30</v>
      </c>
      <c r="E4" s="4" t="e">
        <f t="shared" ref="E4:E11" si="0">C4*I4/16</f>
        <v>#REF!</v>
      </c>
      <c r="F4" s="4"/>
      <c r="G4" s="8"/>
      <c r="H4" s="19" t="s">
        <v>10</v>
      </c>
      <c r="I4" s="20">
        <f>'[1]Park100 pouch'!$D$13</f>
        <v>240</v>
      </c>
      <c r="J4" s="21" t="s">
        <v>6</v>
      </c>
      <c r="K4" s="22">
        <f t="shared" ref="K4:K11" si="1">G4/I4</f>
        <v>0</v>
      </c>
      <c r="L4" s="23" t="s">
        <v>7</v>
      </c>
      <c r="M4" s="4">
        <f>'[1]Park100 pouch'!$N$14</f>
        <v>11.061473684210522</v>
      </c>
      <c r="N4" s="21" t="s">
        <v>6</v>
      </c>
      <c r="O4" s="24">
        <f t="shared" ref="O4:O11" si="2">K4*M4</f>
        <v>0</v>
      </c>
      <c r="P4" s="23" t="s">
        <v>7</v>
      </c>
      <c r="Q4" s="5"/>
      <c r="R4" s="21" t="s">
        <v>6</v>
      </c>
      <c r="S4" s="25">
        <f t="shared" ref="S4:S11" si="3">O4*Q4</f>
        <v>0</v>
      </c>
      <c r="T4" s="80">
        <f t="shared" ref="T4:T11" si="4">Z4/I4</f>
        <v>0.16250000000000001</v>
      </c>
      <c r="U4" s="81">
        <f t="shared" ref="U4:U10" si="5">T4*I4</f>
        <v>39</v>
      </c>
      <c r="V4" s="81">
        <f t="shared" ref="V4:V10" si="6">AA4</f>
        <v>19.861982147368415</v>
      </c>
      <c r="W4" s="70">
        <f t="shared" ref="W4:W10" si="7">1000/M4</f>
        <v>90.403867382284687</v>
      </c>
      <c r="X4" s="82">
        <f t="shared" ref="X4:X10" si="8">W4*I4</f>
        <v>21696.928171748325</v>
      </c>
      <c r="Y4" s="97"/>
      <c r="Z4" s="98">
        <f>[2]!sell5809e</f>
        <v>39</v>
      </c>
      <c r="AA4" s="99">
        <f>M4*AC$152</f>
        <v>19.861982147368415</v>
      </c>
      <c r="AB4" s="97"/>
      <c r="AC4" s="98"/>
      <c r="AD4" s="97"/>
      <c r="AE4" s="97"/>
      <c r="AF4" s="97"/>
      <c r="AG4" s="97"/>
      <c r="AH4" s="97"/>
      <c r="AI4" s="97"/>
      <c r="AJ4" s="97"/>
      <c r="AK4" s="97"/>
      <c r="AL4" s="97"/>
    </row>
    <row r="5" spans="1:38" s="26" customFormat="1" ht="25.5" hidden="1" customHeight="1" x14ac:dyDescent="0.25">
      <c r="A5" s="16" t="s">
        <v>183</v>
      </c>
      <c r="B5" s="17" t="str">
        <f>'[1]Park100 pouch'!$B$14&amp;" - "&amp;'[1]Park100 pouch'!$B$12</f>
        <v>RF Cheese Sauce - Pouch Products</v>
      </c>
      <c r="C5" s="4" t="e">
        <f>#REF!</f>
        <v>#REF!</v>
      </c>
      <c r="D5" s="18" t="s">
        <v>30</v>
      </c>
      <c r="E5" s="4" t="e">
        <f t="shared" si="0"/>
        <v>#REF!</v>
      </c>
      <c r="F5" s="4"/>
      <c r="G5" s="8"/>
      <c r="H5" s="19" t="s">
        <v>10</v>
      </c>
      <c r="I5" s="20">
        <f>'[1]Park100 pouch'!$D$13</f>
        <v>240</v>
      </c>
      <c r="J5" s="21" t="s">
        <v>6</v>
      </c>
      <c r="K5" s="22">
        <f t="shared" si="1"/>
        <v>0</v>
      </c>
      <c r="L5" s="23" t="s">
        <v>7</v>
      </c>
      <c r="M5" s="4">
        <f>'[1]Park100 pouch'!$N$14</f>
        <v>11.061473684210522</v>
      </c>
      <c r="N5" s="21" t="s">
        <v>6</v>
      </c>
      <c r="O5" s="24">
        <f t="shared" si="2"/>
        <v>0</v>
      </c>
      <c r="P5" s="23" t="s">
        <v>7</v>
      </c>
      <c r="Q5" s="5"/>
      <c r="R5" s="21" t="s">
        <v>6</v>
      </c>
      <c r="S5" s="25">
        <f t="shared" si="3"/>
        <v>0</v>
      </c>
      <c r="T5" s="80">
        <f t="shared" si="4"/>
        <v>0.16250000000000001</v>
      </c>
      <c r="U5" s="81">
        <f t="shared" si="5"/>
        <v>39</v>
      </c>
      <c r="V5" s="81">
        <f t="shared" si="6"/>
        <v>19.861982147368415</v>
      </c>
      <c r="W5" s="70">
        <f t="shared" si="7"/>
        <v>90.403867382284687</v>
      </c>
      <c r="X5" s="82">
        <f t="shared" si="8"/>
        <v>21696.928171748325</v>
      </c>
      <c r="Y5" s="97"/>
      <c r="Z5" s="98">
        <f>[2]!sell5810e</f>
        <v>39</v>
      </c>
      <c r="AA5" s="99">
        <f>M5*AC$152</f>
        <v>19.861982147368415</v>
      </c>
      <c r="AB5" s="97"/>
      <c r="AC5" s="98"/>
      <c r="AD5" s="97"/>
      <c r="AE5" s="97"/>
      <c r="AF5" s="97"/>
      <c r="AG5" s="97"/>
      <c r="AH5" s="97"/>
      <c r="AI5" s="97"/>
      <c r="AJ5" s="97"/>
      <c r="AK5" s="97"/>
      <c r="AL5" s="97"/>
    </row>
    <row r="6" spans="1:38" s="26" customFormat="1" ht="25.5" customHeight="1" x14ac:dyDescent="0.25">
      <c r="A6" s="54" t="s">
        <v>242</v>
      </c>
      <c r="B6" s="55" t="s">
        <v>90</v>
      </c>
      <c r="C6" s="56">
        <f>'[1]Park100 pouch'!$E$19</f>
        <v>2</v>
      </c>
      <c r="D6" s="57" t="s">
        <v>313</v>
      </c>
      <c r="E6" s="56">
        <f t="shared" si="0"/>
        <v>30</v>
      </c>
      <c r="F6" s="58" t="s">
        <v>175</v>
      </c>
      <c r="G6" s="8"/>
      <c r="H6" s="69" t="s">
        <v>10</v>
      </c>
      <c r="I6" s="70">
        <f>'[1]Park100 pouch'!$D$17</f>
        <v>240</v>
      </c>
      <c r="J6" s="71" t="s">
        <v>6</v>
      </c>
      <c r="K6" s="22">
        <f t="shared" si="1"/>
        <v>0</v>
      </c>
      <c r="L6" s="78" t="s">
        <v>7</v>
      </c>
      <c r="M6" s="56">
        <f>'[1]Park100 pouch'!$N$17</f>
        <v>10.593037974683542</v>
      </c>
      <c r="N6" s="71" t="s">
        <v>6</v>
      </c>
      <c r="O6" s="24">
        <f t="shared" si="2"/>
        <v>0</v>
      </c>
      <c r="P6" s="23" t="s">
        <v>7</v>
      </c>
      <c r="Q6" s="5"/>
      <c r="R6" s="21" t="s">
        <v>6</v>
      </c>
      <c r="S6" s="25">
        <f t="shared" si="3"/>
        <v>0</v>
      </c>
      <c r="T6" s="80">
        <f t="shared" si="4"/>
        <v>0.19803749683544306</v>
      </c>
      <c r="U6" s="81">
        <f>T6*I6</f>
        <v>47.52899924050633</v>
      </c>
      <c r="V6" s="81">
        <f>AA6</f>
        <v>20.631000759493666</v>
      </c>
      <c r="W6" s="70">
        <f t="shared" si="7"/>
        <v>94.401625141901206</v>
      </c>
      <c r="X6" s="82">
        <f t="shared" si="8"/>
        <v>22656.39003405629</v>
      </c>
      <c r="Y6" s="97"/>
      <c r="Z6" s="98">
        <f>AD6-AA6</f>
        <v>47.52899924050633</v>
      </c>
      <c r="AA6" s="99">
        <f>IF(F6="110242",AD$152*M6,AD$153*M6)</f>
        <v>20.631000759493666</v>
      </c>
      <c r="AB6" s="97"/>
      <c r="AC6" s="98"/>
      <c r="AD6" s="105">
        <v>68.16</v>
      </c>
      <c r="AE6" s="97"/>
      <c r="AF6" s="97"/>
      <c r="AG6" s="97"/>
      <c r="AH6" s="97"/>
      <c r="AI6" s="97"/>
      <c r="AJ6" s="97"/>
      <c r="AK6" s="97"/>
      <c r="AL6" s="97"/>
    </row>
    <row r="7" spans="1:38" s="26" customFormat="1" ht="25.5" customHeight="1" x14ac:dyDescent="0.25">
      <c r="A7" s="54" t="s">
        <v>243</v>
      </c>
      <c r="B7" s="55" t="s">
        <v>91</v>
      </c>
      <c r="C7" s="56">
        <f>'[1]Park100 pouch'!$E$19</f>
        <v>2</v>
      </c>
      <c r="D7" s="57" t="s">
        <v>313</v>
      </c>
      <c r="E7" s="56">
        <f t="shared" si="0"/>
        <v>30</v>
      </c>
      <c r="F7" s="58" t="s">
        <v>175</v>
      </c>
      <c r="G7" s="8"/>
      <c r="H7" s="69" t="s">
        <v>10</v>
      </c>
      <c r="I7" s="70">
        <f>'[1]Park100 pouch'!$D$17</f>
        <v>240</v>
      </c>
      <c r="J7" s="71" t="s">
        <v>6</v>
      </c>
      <c r="K7" s="22">
        <f t="shared" si="1"/>
        <v>0</v>
      </c>
      <c r="L7" s="78" t="s">
        <v>7</v>
      </c>
      <c r="M7" s="56">
        <f>'[1]Park100 pouch'!$N$17</f>
        <v>10.593037974683542</v>
      </c>
      <c r="N7" s="71" t="s">
        <v>6</v>
      </c>
      <c r="O7" s="24">
        <f t="shared" si="2"/>
        <v>0</v>
      </c>
      <c r="P7" s="23" t="s">
        <v>7</v>
      </c>
      <c r="Q7" s="5"/>
      <c r="R7" s="21" t="s">
        <v>6</v>
      </c>
      <c r="S7" s="25">
        <f t="shared" si="3"/>
        <v>0</v>
      </c>
      <c r="T7" s="80">
        <f t="shared" si="4"/>
        <v>0.19803749683544306</v>
      </c>
      <c r="U7" s="81">
        <f t="shared" si="5"/>
        <v>47.52899924050633</v>
      </c>
      <c r="V7" s="81">
        <f t="shared" si="6"/>
        <v>20.631000759493666</v>
      </c>
      <c r="W7" s="70">
        <f t="shared" si="7"/>
        <v>94.401625141901206</v>
      </c>
      <c r="X7" s="82">
        <f t="shared" si="8"/>
        <v>22656.39003405629</v>
      </c>
      <c r="Y7" s="97"/>
      <c r="Z7" s="98">
        <f t="shared" ref="Z7:Z73" si="9">AD7-AA7</f>
        <v>47.52899924050633</v>
      </c>
      <c r="AA7" s="99">
        <f t="shared" ref="AA7:AA70" si="10">IF(F7="110242",AD$152*M7,AD$153*M7)</f>
        <v>20.631000759493666</v>
      </c>
      <c r="AB7" s="97"/>
      <c r="AC7" s="98"/>
      <c r="AD7" s="105">
        <v>68.16</v>
      </c>
      <c r="AE7" s="97"/>
      <c r="AF7" s="97"/>
      <c r="AG7" s="97"/>
      <c r="AH7" s="97"/>
      <c r="AI7" s="97"/>
      <c r="AJ7" s="97"/>
      <c r="AK7" s="97"/>
      <c r="AL7" s="97"/>
    </row>
    <row r="8" spans="1:38" s="26" customFormat="1" ht="25.5" hidden="1" customHeight="1" x14ac:dyDescent="0.25">
      <c r="A8" s="54" t="s">
        <v>84</v>
      </c>
      <c r="B8" s="55" t="s">
        <v>87</v>
      </c>
      <c r="C8" s="56">
        <f>'[1]Park100 pouch'!$E$26</f>
        <v>3.6</v>
      </c>
      <c r="D8" s="57" t="s">
        <v>190</v>
      </c>
      <c r="E8" s="56" t="e">
        <f t="shared" si="0"/>
        <v>#REF!</v>
      </c>
      <c r="F8" s="56" t="s">
        <v>175</v>
      </c>
      <c r="G8" s="8"/>
      <c r="H8" s="69" t="s">
        <v>10</v>
      </c>
      <c r="I8" s="70" t="e">
        <f>'[1]Park100 pouch'!$D$24</f>
        <v>#REF!</v>
      </c>
      <c r="J8" s="71" t="s">
        <v>6</v>
      </c>
      <c r="K8" s="22" t="e">
        <f t="shared" si="1"/>
        <v>#REF!</v>
      </c>
      <c r="L8" s="78" t="s">
        <v>7</v>
      </c>
      <c r="M8" s="56">
        <f>'[1]Park100 pouch'!$N$24</f>
        <v>6.1497726315789469</v>
      </c>
      <c r="N8" s="71" t="s">
        <v>6</v>
      </c>
      <c r="O8" s="24" t="e">
        <f t="shared" si="2"/>
        <v>#REF!</v>
      </c>
      <c r="P8" s="23" t="s">
        <v>7</v>
      </c>
      <c r="Q8" s="5"/>
      <c r="R8" s="21" t="s">
        <v>6</v>
      </c>
      <c r="S8" s="25" t="e">
        <f t="shared" si="3"/>
        <v>#REF!</v>
      </c>
      <c r="T8" s="80" t="e">
        <f t="shared" ca="1" si="4"/>
        <v>#REF!</v>
      </c>
      <c r="U8" s="81" t="e">
        <f t="shared" ca="1" si="5"/>
        <v>#REF!</v>
      </c>
      <c r="V8" s="81">
        <f t="shared" si="6"/>
        <v>11.977297177263157</v>
      </c>
      <c r="W8" s="70">
        <f t="shared" si="7"/>
        <v>162.60763769785927</v>
      </c>
      <c r="X8" s="82" t="e">
        <f t="shared" si="8"/>
        <v>#REF!</v>
      </c>
      <c r="Y8" s="97"/>
      <c r="Z8" s="98">
        <f t="shared" ca="1" si="9"/>
        <v>44.534596518987343</v>
      </c>
      <c r="AA8" s="99">
        <f t="shared" si="10"/>
        <v>11.977297177263157</v>
      </c>
      <c r="AB8" s="97"/>
      <c r="AC8" s="98"/>
      <c r="AD8" s="100" t="e">
        <f ca="1">U8+AA8+AC8</f>
        <v>#REF!</v>
      </c>
      <c r="AE8" s="97"/>
      <c r="AF8" s="97"/>
      <c r="AG8" s="97"/>
      <c r="AH8" s="97"/>
      <c r="AI8" s="97"/>
      <c r="AJ8" s="97"/>
      <c r="AK8" s="97"/>
      <c r="AL8" s="97"/>
    </row>
    <row r="9" spans="1:38" s="26" customFormat="1" ht="25.5" customHeight="1" x14ac:dyDescent="0.25">
      <c r="A9" s="54" t="s">
        <v>277</v>
      </c>
      <c r="B9" s="55" t="s">
        <v>278</v>
      </c>
      <c r="C9" s="56">
        <f>'[1]Park100 pouch'!$E$32</f>
        <v>6</v>
      </c>
      <c r="D9" s="57" t="s">
        <v>282</v>
      </c>
      <c r="E9" s="56">
        <f t="shared" si="0"/>
        <v>30</v>
      </c>
      <c r="F9" s="58" t="s">
        <v>175</v>
      </c>
      <c r="G9" s="8"/>
      <c r="H9" s="69" t="s">
        <v>10</v>
      </c>
      <c r="I9" s="70">
        <f>'[1]Park100 pouch'!$D$33</f>
        <v>80</v>
      </c>
      <c r="J9" s="71" t="s">
        <v>6</v>
      </c>
      <c r="K9" s="22">
        <f>G9/I9</f>
        <v>0</v>
      </c>
      <c r="L9" s="78" t="s">
        <v>7</v>
      </c>
      <c r="M9" s="56">
        <f>'[1]Park100 pouch'!$N$33</f>
        <v>6.6517499999999981</v>
      </c>
      <c r="N9" s="71" t="s">
        <v>6</v>
      </c>
      <c r="O9" s="24">
        <f>K9*M9</f>
        <v>0</v>
      </c>
      <c r="P9" s="23" t="s">
        <v>7</v>
      </c>
      <c r="Q9" s="5"/>
      <c r="R9" s="21" t="s">
        <v>6</v>
      </c>
      <c r="S9" s="25">
        <f t="shared" si="3"/>
        <v>0</v>
      </c>
      <c r="T9" s="80">
        <f t="shared" si="4"/>
        <v>0.60731314624999999</v>
      </c>
      <c r="U9" s="81">
        <f>ROUNDDOWN(T9*I9,2)</f>
        <v>48.58</v>
      </c>
      <c r="V9" s="81">
        <f>ROUNDUP(AA9,2)</f>
        <v>12.959999999999999</v>
      </c>
      <c r="W9" s="70">
        <f t="shared" si="7"/>
        <v>150.3363776449807</v>
      </c>
      <c r="X9" s="82">
        <f t="shared" si="8"/>
        <v>12026.910211598457</v>
      </c>
      <c r="Y9" s="97"/>
      <c r="Z9" s="98">
        <f t="shared" si="9"/>
        <v>48.585051700000001</v>
      </c>
      <c r="AA9" s="99">
        <f t="shared" si="10"/>
        <v>12.954948299999996</v>
      </c>
      <c r="AB9" s="97"/>
      <c r="AC9" s="98"/>
      <c r="AD9" s="105">
        <v>61.54</v>
      </c>
      <c r="AE9" s="97"/>
      <c r="AF9" s="97"/>
      <c r="AG9" s="97"/>
      <c r="AH9" s="97"/>
      <c r="AI9" s="97"/>
      <c r="AJ9" s="97"/>
      <c r="AK9" s="97"/>
      <c r="AL9" s="97"/>
    </row>
    <row r="10" spans="1:38" s="26" customFormat="1" ht="25.5" hidden="1" customHeight="1" x14ac:dyDescent="0.25">
      <c r="A10" s="54" t="s">
        <v>184</v>
      </c>
      <c r="B10" s="55" t="str">
        <f>'[1]Park100 pouch'!$B$20&amp;" - "&amp;'[1]Park100 pouch'!$B$12</f>
        <v>RF Mac &amp; Cheese, Red Sodium - Pouch Products</v>
      </c>
      <c r="C10" s="56" t="e">
        <f>#REF!</f>
        <v>#REF!</v>
      </c>
      <c r="D10" s="57" t="s">
        <v>191</v>
      </c>
      <c r="E10" s="56" t="e">
        <f t="shared" si="0"/>
        <v>#REF!</v>
      </c>
      <c r="F10" s="56" t="s">
        <v>175</v>
      </c>
      <c r="G10" s="8"/>
      <c r="H10" s="69" t="s">
        <v>10</v>
      </c>
      <c r="I10" s="70">
        <f>'[1]Park100 pouch'!$D$20</f>
        <v>80</v>
      </c>
      <c r="J10" s="71" t="s">
        <v>6</v>
      </c>
      <c r="K10" s="22">
        <f t="shared" si="1"/>
        <v>0</v>
      </c>
      <c r="L10" s="78" t="s">
        <v>7</v>
      </c>
      <c r="M10" s="56">
        <f>'[1]Park100 pouch'!$N$21</f>
        <v>2.3348999999999998</v>
      </c>
      <c r="N10" s="71" t="s">
        <v>6</v>
      </c>
      <c r="O10" s="24">
        <f t="shared" si="2"/>
        <v>0</v>
      </c>
      <c r="P10" s="23" t="s">
        <v>7</v>
      </c>
      <c r="Q10" s="5"/>
      <c r="R10" s="21" t="s">
        <v>6</v>
      </c>
      <c r="S10" s="25">
        <f t="shared" si="3"/>
        <v>0</v>
      </c>
      <c r="T10" s="80">
        <f t="shared" ca="1" si="4"/>
        <v>0.5</v>
      </c>
      <c r="U10" s="81">
        <f t="shared" ca="1" si="5"/>
        <v>40</v>
      </c>
      <c r="V10" s="81">
        <f t="shared" si="6"/>
        <v>4.5474512399999991</v>
      </c>
      <c r="W10" s="70">
        <f t="shared" si="7"/>
        <v>428.28386654674722</v>
      </c>
      <c r="X10" s="82">
        <f t="shared" si="8"/>
        <v>34262.709323739778</v>
      </c>
      <c r="Y10" s="97"/>
      <c r="Z10" s="98">
        <f t="shared" ca="1" si="9"/>
        <v>44.534596518987343</v>
      </c>
      <c r="AA10" s="99">
        <f t="shared" si="10"/>
        <v>4.5474512399999991</v>
      </c>
      <c r="AB10" s="97"/>
      <c r="AC10" s="98"/>
      <c r="AD10" s="100">
        <f ca="1">U10+AA10+AC10</f>
        <v>44.056888749999999</v>
      </c>
      <c r="AE10" s="97"/>
      <c r="AF10" s="97"/>
      <c r="AG10" s="97"/>
      <c r="AH10" s="97"/>
      <c r="AI10" s="97"/>
      <c r="AJ10" s="97"/>
      <c r="AK10" s="97"/>
      <c r="AL10" s="97"/>
    </row>
    <row r="11" spans="1:38" s="26" customFormat="1" ht="25.5" customHeight="1" x14ac:dyDescent="0.25">
      <c r="A11" s="54" t="s">
        <v>174</v>
      </c>
      <c r="B11" s="55" t="s">
        <v>126</v>
      </c>
      <c r="C11" s="56">
        <f>'[1]Park100 pouch'!$E$32</f>
        <v>6</v>
      </c>
      <c r="D11" s="57" t="s">
        <v>282</v>
      </c>
      <c r="E11" s="56">
        <f t="shared" si="0"/>
        <v>30</v>
      </c>
      <c r="F11" s="58" t="s">
        <v>175</v>
      </c>
      <c r="G11" s="8"/>
      <c r="H11" s="69" t="s">
        <v>10</v>
      </c>
      <c r="I11" s="70">
        <f>'[1]Park100 pouch'!$D$33</f>
        <v>80</v>
      </c>
      <c r="J11" s="71" t="s">
        <v>6</v>
      </c>
      <c r="K11" s="22">
        <f t="shared" si="1"/>
        <v>0</v>
      </c>
      <c r="L11" s="78" t="s">
        <v>7</v>
      </c>
      <c r="M11" s="56">
        <f>'[1]Park100 pouch'!$N$33</f>
        <v>6.6517499999999981</v>
      </c>
      <c r="N11" s="71" t="s">
        <v>6</v>
      </c>
      <c r="O11" s="24">
        <f t="shared" si="2"/>
        <v>0</v>
      </c>
      <c r="P11" s="23" t="s">
        <v>7</v>
      </c>
      <c r="Q11" s="5"/>
      <c r="R11" s="21" t="s">
        <v>6</v>
      </c>
      <c r="S11" s="25">
        <f t="shared" si="3"/>
        <v>0</v>
      </c>
      <c r="T11" s="80">
        <f t="shared" si="4"/>
        <v>0.60731314624999999</v>
      </c>
      <c r="U11" s="81">
        <f>ROUNDDOWN(T11*I11,2)</f>
        <v>48.58</v>
      </c>
      <c r="V11" s="81">
        <f>ROUNDUP(AA11,2)</f>
        <v>12.959999999999999</v>
      </c>
      <c r="W11" s="70">
        <f t="shared" ref="W11:W35" si="11">1000/M11</f>
        <v>150.3363776449807</v>
      </c>
      <c r="X11" s="82">
        <f t="shared" ref="X11:X35" si="12">W11*I11</f>
        <v>12026.910211598457</v>
      </c>
      <c r="Y11" s="97"/>
      <c r="Z11" s="98">
        <f t="shared" si="9"/>
        <v>48.585051700000001</v>
      </c>
      <c r="AA11" s="99">
        <f t="shared" si="10"/>
        <v>12.954948299999996</v>
      </c>
      <c r="AB11" s="97"/>
      <c r="AC11" s="98"/>
      <c r="AD11" s="105">
        <v>61.54</v>
      </c>
      <c r="AE11" s="97"/>
      <c r="AF11" s="97"/>
      <c r="AG11" s="97" t="s">
        <v>252</v>
      </c>
      <c r="AH11" s="97" t="s">
        <v>253</v>
      </c>
      <c r="AI11" s="97" t="s">
        <v>254</v>
      </c>
      <c r="AJ11" s="97" t="s">
        <v>255</v>
      </c>
      <c r="AK11" s="97" t="s">
        <v>270</v>
      </c>
      <c r="AL11" s="97"/>
    </row>
    <row r="12" spans="1:38" s="26" customFormat="1" ht="25.5" hidden="1" customHeight="1" x14ac:dyDescent="0.25">
      <c r="A12" s="54" t="s">
        <v>211</v>
      </c>
      <c r="B12" s="55" t="s">
        <v>213</v>
      </c>
      <c r="C12" s="56"/>
      <c r="D12" s="57"/>
      <c r="E12" s="56"/>
      <c r="F12" s="56"/>
      <c r="G12" s="8"/>
      <c r="H12" s="69"/>
      <c r="I12" s="70"/>
      <c r="J12" s="71"/>
      <c r="K12" s="22"/>
      <c r="L12" s="78"/>
      <c r="M12" s="56"/>
      <c r="N12" s="71"/>
      <c r="O12" s="24"/>
      <c r="P12" s="23"/>
      <c r="Q12" s="5"/>
      <c r="R12" s="21"/>
      <c r="S12" s="25"/>
      <c r="T12" s="80"/>
      <c r="U12" s="81"/>
      <c r="V12" s="81"/>
      <c r="W12" s="70"/>
      <c r="X12" s="82"/>
      <c r="Y12" s="97"/>
      <c r="Z12" s="98">
        <f t="shared" si="9"/>
        <v>0</v>
      </c>
      <c r="AA12" s="99">
        <f t="shared" si="10"/>
        <v>0</v>
      </c>
      <c r="AB12" s="97"/>
      <c r="AC12" s="98"/>
      <c r="AD12" s="100"/>
      <c r="AE12" s="97"/>
      <c r="AF12" s="97"/>
      <c r="AG12" s="97"/>
      <c r="AH12" s="97"/>
      <c r="AI12" s="97"/>
      <c r="AJ12" s="97"/>
      <c r="AK12" s="97"/>
      <c r="AL12" s="97"/>
    </row>
    <row r="13" spans="1:38" s="26" customFormat="1" ht="25.5" hidden="1" customHeight="1" x14ac:dyDescent="0.25">
      <c r="A13" s="54" t="s">
        <v>212</v>
      </c>
      <c r="B13" s="55" t="s">
        <v>214</v>
      </c>
      <c r="C13" s="56"/>
      <c r="D13" s="57"/>
      <c r="E13" s="56"/>
      <c r="F13" s="56"/>
      <c r="G13" s="8"/>
      <c r="H13" s="69"/>
      <c r="I13" s="70"/>
      <c r="J13" s="71"/>
      <c r="K13" s="22"/>
      <c r="L13" s="78"/>
      <c r="M13" s="56"/>
      <c r="N13" s="71"/>
      <c r="O13" s="24"/>
      <c r="P13" s="23"/>
      <c r="Q13" s="5"/>
      <c r="R13" s="21"/>
      <c r="S13" s="25"/>
      <c r="T13" s="80"/>
      <c r="U13" s="81"/>
      <c r="V13" s="81"/>
      <c r="W13" s="70"/>
      <c r="X13" s="82"/>
      <c r="Y13" s="97"/>
      <c r="Z13" s="98">
        <f t="shared" si="9"/>
        <v>0</v>
      </c>
      <c r="AA13" s="99">
        <f t="shared" si="10"/>
        <v>0</v>
      </c>
      <c r="AB13" s="97"/>
      <c r="AC13" s="98"/>
      <c r="AD13" s="100"/>
      <c r="AE13" s="97"/>
      <c r="AF13" s="97"/>
      <c r="AG13" s="97"/>
      <c r="AH13" s="97"/>
      <c r="AI13" s="97"/>
      <c r="AJ13" s="97"/>
      <c r="AK13" s="97"/>
      <c r="AL13" s="97"/>
    </row>
    <row r="14" spans="1:38" s="26" customFormat="1" ht="25.5" hidden="1" customHeight="1" x14ac:dyDescent="0.25">
      <c r="A14" s="54" t="s">
        <v>93</v>
      </c>
      <c r="B14" s="55" t="s">
        <v>125</v>
      </c>
      <c r="C14" s="56">
        <f>[1]ESFSandwiches!$E$16</f>
        <v>4.25</v>
      </c>
      <c r="D14" s="57" t="s">
        <v>192</v>
      </c>
      <c r="E14" s="56">
        <f t="shared" ref="E14:E32" si="13">C14*I14/16</f>
        <v>23.90625</v>
      </c>
      <c r="F14" s="56" t="s">
        <v>175</v>
      </c>
      <c r="G14" s="8"/>
      <c r="H14" s="69" t="s">
        <v>10</v>
      </c>
      <c r="I14" s="70">
        <f>[1]ESFSandwiches!$D$13</f>
        <v>90</v>
      </c>
      <c r="J14" s="71" t="s">
        <v>6</v>
      </c>
      <c r="K14" s="22">
        <f t="shared" ref="K14:K26" si="14">G14/I14</f>
        <v>0</v>
      </c>
      <c r="L14" s="78" t="s">
        <v>7</v>
      </c>
      <c r="M14" s="56">
        <f>[1]ESFSandwiches!$N$14</f>
        <v>4.2759999999999998</v>
      </c>
      <c r="N14" s="71" t="s">
        <v>6</v>
      </c>
      <c r="O14" s="24">
        <f t="shared" ref="O14:O26" si="15">K14*M14</f>
        <v>0</v>
      </c>
      <c r="P14" s="23" t="s">
        <v>7</v>
      </c>
      <c r="Q14" s="5"/>
      <c r="R14" s="21" t="s">
        <v>6</v>
      </c>
      <c r="S14" s="25">
        <f t="shared" ref="S14:S27" si="16">O14*Q14</f>
        <v>0</v>
      </c>
      <c r="T14" s="80">
        <f t="shared" ref="T14:T24" ca="1" si="17">Z14/I14</f>
        <v>0.58333333333333337</v>
      </c>
      <c r="U14" s="81">
        <f t="shared" ref="U14:U26" ca="1" si="18">T14*I14</f>
        <v>52.5</v>
      </c>
      <c r="V14" s="81">
        <f t="shared" ref="V14:V26" si="19">AA14</f>
        <v>8.3279376000000003</v>
      </c>
      <c r="W14" s="70">
        <f t="shared" si="11"/>
        <v>233.86342376052386</v>
      </c>
      <c r="X14" s="82">
        <f t="shared" si="12"/>
        <v>21047.708138447146</v>
      </c>
      <c r="Y14" s="97"/>
      <c r="Z14" s="98">
        <f t="shared" ca="1" si="9"/>
        <v>44.534596518987343</v>
      </c>
      <c r="AA14" s="99">
        <f t="shared" si="10"/>
        <v>8.3279376000000003</v>
      </c>
      <c r="AB14" s="97"/>
      <c r="AC14" s="98"/>
      <c r="AD14" s="100">
        <f t="shared" ref="AD14:AD31" ca="1" si="20">U14+AA14+AC14</f>
        <v>59.929549999999999</v>
      </c>
      <c r="AE14" s="97"/>
      <c r="AF14" s="97"/>
      <c r="AG14" s="97"/>
      <c r="AH14" s="97"/>
      <c r="AI14" s="97"/>
      <c r="AJ14" s="97"/>
      <c r="AK14" s="97"/>
      <c r="AL14" s="97"/>
    </row>
    <row r="15" spans="1:38" s="26" customFormat="1" ht="25.5" hidden="1" customHeight="1" x14ac:dyDescent="0.25">
      <c r="A15" s="54" t="s">
        <v>94</v>
      </c>
      <c r="B15" s="55" t="s">
        <v>119</v>
      </c>
      <c r="C15" s="56">
        <f>[1]ESFSandwiches!$E$24</f>
        <v>4.76</v>
      </c>
      <c r="D15" s="57" t="str">
        <f>D14</f>
        <v>2 m/ma, 2 oeg</v>
      </c>
      <c r="E15" s="56">
        <f t="shared" si="13"/>
        <v>26.774999999999999</v>
      </c>
      <c r="F15" s="56" t="s">
        <v>175</v>
      </c>
      <c r="G15" s="8"/>
      <c r="H15" s="69" t="s">
        <v>10</v>
      </c>
      <c r="I15" s="70">
        <f>[1]ESFSandwiches!$D$21</f>
        <v>90</v>
      </c>
      <c r="J15" s="71" t="s">
        <v>6</v>
      </c>
      <c r="K15" s="22">
        <f t="shared" si="14"/>
        <v>0</v>
      </c>
      <c r="L15" s="78" t="s">
        <v>7</v>
      </c>
      <c r="M15" s="56">
        <f>[1]ESFSandwiches!$L$22</f>
        <v>4.2756705882352932</v>
      </c>
      <c r="N15" s="71" t="s">
        <v>6</v>
      </c>
      <c r="O15" s="24">
        <f t="shared" si="15"/>
        <v>0</v>
      </c>
      <c r="P15" s="23" t="s">
        <v>7</v>
      </c>
      <c r="Q15" s="5"/>
      <c r="R15" s="21" t="s">
        <v>6</v>
      </c>
      <c r="S15" s="25">
        <f t="shared" si="16"/>
        <v>0</v>
      </c>
      <c r="T15" s="80">
        <f t="shared" ca="1" si="17"/>
        <v>0</v>
      </c>
      <c r="U15" s="81">
        <f t="shared" ca="1" si="18"/>
        <v>0</v>
      </c>
      <c r="V15" s="81">
        <f t="shared" si="19"/>
        <v>8.3272960376470575</v>
      </c>
      <c r="W15" s="70">
        <f t="shared" si="11"/>
        <v>233.88144137005003</v>
      </c>
      <c r="X15" s="82">
        <f t="shared" si="12"/>
        <v>21049.329723304501</v>
      </c>
      <c r="Y15" s="97"/>
      <c r="Z15" s="98">
        <f t="shared" ca="1" si="9"/>
        <v>44.534596518987343</v>
      </c>
      <c r="AA15" s="99">
        <f t="shared" si="10"/>
        <v>8.3272960376470575</v>
      </c>
      <c r="AB15" s="97"/>
      <c r="AC15" s="98"/>
      <c r="AD15" s="100">
        <f t="shared" ca="1" si="20"/>
        <v>7.4289776470588222</v>
      </c>
      <c r="AE15" s="97"/>
      <c r="AF15" s="97"/>
      <c r="AG15" s="97"/>
      <c r="AH15" s="97"/>
      <c r="AI15" s="97"/>
      <c r="AJ15" s="97"/>
      <c r="AK15" s="97"/>
      <c r="AL15" s="97"/>
    </row>
    <row r="16" spans="1:38" s="26" customFormat="1" ht="25.5" hidden="1" customHeight="1" x14ac:dyDescent="0.25">
      <c r="A16" s="54" t="s">
        <v>95</v>
      </c>
      <c r="B16" s="55" t="s">
        <v>124</v>
      </c>
      <c r="C16" s="56">
        <f>[1]ESFSandwiches!$E$20</f>
        <v>5.38</v>
      </c>
      <c r="D16" s="57" t="s">
        <v>193</v>
      </c>
      <c r="E16" s="56">
        <f t="shared" si="13"/>
        <v>30.262499999999999</v>
      </c>
      <c r="F16" s="56" t="s">
        <v>175</v>
      </c>
      <c r="G16" s="8"/>
      <c r="H16" s="69" t="s">
        <v>10</v>
      </c>
      <c r="I16" s="70">
        <f>[1]ESFSandwiches!$D$17</f>
        <v>90</v>
      </c>
      <c r="J16" s="71" t="s">
        <v>6</v>
      </c>
      <c r="K16" s="22">
        <f t="shared" si="14"/>
        <v>0</v>
      </c>
      <c r="L16" s="78" t="s">
        <v>7</v>
      </c>
      <c r="M16" s="56">
        <f>[1]ESFSandwiches!$N$14</f>
        <v>4.2759999999999998</v>
      </c>
      <c r="N16" s="71" t="s">
        <v>6</v>
      </c>
      <c r="O16" s="24">
        <f t="shared" si="15"/>
        <v>0</v>
      </c>
      <c r="P16" s="23" t="s">
        <v>7</v>
      </c>
      <c r="Q16" s="5"/>
      <c r="R16" s="21" t="s">
        <v>6</v>
      </c>
      <c r="S16" s="25">
        <f t="shared" si="16"/>
        <v>0</v>
      </c>
      <c r="T16" s="80">
        <f t="shared" ca="1" si="17"/>
        <v>0.7055555555555556</v>
      </c>
      <c r="U16" s="81">
        <f t="shared" ca="1" si="18"/>
        <v>63.500000000000007</v>
      </c>
      <c r="V16" s="81">
        <f t="shared" si="19"/>
        <v>8.3279376000000003</v>
      </c>
      <c r="W16" s="70">
        <f t="shared" si="11"/>
        <v>233.86342376052386</v>
      </c>
      <c r="X16" s="82">
        <f t="shared" si="12"/>
        <v>21047.708138447146</v>
      </c>
      <c r="Y16" s="97"/>
      <c r="Z16" s="98">
        <f t="shared" ca="1" si="9"/>
        <v>44.534596518987343</v>
      </c>
      <c r="AA16" s="99">
        <f t="shared" si="10"/>
        <v>8.3279376000000003</v>
      </c>
      <c r="AB16" s="97"/>
      <c r="AC16" s="98"/>
      <c r="AD16" s="100">
        <f t="shared" ca="1" si="20"/>
        <v>70.929550000000006</v>
      </c>
      <c r="AE16" s="97"/>
      <c r="AF16" s="97"/>
      <c r="AG16" s="97"/>
      <c r="AH16" s="97"/>
      <c r="AI16" s="97"/>
      <c r="AJ16" s="97"/>
      <c r="AK16" s="97"/>
      <c r="AL16" s="97"/>
    </row>
    <row r="17" spans="1:38" s="26" customFormat="1" ht="25.5" hidden="1" customHeight="1" x14ac:dyDescent="0.25">
      <c r="A17" s="54" t="s">
        <v>96</v>
      </c>
      <c r="B17" s="55" t="s">
        <v>123</v>
      </c>
      <c r="C17" s="56">
        <f>[1]ESFSandwiches!$E$24</f>
        <v>4.76</v>
      </c>
      <c r="D17" s="57" t="str">
        <f>D15</f>
        <v>2 m/ma, 2 oeg</v>
      </c>
      <c r="E17" s="56">
        <f t="shared" si="13"/>
        <v>26.774999999999999</v>
      </c>
      <c r="F17" s="56" t="s">
        <v>175</v>
      </c>
      <c r="G17" s="8"/>
      <c r="H17" s="69" t="s">
        <v>10</v>
      </c>
      <c r="I17" s="70">
        <f>[1]ESFSandwiches!$D$13</f>
        <v>90</v>
      </c>
      <c r="J17" s="71" t="s">
        <v>6</v>
      </c>
      <c r="K17" s="22">
        <f t="shared" si="14"/>
        <v>0</v>
      </c>
      <c r="L17" s="78" t="s">
        <v>7</v>
      </c>
      <c r="M17" s="56">
        <f>[1]ESFSandwiches!$N$14</f>
        <v>4.2759999999999998</v>
      </c>
      <c r="N17" s="71" t="s">
        <v>6</v>
      </c>
      <c r="O17" s="24">
        <f t="shared" si="15"/>
        <v>0</v>
      </c>
      <c r="P17" s="23" t="s">
        <v>7</v>
      </c>
      <c r="Q17" s="5"/>
      <c r="R17" s="21" t="s">
        <v>6</v>
      </c>
      <c r="S17" s="25">
        <f t="shared" si="16"/>
        <v>0</v>
      </c>
      <c r="T17" s="80">
        <f t="shared" ca="1" si="17"/>
        <v>0.625</v>
      </c>
      <c r="U17" s="81">
        <f t="shared" ca="1" si="18"/>
        <v>56.25</v>
      </c>
      <c r="V17" s="81">
        <f t="shared" si="19"/>
        <v>8.3279376000000003</v>
      </c>
      <c r="W17" s="70">
        <f t="shared" si="11"/>
        <v>233.86342376052386</v>
      </c>
      <c r="X17" s="82">
        <f t="shared" si="12"/>
        <v>21047.708138447146</v>
      </c>
      <c r="Y17" s="97"/>
      <c r="Z17" s="98">
        <f t="shared" ca="1" si="9"/>
        <v>44.534596518987343</v>
      </c>
      <c r="AA17" s="99">
        <f t="shared" si="10"/>
        <v>8.3279376000000003</v>
      </c>
      <c r="AB17" s="97"/>
      <c r="AC17" s="98"/>
      <c r="AD17" s="100">
        <f t="shared" ca="1" si="20"/>
        <v>63.679549999999999</v>
      </c>
      <c r="AE17" s="97"/>
      <c r="AF17" s="97"/>
      <c r="AG17" s="97"/>
      <c r="AH17" s="97"/>
      <c r="AI17" s="97"/>
      <c r="AJ17" s="97"/>
      <c r="AK17" s="97"/>
      <c r="AL17" s="97"/>
    </row>
    <row r="18" spans="1:38" s="26" customFormat="1" ht="25.5" hidden="1" customHeight="1" x14ac:dyDescent="0.25">
      <c r="A18" s="54" t="s">
        <v>115</v>
      </c>
      <c r="B18" s="55" t="s">
        <v>120</v>
      </c>
      <c r="C18" s="56">
        <f>[1]ESFSandwiches!$E$34</f>
        <v>4.9000000000000004</v>
      </c>
      <c r="D18" s="57" t="str">
        <f>D16</f>
        <v>2 m/ma, 2.5 oeg</v>
      </c>
      <c r="E18" s="56">
        <f t="shared" si="13"/>
        <v>27.562500000000004</v>
      </c>
      <c r="F18" s="56" t="s">
        <v>175</v>
      </c>
      <c r="G18" s="8"/>
      <c r="H18" s="69" t="s">
        <v>10</v>
      </c>
      <c r="I18" s="70">
        <f>[1]ESFSandwiches!$D$31</f>
        <v>90</v>
      </c>
      <c r="J18" s="71" t="s">
        <v>6</v>
      </c>
      <c r="K18" s="22">
        <f t="shared" si="14"/>
        <v>0</v>
      </c>
      <c r="L18" s="78" t="s">
        <v>7</v>
      </c>
      <c r="M18" s="56">
        <f>[1]ESFSandwiches!$N$32</f>
        <v>4.2759999999999998</v>
      </c>
      <c r="N18" s="71" t="s">
        <v>6</v>
      </c>
      <c r="O18" s="24">
        <f t="shared" si="15"/>
        <v>0</v>
      </c>
      <c r="P18" s="23" t="s">
        <v>7</v>
      </c>
      <c r="Q18" s="5"/>
      <c r="R18" s="21" t="s">
        <v>6</v>
      </c>
      <c r="S18" s="25">
        <f t="shared" si="16"/>
        <v>0</v>
      </c>
      <c r="T18" s="80">
        <f t="shared" ca="1" si="17"/>
        <v>0.79333333333333345</v>
      </c>
      <c r="U18" s="81">
        <f t="shared" ca="1" si="18"/>
        <v>71.400000000000006</v>
      </c>
      <c r="V18" s="81">
        <f t="shared" si="19"/>
        <v>8.3279376000000003</v>
      </c>
      <c r="W18" s="70">
        <f t="shared" si="11"/>
        <v>233.86342376052386</v>
      </c>
      <c r="X18" s="82">
        <f t="shared" si="12"/>
        <v>21047.708138447146</v>
      </c>
      <c r="Y18" s="97"/>
      <c r="Z18" s="98">
        <f t="shared" ca="1" si="9"/>
        <v>44.534596518987343</v>
      </c>
      <c r="AA18" s="99">
        <f t="shared" si="10"/>
        <v>8.3279376000000003</v>
      </c>
      <c r="AB18" s="97"/>
      <c r="AC18" s="98"/>
      <c r="AD18" s="100">
        <f t="shared" ca="1" si="20"/>
        <v>78.829550000000012</v>
      </c>
      <c r="AE18" s="97"/>
      <c r="AF18" s="97"/>
      <c r="AG18" s="97"/>
      <c r="AH18" s="97"/>
      <c r="AI18" s="97"/>
      <c r="AJ18" s="97"/>
      <c r="AK18" s="97"/>
      <c r="AL18" s="97"/>
    </row>
    <row r="19" spans="1:38" s="26" customFormat="1" ht="25.5" hidden="1" customHeight="1" x14ac:dyDescent="0.25">
      <c r="A19" s="54" t="s">
        <v>116</v>
      </c>
      <c r="B19" s="55" t="s">
        <v>122</v>
      </c>
      <c r="C19" s="56">
        <f>[1]ESFSandwiches!$E$18</f>
        <v>0.76017777777777773</v>
      </c>
      <c r="D19" s="57" t="str">
        <f>D18</f>
        <v>2 m/ma, 2.5 oeg</v>
      </c>
      <c r="E19" s="56">
        <f t="shared" si="13"/>
        <v>4.2759999999999998</v>
      </c>
      <c r="F19" s="58" t="s">
        <v>177</v>
      </c>
      <c r="G19" s="8"/>
      <c r="H19" s="69" t="s">
        <v>10</v>
      </c>
      <c r="I19" s="70">
        <f>[1]ESFSandwiches!$D$17</f>
        <v>90</v>
      </c>
      <c r="J19" s="71" t="s">
        <v>6</v>
      </c>
      <c r="K19" s="22">
        <f t="shared" si="14"/>
        <v>0</v>
      </c>
      <c r="L19" s="78" t="s">
        <v>7</v>
      </c>
      <c r="M19" s="56">
        <f>[1]ESFSandwiches!$N$17</f>
        <v>5.6260000000000003</v>
      </c>
      <c r="N19" s="71" t="s">
        <v>6</v>
      </c>
      <c r="O19" s="24">
        <f t="shared" si="15"/>
        <v>0</v>
      </c>
      <c r="P19" s="23" t="s">
        <v>7</v>
      </c>
      <c r="Q19" s="5"/>
      <c r="R19" s="21" t="s">
        <v>6</v>
      </c>
      <c r="S19" s="25">
        <f t="shared" si="16"/>
        <v>0</v>
      </c>
      <c r="T19" s="80">
        <f t="shared" ca="1" si="17"/>
        <v>0.55199999999999994</v>
      </c>
      <c r="U19" s="81">
        <f t="shared" ca="1" si="18"/>
        <v>49.679999999999993</v>
      </c>
      <c r="V19" s="81">
        <f t="shared" si="19"/>
        <v>10.819360600000001</v>
      </c>
      <c r="W19" s="70">
        <f t="shared" si="11"/>
        <v>177.74617845716315</v>
      </c>
      <c r="X19" s="82">
        <f t="shared" si="12"/>
        <v>15997.156061144684</v>
      </c>
      <c r="Y19" s="97"/>
      <c r="Z19" s="98">
        <f t="shared" ca="1" si="9"/>
        <v>44.534596518987343</v>
      </c>
      <c r="AA19" s="99">
        <f t="shared" si="10"/>
        <v>10.819360600000001</v>
      </c>
      <c r="AB19" s="97"/>
      <c r="AC19" s="98"/>
      <c r="AD19" s="100">
        <f t="shared" ca="1" si="20"/>
        <v>60.014399399999995</v>
      </c>
      <c r="AE19" s="97"/>
      <c r="AF19" s="97"/>
      <c r="AG19" s="97"/>
      <c r="AH19" s="97"/>
      <c r="AI19" s="97"/>
      <c r="AJ19" s="97"/>
      <c r="AK19" s="97"/>
      <c r="AL19" s="97"/>
    </row>
    <row r="20" spans="1:38" s="26" customFormat="1" ht="25.5" customHeight="1" x14ac:dyDescent="0.25">
      <c r="A20" s="54" t="s">
        <v>117</v>
      </c>
      <c r="B20" s="55" t="s">
        <v>263</v>
      </c>
      <c r="C20" s="56">
        <f>[1]ESFSandwiches!$E$36</f>
        <v>4.4000000000000004</v>
      </c>
      <c r="D20" s="57" t="s">
        <v>192</v>
      </c>
      <c r="E20" s="56">
        <f t="shared" si="13"/>
        <v>26.400000000000002</v>
      </c>
      <c r="F20" s="58" t="s">
        <v>175</v>
      </c>
      <c r="G20" s="8"/>
      <c r="H20" s="69" t="s">
        <v>10</v>
      </c>
      <c r="I20" s="70">
        <f>[1]ESFSandwiches!$D$35</f>
        <v>96</v>
      </c>
      <c r="J20" s="71" t="s">
        <v>6</v>
      </c>
      <c r="K20" s="22">
        <f t="shared" si="14"/>
        <v>0</v>
      </c>
      <c r="L20" s="78" t="s">
        <v>7</v>
      </c>
      <c r="M20" s="56">
        <f>[1]ESFSandwiches!$N$35</f>
        <v>12</v>
      </c>
      <c r="N20" s="71" t="s">
        <v>6</v>
      </c>
      <c r="O20" s="24">
        <f t="shared" si="15"/>
        <v>0</v>
      </c>
      <c r="P20" s="23" t="s">
        <v>7</v>
      </c>
      <c r="Q20" s="5"/>
      <c r="R20" s="21" t="s">
        <v>6</v>
      </c>
      <c r="S20" s="25">
        <f t="shared" si="16"/>
        <v>0</v>
      </c>
      <c r="T20" s="80">
        <f t="shared" si="17"/>
        <v>0.72259166666666663</v>
      </c>
      <c r="U20" s="81">
        <f t="shared" si="18"/>
        <v>69.368799999999993</v>
      </c>
      <c r="V20" s="81">
        <f t="shared" si="19"/>
        <v>23.371200000000002</v>
      </c>
      <c r="W20" s="70">
        <f t="shared" si="11"/>
        <v>83.333333333333329</v>
      </c>
      <c r="X20" s="82">
        <f t="shared" si="12"/>
        <v>8000</v>
      </c>
      <c r="Y20" s="97"/>
      <c r="Z20" s="98">
        <f t="shared" si="9"/>
        <v>69.368799999999993</v>
      </c>
      <c r="AA20" s="99">
        <f t="shared" si="10"/>
        <v>23.371200000000002</v>
      </c>
      <c r="AB20" s="97"/>
      <c r="AC20" s="98"/>
      <c r="AD20" s="105">
        <v>92.74</v>
      </c>
      <c r="AE20" s="100">
        <f t="shared" ref="AE20:AE71" si="21">AD20/I20</f>
        <v>0.96604166666666658</v>
      </c>
      <c r="AF20" s="97"/>
      <c r="AG20" s="97">
        <v>12</v>
      </c>
      <c r="AH20" s="101">
        <f>AG20-M20</f>
        <v>0</v>
      </c>
      <c r="AI20" s="97">
        <f>AH20*AA152/I20</f>
        <v>0</v>
      </c>
      <c r="AJ20" s="99">
        <f>T20-AI20</f>
        <v>0.72259166666666663</v>
      </c>
      <c r="AK20" s="97"/>
      <c r="AL20" s="97"/>
    </row>
    <row r="21" spans="1:38" s="26" customFormat="1" ht="25.5" customHeight="1" x14ac:dyDescent="0.25">
      <c r="A21" s="54" t="s">
        <v>262</v>
      </c>
      <c r="B21" s="55" t="s">
        <v>271</v>
      </c>
      <c r="C21" s="56">
        <f>'[1]16934'!$E$19</f>
        <v>3.9</v>
      </c>
      <c r="D21" s="57" t="s">
        <v>192</v>
      </c>
      <c r="E21" s="56">
        <f t="shared" si="13"/>
        <v>23.4</v>
      </c>
      <c r="F21" s="58" t="s">
        <v>175</v>
      </c>
      <c r="G21" s="8"/>
      <c r="H21" s="69" t="s">
        <v>10</v>
      </c>
      <c r="I21" s="70">
        <f>'[1]16934'!$D$10</f>
        <v>96</v>
      </c>
      <c r="J21" s="71" t="s">
        <v>6</v>
      </c>
      <c r="K21" s="22">
        <f>G21/I21</f>
        <v>0</v>
      </c>
      <c r="L21" s="78" t="s">
        <v>7</v>
      </c>
      <c r="M21" s="56">
        <f>'[1]16934'!$M$10</f>
        <v>12.000000000000002</v>
      </c>
      <c r="N21" s="71" t="s">
        <v>6</v>
      </c>
      <c r="O21" s="24">
        <f>K21*M21</f>
        <v>0</v>
      </c>
      <c r="P21" s="23" t="s">
        <v>7</v>
      </c>
      <c r="Q21" s="5"/>
      <c r="R21" s="21" t="s">
        <v>6</v>
      </c>
      <c r="S21" s="25">
        <f t="shared" si="16"/>
        <v>0</v>
      </c>
      <c r="T21" s="80">
        <f t="shared" si="17"/>
        <v>0.74842500000000001</v>
      </c>
      <c r="U21" s="81">
        <f>T21*I21</f>
        <v>71.848799999999997</v>
      </c>
      <c r="V21" s="81">
        <f>AA21</f>
        <v>23.371200000000002</v>
      </c>
      <c r="W21" s="70">
        <f>1000/M21</f>
        <v>83.333333333333314</v>
      </c>
      <c r="X21" s="82">
        <f>W21*I21</f>
        <v>7999.9999999999982</v>
      </c>
      <c r="Y21" s="97"/>
      <c r="Z21" s="98">
        <f t="shared" si="9"/>
        <v>71.848799999999997</v>
      </c>
      <c r="AA21" s="99">
        <f t="shared" si="10"/>
        <v>23.371200000000002</v>
      </c>
      <c r="AB21" s="97"/>
      <c r="AC21" s="98"/>
      <c r="AD21" s="105">
        <v>95.22</v>
      </c>
      <c r="AE21" s="100">
        <f t="shared" si="21"/>
        <v>0.99187499999999995</v>
      </c>
      <c r="AF21" s="97"/>
      <c r="AG21" s="97"/>
      <c r="AH21" s="101"/>
      <c r="AI21" s="97"/>
      <c r="AJ21" s="99"/>
      <c r="AK21" s="97"/>
      <c r="AL21" s="97"/>
    </row>
    <row r="22" spans="1:38" s="26" customFormat="1" ht="25.5" customHeight="1" x14ac:dyDescent="0.25">
      <c r="A22" s="54" t="s">
        <v>275</v>
      </c>
      <c r="B22" s="55" t="s">
        <v>291</v>
      </c>
      <c r="C22" s="56">
        <f>'[1]16934'!$E$19</f>
        <v>3.9</v>
      </c>
      <c r="D22" s="57" t="s">
        <v>192</v>
      </c>
      <c r="E22" s="56">
        <f t="shared" si="13"/>
        <v>23.4</v>
      </c>
      <c r="F22" s="58" t="s">
        <v>175</v>
      </c>
      <c r="G22" s="8"/>
      <c r="H22" s="69" t="s">
        <v>10</v>
      </c>
      <c r="I22" s="70">
        <f>'[1]16934'!$D$10</f>
        <v>96</v>
      </c>
      <c r="J22" s="71" t="s">
        <v>6</v>
      </c>
      <c r="K22" s="22">
        <f>G22/I22</f>
        <v>0</v>
      </c>
      <c r="L22" s="78" t="s">
        <v>7</v>
      </c>
      <c r="M22" s="56">
        <f>'[1]16934'!$M$10</f>
        <v>12.000000000000002</v>
      </c>
      <c r="N22" s="71" t="s">
        <v>6</v>
      </c>
      <c r="O22" s="24">
        <f>K22*M22</f>
        <v>0</v>
      </c>
      <c r="P22" s="23" t="s">
        <v>7</v>
      </c>
      <c r="Q22" s="5"/>
      <c r="R22" s="21" t="s">
        <v>6</v>
      </c>
      <c r="S22" s="25">
        <f t="shared" si="16"/>
        <v>0</v>
      </c>
      <c r="T22" s="80">
        <f t="shared" si="17"/>
        <v>0.79561249999999994</v>
      </c>
      <c r="U22" s="81">
        <f>T22*I22</f>
        <v>76.378799999999998</v>
      </c>
      <c r="V22" s="81">
        <f>AA22</f>
        <v>23.371200000000002</v>
      </c>
      <c r="W22" s="70">
        <f>1000/M22</f>
        <v>83.333333333333314</v>
      </c>
      <c r="X22" s="82">
        <f>W22*I22</f>
        <v>7999.9999999999982</v>
      </c>
      <c r="Y22" s="97"/>
      <c r="Z22" s="98">
        <f t="shared" si="9"/>
        <v>76.378799999999998</v>
      </c>
      <c r="AA22" s="99">
        <f t="shared" si="10"/>
        <v>23.371200000000002</v>
      </c>
      <c r="AB22" s="97"/>
      <c r="AC22" s="98"/>
      <c r="AD22" s="105">
        <v>99.75</v>
      </c>
      <c r="AE22" s="100">
        <f t="shared" si="21"/>
        <v>1.0390625</v>
      </c>
      <c r="AF22" s="97"/>
      <c r="AG22" s="97"/>
      <c r="AH22" s="101"/>
      <c r="AI22" s="97"/>
      <c r="AJ22" s="99"/>
      <c r="AK22" s="97"/>
      <c r="AL22" s="97"/>
    </row>
    <row r="23" spans="1:38" s="26" customFormat="1" ht="25.5" hidden="1" customHeight="1" x14ac:dyDescent="0.25">
      <c r="A23" s="54" t="s">
        <v>97</v>
      </c>
      <c r="B23" s="55" t="s">
        <v>121</v>
      </c>
      <c r="C23" s="56">
        <f>[1]ESFSandwiches!$E$34</f>
        <v>4.9000000000000004</v>
      </c>
      <c r="D23" s="57" t="str">
        <f>D17</f>
        <v>2 m/ma, 2 oeg</v>
      </c>
      <c r="E23" s="56">
        <f t="shared" si="13"/>
        <v>27.562500000000004</v>
      </c>
      <c r="F23" s="56" t="s">
        <v>175</v>
      </c>
      <c r="G23" s="8"/>
      <c r="H23" s="69" t="s">
        <v>10</v>
      </c>
      <c r="I23" s="70">
        <f>[1]ESFSandwiches!$D$13</f>
        <v>90</v>
      </c>
      <c r="J23" s="71" t="s">
        <v>6</v>
      </c>
      <c r="K23" s="22">
        <f t="shared" si="14"/>
        <v>0</v>
      </c>
      <c r="L23" s="78" t="s">
        <v>7</v>
      </c>
      <c r="M23" s="56">
        <f>[1]ESFSandwiches!$N$14</f>
        <v>4.2759999999999998</v>
      </c>
      <c r="N23" s="71" t="s">
        <v>6</v>
      </c>
      <c r="O23" s="24">
        <f t="shared" si="15"/>
        <v>0</v>
      </c>
      <c r="P23" s="23" t="s">
        <v>7</v>
      </c>
      <c r="Q23" s="5"/>
      <c r="R23" s="21" t="s">
        <v>6</v>
      </c>
      <c r="S23" s="25">
        <f t="shared" si="16"/>
        <v>0</v>
      </c>
      <c r="T23" s="80">
        <f t="shared" ca="1" si="17"/>
        <v>0.66666666666666663</v>
      </c>
      <c r="U23" s="81">
        <f t="shared" ca="1" si="18"/>
        <v>60</v>
      </c>
      <c r="V23" s="81">
        <f t="shared" si="19"/>
        <v>8.3279376000000003</v>
      </c>
      <c r="W23" s="70">
        <f t="shared" si="11"/>
        <v>233.86342376052386</v>
      </c>
      <c r="X23" s="82">
        <f t="shared" si="12"/>
        <v>21047.708138447146</v>
      </c>
      <c r="Y23" s="97"/>
      <c r="Z23" s="98">
        <f t="shared" ca="1" si="9"/>
        <v>44.534596518987343</v>
      </c>
      <c r="AA23" s="99">
        <f t="shared" si="10"/>
        <v>8.3279376000000003</v>
      </c>
      <c r="AB23" s="97"/>
      <c r="AC23" s="98"/>
      <c r="AD23" s="100">
        <f t="shared" ca="1" si="20"/>
        <v>67.429550000000006</v>
      </c>
      <c r="AE23" s="100">
        <f t="shared" ca="1" si="21"/>
        <v>0.74921722222222231</v>
      </c>
      <c r="AF23" s="97"/>
      <c r="AG23" s="97"/>
      <c r="AH23" s="97"/>
      <c r="AI23" s="97"/>
      <c r="AJ23" s="97"/>
      <c r="AK23" s="97"/>
      <c r="AL23" s="97"/>
    </row>
    <row r="24" spans="1:38" s="26" customFormat="1" ht="25.5" customHeight="1" x14ac:dyDescent="0.25">
      <c r="A24" s="54" t="s">
        <v>118</v>
      </c>
      <c r="B24" s="55" t="s">
        <v>233</v>
      </c>
      <c r="C24" s="56">
        <f>[1]ESFSandwiches!$E$36</f>
        <v>4.4000000000000004</v>
      </c>
      <c r="D24" s="57" t="s">
        <v>192</v>
      </c>
      <c r="E24" s="56">
        <f t="shared" si="13"/>
        <v>26.400000000000002</v>
      </c>
      <c r="F24" s="58" t="s">
        <v>175</v>
      </c>
      <c r="G24" s="8"/>
      <c r="H24" s="69" t="s">
        <v>10</v>
      </c>
      <c r="I24" s="70">
        <f>[1]ESFSandwiches!$D$35</f>
        <v>96</v>
      </c>
      <c r="J24" s="71" t="s">
        <v>6</v>
      </c>
      <c r="K24" s="22">
        <f t="shared" si="14"/>
        <v>0</v>
      </c>
      <c r="L24" s="78" t="s">
        <v>7</v>
      </c>
      <c r="M24" s="56">
        <f>[1]ESFSandwiches!$N$35</f>
        <v>12</v>
      </c>
      <c r="N24" s="71" t="s">
        <v>6</v>
      </c>
      <c r="O24" s="24">
        <f t="shared" si="15"/>
        <v>0</v>
      </c>
      <c r="P24" s="23" t="s">
        <v>7</v>
      </c>
      <c r="Q24" s="5"/>
      <c r="R24" s="21" t="s">
        <v>6</v>
      </c>
      <c r="S24" s="25">
        <f t="shared" si="16"/>
        <v>0</v>
      </c>
      <c r="T24" s="80">
        <f t="shared" si="17"/>
        <v>0.76259166666666667</v>
      </c>
      <c r="U24" s="81">
        <f t="shared" si="18"/>
        <v>73.208799999999997</v>
      </c>
      <c r="V24" s="81">
        <f t="shared" si="19"/>
        <v>23.371200000000002</v>
      </c>
      <c r="W24" s="70">
        <f t="shared" si="11"/>
        <v>83.333333333333329</v>
      </c>
      <c r="X24" s="82">
        <f t="shared" si="12"/>
        <v>8000</v>
      </c>
      <c r="Y24" s="97"/>
      <c r="Z24" s="98">
        <f t="shared" si="9"/>
        <v>73.208799999999997</v>
      </c>
      <c r="AA24" s="99">
        <f t="shared" si="10"/>
        <v>23.371200000000002</v>
      </c>
      <c r="AB24" s="97"/>
      <c r="AC24" s="98"/>
      <c r="AD24" s="105">
        <v>96.58</v>
      </c>
      <c r="AE24" s="100">
        <f t="shared" si="21"/>
        <v>1.0060416666666667</v>
      </c>
      <c r="AF24" s="97"/>
      <c r="AG24" s="97"/>
      <c r="AH24" s="97"/>
      <c r="AI24" s="97"/>
      <c r="AJ24" s="97"/>
      <c r="AK24" s="97"/>
      <c r="AL24" s="97"/>
    </row>
    <row r="25" spans="1:38" s="26" customFormat="1" ht="25.5" hidden="1" customHeight="1" x14ac:dyDescent="0.25">
      <c r="A25" s="54" t="s">
        <v>264</v>
      </c>
      <c r="B25" s="55" t="s">
        <v>272</v>
      </c>
      <c r="C25" s="56">
        <f>'[1]16943'!$E$19</f>
        <v>2.9</v>
      </c>
      <c r="D25" s="57" t="s">
        <v>267</v>
      </c>
      <c r="E25" s="56">
        <f t="shared" si="13"/>
        <v>17.399999999999999</v>
      </c>
      <c r="F25" s="58" t="s">
        <v>175</v>
      </c>
      <c r="G25" s="8"/>
      <c r="H25" s="69" t="s">
        <v>10</v>
      </c>
      <c r="I25" s="70">
        <f>'[1]16943'!$D$10</f>
        <v>96</v>
      </c>
      <c r="J25" s="71" t="s">
        <v>6</v>
      </c>
      <c r="K25" s="22">
        <f t="shared" si="14"/>
        <v>0</v>
      </c>
      <c r="L25" s="78" t="s">
        <v>7</v>
      </c>
      <c r="M25" s="56">
        <f>'[1]16943'!$M$10</f>
        <v>6.0000000000000009</v>
      </c>
      <c r="N25" s="71" t="s">
        <v>6</v>
      </c>
      <c r="O25" s="24">
        <f t="shared" si="15"/>
        <v>0</v>
      </c>
      <c r="P25" s="23" t="s">
        <v>7</v>
      </c>
      <c r="Q25" s="5"/>
      <c r="R25" s="21" t="s">
        <v>6</v>
      </c>
      <c r="S25" s="25">
        <f t="shared" si="16"/>
        <v>0</v>
      </c>
      <c r="T25" s="80">
        <f t="shared" ref="T25:T30" ca="1" si="22">Z25/I25</f>
        <v>0.65185833333333321</v>
      </c>
      <c r="U25" s="81">
        <f t="shared" ca="1" si="18"/>
        <v>62.578399999999988</v>
      </c>
      <c r="V25" s="81">
        <f t="shared" si="19"/>
        <v>11.685600000000001</v>
      </c>
      <c r="W25" s="70">
        <f t="shared" si="11"/>
        <v>166.66666666666663</v>
      </c>
      <c r="X25" s="82">
        <f t="shared" si="12"/>
        <v>15999.999999999996</v>
      </c>
      <c r="Y25" s="97"/>
      <c r="Z25" s="98">
        <f t="shared" ca="1" si="9"/>
        <v>44.534596518987343</v>
      </c>
      <c r="AA25" s="99">
        <f t="shared" si="10"/>
        <v>11.685600000000001</v>
      </c>
      <c r="AB25" s="97"/>
      <c r="AC25" s="98"/>
      <c r="AD25" s="100">
        <f t="shared" ca="1" si="20"/>
        <v>73.003399999999985</v>
      </c>
      <c r="AE25" s="100">
        <f t="shared" ca="1" si="21"/>
        <v>0.76045208333333314</v>
      </c>
      <c r="AF25" s="97"/>
      <c r="AG25" s="97"/>
      <c r="AH25" s="101"/>
      <c r="AI25" s="97"/>
      <c r="AJ25" s="99"/>
      <c r="AK25" s="97"/>
      <c r="AL25" s="97"/>
    </row>
    <row r="26" spans="1:38" s="26" customFormat="1" ht="25.5" customHeight="1" x14ac:dyDescent="0.25">
      <c r="A26" s="54" t="s">
        <v>265</v>
      </c>
      <c r="B26" s="55" t="s">
        <v>273</v>
      </c>
      <c r="C26" s="56">
        <f>'[1]16944'!$E$19</f>
        <v>3.9</v>
      </c>
      <c r="D26" s="57" t="s">
        <v>192</v>
      </c>
      <c r="E26" s="56">
        <f t="shared" si="13"/>
        <v>23.4</v>
      </c>
      <c r="F26" s="58" t="s">
        <v>175</v>
      </c>
      <c r="G26" s="8"/>
      <c r="H26" s="69" t="s">
        <v>10</v>
      </c>
      <c r="I26" s="70">
        <f>'[1]16944'!$D$10</f>
        <v>96</v>
      </c>
      <c r="J26" s="71" t="s">
        <v>6</v>
      </c>
      <c r="K26" s="22">
        <f t="shared" si="14"/>
        <v>0</v>
      </c>
      <c r="L26" s="78" t="s">
        <v>7</v>
      </c>
      <c r="M26" s="56">
        <f>'[1]16944'!$M$10</f>
        <v>12.000000000000002</v>
      </c>
      <c r="N26" s="71" t="s">
        <v>6</v>
      </c>
      <c r="O26" s="24">
        <f t="shared" si="15"/>
        <v>0</v>
      </c>
      <c r="P26" s="23" t="s">
        <v>7</v>
      </c>
      <c r="Q26" s="5"/>
      <c r="R26" s="21" t="s">
        <v>6</v>
      </c>
      <c r="S26" s="25">
        <f t="shared" si="16"/>
        <v>0</v>
      </c>
      <c r="T26" s="80">
        <f t="shared" si="22"/>
        <v>0.8092583333333333</v>
      </c>
      <c r="U26" s="81">
        <f t="shared" si="18"/>
        <v>77.688800000000001</v>
      </c>
      <c r="V26" s="81">
        <f t="shared" si="19"/>
        <v>23.371200000000002</v>
      </c>
      <c r="W26" s="70">
        <f t="shared" si="11"/>
        <v>83.333333333333314</v>
      </c>
      <c r="X26" s="82">
        <f t="shared" si="12"/>
        <v>7999.9999999999982</v>
      </c>
      <c r="Y26" s="97"/>
      <c r="Z26" s="98">
        <f t="shared" si="9"/>
        <v>77.688800000000001</v>
      </c>
      <c r="AA26" s="99">
        <f t="shared" si="10"/>
        <v>23.371200000000002</v>
      </c>
      <c r="AB26" s="97"/>
      <c r="AC26" s="98"/>
      <c r="AD26" s="105">
        <v>101.06</v>
      </c>
      <c r="AE26" s="100">
        <f t="shared" si="21"/>
        <v>1.0527083333333334</v>
      </c>
      <c r="AF26" s="97"/>
      <c r="AG26" s="97"/>
      <c r="AH26" s="101"/>
      <c r="AI26" s="97"/>
      <c r="AJ26" s="99"/>
      <c r="AK26" s="97"/>
      <c r="AL26" s="97"/>
    </row>
    <row r="27" spans="1:38" s="26" customFormat="1" ht="25.5" customHeight="1" x14ac:dyDescent="0.25">
      <c r="A27" s="54" t="s">
        <v>276</v>
      </c>
      <c r="B27" s="55" t="s">
        <v>290</v>
      </c>
      <c r="C27" s="56">
        <f>'[1]16934'!$E$19</f>
        <v>3.9</v>
      </c>
      <c r="D27" s="57" t="s">
        <v>192</v>
      </c>
      <c r="E27" s="56">
        <f t="shared" si="13"/>
        <v>23.4</v>
      </c>
      <c r="F27" s="58" t="s">
        <v>175</v>
      </c>
      <c r="G27" s="8"/>
      <c r="H27" s="69" t="s">
        <v>10</v>
      </c>
      <c r="I27" s="70">
        <f>'[1]16934'!$D$10</f>
        <v>96</v>
      </c>
      <c r="J27" s="71" t="s">
        <v>6</v>
      </c>
      <c r="K27" s="22">
        <f>G27/I27</f>
        <v>0</v>
      </c>
      <c r="L27" s="78" t="s">
        <v>7</v>
      </c>
      <c r="M27" s="56">
        <f>'[1]16934'!$M$10</f>
        <v>12.000000000000002</v>
      </c>
      <c r="N27" s="71" t="s">
        <v>6</v>
      </c>
      <c r="O27" s="24">
        <f>K27*M27</f>
        <v>0</v>
      </c>
      <c r="P27" s="23" t="s">
        <v>7</v>
      </c>
      <c r="Q27" s="5"/>
      <c r="R27" s="21" t="s">
        <v>6</v>
      </c>
      <c r="S27" s="25">
        <f t="shared" si="16"/>
        <v>0</v>
      </c>
      <c r="T27" s="80">
        <f t="shared" si="22"/>
        <v>0.83561249999999998</v>
      </c>
      <c r="U27" s="81">
        <f>T27*I27</f>
        <v>80.218800000000002</v>
      </c>
      <c r="V27" s="81">
        <f>AA27</f>
        <v>23.371200000000002</v>
      </c>
      <c r="W27" s="70">
        <f>1000/M27</f>
        <v>83.333333333333314</v>
      </c>
      <c r="X27" s="82">
        <f>W27*I27</f>
        <v>7999.9999999999982</v>
      </c>
      <c r="Y27" s="97"/>
      <c r="Z27" s="98">
        <f t="shared" si="9"/>
        <v>80.218800000000002</v>
      </c>
      <c r="AA27" s="99">
        <f t="shared" si="10"/>
        <v>23.371200000000002</v>
      </c>
      <c r="AB27" s="97"/>
      <c r="AC27" s="98"/>
      <c r="AD27" s="105">
        <v>103.59</v>
      </c>
      <c r="AE27" s="100">
        <f t="shared" si="21"/>
        <v>1.0790625</v>
      </c>
      <c r="AF27" s="97"/>
      <c r="AG27" s="97"/>
      <c r="AH27" s="101"/>
      <c r="AI27" s="97"/>
      <c r="AJ27" s="99"/>
      <c r="AK27" s="97"/>
      <c r="AL27" s="97"/>
    </row>
    <row r="28" spans="1:38" s="26" customFormat="1" ht="25.5" hidden="1" customHeight="1" x14ac:dyDescent="0.25">
      <c r="A28" s="54" t="s">
        <v>129</v>
      </c>
      <c r="B28" s="55" t="s">
        <v>130</v>
      </c>
      <c r="C28" s="56">
        <f>[1]ESFSandwiches!$E$30</f>
        <v>5.15</v>
      </c>
      <c r="D28" s="57" t="s">
        <v>194</v>
      </c>
      <c r="E28" s="56" t="e">
        <f t="shared" si="13"/>
        <v>#VALUE!</v>
      </c>
      <c r="F28" s="56" t="s">
        <v>175</v>
      </c>
      <c r="G28" s="8"/>
      <c r="H28" s="69" t="s">
        <v>10</v>
      </c>
      <c r="I28" s="70" t="str">
        <f>[1]ESFSandwiches!$D$27</f>
        <v>AND/OR</v>
      </c>
      <c r="J28" s="71" t="s">
        <v>6</v>
      </c>
      <c r="K28" s="22" t="e">
        <f t="shared" ref="K28:K58" si="23">G28/I28</f>
        <v>#VALUE!</v>
      </c>
      <c r="L28" s="78" t="s">
        <v>7</v>
      </c>
      <c r="M28" s="56" t="e">
        <f>[1]ESFSandwiches!$N$28</f>
        <v>#REF!</v>
      </c>
      <c r="N28" s="71" t="s">
        <v>6</v>
      </c>
      <c r="O28" s="24" t="e">
        <f t="shared" ref="O28:O58" si="24">K28*M28</f>
        <v>#VALUE!</v>
      </c>
      <c r="P28" s="23" t="s">
        <v>7</v>
      </c>
      <c r="Q28" s="5"/>
      <c r="R28" s="21" t="s">
        <v>6</v>
      </c>
      <c r="S28" s="25"/>
      <c r="T28" s="80" t="e">
        <f t="shared" ca="1" si="22"/>
        <v>#VALUE!</v>
      </c>
      <c r="U28" s="81" t="e">
        <f t="shared" ref="U28:U58" ca="1" si="25">T28*I28</f>
        <v>#VALUE!</v>
      </c>
      <c r="V28" s="81" t="e">
        <f t="shared" ref="V28:V82" si="26">AA28</f>
        <v>#REF!</v>
      </c>
      <c r="W28" s="70" t="e">
        <f>1000/M28</f>
        <v>#REF!</v>
      </c>
      <c r="X28" s="82" t="e">
        <f>W28*I28</f>
        <v>#REF!</v>
      </c>
      <c r="Y28" s="97"/>
      <c r="Z28" s="98">
        <f t="shared" ca="1" si="9"/>
        <v>44.534596518987343</v>
      </c>
      <c r="AA28" s="99" t="e">
        <f t="shared" si="10"/>
        <v>#REF!</v>
      </c>
      <c r="AB28" s="97"/>
      <c r="AC28" s="98"/>
      <c r="AD28" s="100" t="e">
        <f t="shared" ca="1" si="20"/>
        <v>#VALUE!</v>
      </c>
      <c r="AE28" s="100" t="e">
        <f t="shared" ca="1" si="21"/>
        <v>#VALUE!</v>
      </c>
      <c r="AF28" s="97"/>
      <c r="AG28" s="97"/>
      <c r="AH28" s="97"/>
      <c r="AI28" s="97"/>
      <c r="AJ28" s="97"/>
      <c r="AK28" s="97"/>
      <c r="AL28" s="97"/>
    </row>
    <row r="29" spans="1:38" s="26" customFormat="1" ht="25.5" hidden="1" customHeight="1" x14ac:dyDescent="0.25">
      <c r="A29" s="54" t="s">
        <v>131</v>
      </c>
      <c r="B29" s="55" t="s">
        <v>132</v>
      </c>
      <c r="C29" s="56">
        <f>[1]ESFSandwiches!$E$30</f>
        <v>5.15</v>
      </c>
      <c r="D29" s="57" t="s">
        <v>194</v>
      </c>
      <c r="E29" s="56" t="e">
        <f t="shared" si="13"/>
        <v>#VALUE!</v>
      </c>
      <c r="F29" s="56" t="s">
        <v>175</v>
      </c>
      <c r="G29" s="8"/>
      <c r="H29" s="69" t="s">
        <v>10</v>
      </c>
      <c r="I29" s="70" t="str">
        <f>[1]ESFSandwiches!$D$27</f>
        <v>AND/OR</v>
      </c>
      <c r="J29" s="71" t="s">
        <v>6</v>
      </c>
      <c r="K29" s="22" t="e">
        <f t="shared" si="23"/>
        <v>#VALUE!</v>
      </c>
      <c r="L29" s="78" t="s">
        <v>7</v>
      </c>
      <c r="M29" s="56" t="e">
        <f>[1]ESFSandwiches!$N$28</f>
        <v>#REF!</v>
      </c>
      <c r="N29" s="71" t="s">
        <v>6</v>
      </c>
      <c r="O29" s="24" t="e">
        <f t="shared" si="24"/>
        <v>#VALUE!</v>
      </c>
      <c r="P29" s="23" t="s">
        <v>7</v>
      </c>
      <c r="Q29" s="5"/>
      <c r="R29" s="21" t="s">
        <v>6</v>
      </c>
      <c r="S29" s="25"/>
      <c r="T29" s="80" t="e">
        <f t="shared" ca="1" si="22"/>
        <v>#VALUE!</v>
      </c>
      <c r="U29" s="81" t="e">
        <f t="shared" ca="1" si="25"/>
        <v>#VALUE!</v>
      </c>
      <c r="V29" s="81" t="e">
        <f t="shared" si="26"/>
        <v>#REF!</v>
      </c>
      <c r="W29" s="70" t="e">
        <f>1000/M29</f>
        <v>#REF!</v>
      </c>
      <c r="X29" s="82" t="e">
        <f>W29*I29</f>
        <v>#REF!</v>
      </c>
      <c r="Y29" s="97"/>
      <c r="Z29" s="98">
        <f t="shared" ca="1" si="9"/>
        <v>44.534596518987343</v>
      </c>
      <c r="AA29" s="99" t="e">
        <f t="shared" si="10"/>
        <v>#REF!</v>
      </c>
      <c r="AB29" s="97"/>
      <c r="AC29" s="98"/>
      <c r="AD29" s="100" t="e">
        <f t="shared" ca="1" si="20"/>
        <v>#VALUE!</v>
      </c>
      <c r="AE29" s="100" t="e">
        <f t="shared" ca="1" si="21"/>
        <v>#VALUE!</v>
      </c>
      <c r="AF29" s="97"/>
      <c r="AG29" s="97"/>
      <c r="AH29" s="97"/>
      <c r="AI29" s="97"/>
      <c r="AJ29" s="97"/>
      <c r="AK29" s="97"/>
      <c r="AL29" s="97"/>
    </row>
    <row r="30" spans="1:38" s="26" customFormat="1" ht="25.5" hidden="1" customHeight="1" x14ac:dyDescent="0.25">
      <c r="A30" s="54" t="s">
        <v>149</v>
      </c>
      <c r="B30" s="55" t="s">
        <v>130</v>
      </c>
      <c r="C30" s="56">
        <f>[1]ESFSandwiches!$E$38</f>
        <v>2</v>
      </c>
      <c r="D30" s="57" t="s">
        <v>195</v>
      </c>
      <c r="E30" s="56" t="e">
        <f t="shared" si="13"/>
        <v>#VALUE!</v>
      </c>
      <c r="F30" s="56" t="s">
        <v>175</v>
      </c>
      <c r="G30" s="8"/>
      <c r="H30" s="69" t="s">
        <v>10</v>
      </c>
      <c r="I30" s="70" t="str">
        <f>[1]ESFSandwiches!$D$27</f>
        <v>AND/OR</v>
      </c>
      <c r="J30" s="71" t="s">
        <v>6</v>
      </c>
      <c r="K30" s="22" t="e">
        <f t="shared" si="23"/>
        <v>#VALUE!</v>
      </c>
      <c r="L30" s="78" t="s">
        <v>7</v>
      </c>
      <c r="M30" s="56" t="e">
        <f>[1]ESFSandwiches!$N$36</f>
        <v>#REF!</v>
      </c>
      <c r="N30" s="71" t="s">
        <v>6</v>
      </c>
      <c r="O30" s="24" t="e">
        <f t="shared" si="24"/>
        <v>#VALUE!</v>
      </c>
      <c r="P30" s="23" t="s">
        <v>7</v>
      </c>
      <c r="Q30" s="5"/>
      <c r="R30" s="21" t="s">
        <v>6</v>
      </c>
      <c r="S30" s="25"/>
      <c r="T30" s="80" t="e">
        <f t="shared" ca="1" si="22"/>
        <v>#VALUE!</v>
      </c>
      <c r="U30" s="81" t="e">
        <f t="shared" ca="1" si="25"/>
        <v>#VALUE!</v>
      </c>
      <c r="V30" s="81" t="e">
        <f t="shared" si="26"/>
        <v>#REF!</v>
      </c>
      <c r="W30" s="70" t="e">
        <f>1000/M30</f>
        <v>#REF!</v>
      </c>
      <c r="X30" s="82" t="e">
        <f>W30*I30</f>
        <v>#REF!</v>
      </c>
      <c r="Y30" s="97"/>
      <c r="Z30" s="98">
        <f t="shared" ca="1" si="9"/>
        <v>44.534596518987343</v>
      </c>
      <c r="AA30" s="99" t="e">
        <f t="shared" si="10"/>
        <v>#REF!</v>
      </c>
      <c r="AB30" s="97"/>
      <c r="AC30" s="98"/>
      <c r="AD30" s="100" t="e">
        <f t="shared" ca="1" si="20"/>
        <v>#VALUE!</v>
      </c>
      <c r="AE30" s="100" t="e">
        <f t="shared" ca="1" si="21"/>
        <v>#VALUE!</v>
      </c>
      <c r="AF30" s="97"/>
      <c r="AG30" s="97"/>
      <c r="AH30" s="97"/>
      <c r="AI30" s="97"/>
      <c r="AJ30" s="97"/>
      <c r="AK30" s="97"/>
      <c r="AL30" s="97"/>
    </row>
    <row r="31" spans="1:38" ht="25.5" hidden="1" customHeight="1" x14ac:dyDescent="0.3">
      <c r="A31" s="59">
        <v>25301</v>
      </c>
      <c r="B31" s="60" t="s">
        <v>172</v>
      </c>
      <c r="C31" s="61">
        <v>3.69</v>
      </c>
      <c r="D31" s="57" t="s">
        <v>195</v>
      </c>
      <c r="E31" s="61" t="e">
        <f t="shared" si="13"/>
        <v>#REF!</v>
      </c>
      <c r="F31" s="58" t="s">
        <v>177</v>
      </c>
      <c r="G31" s="9"/>
      <c r="H31" s="72" t="s">
        <v>10</v>
      </c>
      <c r="I31" s="73" t="e">
        <f>#REF!</f>
        <v>#REF!</v>
      </c>
      <c r="J31" s="74" t="s">
        <v>6</v>
      </c>
      <c r="K31" s="29" t="e">
        <f t="shared" si="23"/>
        <v>#REF!</v>
      </c>
      <c r="L31" s="59" t="s">
        <v>7</v>
      </c>
      <c r="M31" s="56">
        <v>10.526794556312456</v>
      </c>
      <c r="N31" s="71" t="s">
        <v>6</v>
      </c>
      <c r="O31" s="30" t="e">
        <f t="shared" si="24"/>
        <v>#REF!</v>
      </c>
      <c r="P31" s="27" t="s">
        <v>7</v>
      </c>
      <c r="Q31" s="6"/>
      <c r="R31" s="28" t="s">
        <v>6</v>
      </c>
      <c r="S31" s="25" t="e">
        <f>O31*Q31</f>
        <v>#REF!</v>
      </c>
      <c r="T31" s="80" t="e">
        <f ca="1">Z31/I31</f>
        <v>#NAME?</v>
      </c>
      <c r="U31" s="81" t="e">
        <f t="shared" ca="1" si="25"/>
        <v>#NAME?</v>
      </c>
      <c r="V31" s="81">
        <f t="shared" si="26"/>
        <v>20.244078611244486</v>
      </c>
      <c r="W31" s="70">
        <f t="shared" si="11"/>
        <v>94.995679325796658</v>
      </c>
      <c r="X31" s="82" t="e">
        <f t="shared" si="12"/>
        <v>#REF!</v>
      </c>
      <c r="Z31" s="98">
        <f t="shared" ca="1" si="9"/>
        <v>44.534596518987343</v>
      </c>
      <c r="AA31" s="99">
        <f t="shared" si="10"/>
        <v>20.244078611244486</v>
      </c>
      <c r="AD31" s="100" t="e">
        <f t="shared" ca="1" si="20"/>
        <v>#NAME?</v>
      </c>
      <c r="AE31" s="100" t="e">
        <f t="shared" ca="1" si="21"/>
        <v>#NAME?</v>
      </c>
    </row>
    <row r="32" spans="1:38" ht="25.5" hidden="1" customHeight="1" x14ac:dyDescent="0.3">
      <c r="A32" s="59">
        <v>25302</v>
      </c>
      <c r="B32" s="60" t="str">
        <f>[3]Sheet1!$B$224</f>
        <v>BB RS Cocoa Puffs with Juice (carton)</v>
      </c>
      <c r="C32" s="61">
        <v>2.23</v>
      </c>
      <c r="D32" s="62" t="s">
        <v>215</v>
      </c>
      <c r="E32" s="61" t="e">
        <f t="shared" si="13"/>
        <v>#REF!</v>
      </c>
      <c r="F32" s="58" t="s">
        <v>177</v>
      </c>
      <c r="G32" s="9"/>
      <c r="H32" s="72" t="s">
        <v>10</v>
      </c>
      <c r="I32" s="73" t="e">
        <f>#REF!</f>
        <v>#REF!</v>
      </c>
      <c r="J32" s="74" t="s">
        <v>6</v>
      </c>
      <c r="K32" s="29" t="e">
        <f>G$32/I$32</f>
        <v>#REF!</v>
      </c>
      <c r="L32" s="59" t="s">
        <v>7</v>
      </c>
      <c r="M32" s="56">
        <f>'[1]PS Stuffed Sand'!$N$30</f>
        <v>4.3401025475392627</v>
      </c>
      <c r="N32" s="71" t="s">
        <v>6</v>
      </c>
      <c r="O32" s="30" t="e">
        <f>K32*M32</f>
        <v>#REF!</v>
      </c>
      <c r="P32" s="27" t="s">
        <v>7</v>
      </c>
      <c r="Q32" s="6"/>
      <c r="R32" s="28" t="s">
        <v>6</v>
      </c>
      <c r="S32" s="25" t="e">
        <f>O32*Q32</f>
        <v>#REF!</v>
      </c>
      <c r="T32" s="80" t="e">
        <f ca="1">Z32/I32</f>
        <v>#NAME?</v>
      </c>
      <c r="U32" s="81" t="e">
        <f ca="1">T32*I32</f>
        <v>#NAME?</v>
      </c>
      <c r="V32" s="81">
        <f t="shared" si="26"/>
        <v>8.3464512091727556</v>
      </c>
      <c r="W32" s="70">
        <f>1000/(M32+M33)</f>
        <v>115.2046511627907</v>
      </c>
      <c r="X32" s="82" t="e">
        <f>W32*I32</f>
        <v>#REF!</v>
      </c>
      <c r="Z32" s="98">
        <f t="shared" ca="1" si="9"/>
        <v>44.534596518987343</v>
      </c>
      <c r="AA32" s="99">
        <f t="shared" si="10"/>
        <v>8.3464512091727556</v>
      </c>
      <c r="AD32" s="100" t="e">
        <f ca="1">U32+AA32+AA33+AC32+AC33</f>
        <v>#NAME?</v>
      </c>
      <c r="AE32" s="100" t="e">
        <f t="shared" ca="1" si="21"/>
        <v>#NAME?</v>
      </c>
    </row>
    <row r="33" spans="1:38" ht="25.5" hidden="1" customHeight="1" x14ac:dyDescent="0.3">
      <c r="A33" s="59"/>
      <c r="B33" s="60"/>
      <c r="C33" s="61"/>
      <c r="D33" s="62"/>
      <c r="E33" s="61"/>
      <c r="F33" s="56" t="s">
        <v>175</v>
      </c>
      <c r="G33" s="9"/>
      <c r="H33" s="72"/>
      <c r="I33" s="73"/>
      <c r="J33" s="74"/>
      <c r="K33" s="29" t="e">
        <f>G$32/I$32</f>
        <v>#REF!</v>
      </c>
      <c r="L33" s="59" t="s">
        <v>7</v>
      </c>
      <c r="M33" s="56">
        <f>'[1]PS Stuffed Sand'!$N$31</f>
        <v>4.3401025475392627</v>
      </c>
      <c r="N33" s="71" t="s">
        <v>6</v>
      </c>
      <c r="O33" s="30" t="e">
        <f>K33*M33</f>
        <v>#REF!</v>
      </c>
      <c r="P33" s="27" t="s">
        <v>7</v>
      </c>
      <c r="Q33" s="6"/>
      <c r="R33" s="28" t="s">
        <v>6</v>
      </c>
      <c r="S33" s="25" t="e">
        <f>O33*Q32</f>
        <v>#REF!</v>
      </c>
      <c r="T33" s="80"/>
      <c r="U33" s="81"/>
      <c r="V33" s="81">
        <f t="shared" si="26"/>
        <v>8.4527837215874673</v>
      </c>
      <c r="W33" s="70"/>
      <c r="X33" s="82"/>
      <c r="Z33" s="98">
        <f t="shared" si="9"/>
        <v>-8.4527837215874673</v>
      </c>
      <c r="AA33" s="99">
        <f t="shared" si="10"/>
        <v>8.4527837215874673</v>
      </c>
      <c r="AD33" s="100"/>
      <c r="AE33" s="100" t="e">
        <f t="shared" si="21"/>
        <v>#DIV/0!</v>
      </c>
    </row>
    <row r="34" spans="1:38" ht="25.5" hidden="1" customHeight="1" x14ac:dyDescent="0.3">
      <c r="A34" s="59">
        <v>25304</v>
      </c>
      <c r="B34" s="60" t="s">
        <v>168</v>
      </c>
      <c r="C34" s="61">
        <v>3.68</v>
      </c>
      <c r="D34" s="62" t="s">
        <v>196</v>
      </c>
      <c r="E34" s="61" t="e">
        <f t="shared" ref="E34:E65" si="27">C34*I34/16</f>
        <v>#REF!</v>
      </c>
      <c r="F34" s="58" t="s">
        <v>177</v>
      </c>
      <c r="G34" s="9"/>
      <c r="H34" s="72" t="s">
        <v>10</v>
      </c>
      <c r="I34" s="73" t="e">
        <f>#REF!</f>
        <v>#REF!</v>
      </c>
      <c r="J34" s="74" t="s">
        <v>6</v>
      </c>
      <c r="K34" s="29" t="e">
        <f t="shared" si="23"/>
        <v>#REF!</v>
      </c>
      <c r="L34" s="59" t="s">
        <v>7</v>
      </c>
      <c r="M34" s="56">
        <f>[1]!b04925304</f>
        <v>9.0214352527369641</v>
      </c>
      <c r="N34" s="71" t="s">
        <v>6</v>
      </c>
      <c r="O34" s="30" t="e">
        <f t="shared" si="24"/>
        <v>#REF!</v>
      </c>
      <c r="P34" s="27" t="s">
        <v>7</v>
      </c>
      <c r="Q34" s="6"/>
      <c r="R34" s="28" t="s">
        <v>6</v>
      </c>
      <c r="S34" s="25" t="e">
        <f t="shared" ref="S34:S51" si="28">O34*Q34</f>
        <v>#REF!</v>
      </c>
      <c r="T34" s="80" t="e">
        <f t="shared" ref="T34:T67" ca="1" si="29">Z34/I34</f>
        <v>#NAME?</v>
      </c>
      <c r="U34" s="81" t="e">
        <f t="shared" ca="1" si="25"/>
        <v>#NAME?</v>
      </c>
      <c r="V34" s="81">
        <f t="shared" si="26"/>
        <v>17.349122134538455</v>
      </c>
      <c r="W34" s="70">
        <f t="shared" si="11"/>
        <v>110.84710713814805</v>
      </c>
      <c r="X34" s="82" t="e">
        <f t="shared" si="12"/>
        <v>#REF!</v>
      </c>
      <c r="Z34" s="98">
        <f t="shared" ca="1" si="9"/>
        <v>44.534596518987343</v>
      </c>
      <c r="AA34" s="99">
        <f t="shared" si="10"/>
        <v>17.349122134538455</v>
      </c>
      <c r="AD34" s="100" t="e">
        <f t="shared" ref="AD34:AD64" ca="1" si="30">U34+AA34+AC34</f>
        <v>#NAME?</v>
      </c>
      <c r="AE34" s="100" t="e">
        <f t="shared" ca="1" si="21"/>
        <v>#NAME?</v>
      </c>
    </row>
    <row r="35" spans="1:38" ht="25.5" hidden="1" customHeight="1" x14ac:dyDescent="0.3">
      <c r="A35" s="59">
        <v>25305</v>
      </c>
      <c r="B35" s="60" t="s">
        <v>169</v>
      </c>
      <c r="C35" s="61">
        <v>4.09</v>
      </c>
      <c r="D35" s="62" t="s">
        <v>196</v>
      </c>
      <c r="E35" s="61" t="e">
        <f t="shared" si="27"/>
        <v>#REF!</v>
      </c>
      <c r="F35" s="58" t="s">
        <v>177</v>
      </c>
      <c r="G35" s="9"/>
      <c r="H35" s="72" t="s">
        <v>10</v>
      </c>
      <c r="I35" s="73" t="e">
        <f>#REF!</f>
        <v>#REF!</v>
      </c>
      <c r="J35" s="74" t="s">
        <v>6</v>
      </c>
      <c r="K35" s="29" t="e">
        <f t="shared" si="23"/>
        <v>#REF!</v>
      </c>
      <c r="L35" s="59" t="s">
        <v>7</v>
      </c>
      <c r="M35" s="56">
        <f>[1]!b04925305</f>
        <v>7.8858760252137783</v>
      </c>
      <c r="N35" s="71" t="s">
        <v>6</v>
      </c>
      <c r="O35" s="30" t="e">
        <f t="shared" si="24"/>
        <v>#REF!</v>
      </c>
      <c r="P35" s="27" t="s">
        <v>7</v>
      </c>
      <c r="Q35" s="6"/>
      <c r="R35" s="28" t="s">
        <v>6</v>
      </c>
      <c r="S35" s="25" t="e">
        <f t="shared" si="28"/>
        <v>#REF!</v>
      </c>
      <c r="T35" s="80" t="e">
        <f t="shared" ca="1" si="29"/>
        <v>#NAME?</v>
      </c>
      <c r="U35" s="81" t="e">
        <f t="shared" ca="1" si="25"/>
        <v>#NAME?</v>
      </c>
      <c r="V35" s="81">
        <f t="shared" si="26"/>
        <v>15.165328184088617</v>
      </c>
      <c r="W35" s="70">
        <f t="shared" si="11"/>
        <v>126.80899329417127</v>
      </c>
      <c r="X35" s="82" t="e">
        <f t="shared" si="12"/>
        <v>#REF!</v>
      </c>
      <c r="Z35" s="98">
        <f t="shared" ca="1" si="9"/>
        <v>44.534596518987343</v>
      </c>
      <c r="AA35" s="99">
        <f t="shared" si="10"/>
        <v>15.165328184088617</v>
      </c>
      <c r="AD35" s="100" t="e">
        <f t="shared" ca="1" si="30"/>
        <v>#NAME?</v>
      </c>
      <c r="AE35" s="100" t="e">
        <f t="shared" ca="1" si="21"/>
        <v>#NAME?</v>
      </c>
    </row>
    <row r="36" spans="1:38" ht="25.5" hidden="1" customHeight="1" x14ac:dyDescent="0.3">
      <c r="A36" s="59" t="s">
        <v>62</v>
      </c>
      <c r="B36" s="60" t="s">
        <v>71</v>
      </c>
      <c r="C36" s="61">
        <v>3.944</v>
      </c>
      <c r="D36" s="62" t="s">
        <v>196</v>
      </c>
      <c r="E36" s="61" t="e">
        <f t="shared" si="27"/>
        <v>#REF!</v>
      </c>
      <c r="F36" s="61" t="s">
        <v>175</v>
      </c>
      <c r="G36" s="9"/>
      <c r="H36" s="72" t="s">
        <v>10</v>
      </c>
      <c r="I36" s="73" t="e">
        <f>#REF!</f>
        <v>#REF!</v>
      </c>
      <c r="J36" s="74" t="s">
        <v>6</v>
      </c>
      <c r="K36" s="29" t="e">
        <f t="shared" si="23"/>
        <v>#REF!</v>
      </c>
      <c r="L36" s="59" t="s">
        <v>7</v>
      </c>
      <c r="M36" s="56" t="e">
        <f>#REF!</f>
        <v>#REF!</v>
      </c>
      <c r="N36" s="71" t="s">
        <v>6</v>
      </c>
      <c r="O36" s="30" t="e">
        <f t="shared" si="24"/>
        <v>#REF!</v>
      </c>
      <c r="P36" s="27" t="s">
        <v>7</v>
      </c>
      <c r="Q36" s="6"/>
      <c r="R36" s="28" t="s">
        <v>6</v>
      </c>
      <c r="S36" s="25" t="e">
        <f t="shared" si="28"/>
        <v>#REF!</v>
      </c>
      <c r="T36" s="80" t="e">
        <f t="shared" ca="1" si="29"/>
        <v>#REF!</v>
      </c>
      <c r="U36" s="81" t="e">
        <f t="shared" ca="1" si="25"/>
        <v>#REF!</v>
      </c>
      <c r="V36" s="81" t="e">
        <f t="shared" si="26"/>
        <v>#REF!</v>
      </c>
      <c r="W36" s="70" t="e">
        <f t="shared" ref="W36:W61" si="31">1000/M36</f>
        <v>#REF!</v>
      </c>
      <c r="X36" s="82" t="e">
        <f t="shared" ref="X36:X61" si="32">W36*I36</f>
        <v>#REF!</v>
      </c>
      <c r="Z36" s="98">
        <f t="shared" ca="1" si="9"/>
        <v>44.534596518987343</v>
      </c>
      <c r="AA36" s="99" t="e">
        <f t="shared" si="10"/>
        <v>#REF!</v>
      </c>
      <c r="AD36" s="100" t="e">
        <f t="shared" ca="1" si="30"/>
        <v>#REF!</v>
      </c>
      <c r="AE36" s="100" t="e">
        <f t="shared" ca="1" si="21"/>
        <v>#REF!</v>
      </c>
    </row>
    <row r="37" spans="1:38" ht="25.5" hidden="1" customHeight="1" x14ac:dyDescent="0.3">
      <c r="A37" s="59" t="s">
        <v>63</v>
      </c>
      <c r="B37" s="60" t="s">
        <v>72</v>
      </c>
      <c r="C37" s="61">
        <v>4.0860000000000003</v>
      </c>
      <c r="D37" s="62" t="s">
        <v>196</v>
      </c>
      <c r="E37" s="61" t="e">
        <f t="shared" si="27"/>
        <v>#REF!</v>
      </c>
      <c r="F37" s="61" t="s">
        <v>175</v>
      </c>
      <c r="G37" s="9"/>
      <c r="H37" s="72" t="s">
        <v>10</v>
      </c>
      <c r="I37" s="73" t="e">
        <f>#REF!</f>
        <v>#REF!</v>
      </c>
      <c r="J37" s="74" t="s">
        <v>6</v>
      </c>
      <c r="K37" s="29" t="e">
        <f t="shared" si="23"/>
        <v>#REF!</v>
      </c>
      <c r="L37" s="59" t="s">
        <v>7</v>
      </c>
      <c r="M37" s="56" t="e">
        <f>#REF!</f>
        <v>#REF!</v>
      </c>
      <c r="N37" s="71" t="s">
        <v>6</v>
      </c>
      <c r="O37" s="30" t="e">
        <f t="shared" si="24"/>
        <v>#REF!</v>
      </c>
      <c r="P37" s="27" t="s">
        <v>7</v>
      </c>
      <c r="Q37" s="6"/>
      <c r="R37" s="28" t="s">
        <v>6</v>
      </c>
      <c r="S37" s="25" t="e">
        <f t="shared" si="28"/>
        <v>#REF!</v>
      </c>
      <c r="T37" s="80" t="e">
        <f t="shared" ca="1" si="29"/>
        <v>#REF!</v>
      </c>
      <c r="U37" s="81" t="e">
        <f t="shared" ca="1" si="25"/>
        <v>#REF!</v>
      </c>
      <c r="V37" s="81" t="e">
        <f t="shared" si="26"/>
        <v>#REF!</v>
      </c>
      <c r="W37" s="70" t="e">
        <f t="shared" si="31"/>
        <v>#REF!</v>
      </c>
      <c r="X37" s="82" t="e">
        <f t="shared" si="32"/>
        <v>#REF!</v>
      </c>
      <c r="Z37" s="98">
        <f t="shared" ca="1" si="9"/>
        <v>44.534596518987343</v>
      </c>
      <c r="AA37" s="99" t="e">
        <f t="shared" si="10"/>
        <v>#REF!</v>
      </c>
      <c r="AD37" s="100" t="e">
        <f t="shared" ca="1" si="30"/>
        <v>#REF!</v>
      </c>
      <c r="AE37" s="100" t="e">
        <f t="shared" ca="1" si="21"/>
        <v>#REF!</v>
      </c>
    </row>
    <row r="38" spans="1:38" ht="26" hidden="1" x14ac:dyDescent="0.3">
      <c r="A38" s="54" t="s">
        <v>86</v>
      </c>
      <c r="B38" s="55" t="s">
        <v>240</v>
      </c>
      <c r="C38" s="56">
        <f>'[1]Latin Stuffed Sand'!$E$15</f>
        <v>3.2593140841412298</v>
      </c>
      <c r="D38" s="57" t="s">
        <v>197</v>
      </c>
      <c r="E38" s="61">
        <f t="shared" si="27"/>
        <v>32.5931408414123</v>
      </c>
      <c r="F38" s="58" t="s">
        <v>175</v>
      </c>
      <c r="G38" s="8"/>
      <c r="H38" s="72" t="s">
        <v>10</v>
      </c>
      <c r="I38" s="73">
        <f>'[1]Latin Stuffed Sand'!$D$13</f>
        <v>160</v>
      </c>
      <c r="J38" s="74" t="s">
        <v>6</v>
      </c>
      <c r="K38" s="29">
        <f t="shared" si="23"/>
        <v>0</v>
      </c>
      <c r="L38" s="59" t="s">
        <v>7</v>
      </c>
      <c r="M38" s="56">
        <f>'[1]Latin Stuffed Sand'!$N$13</f>
        <v>4.0199714821261221</v>
      </c>
      <c r="N38" s="71" t="s">
        <v>6</v>
      </c>
      <c r="O38" s="30">
        <f t="shared" si="24"/>
        <v>0</v>
      </c>
      <c r="P38" s="27" t="s">
        <v>7</v>
      </c>
      <c r="Q38" s="6"/>
      <c r="R38" s="28" t="s">
        <v>6</v>
      </c>
      <c r="S38" s="25">
        <f t="shared" si="28"/>
        <v>0</v>
      </c>
      <c r="T38" s="80">
        <f t="shared" ca="1" si="29"/>
        <v>0.38</v>
      </c>
      <c r="U38" s="81">
        <f t="shared" ca="1" si="25"/>
        <v>60.8</v>
      </c>
      <c r="V38" s="81">
        <f t="shared" si="26"/>
        <v>7.8292964585888356</v>
      </c>
      <c r="W38" s="70">
        <f>1000/M38</f>
        <v>248.75798359422942</v>
      </c>
      <c r="X38" s="82">
        <f>W38*I38</f>
        <v>39801.277375076708</v>
      </c>
      <c r="Z38" s="98">
        <f t="shared" ca="1" si="9"/>
        <v>44.534596518987343</v>
      </c>
      <c r="AA38" s="99">
        <f t="shared" si="10"/>
        <v>7.8292964585888356</v>
      </c>
      <c r="AC38" s="98"/>
      <c r="AD38" s="100">
        <f t="shared" ca="1" si="30"/>
        <v>67.784700450194137</v>
      </c>
      <c r="AE38" s="100">
        <f t="shared" ca="1" si="21"/>
        <v>0.42365437781371335</v>
      </c>
    </row>
    <row r="39" spans="1:38" ht="26" hidden="1" x14ac:dyDescent="0.3">
      <c r="A39" s="59">
        <v>25309</v>
      </c>
      <c r="B39" s="60" t="s">
        <v>165</v>
      </c>
      <c r="C39" s="61">
        <v>2.23</v>
      </c>
      <c r="D39" s="62" t="s">
        <v>198</v>
      </c>
      <c r="E39" s="61" t="e">
        <f t="shared" si="27"/>
        <v>#REF!</v>
      </c>
      <c r="F39" s="61" t="s">
        <v>175</v>
      </c>
      <c r="G39" s="9"/>
      <c r="H39" s="72" t="s">
        <v>10</v>
      </c>
      <c r="I39" s="73" t="e">
        <f>#REF!</f>
        <v>#REF!</v>
      </c>
      <c r="J39" s="74" t="s">
        <v>6</v>
      </c>
      <c r="K39" s="29" t="e">
        <f t="shared" si="23"/>
        <v>#REF!</v>
      </c>
      <c r="L39" s="59" t="s">
        <v>7</v>
      </c>
      <c r="M39" s="56">
        <f>[1]!b04925309</f>
        <v>4.5380456568749441</v>
      </c>
      <c r="N39" s="71" t="s">
        <v>6</v>
      </c>
      <c r="O39" s="30" t="e">
        <f t="shared" si="24"/>
        <v>#REF!</v>
      </c>
      <c r="P39" s="27" t="s">
        <v>7</v>
      </c>
      <c r="Q39" s="6"/>
      <c r="R39" s="28" t="s">
        <v>6</v>
      </c>
      <c r="S39" s="25" t="e">
        <f t="shared" si="28"/>
        <v>#REF!</v>
      </c>
      <c r="T39" s="80" t="e">
        <f t="shared" ca="1" si="29"/>
        <v>#REF!</v>
      </c>
      <c r="U39" s="81" t="e">
        <f t="shared" ca="1" si="25"/>
        <v>#REF!</v>
      </c>
      <c r="V39" s="81">
        <f t="shared" si="26"/>
        <v>8.8382977213296403</v>
      </c>
      <c r="W39" s="70">
        <f t="shared" si="31"/>
        <v>220.35917564757045</v>
      </c>
      <c r="X39" s="82" t="e">
        <f t="shared" si="32"/>
        <v>#REF!</v>
      </c>
      <c r="Z39" s="98">
        <f t="shared" ca="1" si="9"/>
        <v>44.534596518987343</v>
      </c>
      <c r="AA39" s="99">
        <f t="shared" si="10"/>
        <v>8.8382977213296403</v>
      </c>
      <c r="AD39" s="100" t="e">
        <f t="shared" ca="1" si="30"/>
        <v>#REF!</v>
      </c>
      <c r="AE39" s="100" t="e">
        <f t="shared" ca="1" si="21"/>
        <v>#REF!</v>
      </c>
    </row>
    <row r="40" spans="1:38" ht="25.5" hidden="1" customHeight="1" x14ac:dyDescent="0.3">
      <c r="A40" s="59">
        <v>25311</v>
      </c>
      <c r="B40" s="60" t="s">
        <v>167</v>
      </c>
      <c r="C40" s="61">
        <v>3.69</v>
      </c>
      <c r="D40" s="62" t="s">
        <v>196</v>
      </c>
      <c r="E40" s="61" t="e">
        <f t="shared" si="27"/>
        <v>#REF!</v>
      </c>
      <c r="F40" s="58" t="s">
        <v>177</v>
      </c>
      <c r="G40" s="9"/>
      <c r="H40" s="72" t="s">
        <v>10</v>
      </c>
      <c r="I40" s="73" t="e">
        <f>#REF!</f>
        <v>#REF!</v>
      </c>
      <c r="J40" s="74" t="s">
        <v>6</v>
      </c>
      <c r="K40" s="29" t="e">
        <f>G40/I40</f>
        <v>#REF!</v>
      </c>
      <c r="L40" s="59" t="s">
        <v>7</v>
      </c>
      <c r="M40" s="56">
        <v>10.526794556312456</v>
      </c>
      <c r="N40" s="71" t="s">
        <v>6</v>
      </c>
      <c r="O40" s="30" t="e">
        <f>K40*M40</f>
        <v>#REF!</v>
      </c>
      <c r="P40" s="27" t="s">
        <v>7</v>
      </c>
      <c r="Q40" s="6"/>
      <c r="R40" s="28" t="s">
        <v>6</v>
      </c>
      <c r="S40" s="25" t="e">
        <f t="shared" si="28"/>
        <v>#REF!</v>
      </c>
      <c r="T40" s="80" t="e">
        <f t="shared" ca="1" si="29"/>
        <v>#NAME?</v>
      </c>
      <c r="U40" s="81" t="e">
        <f ca="1">T40*I40</f>
        <v>#NAME?</v>
      </c>
      <c r="V40" s="81">
        <f t="shared" si="26"/>
        <v>20.244078611244486</v>
      </c>
      <c r="W40" s="70">
        <f t="shared" si="31"/>
        <v>94.995679325796658</v>
      </c>
      <c r="X40" s="82" t="e">
        <f t="shared" si="32"/>
        <v>#REF!</v>
      </c>
      <c r="Z40" s="98">
        <f t="shared" ca="1" si="9"/>
        <v>44.534596518987343</v>
      </c>
      <c r="AA40" s="99">
        <f t="shared" si="10"/>
        <v>20.244078611244486</v>
      </c>
      <c r="AD40" s="100" t="e">
        <f t="shared" ca="1" si="30"/>
        <v>#NAME?</v>
      </c>
      <c r="AE40" s="100" t="e">
        <f t="shared" ca="1" si="21"/>
        <v>#NAME?</v>
      </c>
    </row>
    <row r="41" spans="1:38" ht="39" hidden="1" x14ac:dyDescent="0.3">
      <c r="A41" s="59" t="s">
        <v>82</v>
      </c>
      <c r="B41" s="63" t="s">
        <v>81</v>
      </c>
      <c r="C41" s="61" t="e">
        <f>#REF!</f>
        <v>#REF!</v>
      </c>
      <c r="D41" s="62" t="s">
        <v>199</v>
      </c>
      <c r="E41" s="61" t="e">
        <f t="shared" si="27"/>
        <v>#REF!</v>
      </c>
      <c r="F41" s="61" t="s">
        <v>175</v>
      </c>
      <c r="G41" s="9"/>
      <c r="H41" s="72" t="s">
        <v>10</v>
      </c>
      <c r="I41" s="73" t="e">
        <f>#REF!</f>
        <v>#REF!</v>
      </c>
      <c r="J41" s="74" t="s">
        <v>6</v>
      </c>
      <c r="K41" s="29" t="e">
        <f t="shared" si="23"/>
        <v>#REF!</v>
      </c>
      <c r="L41" s="59" t="s">
        <v>7</v>
      </c>
      <c r="M41" s="56" t="e">
        <f>#REF!</f>
        <v>#REF!</v>
      </c>
      <c r="N41" s="71" t="s">
        <v>6</v>
      </c>
      <c r="O41" s="30" t="e">
        <f t="shared" si="24"/>
        <v>#REF!</v>
      </c>
      <c r="P41" s="27" t="s">
        <v>7</v>
      </c>
      <c r="Q41" s="6"/>
      <c r="R41" s="28" t="s">
        <v>6</v>
      </c>
      <c r="S41" s="25" t="e">
        <f t="shared" si="28"/>
        <v>#REF!</v>
      </c>
      <c r="T41" s="80" t="e">
        <f t="shared" ca="1" si="29"/>
        <v>#NAME?</v>
      </c>
      <c r="U41" s="81" t="e">
        <f t="shared" ca="1" si="25"/>
        <v>#NAME?</v>
      </c>
      <c r="V41" s="81" t="e">
        <f t="shared" si="26"/>
        <v>#REF!</v>
      </c>
      <c r="W41" s="70" t="e">
        <f t="shared" si="31"/>
        <v>#REF!</v>
      </c>
      <c r="X41" s="82" t="e">
        <f t="shared" si="32"/>
        <v>#REF!</v>
      </c>
      <c r="Z41" s="98">
        <f t="shared" ca="1" si="9"/>
        <v>44.534596518987343</v>
      </c>
      <c r="AA41" s="99" t="e">
        <f t="shared" si="10"/>
        <v>#REF!</v>
      </c>
      <c r="AD41" s="100" t="e">
        <f t="shared" ca="1" si="30"/>
        <v>#NAME?</v>
      </c>
      <c r="AE41" s="100" t="e">
        <f t="shared" ca="1" si="21"/>
        <v>#NAME?</v>
      </c>
    </row>
    <row r="42" spans="1:38" ht="26" hidden="1" x14ac:dyDescent="0.3">
      <c r="A42" s="59" t="s">
        <v>79</v>
      </c>
      <c r="B42" s="63" t="s">
        <v>80</v>
      </c>
      <c r="C42" s="61" t="e">
        <f>#REF!</f>
        <v>#REF!</v>
      </c>
      <c r="D42" s="62" t="s">
        <v>199</v>
      </c>
      <c r="E42" s="61" t="e">
        <f t="shared" si="27"/>
        <v>#REF!</v>
      </c>
      <c r="F42" s="61" t="s">
        <v>175</v>
      </c>
      <c r="G42" s="9"/>
      <c r="H42" s="72" t="s">
        <v>10</v>
      </c>
      <c r="I42" s="73" t="e">
        <f>#REF!</f>
        <v>#REF!</v>
      </c>
      <c r="J42" s="74" t="s">
        <v>6</v>
      </c>
      <c r="K42" s="29" t="e">
        <f t="shared" si="23"/>
        <v>#REF!</v>
      </c>
      <c r="L42" s="59" t="s">
        <v>7</v>
      </c>
      <c r="M42" s="56" t="e">
        <f>#REF!</f>
        <v>#REF!</v>
      </c>
      <c r="N42" s="71" t="s">
        <v>6</v>
      </c>
      <c r="O42" s="30" t="e">
        <f t="shared" si="24"/>
        <v>#REF!</v>
      </c>
      <c r="P42" s="27" t="s">
        <v>7</v>
      </c>
      <c r="Q42" s="6"/>
      <c r="R42" s="28" t="s">
        <v>6</v>
      </c>
      <c r="S42" s="25" t="e">
        <f t="shared" si="28"/>
        <v>#REF!</v>
      </c>
      <c r="T42" s="80" t="e">
        <f t="shared" ca="1" si="29"/>
        <v>#NAME?</v>
      </c>
      <c r="U42" s="81" t="e">
        <f t="shared" ca="1" si="25"/>
        <v>#NAME?</v>
      </c>
      <c r="V42" s="81" t="e">
        <f t="shared" si="26"/>
        <v>#REF!</v>
      </c>
      <c r="W42" s="70" t="e">
        <f t="shared" si="31"/>
        <v>#REF!</v>
      </c>
      <c r="X42" s="82" t="e">
        <f t="shared" si="32"/>
        <v>#REF!</v>
      </c>
      <c r="Z42" s="98">
        <f t="shared" ca="1" si="9"/>
        <v>44.534596518987343</v>
      </c>
      <c r="AA42" s="99" t="e">
        <f t="shared" si="10"/>
        <v>#REF!</v>
      </c>
      <c r="AD42" s="100" t="e">
        <f t="shared" ca="1" si="30"/>
        <v>#NAME?</v>
      </c>
      <c r="AE42" s="100" t="e">
        <f t="shared" ca="1" si="21"/>
        <v>#NAME?</v>
      </c>
    </row>
    <row r="43" spans="1:38" ht="25.5" hidden="1" customHeight="1" x14ac:dyDescent="0.3">
      <c r="A43" s="64" t="s">
        <v>178</v>
      </c>
      <c r="B43" s="60" t="s">
        <v>180</v>
      </c>
      <c r="C43" s="61">
        <v>3.68</v>
      </c>
      <c r="D43" s="62" t="s">
        <v>196</v>
      </c>
      <c r="E43" s="61" t="e">
        <f t="shared" si="27"/>
        <v>#REF!</v>
      </c>
      <c r="F43" s="58" t="s">
        <v>177</v>
      </c>
      <c r="G43" s="9"/>
      <c r="H43" s="72" t="s">
        <v>10</v>
      </c>
      <c r="I43" s="73" t="e">
        <f>#REF!</f>
        <v>#REF!</v>
      </c>
      <c r="J43" s="74" t="s">
        <v>6</v>
      </c>
      <c r="K43" s="29" t="e">
        <f>G43/I43</f>
        <v>#REF!</v>
      </c>
      <c r="L43" s="59" t="s">
        <v>7</v>
      </c>
      <c r="M43" s="56">
        <f>[1]!b04925314</f>
        <v>9.0214352527369641</v>
      </c>
      <c r="N43" s="71" t="s">
        <v>6</v>
      </c>
      <c r="O43" s="30" t="e">
        <f>K43*M43</f>
        <v>#REF!</v>
      </c>
      <c r="P43" s="27" t="s">
        <v>7</v>
      </c>
      <c r="Q43" s="6"/>
      <c r="R43" s="28" t="s">
        <v>6</v>
      </c>
      <c r="S43" s="25" t="e">
        <f t="shared" si="28"/>
        <v>#REF!</v>
      </c>
      <c r="T43" s="80" t="e">
        <f t="shared" ca="1" si="29"/>
        <v>#NAME?</v>
      </c>
      <c r="U43" s="81" t="e">
        <f ca="1">T43*I43</f>
        <v>#NAME?</v>
      </c>
      <c r="V43" s="81">
        <f t="shared" si="26"/>
        <v>17.349122134538455</v>
      </c>
      <c r="W43" s="70">
        <f t="shared" si="31"/>
        <v>110.84710713814805</v>
      </c>
      <c r="X43" s="82" t="e">
        <f t="shared" si="32"/>
        <v>#REF!</v>
      </c>
      <c r="Z43" s="98">
        <f t="shared" ca="1" si="9"/>
        <v>44.534596518987343</v>
      </c>
      <c r="AA43" s="99">
        <f t="shared" si="10"/>
        <v>17.349122134538455</v>
      </c>
      <c r="AD43" s="100" t="e">
        <f t="shared" ca="1" si="30"/>
        <v>#NAME?</v>
      </c>
      <c r="AE43" s="100" t="e">
        <f t="shared" ca="1" si="21"/>
        <v>#NAME?</v>
      </c>
    </row>
    <row r="44" spans="1:38" ht="25.5" hidden="1" customHeight="1" x14ac:dyDescent="0.3">
      <c r="A44" s="64" t="s">
        <v>179</v>
      </c>
      <c r="B44" s="60" t="s">
        <v>181</v>
      </c>
      <c r="C44" s="61">
        <v>4.09</v>
      </c>
      <c r="D44" s="62" t="s">
        <v>196</v>
      </c>
      <c r="E44" s="61" t="e">
        <f t="shared" si="27"/>
        <v>#REF!</v>
      </c>
      <c r="F44" s="58" t="s">
        <v>177</v>
      </c>
      <c r="G44" s="9"/>
      <c r="H44" s="72" t="s">
        <v>10</v>
      </c>
      <c r="I44" s="73" t="e">
        <f>#REF!</f>
        <v>#REF!</v>
      </c>
      <c r="J44" s="74" t="s">
        <v>6</v>
      </c>
      <c r="K44" s="29" t="e">
        <f>G44/I44</f>
        <v>#REF!</v>
      </c>
      <c r="L44" s="59" t="s">
        <v>7</v>
      </c>
      <c r="M44" s="56">
        <f>[1]!b04925315</f>
        <v>7.8858760252137783</v>
      </c>
      <c r="N44" s="71" t="s">
        <v>6</v>
      </c>
      <c r="O44" s="30" t="e">
        <f>K44*M44</f>
        <v>#REF!</v>
      </c>
      <c r="P44" s="27" t="s">
        <v>7</v>
      </c>
      <c r="Q44" s="6"/>
      <c r="R44" s="28" t="s">
        <v>6</v>
      </c>
      <c r="S44" s="25" t="e">
        <f t="shared" si="28"/>
        <v>#REF!</v>
      </c>
      <c r="T44" s="80" t="e">
        <f t="shared" ca="1" si="29"/>
        <v>#NAME?</v>
      </c>
      <c r="U44" s="81" t="e">
        <f ca="1">T44*I44</f>
        <v>#NAME?</v>
      </c>
      <c r="V44" s="81">
        <f t="shared" si="26"/>
        <v>15.165328184088617</v>
      </c>
      <c r="W44" s="70">
        <f t="shared" si="31"/>
        <v>126.80899329417127</v>
      </c>
      <c r="X44" s="82" t="e">
        <f t="shared" si="32"/>
        <v>#REF!</v>
      </c>
      <c r="Z44" s="98">
        <f t="shared" ca="1" si="9"/>
        <v>44.534596518987343</v>
      </c>
      <c r="AA44" s="99">
        <f t="shared" si="10"/>
        <v>15.165328184088617</v>
      </c>
      <c r="AD44" s="100" t="e">
        <f t="shared" ca="1" si="30"/>
        <v>#NAME?</v>
      </c>
      <c r="AE44" s="100" t="e">
        <f t="shared" ca="1" si="21"/>
        <v>#NAME?</v>
      </c>
    </row>
    <row r="45" spans="1:38" ht="26" hidden="1" x14ac:dyDescent="0.3">
      <c r="A45" s="59">
        <v>25319</v>
      </c>
      <c r="B45" s="60" t="s">
        <v>166</v>
      </c>
      <c r="C45" s="61">
        <f>C39</f>
        <v>2.23</v>
      </c>
      <c r="D45" s="62" t="str">
        <f>D39</f>
        <v>1m/ma, 1.25 oeg</v>
      </c>
      <c r="E45" s="61" t="e">
        <f t="shared" si="27"/>
        <v>#REF!</v>
      </c>
      <c r="F45" s="61" t="s">
        <v>175</v>
      </c>
      <c r="G45" s="9"/>
      <c r="H45" s="72" t="s">
        <v>10</v>
      </c>
      <c r="I45" s="73" t="e">
        <f>#REF!</f>
        <v>#REF!</v>
      </c>
      <c r="J45" s="74" t="s">
        <v>6</v>
      </c>
      <c r="K45" s="29" t="e">
        <f t="shared" si="23"/>
        <v>#REF!</v>
      </c>
      <c r="L45" s="59" t="s">
        <v>7</v>
      </c>
      <c r="M45" s="56">
        <f>[1]!b04925319</f>
        <v>4.5380456568749441</v>
      </c>
      <c r="N45" s="71" t="s">
        <v>6</v>
      </c>
      <c r="O45" s="30" t="e">
        <f t="shared" si="24"/>
        <v>#REF!</v>
      </c>
      <c r="P45" s="27" t="s">
        <v>7</v>
      </c>
      <c r="Q45" s="6"/>
      <c r="R45" s="28" t="s">
        <v>6</v>
      </c>
      <c r="S45" s="25" t="e">
        <f t="shared" si="28"/>
        <v>#REF!</v>
      </c>
      <c r="T45" s="80" t="e">
        <f t="shared" ca="1" si="29"/>
        <v>#REF!</v>
      </c>
      <c r="U45" s="81" t="e">
        <f t="shared" ca="1" si="25"/>
        <v>#REF!</v>
      </c>
      <c r="V45" s="81">
        <f t="shared" si="26"/>
        <v>8.8382977213296403</v>
      </c>
      <c r="W45" s="70">
        <f t="shared" si="31"/>
        <v>220.35917564757045</v>
      </c>
      <c r="X45" s="82" t="e">
        <f t="shared" si="32"/>
        <v>#REF!</v>
      </c>
      <c r="Z45" s="98">
        <f t="shared" ca="1" si="9"/>
        <v>44.534596518987343</v>
      </c>
      <c r="AA45" s="99">
        <f t="shared" si="10"/>
        <v>8.8382977213296403</v>
      </c>
      <c r="AD45" s="100" t="e">
        <f t="shared" ca="1" si="30"/>
        <v>#REF!</v>
      </c>
      <c r="AE45" s="100" t="e">
        <f t="shared" ca="1" si="21"/>
        <v>#REF!</v>
      </c>
    </row>
    <row r="46" spans="1:38" ht="26" hidden="1" x14ac:dyDescent="0.3">
      <c r="A46" s="54" t="s">
        <v>85</v>
      </c>
      <c r="B46" s="55" t="s">
        <v>241</v>
      </c>
      <c r="C46" s="56">
        <f>'[1]Latin Stuffed Sand'!$E$22</f>
        <v>5</v>
      </c>
      <c r="D46" s="57" t="s">
        <v>192</v>
      </c>
      <c r="E46" s="61">
        <f t="shared" si="27"/>
        <v>20</v>
      </c>
      <c r="F46" s="58" t="s">
        <v>175</v>
      </c>
      <c r="G46" s="8"/>
      <c r="H46" s="72" t="s">
        <v>10</v>
      </c>
      <c r="I46" s="73">
        <f>'[1]Latin Stuffed Sand'!$D$21</f>
        <v>64</v>
      </c>
      <c r="J46" s="74" t="s">
        <v>6</v>
      </c>
      <c r="K46" s="29">
        <f>G46/I46</f>
        <v>0</v>
      </c>
      <c r="L46" s="59" t="s">
        <v>7</v>
      </c>
      <c r="M46" s="56">
        <f>'[1]Latin Stuffed Sand'!$N$21</f>
        <v>1.6490481952945009</v>
      </c>
      <c r="N46" s="71" t="s">
        <v>6</v>
      </c>
      <c r="O46" s="30">
        <f>K46*M46</f>
        <v>0</v>
      </c>
      <c r="P46" s="27" t="s">
        <v>7</v>
      </c>
      <c r="Q46" s="6"/>
      <c r="R46" s="28" t="s">
        <v>6</v>
      </c>
      <c r="S46" s="25">
        <f t="shared" si="28"/>
        <v>0</v>
      </c>
      <c r="T46" s="80">
        <f t="shared" ca="1" si="29"/>
        <v>0.64</v>
      </c>
      <c r="U46" s="81">
        <f ca="1">T46*I46</f>
        <v>40.96</v>
      </c>
      <c r="V46" s="81">
        <f>AA46</f>
        <v>3.2116862651555698</v>
      </c>
      <c r="W46" s="70">
        <f>1000/M46</f>
        <v>606.41041471890492</v>
      </c>
      <c r="X46" s="82">
        <f>W46*I46</f>
        <v>38810.266542009915</v>
      </c>
      <c r="Z46" s="98">
        <f t="shared" ca="1" si="9"/>
        <v>44.534596518987343</v>
      </c>
      <c r="AA46" s="99">
        <f t="shared" si="10"/>
        <v>3.2116862651555698</v>
      </c>
      <c r="AC46" s="98"/>
      <c r="AD46" s="100">
        <f t="shared" ca="1" si="30"/>
        <v>43.825221239324193</v>
      </c>
      <c r="AE46" s="100">
        <f t="shared" ca="1" si="21"/>
        <v>0.68476908186444052</v>
      </c>
    </row>
    <row r="47" spans="1:38" s="26" customFormat="1" ht="25.5" customHeight="1" x14ac:dyDescent="0.25">
      <c r="A47" s="54" t="s">
        <v>266</v>
      </c>
      <c r="B47" s="55" t="s">
        <v>268</v>
      </c>
      <c r="C47" s="56">
        <f>'[1]25341'!$E$19</f>
        <v>2</v>
      </c>
      <c r="D47" s="57" t="s">
        <v>195</v>
      </c>
      <c r="E47" s="56">
        <f t="shared" si="27"/>
        <v>20</v>
      </c>
      <c r="F47" s="58" t="s">
        <v>175</v>
      </c>
      <c r="G47" s="8"/>
      <c r="H47" s="69" t="s">
        <v>10</v>
      </c>
      <c r="I47" s="70">
        <f>'[1]25341'!$D$10</f>
        <v>160</v>
      </c>
      <c r="J47" s="71" t="s">
        <v>6</v>
      </c>
      <c r="K47" s="22">
        <f>G47/I47</f>
        <v>0</v>
      </c>
      <c r="L47" s="78" t="s">
        <v>7</v>
      </c>
      <c r="M47" s="56">
        <f>'[1]25341'!$M$10</f>
        <v>5</v>
      </c>
      <c r="N47" s="71" t="s">
        <v>6</v>
      </c>
      <c r="O47" s="24">
        <f>K47*M47</f>
        <v>0</v>
      </c>
      <c r="P47" s="23" t="s">
        <v>7</v>
      </c>
      <c r="Q47" s="5"/>
      <c r="R47" s="21" t="s">
        <v>6</v>
      </c>
      <c r="S47" s="25">
        <f t="shared" si="28"/>
        <v>0</v>
      </c>
      <c r="T47" s="80">
        <f t="shared" si="29"/>
        <v>0.634575</v>
      </c>
      <c r="U47" s="81">
        <f>T47*I47</f>
        <v>101.532</v>
      </c>
      <c r="V47" s="81">
        <f>AA47</f>
        <v>9.7379999999999995</v>
      </c>
      <c r="W47" s="70">
        <f>1000/M47</f>
        <v>200</v>
      </c>
      <c r="X47" s="82">
        <f>W47*I47</f>
        <v>32000</v>
      </c>
      <c r="Y47" s="97"/>
      <c r="Z47" s="98">
        <f t="shared" si="9"/>
        <v>101.532</v>
      </c>
      <c r="AA47" s="99">
        <f t="shared" si="10"/>
        <v>9.7379999999999995</v>
      </c>
      <c r="AB47" s="97"/>
      <c r="AC47" s="98"/>
      <c r="AD47" s="105">
        <v>111.27</v>
      </c>
      <c r="AE47" s="100">
        <f t="shared" si="21"/>
        <v>0.69543749999999993</v>
      </c>
      <c r="AF47" s="97"/>
      <c r="AG47" s="97"/>
      <c r="AH47" s="101"/>
      <c r="AI47" s="97"/>
      <c r="AJ47" s="99"/>
      <c r="AK47" s="97"/>
      <c r="AL47" s="97"/>
    </row>
    <row r="48" spans="1:38" s="26" customFormat="1" ht="25.5" customHeight="1" x14ac:dyDescent="0.25">
      <c r="A48" s="54" t="s">
        <v>269</v>
      </c>
      <c r="B48" s="55" t="s">
        <v>289</v>
      </c>
      <c r="C48" s="56">
        <f>'[1]25342'!$E$19</f>
        <v>2</v>
      </c>
      <c r="D48" s="57" t="s">
        <v>195</v>
      </c>
      <c r="E48" s="56">
        <f t="shared" si="27"/>
        <v>20</v>
      </c>
      <c r="F48" s="58" t="s">
        <v>175</v>
      </c>
      <c r="G48" s="8"/>
      <c r="H48" s="69" t="s">
        <v>10</v>
      </c>
      <c r="I48" s="70">
        <f>'[1]25342'!$D$10</f>
        <v>160</v>
      </c>
      <c r="J48" s="71" t="s">
        <v>6</v>
      </c>
      <c r="K48" s="22">
        <f>G48/I48</f>
        <v>0</v>
      </c>
      <c r="L48" s="78" t="s">
        <v>7</v>
      </c>
      <c r="M48" s="56">
        <f>'[1]25342'!$M$10</f>
        <v>5</v>
      </c>
      <c r="N48" s="71" t="s">
        <v>6</v>
      </c>
      <c r="O48" s="24">
        <f>K48*M48</f>
        <v>0</v>
      </c>
      <c r="P48" s="23" t="s">
        <v>7</v>
      </c>
      <c r="Q48" s="5"/>
      <c r="R48" s="21" t="s">
        <v>6</v>
      </c>
      <c r="S48" s="25">
        <f t="shared" si="28"/>
        <v>0</v>
      </c>
      <c r="T48" s="80">
        <f t="shared" si="29"/>
        <v>0.66457499999999992</v>
      </c>
      <c r="U48" s="81">
        <f>T48*I48</f>
        <v>106.33199999999999</v>
      </c>
      <c r="V48" s="81">
        <f>AA48</f>
        <v>9.7379999999999995</v>
      </c>
      <c r="W48" s="70">
        <f>1000/M48</f>
        <v>200</v>
      </c>
      <c r="X48" s="82">
        <f>W48*I48</f>
        <v>32000</v>
      </c>
      <c r="Y48" s="97"/>
      <c r="Z48" s="98">
        <f t="shared" si="9"/>
        <v>106.33199999999999</v>
      </c>
      <c r="AA48" s="99">
        <f t="shared" si="10"/>
        <v>9.7379999999999995</v>
      </c>
      <c r="AB48" s="97"/>
      <c r="AC48" s="98"/>
      <c r="AD48" s="105">
        <v>116.07</v>
      </c>
      <c r="AE48" s="100">
        <f t="shared" si="21"/>
        <v>0.72543749999999996</v>
      </c>
      <c r="AF48" s="97"/>
      <c r="AG48" s="97"/>
      <c r="AH48" s="101"/>
      <c r="AI48" s="97"/>
      <c r="AJ48" s="99"/>
      <c r="AK48" s="97"/>
      <c r="AL48" s="97"/>
    </row>
    <row r="49" spans="1:38" s="26" customFormat="1" ht="25.5" customHeight="1" x14ac:dyDescent="0.25">
      <c r="A49" s="54" t="s">
        <v>285</v>
      </c>
      <c r="B49" s="55" t="s">
        <v>287</v>
      </c>
      <c r="C49" s="56">
        <f>'[1]25343'!$E$19</f>
        <v>2</v>
      </c>
      <c r="D49" s="57" t="s">
        <v>195</v>
      </c>
      <c r="E49" s="56">
        <f t="shared" si="27"/>
        <v>20</v>
      </c>
      <c r="F49" s="58" t="s">
        <v>175</v>
      </c>
      <c r="G49" s="8"/>
      <c r="H49" s="69" t="s">
        <v>10</v>
      </c>
      <c r="I49" s="70">
        <f>'[1]25343'!$D$10</f>
        <v>160</v>
      </c>
      <c r="J49" s="71" t="s">
        <v>6</v>
      </c>
      <c r="K49" s="22">
        <f>G49/I49</f>
        <v>0</v>
      </c>
      <c r="L49" s="78" t="s">
        <v>7</v>
      </c>
      <c r="M49" s="56">
        <f>'[1]25343'!$M$10</f>
        <v>5</v>
      </c>
      <c r="N49" s="71" t="s">
        <v>6</v>
      </c>
      <c r="O49" s="24">
        <f>K49*M49</f>
        <v>0</v>
      </c>
      <c r="P49" s="23" t="s">
        <v>7</v>
      </c>
      <c r="Q49" s="5"/>
      <c r="R49" s="21" t="s">
        <v>6</v>
      </c>
      <c r="S49" s="25">
        <f t="shared" si="28"/>
        <v>0</v>
      </c>
      <c r="T49" s="80">
        <f t="shared" si="29"/>
        <v>0.64882499999999999</v>
      </c>
      <c r="U49" s="81">
        <f>T49*I49</f>
        <v>103.812</v>
      </c>
      <c r="V49" s="81">
        <f>AA49</f>
        <v>9.7379999999999995</v>
      </c>
      <c r="W49" s="70">
        <f>1000/M49</f>
        <v>200</v>
      </c>
      <c r="X49" s="82">
        <f>W49*I49</f>
        <v>32000</v>
      </c>
      <c r="Y49" s="97"/>
      <c r="Z49" s="98">
        <f t="shared" si="9"/>
        <v>103.812</v>
      </c>
      <c r="AA49" s="99">
        <f t="shared" si="10"/>
        <v>9.7379999999999995</v>
      </c>
      <c r="AB49" s="97"/>
      <c r="AC49" s="98"/>
      <c r="AD49" s="105">
        <v>113.55</v>
      </c>
      <c r="AE49" s="100">
        <f t="shared" si="21"/>
        <v>0.70968750000000003</v>
      </c>
      <c r="AF49" s="97"/>
      <c r="AG49" s="97"/>
      <c r="AH49" s="101"/>
      <c r="AI49" s="97"/>
      <c r="AJ49" s="99"/>
      <c r="AK49" s="97"/>
      <c r="AL49" s="97"/>
    </row>
    <row r="50" spans="1:38" s="26" customFormat="1" ht="25.5" customHeight="1" x14ac:dyDescent="0.25">
      <c r="A50" s="54" t="s">
        <v>286</v>
      </c>
      <c r="B50" s="55" t="s">
        <v>288</v>
      </c>
      <c r="C50" s="56">
        <f>'[1]25344'!$E$19</f>
        <v>2</v>
      </c>
      <c r="D50" s="57" t="s">
        <v>195</v>
      </c>
      <c r="E50" s="56">
        <f t="shared" si="27"/>
        <v>20</v>
      </c>
      <c r="F50" s="58" t="s">
        <v>175</v>
      </c>
      <c r="G50" s="8"/>
      <c r="H50" s="69" t="s">
        <v>10</v>
      </c>
      <c r="I50" s="70">
        <f>'[1]25344'!$D$10</f>
        <v>160</v>
      </c>
      <c r="J50" s="71" t="s">
        <v>6</v>
      </c>
      <c r="K50" s="22">
        <f>G50/I50</f>
        <v>0</v>
      </c>
      <c r="L50" s="78" t="s">
        <v>7</v>
      </c>
      <c r="M50" s="56">
        <f>'[1]25344'!$M$10</f>
        <v>5</v>
      </c>
      <c r="N50" s="71" t="s">
        <v>6</v>
      </c>
      <c r="O50" s="24">
        <f>K50*M50</f>
        <v>0</v>
      </c>
      <c r="P50" s="23" t="s">
        <v>7</v>
      </c>
      <c r="Q50" s="5"/>
      <c r="R50" s="21" t="s">
        <v>6</v>
      </c>
      <c r="S50" s="25">
        <f t="shared" si="28"/>
        <v>0</v>
      </c>
      <c r="T50" s="80">
        <f t="shared" si="29"/>
        <v>0.67882500000000001</v>
      </c>
      <c r="U50" s="81">
        <f>T50*I50</f>
        <v>108.61199999999999</v>
      </c>
      <c r="V50" s="81">
        <f>AA50</f>
        <v>9.7379999999999995</v>
      </c>
      <c r="W50" s="70">
        <f>1000/M50</f>
        <v>200</v>
      </c>
      <c r="X50" s="82">
        <f>W50*I50</f>
        <v>32000</v>
      </c>
      <c r="Y50" s="97"/>
      <c r="Z50" s="98">
        <f t="shared" si="9"/>
        <v>108.61199999999999</v>
      </c>
      <c r="AA50" s="99">
        <f t="shared" si="10"/>
        <v>9.7379999999999995</v>
      </c>
      <c r="AB50" s="97"/>
      <c r="AC50" s="98"/>
      <c r="AD50" s="105">
        <v>118.35</v>
      </c>
      <c r="AE50" s="100">
        <f t="shared" si="21"/>
        <v>0.73968749999999994</v>
      </c>
      <c r="AF50" s="97"/>
      <c r="AG50" s="97"/>
      <c r="AH50" s="101"/>
      <c r="AI50" s="97"/>
      <c r="AJ50" s="99"/>
      <c r="AK50" s="97"/>
      <c r="AL50" s="97"/>
    </row>
    <row r="51" spans="1:38" ht="25.5" customHeight="1" x14ac:dyDescent="0.3">
      <c r="A51" s="59">
        <v>25401</v>
      </c>
      <c r="B51" s="60" t="s">
        <v>236</v>
      </c>
      <c r="C51" s="61">
        <f>'[1]PS Stuffed Sand'!$E$45</f>
        <v>4.0999999999999996</v>
      </c>
      <c r="D51" s="62" t="s">
        <v>346</v>
      </c>
      <c r="E51" s="61">
        <f t="shared" si="27"/>
        <v>24.599999999999998</v>
      </c>
      <c r="F51" s="58" t="s">
        <v>177</v>
      </c>
      <c r="G51" s="9"/>
      <c r="H51" s="72" t="s">
        <v>10</v>
      </c>
      <c r="I51" s="73">
        <f>'[1]PS Stuffed Sand'!$D$36</f>
        <v>96</v>
      </c>
      <c r="J51" s="74" t="s">
        <v>6</v>
      </c>
      <c r="K51" s="29">
        <f t="shared" si="23"/>
        <v>0</v>
      </c>
      <c r="L51" s="59" t="s">
        <v>7</v>
      </c>
      <c r="M51" s="56">
        <f>'[1]PS Stuffed Sand'!$N$44</f>
        <v>8.6999999999999993</v>
      </c>
      <c r="N51" s="71" t="s">
        <v>6</v>
      </c>
      <c r="O51" s="30">
        <f t="shared" si="24"/>
        <v>0</v>
      </c>
      <c r="P51" s="27" t="s">
        <v>7</v>
      </c>
      <c r="Q51" s="6"/>
      <c r="R51" s="28" t="s">
        <v>6</v>
      </c>
      <c r="S51" s="25">
        <f t="shared" si="28"/>
        <v>0</v>
      </c>
      <c r="T51" s="80">
        <f t="shared" si="29"/>
        <v>0.7009273958333333</v>
      </c>
      <c r="U51" s="81">
        <f t="shared" si="25"/>
        <v>67.289029999999997</v>
      </c>
      <c r="V51" s="81">
        <f t="shared" si="26"/>
        <v>16.730969999999999</v>
      </c>
      <c r="W51" s="70">
        <f t="shared" si="31"/>
        <v>114.94252873563219</v>
      </c>
      <c r="X51" s="82">
        <f t="shared" si="32"/>
        <v>11034.48275862069</v>
      </c>
      <c r="Z51" s="98">
        <f t="shared" si="9"/>
        <v>67.289029999999997</v>
      </c>
      <c r="AA51" s="99">
        <f t="shared" si="10"/>
        <v>16.730969999999999</v>
      </c>
      <c r="AD51" s="105">
        <v>84.02</v>
      </c>
      <c r="AE51" s="100">
        <f t="shared" si="21"/>
        <v>0.87520833333333325</v>
      </c>
    </row>
    <row r="52" spans="1:38" ht="25.5" customHeight="1" x14ac:dyDescent="0.3">
      <c r="A52" s="59">
        <v>25404</v>
      </c>
      <c r="B52" s="60" t="s">
        <v>234</v>
      </c>
      <c r="C52" s="61">
        <f>'[1]PS Stuffed Sand'!$E$47</f>
        <v>4.3</v>
      </c>
      <c r="D52" s="62" t="s">
        <v>346</v>
      </c>
      <c r="E52" s="61">
        <f t="shared" si="27"/>
        <v>25.799999999999997</v>
      </c>
      <c r="F52" s="58" t="s">
        <v>177</v>
      </c>
      <c r="G52" s="9"/>
      <c r="H52" s="72" t="s">
        <v>10</v>
      </c>
      <c r="I52" s="73">
        <f>I$51</f>
        <v>96</v>
      </c>
      <c r="J52" s="74" t="s">
        <v>6</v>
      </c>
      <c r="K52" s="29">
        <f t="shared" si="23"/>
        <v>0</v>
      </c>
      <c r="L52" s="59" t="s">
        <v>7</v>
      </c>
      <c r="M52" s="56">
        <f>'[1]PS Stuffed Sand'!$N$46</f>
        <v>7.8000000000000007</v>
      </c>
      <c r="N52" s="71" t="s">
        <v>6</v>
      </c>
      <c r="O52" s="30">
        <f t="shared" si="24"/>
        <v>0</v>
      </c>
      <c r="P52" s="27" t="s">
        <v>7</v>
      </c>
      <c r="Q52" s="6"/>
      <c r="R52" s="28" t="s">
        <v>6</v>
      </c>
      <c r="S52" s="25">
        <f t="shared" ref="S52:S60" si="33">O52*Q52</f>
        <v>0</v>
      </c>
      <c r="T52" s="80">
        <f t="shared" si="29"/>
        <v>0.75520645833333333</v>
      </c>
      <c r="U52" s="81">
        <f t="shared" si="25"/>
        <v>72.49982</v>
      </c>
      <c r="V52" s="81">
        <f t="shared" ref="V52:V60" si="34">AA52</f>
        <v>15.000180000000002</v>
      </c>
      <c r="W52" s="70">
        <f t="shared" si="31"/>
        <v>128.2051282051282</v>
      </c>
      <c r="X52" s="82">
        <f t="shared" si="32"/>
        <v>12307.692307692309</v>
      </c>
      <c r="Z52" s="98">
        <f t="shared" si="9"/>
        <v>72.49982</v>
      </c>
      <c r="AA52" s="99">
        <f t="shared" si="10"/>
        <v>15.000180000000002</v>
      </c>
      <c r="AD52" s="105">
        <v>87.5</v>
      </c>
      <c r="AE52" s="100">
        <f t="shared" si="21"/>
        <v>0.91145833333333337</v>
      </c>
    </row>
    <row r="53" spans="1:38" ht="25.5" customHeight="1" x14ac:dyDescent="0.3">
      <c r="A53" s="59">
        <v>25405</v>
      </c>
      <c r="B53" s="60" t="s">
        <v>235</v>
      </c>
      <c r="C53" s="61">
        <f>'[1]PS Stuffed Sand'!$E$49</f>
        <v>4</v>
      </c>
      <c r="D53" s="62" t="s">
        <v>192</v>
      </c>
      <c r="E53" s="61">
        <f t="shared" si="27"/>
        <v>24</v>
      </c>
      <c r="F53" s="58" t="s">
        <v>177</v>
      </c>
      <c r="G53" s="9"/>
      <c r="H53" s="72" t="s">
        <v>10</v>
      </c>
      <c r="I53" s="73">
        <f t="shared" ref="I53:I60" si="35">I$51</f>
        <v>96</v>
      </c>
      <c r="J53" s="74" t="s">
        <v>6</v>
      </c>
      <c r="K53" s="29">
        <f t="shared" si="23"/>
        <v>0</v>
      </c>
      <c r="L53" s="59" t="s">
        <v>7</v>
      </c>
      <c r="M53" s="56">
        <f>'[1]PS Stuffed Sand'!$N$48</f>
        <v>7.5</v>
      </c>
      <c r="N53" s="71" t="s">
        <v>6</v>
      </c>
      <c r="O53" s="30">
        <f t="shared" si="24"/>
        <v>0</v>
      </c>
      <c r="P53" s="27" t="s">
        <v>7</v>
      </c>
      <c r="Q53" s="6"/>
      <c r="R53" s="28" t="s">
        <v>6</v>
      </c>
      <c r="S53" s="25">
        <f t="shared" si="33"/>
        <v>0</v>
      </c>
      <c r="T53" s="80">
        <f t="shared" si="29"/>
        <v>0.79413281250000001</v>
      </c>
      <c r="U53" s="81">
        <f t="shared" si="25"/>
        <v>76.236750000000001</v>
      </c>
      <c r="V53" s="81">
        <f t="shared" si="34"/>
        <v>14.423249999999999</v>
      </c>
      <c r="W53" s="70">
        <f t="shared" si="31"/>
        <v>133.33333333333334</v>
      </c>
      <c r="X53" s="82">
        <f t="shared" si="32"/>
        <v>12800</v>
      </c>
      <c r="Z53" s="98">
        <f t="shared" si="9"/>
        <v>76.236750000000001</v>
      </c>
      <c r="AA53" s="99">
        <f t="shared" si="10"/>
        <v>14.423249999999999</v>
      </c>
      <c r="AD53" s="105">
        <v>90.66</v>
      </c>
      <c r="AE53" s="100">
        <f t="shared" si="21"/>
        <v>0.94437499999999996</v>
      </c>
    </row>
    <row r="54" spans="1:38" ht="25.5" hidden="1" customHeight="1" x14ac:dyDescent="0.3">
      <c r="A54" s="59">
        <v>25406</v>
      </c>
      <c r="B54" s="60" t="s">
        <v>250</v>
      </c>
      <c r="C54" s="56">
        <v>4.5</v>
      </c>
      <c r="D54" s="62" t="s">
        <v>192</v>
      </c>
      <c r="E54" s="61">
        <f t="shared" si="27"/>
        <v>27</v>
      </c>
      <c r="F54" s="58" t="s">
        <v>177</v>
      </c>
      <c r="G54" s="9"/>
      <c r="H54" s="72" t="s">
        <v>10</v>
      </c>
      <c r="I54" s="73">
        <f t="shared" si="35"/>
        <v>96</v>
      </c>
      <c r="J54" s="74" t="s">
        <v>6</v>
      </c>
      <c r="K54" s="29">
        <f>G54/I54</f>
        <v>0</v>
      </c>
      <c r="L54" s="59" t="s">
        <v>7</v>
      </c>
      <c r="M54" s="56">
        <f>'[1]PS Stuffed Sand'!$N$50</f>
        <v>8.1000000000000014</v>
      </c>
      <c r="N54" s="71" t="s">
        <v>6</v>
      </c>
      <c r="O54" s="30">
        <f>K54*M54</f>
        <v>0</v>
      </c>
      <c r="P54" s="27" t="s">
        <v>7</v>
      </c>
      <c r="Q54" s="6"/>
      <c r="R54" s="28" t="s">
        <v>6</v>
      </c>
      <c r="S54" s="25">
        <f t="shared" si="33"/>
        <v>0</v>
      </c>
      <c r="T54" s="80">
        <f t="shared" si="29"/>
        <v>0.81461343749999993</v>
      </c>
      <c r="U54" s="81">
        <f>T54*I54</f>
        <v>78.202889999999996</v>
      </c>
      <c r="V54" s="81">
        <f t="shared" si="34"/>
        <v>15.577110000000003</v>
      </c>
      <c r="W54" s="70">
        <f t="shared" ref="W54:W60" si="36">1000/M54</f>
        <v>123.45679012345677</v>
      </c>
      <c r="X54" s="82">
        <f t="shared" ref="X54:X60" si="37">W54*I54</f>
        <v>11851.85185185185</v>
      </c>
      <c r="Z54" s="98">
        <f t="shared" si="9"/>
        <v>78.202889999999996</v>
      </c>
      <c r="AA54" s="99">
        <f t="shared" si="10"/>
        <v>15.577110000000003</v>
      </c>
      <c r="AD54" s="100">
        <v>93.78</v>
      </c>
      <c r="AE54" s="100">
        <f t="shared" si="21"/>
        <v>0.97687500000000005</v>
      </c>
    </row>
    <row r="55" spans="1:38" ht="25.5" customHeight="1" x14ac:dyDescent="0.3">
      <c r="A55" s="59">
        <v>25407</v>
      </c>
      <c r="B55" s="60" t="s">
        <v>251</v>
      </c>
      <c r="C55" s="61">
        <f>'[1]PS Stuffed Sand'!$E$53</f>
        <v>4.5599999999999996</v>
      </c>
      <c r="D55" s="62" t="s">
        <v>346</v>
      </c>
      <c r="E55" s="61">
        <f t="shared" si="27"/>
        <v>27.36</v>
      </c>
      <c r="F55" s="58" t="s">
        <v>177</v>
      </c>
      <c r="G55" s="9"/>
      <c r="H55" s="72" t="s">
        <v>10</v>
      </c>
      <c r="I55" s="73">
        <f t="shared" si="35"/>
        <v>96</v>
      </c>
      <c r="J55" s="74" t="s">
        <v>6</v>
      </c>
      <c r="K55" s="29">
        <f>G55/I55</f>
        <v>0</v>
      </c>
      <c r="L55" s="59" t="s">
        <v>7</v>
      </c>
      <c r="M55" s="56">
        <f>'[1]PS Stuffed Sand'!$N$52</f>
        <v>8.7000000000000011</v>
      </c>
      <c r="N55" s="71" t="s">
        <v>6</v>
      </c>
      <c r="O55" s="30">
        <f>K55*M55</f>
        <v>0</v>
      </c>
      <c r="P55" s="27" t="s">
        <v>7</v>
      </c>
      <c r="Q55" s="6"/>
      <c r="R55" s="28" t="s">
        <v>6</v>
      </c>
      <c r="S55" s="25">
        <f t="shared" si="33"/>
        <v>0</v>
      </c>
      <c r="T55" s="80">
        <f t="shared" si="29"/>
        <v>0.75446906250000001</v>
      </c>
      <c r="U55" s="81">
        <f>T55*I55</f>
        <v>72.429029999999997</v>
      </c>
      <c r="V55" s="81">
        <f t="shared" si="34"/>
        <v>16.730970000000003</v>
      </c>
      <c r="W55" s="70">
        <f t="shared" si="36"/>
        <v>114.94252873563217</v>
      </c>
      <c r="X55" s="82">
        <f t="shared" si="37"/>
        <v>11034.482758620688</v>
      </c>
      <c r="Z55" s="98">
        <f t="shared" si="9"/>
        <v>72.429029999999997</v>
      </c>
      <c r="AA55" s="99">
        <f t="shared" si="10"/>
        <v>16.730970000000003</v>
      </c>
      <c r="AD55" s="105">
        <v>89.16</v>
      </c>
      <c r="AE55" s="100">
        <f t="shared" si="21"/>
        <v>0.92874999999999996</v>
      </c>
    </row>
    <row r="56" spans="1:38" ht="25.5" customHeight="1" x14ac:dyDescent="0.3">
      <c r="A56" s="59">
        <v>25411</v>
      </c>
      <c r="B56" s="60" t="s">
        <v>237</v>
      </c>
      <c r="C56" s="61">
        <f>C51</f>
        <v>4.0999999999999996</v>
      </c>
      <c r="D56" s="62" t="s">
        <v>346</v>
      </c>
      <c r="E56" s="61">
        <f t="shared" si="27"/>
        <v>24.599999999999998</v>
      </c>
      <c r="F56" s="58" t="s">
        <v>177</v>
      </c>
      <c r="G56" s="9"/>
      <c r="H56" s="72" t="s">
        <v>10</v>
      </c>
      <c r="I56" s="73">
        <f t="shared" si="35"/>
        <v>96</v>
      </c>
      <c r="J56" s="74" t="s">
        <v>6</v>
      </c>
      <c r="K56" s="29">
        <f t="shared" si="23"/>
        <v>0</v>
      </c>
      <c r="L56" s="59" t="s">
        <v>7</v>
      </c>
      <c r="M56" s="56">
        <f>'[1]PS Stuffed Sand'!$N$54</f>
        <v>8.6999999999999993</v>
      </c>
      <c r="N56" s="71" t="s">
        <v>6</v>
      </c>
      <c r="O56" s="30">
        <f t="shared" si="24"/>
        <v>0</v>
      </c>
      <c r="P56" s="27" t="s">
        <v>7</v>
      </c>
      <c r="Q56" s="6"/>
      <c r="R56" s="28" t="s">
        <v>6</v>
      </c>
      <c r="S56" s="25">
        <f t="shared" si="33"/>
        <v>0</v>
      </c>
      <c r="T56" s="80">
        <f t="shared" si="29"/>
        <v>0.66676072916666662</v>
      </c>
      <c r="U56" s="81">
        <f t="shared" si="25"/>
        <v>64.009029999999996</v>
      </c>
      <c r="V56" s="81">
        <f t="shared" si="34"/>
        <v>16.730969999999999</v>
      </c>
      <c r="W56" s="70">
        <f t="shared" si="36"/>
        <v>114.94252873563219</v>
      </c>
      <c r="X56" s="82">
        <f t="shared" si="37"/>
        <v>11034.48275862069</v>
      </c>
      <c r="Z56" s="98">
        <f t="shared" si="9"/>
        <v>64.009029999999996</v>
      </c>
      <c r="AA56" s="99">
        <f t="shared" si="10"/>
        <v>16.730969999999999</v>
      </c>
      <c r="AD56" s="105">
        <v>80.739999999999995</v>
      </c>
      <c r="AE56" s="100">
        <f t="shared" si="21"/>
        <v>0.84104166666666658</v>
      </c>
    </row>
    <row r="57" spans="1:38" ht="25.5" customHeight="1" x14ac:dyDescent="0.3">
      <c r="A57" s="59">
        <v>25414</v>
      </c>
      <c r="B57" s="60" t="s">
        <v>238</v>
      </c>
      <c r="C57" s="61">
        <f>C52</f>
        <v>4.3</v>
      </c>
      <c r="D57" s="62" t="s">
        <v>346</v>
      </c>
      <c r="E57" s="61">
        <f t="shared" si="27"/>
        <v>25.799999999999997</v>
      </c>
      <c r="F57" s="58" t="s">
        <v>177</v>
      </c>
      <c r="G57" s="9"/>
      <c r="H57" s="72" t="s">
        <v>10</v>
      </c>
      <c r="I57" s="73">
        <f t="shared" si="35"/>
        <v>96</v>
      </c>
      <c r="J57" s="74" t="s">
        <v>6</v>
      </c>
      <c r="K57" s="29">
        <f t="shared" si="23"/>
        <v>0</v>
      </c>
      <c r="L57" s="59" t="s">
        <v>7</v>
      </c>
      <c r="M57" s="56">
        <f>'[1]PS Stuffed Sand'!$N$56</f>
        <v>7.8000000000000007</v>
      </c>
      <c r="N57" s="71" t="s">
        <v>6</v>
      </c>
      <c r="O57" s="30">
        <f t="shared" si="24"/>
        <v>0</v>
      </c>
      <c r="P57" s="27" t="s">
        <v>7</v>
      </c>
      <c r="Q57" s="6"/>
      <c r="R57" s="28" t="s">
        <v>6</v>
      </c>
      <c r="S57" s="25">
        <f t="shared" si="33"/>
        <v>0</v>
      </c>
      <c r="T57" s="80">
        <f t="shared" si="29"/>
        <v>0.80208145833333333</v>
      </c>
      <c r="U57" s="81">
        <f t="shared" si="25"/>
        <v>76.99982</v>
      </c>
      <c r="V57" s="81">
        <f t="shared" si="34"/>
        <v>15.000180000000002</v>
      </c>
      <c r="W57" s="70">
        <f t="shared" si="36"/>
        <v>128.2051282051282</v>
      </c>
      <c r="X57" s="82">
        <f t="shared" si="37"/>
        <v>12307.692307692309</v>
      </c>
      <c r="Z57" s="98">
        <f t="shared" si="9"/>
        <v>76.99982</v>
      </c>
      <c r="AA57" s="99">
        <f t="shared" si="10"/>
        <v>15.000180000000002</v>
      </c>
      <c r="AD57" s="105">
        <v>92</v>
      </c>
      <c r="AE57" s="100">
        <f t="shared" si="21"/>
        <v>0.95833333333333337</v>
      </c>
    </row>
    <row r="58" spans="1:38" ht="25.5" customHeight="1" x14ac:dyDescent="0.3">
      <c r="A58" s="59">
        <v>25415</v>
      </c>
      <c r="B58" s="60" t="s">
        <v>239</v>
      </c>
      <c r="C58" s="61">
        <f>C53</f>
        <v>4</v>
      </c>
      <c r="D58" s="62" t="s">
        <v>192</v>
      </c>
      <c r="E58" s="61">
        <f t="shared" si="27"/>
        <v>24</v>
      </c>
      <c r="F58" s="58" t="s">
        <v>177</v>
      </c>
      <c r="G58" s="9"/>
      <c r="H58" s="72" t="s">
        <v>10</v>
      </c>
      <c r="I58" s="73">
        <f t="shared" si="35"/>
        <v>96</v>
      </c>
      <c r="J58" s="74" t="s">
        <v>6</v>
      </c>
      <c r="K58" s="29">
        <f t="shared" si="23"/>
        <v>0</v>
      </c>
      <c r="L58" s="59" t="s">
        <v>7</v>
      </c>
      <c r="M58" s="56">
        <f>'[1]PS Stuffed Sand'!$N$58</f>
        <v>7.5</v>
      </c>
      <c r="N58" s="71" t="s">
        <v>6</v>
      </c>
      <c r="O58" s="30">
        <f t="shared" si="24"/>
        <v>0</v>
      </c>
      <c r="P58" s="27" t="s">
        <v>7</v>
      </c>
      <c r="Q58" s="6"/>
      <c r="R58" s="28" t="s">
        <v>6</v>
      </c>
      <c r="S58" s="25">
        <f t="shared" si="33"/>
        <v>0</v>
      </c>
      <c r="T58" s="80">
        <f t="shared" si="29"/>
        <v>0.84059114583333339</v>
      </c>
      <c r="U58" s="81">
        <f t="shared" si="25"/>
        <v>80.696750000000009</v>
      </c>
      <c r="V58" s="81">
        <f t="shared" si="34"/>
        <v>14.423249999999999</v>
      </c>
      <c r="W58" s="70">
        <f t="shared" si="36"/>
        <v>133.33333333333334</v>
      </c>
      <c r="X58" s="82">
        <f t="shared" si="37"/>
        <v>12800</v>
      </c>
      <c r="Z58" s="98">
        <f t="shared" si="9"/>
        <v>80.696750000000009</v>
      </c>
      <c r="AA58" s="99">
        <f t="shared" si="10"/>
        <v>14.423249999999999</v>
      </c>
      <c r="AD58" s="105">
        <v>95.12</v>
      </c>
      <c r="AE58" s="100">
        <f t="shared" si="21"/>
        <v>0.99083333333333334</v>
      </c>
    </row>
    <row r="59" spans="1:38" ht="25.5" hidden="1" customHeight="1" x14ac:dyDescent="0.3">
      <c r="A59" s="59">
        <v>25416</v>
      </c>
      <c r="B59" s="60" t="s">
        <v>248</v>
      </c>
      <c r="C59" s="61">
        <v>4.5</v>
      </c>
      <c r="D59" s="62" t="s">
        <v>192</v>
      </c>
      <c r="E59" s="61">
        <f t="shared" si="27"/>
        <v>27</v>
      </c>
      <c r="F59" s="58" t="s">
        <v>177</v>
      </c>
      <c r="G59" s="9"/>
      <c r="H59" s="72" t="s">
        <v>10</v>
      </c>
      <c r="I59" s="73">
        <f t="shared" si="35"/>
        <v>96</v>
      </c>
      <c r="J59" s="74" t="s">
        <v>6</v>
      </c>
      <c r="K59" s="29">
        <f>G59/I59</f>
        <v>0</v>
      </c>
      <c r="L59" s="59" t="s">
        <v>7</v>
      </c>
      <c r="M59" s="56">
        <f>'[1]PS Stuffed Sand'!$N$60</f>
        <v>8.1000000000000014</v>
      </c>
      <c r="N59" s="71" t="s">
        <v>6</v>
      </c>
      <c r="O59" s="30">
        <f>K59*M59</f>
        <v>0</v>
      </c>
      <c r="P59" s="27" t="s">
        <v>7</v>
      </c>
      <c r="Q59" s="6"/>
      <c r="R59" s="28" t="s">
        <v>6</v>
      </c>
      <c r="S59" s="25">
        <f t="shared" si="33"/>
        <v>0</v>
      </c>
      <c r="T59" s="80">
        <f t="shared" si="29"/>
        <v>0.86138427083333324</v>
      </c>
      <c r="U59" s="81">
        <f>T59*I59</f>
        <v>82.692889999999991</v>
      </c>
      <c r="V59" s="81">
        <f t="shared" si="34"/>
        <v>15.577110000000003</v>
      </c>
      <c r="W59" s="70">
        <f t="shared" si="36"/>
        <v>123.45679012345677</v>
      </c>
      <c r="X59" s="82">
        <f t="shared" si="37"/>
        <v>11851.85185185185</v>
      </c>
      <c r="Z59" s="98">
        <f t="shared" si="9"/>
        <v>82.692889999999991</v>
      </c>
      <c r="AA59" s="99">
        <f t="shared" si="10"/>
        <v>15.577110000000003</v>
      </c>
      <c r="AD59" s="100">
        <v>98.27</v>
      </c>
      <c r="AE59" s="100">
        <f t="shared" si="21"/>
        <v>1.0236458333333334</v>
      </c>
    </row>
    <row r="60" spans="1:38" ht="25.5" customHeight="1" x14ac:dyDescent="0.3">
      <c r="A60" s="59">
        <v>25417</v>
      </c>
      <c r="B60" s="60" t="s">
        <v>249</v>
      </c>
      <c r="C60" s="61">
        <f>C55</f>
        <v>4.5599999999999996</v>
      </c>
      <c r="D60" s="62" t="s">
        <v>346</v>
      </c>
      <c r="E60" s="61">
        <f t="shared" si="27"/>
        <v>27.36</v>
      </c>
      <c r="F60" s="58" t="s">
        <v>177</v>
      </c>
      <c r="G60" s="9"/>
      <c r="H60" s="72" t="s">
        <v>10</v>
      </c>
      <c r="I60" s="73">
        <f t="shared" si="35"/>
        <v>96</v>
      </c>
      <c r="J60" s="74" t="s">
        <v>6</v>
      </c>
      <c r="K60" s="29">
        <f>G60/I60</f>
        <v>0</v>
      </c>
      <c r="L60" s="59" t="s">
        <v>7</v>
      </c>
      <c r="M60" s="56">
        <f>'[1]PS Stuffed Sand'!$N$62</f>
        <v>8.7000000000000011</v>
      </c>
      <c r="N60" s="71" t="s">
        <v>6</v>
      </c>
      <c r="O60" s="30">
        <f>K60*M60</f>
        <v>0</v>
      </c>
      <c r="P60" s="27" t="s">
        <v>7</v>
      </c>
      <c r="Q60" s="6"/>
      <c r="R60" s="28" t="s">
        <v>6</v>
      </c>
      <c r="S60" s="25">
        <f t="shared" si="33"/>
        <v>0</v>
      </c>
      <c r="T60" s="80">
        <f>Z60/I60</f>
        <v>0.80280239583333335</v>
      </c>
      <c r="U60" s="81">
        <f>T60*I60</f>
        <v>77.069029999999998</v>
      </c>
      <c r="V60" s="81">
        <f t="shared" si="34"/>
        <v>16.730970000000003</v>
      </c>
      <c r="W60" s="70">
        <f t="shared" si="36"/>
        <v>114.94252873563217</v>
      </c>
      <c r="X60" s="82">
        <f t="shared" si="37"/>
        <v>11034.482758620688</v>
      </c>
      <c r="Z60" s="98">
        <f t="shared" si="9"/>
        <v>77.069029999999998</v>
      </c>
      <c r="AA60" s="99">
        <f t="shared" si="10"/>
        <v>16.730970000000003</v>
      </c>
      <c r="AD60" s="105">
        <v>93.8</v>
      </c>
      <c r="AE60" s="100">
        <f>AD60/I60</f>
        <v>0.9770833333333333</v>
      </c>
    </row>
    <row r="61" spans="1:38" s="26" customFormat="1" ht="25.5" hidden="1" customHeight="1" x14ac:dyDescent="0.25">
      <c r="A61" s="54" t="s">
        <v>49</v>
      </c>
      <c r="B61" s="55" t="s">
        <v>50</v>
      </c>
      <c r="C61" s="56" t="e">
        <f>#REF!</f>
        <v>#REF!</v>
      </c>
      <c r="D61" s="57" t="s">
        <v>200</v>
      </c>
      <c r="E61" s="56" t="e">
        <f t="shared" si="27"/>
        <v>#REF!</v>
      </c>
      <c r="F61" s="56" t="s">
        <v>175</v>
      </c>
      <c r="G61" s="8"/>
      <c r="H61" s="69" t="s">
        <v>10</v>
      </c>
      <c r="I61" s="70" t="e">
        <f>#REF!</f>
        <v>#REF!</v>
      </c>
      <c r="J61" s="71" t="s">
        <v>6</v>
      </c>
      <c r="K61" s="24" t="e">
        <f t="shared" ref="K61:K82" si="38">G61/I61</f>
        <v>#REF!</v>
      </c>
      <c r="L61" s="78" t="s">
        <v>7</v>
      </c>
      <c r="M61" s="56" t="e">
        <f>#REF!</f>
        <v>#REF!</v>
      </c>
      <c r="N61" s="71" t="s">
        <v>6</v>
      </c>
      <c r="O61" s="24" t="e">
        <f>K61*M61</f>
        <v>#REF!</v>
      </c>
      <c r="P61" s="23" t="s">
        <v>7</v>
      </c>
      <c r="Q61" s="5"/>
      <c r="R61" s="21" t="s">
        <v>6</v>
      </c>
      <c r="S61" s="25" t="e">
        <f t="shared" ref="S61:S83" si="39">O61*Q61</f>
        <v>#REF!</v>
      </c>
      <c r="T61" s="80" t="e">
        <f t="shared" ca="1" si="29"/>
        <v>#REF!</v>
      </c>
      <c r="U61" s="81" t="e">
        <f t="shared" ref="U61:U82" ca="1" si="40">T61*I61</f>
        <v>#REF!</v>
      </c>
      <c r="V61" s="81" t="e">
        <f t="shared" si="26"/>
        <v>#REF!</v>
      </c>
      <c r="W61" s="70" t="e">
        <f t="shared" si="31"/>
        <v>#REF!</v>
      </c>
      <c r="X61" s="82" t="e">
        <f t="shared" si="32"/>
        <v>#REF!</v>
      </c>
      <c r="Y61" s="97"/>
      <c r="Z61" s="98">
        <f t="shared" ca="1" si="9"/>
        <v>44.534596518987343</v>
      </c>
      <c r="AA61" s="99" t="e">
        <f t="shared" si="10"/>
        <v>#REF!</v>
      </c>
      <c r="AB61" s="97"/>
      <c r="AC61" s="98"/>
      <c r="AD61" s="100" t="e">
        <f t="shared" ca="1" si="30"/>
        <v>#REF!</v>
      </c>
      <c r="AE61" s="100" t="e">
        <f t="shared" ca="1" si="21"/>
        <v>#REF!</v>
      </c>
      <c r="AF61" s="97"/>
      <c r="AG61" s="97"/>
      <c r="AH61" s="97"/>
      <c r="AI61" s="97"/>
      <c r="AJ61" s="97"/>
      <c r="AK61" s="97"/>
      <c r="AL61" s="97"/>
    </row>
    <row r="62" spans="1:38" s="26" customFormat="1" ht="25.5" hidden="1" customHeight="1" x14ac:dyDescent="0.25">
      <c r="A62" s="54" t="s">
        <v>53</v>
      </c>
      <c r="B62" s="55" t="s">
        <v>54</v>
      </c>
      <c r="C62" s="56" t="e">
        <f>#REF!</f>
        <v>#REF!</v>
      </c>
      <c r="D62" s="57" t="s">
        <v>200</v>
      </c>
      <c r="E62" s="56" t="e">
        <f t="shared" si="27"/>
        <v>#REF!</v>
      </c>
      <c r="F62" s="56" t="s">
        <v>175</v>
      </c>
      <c r="G62" s="8"/>
      <c r="H62" s="69" t="s">
        <v>10</v>
      </c>
      <c r="I62" s="70" t="e">
        <f>#REF!</f>
        <v>#REF!</v>
      </c>
      <c r="J62" s="71" t="s">
        <v>6</v>
      </c>
      <c r="K62" s="24" t="e">
        <f t="shared" si="38"/>
        <v>#REF!</v>
      </c>
      <c r="L62" s="78" t="s">
        <v>7</v>
      </c>
      <c r="M62" s="56" t="e">
        <f>#REF!</f>
        <v>#REF!</v>
      </c>
      <c r="N62" s="71" t="s">
        <v>6</v>
      </c>
      <c r="O62" s="24" t="e">
        <f>K62*M62</f>
        <v>#REF!</v>
      </c>
      <c r="P62" s="23" t="s">
        <v>7</v>
      </c>
      <c r="Q62" s="5"/>
      <c r="R62" s="21" t="s">
        <v>6</v>
      </c>
      <c r="S62" s="25" t="e">
        <f t="shared" si="39"/>
        <v>#REF!</v>
      </c>
      <c r="T62" s="80" t="e">
        <f t="shared" ca="1" si="29"/>
        <v>#REF!</v>
      </c>
      <c r="U62" s="81" t="e">
        <f t="shared" ca="1" si="40"/>
        <v>#REF!</v>
      </c>
      <c r="V62" s="81" t="e">
        <f t="shared" si="26"/>
        <v>#REF!</v>
      </c>
      <c r="W62" s="70" t="e">
        <f t="shared" ref="W62:W71" si="41">1000/M62</f>
        <v>#REF!</v>
      </c>
      <c r="X62" s="82" t="e">
        <f t="shared" ref="X62:X71" si="42">W62*I62</f>
        <v>#REF!</v>
      </c>
      <c r="Y62" s="97"/>
      <c r="Z62" s="98">
        <f t="shared" ca="1" si="9"/>
        <v>44.534596518987343</v>
      </c>
      <c r="AA62" s="99" t="e">
        <f t="shared" si="10"/>
        <v>#REF!</v>
      </c>
      <c r="AB62" s="97"/>
      <c r="AC62" s="98"/>
      <c r="AD62" s="100" t="e">
        <f t="shared" ca="1" si="30"/>
        <v>#REF!</v>
      </c>
      <c r="AE62" s="100" t="e">
        <f t="shared" ca="1" si="21"/>
        <v>#REF!</v>
      </c>
      <c r="AF62" s="97"/>
      <c r="AG62" s="97"/>
      <c r="AH62" s="97"/>
      <c r="AI62" s="97"/>
      <c r="AJ62" s="97"/>
      <c r="AK62" s="97"/>
      <c r="AL62" s="97"/>
    </row>
    <row r="63" spans="1:38" s="26" customFormat="1" ht="25.5" hidden="1" customHeight="1" x14ac:dyDescent="0.25">
      <c r="A63" s="54" t="s">
        <v>225</v>
      </c>
      <c r="B63" s="55" t="s">
        <v>256</v>
      </c>
      <c r="C63" s="56">
        <v>3.91</v>
      </c>
      <c r="D63" s="57" t="s">
        <v>226</v>
      </c>
      <c r="E63" s="56" t="e">
        <f t="shared" si="27"/>
        <v>#REF!</v>
      </c>
      <c r="F63" s="56" t="str">
        <f>F62</f>
        <v>110242</v>
      </c>
      <c r="G63" s="8"/>
      <c r="H63" s="69" t="s">
        <v>10</v>
      </c>
      <c r="I63" s="70" t="e">
        <f>I62</f>
        <v>#REF!</v>
      </c>
      <c r="J63" s="71" t="s">
        <v>6</v>
      </c>
      <c r="K63" s="24" t="e">
        <f t="shared" si="38"/>
        <v>#REF!</v>
      </c>
      <c r="L63" s="78" t="s">
        <v>7</v>
      </c>
      <c r="M63" s="56" t="e">
        <f>M62</f>
        <v>#REF!</v>
      </c>
      <c r="N63" s="71" t="s">
        <v>6</v>
      </c>
      <c r="O63" s="24" t="e">
        <f t="shared" ref="O63:O78" si="43">K63*M63</f>
        <v>#REF!</v>
      </c>
      <c r="P63" s="23" t="s">
        <v>7</v>
      </c>
      <c r="Q63" s="5"/>
      <c r="R63" s="21" t="s">
        <v>6</v>
      </c>
      <c r="S63" s="25" t="e">
        <f t="shared" si="39"/>
        <v>#REF!</v>
      </c>
      <c r="T63" s="80" t="e">
        <f t="shared" ca="1" si="29"/>
        <v>#REF!</v>
      </c>
      <c r="U63" s="81" t="e">
        <f t="shared" ca="1" si="40"/>
        <v>#REF!</v>
      </c>
      <c r="V63" s="81" t="e">
        <f>AA63</f>
        <v>#REF!</v>
      </c>
      <c r="W63" s="70" t="e">
        <f t="shared" si="41"/>
        <v>#REF!</v>
      </c>
      <c r="X63" s="82" t="e">
        <f t="shared" si="42"/>
        <v>#REF!</v>
      </c>
      <c r="Y63" s="97"/>
      <c r="Z63" s="98">
        <f t="shared" ca="1" si="9"/>
        <v>44.534596518987343</v>
      </c>
      <c r="AA63" s="99" t="e">
        <f t="shared" si="10"/>
        <v>#REF!</v>
      </c>
      <c r="AB63" s="97"/>
      <c r="AC63" s="98"/>
      <c r="AD63" s="100" t="e">
        <f t="shared" ca="1" si="30"/>
        <v>#REF!</v>
      </c>
      <c r="AE63" s="100" t="e">
        <f t="shared" ca="1" si="21"/>
        <v>#REF!</v>
      </c>
      <c r="AF63" s="97"/>
      <c r="AG63" s="97"/>
      <c r="AH63" s="97"/>
      <c r="AI63" s="97"/>
      <c r="AJ63" s="97"/>
      <c r="AK63" s="97"/>
      <c r="AL63" s="97"/>
    </row>
    <row r="64" spans="1:38" ht="25.5" hidden="1" customHeight="1" x14ac:dyDescent="0.3">
      <c r="A64" s="64" t="s">
        <v>98</v>
      </c>
      <c r="B64" s="60" t="s">
        <v>257</v>
      </c>
      <c r="C64" s="61">
        <v>6</v>
      </c>
      <c r="D64" s="57" t="s">
        <v>208</v>
      </c>
      <c r="E64" s="56">
        <f t="shared" si="27"/>
        <v>22.5</v>
      </c>
      <c r="F64" s="58" t="s">
        <v>177</v>
      </c>
      <c r="G64" s="9"/>
      <c r="H64" s="72" t="s">
        <v>10</v>
      </c>
      <c r="I64" s="73">
        <v>60</v>
      </c>
      <c r="J64" s="74" t="s">
        <v>6</v>
      </c>
      <c r="K64" s="29">
        <f t="shared" si="38"/>
        <v>0</v>
      </c>
      <c r="L64" s="59" t="s">
        <v>7</v>
      </c>
      <c r="M64" s="56">
        <f>I64/16</f>
        <v>3.75</v>
      </c>
      <c r="N64" s="71" t="s">
        <v>6</v>
      </c>
      <c r="O64" s="30">
        <f t="shared" si="43"/>
        <v>0</v>
      </c>
      <c r="P64" s="27" t="s">
        <v>7</v>
      </c>
      <c r="Q64" s="6"/>
      <c r="R64" s="28" t="s">
        <v>6</v>
      </c>
      <c r="S64" s="25">
        <f t="shared" si="39"/>
        <v>0</v>
      </c>
      <c r="T64" s="80">
        <f t="shared" ca="1" si="29"/>
        <v>-0.11480625</v>
      </c>
      <c r="U64" s="81">
        <f t="shared" ca="1" si="40"/>
        <v>-6.8883749999999999</v>
      </c>
      <c r="V64" s="81">
        <f t="shared" si="26"/>
        <v>7.2116249999999997</v>
      </c>
      <c r="W64" s="70">
        <f t="shared" si="41"/>
        <v>266.66666666666669</v>
      </c>
      <c r="X64" s="82">
        <f t="shared" si="42"/>
        <v>16000.000000000002</v>
      </c>
      <c r="Z64" s="98">
        <f t="shared" ca="1" si="9"/>
        <v>44.534596518987343</v>
      </c>
      <c r="AA64" s="99">
        <f t="shared" si="10"/>
        <v>7.2116249999999997</v>
      </c>
      <c r="AD64" s="100">
        <f t="shared" ca="1" si="30"/>
        <v>0</v>
      </c>
      <c r="AE64" s="100">
        <f t="shared" ca="1" si="21"/>
        <v>0</v>
      </c>
    </row>
    <row r="65" spans="1:38" ht="25.5" customHeight="1" x14ac:dyDescent="0.3">
      <c r="A65" s="54">
        <v>25508</v>
      </c>
      <c r="B65" s="55" t="s">
        <v>333</v>
      </c>
      <c r="C65" s="56">
        <v>4.84</v>
      </c>
      <c r="D65" s="62" t="s">
        <v>192</v>
      </c>
      <c r="E65" s="61">
        <f t="shared" si="27"/>
        <v>21.175000000000001</v>
      </c>
      <c r="F65" s="104" t="s">
        <v>177</v>
      </c>
      <c r="G65" s="8"/>
      <c r="H65" s="72" t="s">
        <v>10</v>
      </c>
      <c r="I65" s="70">
        <v>70</v>
      </c>
      <c r="J65" s="74"/>
      <c r="K65" s="29">
        <f t="shared" si="38"/>
        <v>0</v>
      </c>
      <c r="L65" s="59" t="s">
        <v>7</v>
      </c>
      <c r="M65" s="56">
        <v>6.38</v>
      </c>
      <c r="N65" s="71" t="s">
        <v>6</v>
      </c>
      <c r="O65" s="30">
        <f t="shared" si="43"/>
        <v>0</v>
      </c>
      <c r="P65" s="27" t="s">
        <v>7</v>
      </c>
      <c r="Q65" s="5"/>
      <c r="R65" s="28" t="s">
        <v>6</v>
      </c>
      <c r="S65" s="25">
        <f t="shared" si="39"/>
        <v>0</v>
      </c>
      <c r="T65" s="80">
        <f t="shared" si="29"/>
        <v>0.87572317142857126</v>
      </c>
      <c r="U65" s="81">
        <f t="shared" si="40"/>
        <v>61.30062199999999</v>
      </c>
      <c r="V65" s="81">
        <f t="shared" si="26"/>
        <v>12.269378</v>
      </c>
      <c r="W65" s="70">
        <f t="shared" si="41"/>
        <v>156.73981191222572</v>
      </c>
      <c r="X65" s="82">
        <f t="shared" si="42"/>
        <v>10971.7868338558</v>
      </c>
      <c r="Z65" s="98">
        <f t="shared" si="9"/>
        <v>61.30062199999999</v>
      </c>
      <c r="AA65" s="99">
        <f t="shared" si="10"/>
        <v>12.269378</v>
      </c>
      <c r="AD65" s="105">
        <v>73.569999999999993</v>
      </c>
      <c r="AE65" s="100">
        <f t="shared" si="21"/>
        <v>1.0509999999999999</v>
      </c>
    </row>
    <row r="66" spans="1:38" ht="25.5" customHeight="1" x14ac:dyDescent="0.3">
      <c r="A66" s="54">
        <v>25509</v>
      </c>
      <c r="B66" s="55" t="s">
        <v>329</v>
      </c>
      <c r="C66" s="56">
        <v>4.5</v>
      </c>
      <c r="D66" s="62" t="s">
        <v>192</v>
      </c>
      <c r="E66" s="61">
        <v>19.670000000000002</v>
      </c>
      <c r="F66" s="58" t="s">
        <v>177</v>
      </c>
      <c r="G66" s="8"/>
      <c r="H66" s="72" t="s">
        <v>10</v>
      </c>
      <c r="I66" s="70">
        <v>70</v>
      </c>
      <c r="J66" s="74"/>
      <c r="K66" s="29">
        <f t="shared" si="38"/>
        <v>0</v>
      </c>
      <c r="L66" s="59" t="s">
        <v>7</v>
      </c>
      <c r="M66" s="56">
        <v>6.78</v>
      </c>
      <c r="N66" s="71" t="s">
        <v>6</v>
      </c>
      <c r="O66" s="30">
        <f t="shared" si="43"/>
        <v>0</v>
      </c>
      <c r="P66" s="27" t="s">
        <v>7</v>
      </c>
      <c r="Q66" s="5"/>
      <c r="R66" s="28" t="s">
        <v>6</v>
      </c>
      <c r="S66" s="25">
        <f t="shared" si="39"/>
        <v>0</v>
      </c>
      <c r="T66" s="80">
        <f t="shared" si="29"/>
        <v>0.87573402857142868</v>
      </c>
      <c r="U66" s="81">
        <f t="shared" si="40"/>
        <v>61.301382000000011</v>
      </c>
      <c r="V66" s="81">
        <f t="shared" si="26"/>
        <v>13.038618000000001</v>
      </c>
      <c r="W66" s="70">
        <f t="shared" si="41"/>
        <v>147.49262536873155</v>
      </c>
      <c r="X66" s="82">
        <f t="shared" si="42"/>
        <v>10324.483775811208</v>
      </c>
      <c r="Z66" s="98">
        <f t="shared" si="9"/>
        <v>61.301382000000004</v>
      </c>
      <c r="AA66" s="99">
        <f t="shared" si="10"/>
        <v>13.038618000000001</v>
      </c>
      <c r="AD66" s="105">
        <v>74.34</v>
      </c>
      <c r="AE66" s="100">
        <f t="shared" si="21"/>
        <v>1.0620000000000001</v>
      </c>
    </row>
    <row r="67" spans="1:38" ht="25.5" customHeight="1" x14ac:dyDescent="0.3">
      <c r="A67" s="54">
        <v>25510</v>
      </c>
      <c r="B67" s="55" t="s">
        <v>334</v>
      </c>
      <c r="C67" s="56">
        <v>4.8</v>
      </c>
      <c r="D67" s="62" t="s">
        <v>192</v>
      </c>
      <c r="E67" s="61">
        <v>21</v>
      </c>
      <c r="F67" s="58" t="s">
        <v>177</v>
      </c>
      <c r="G67" s="8"/>
      <c r="H67" s="72" t="s">
        <v>10</v>
      </c>
      <c r="I67" s="70">
        <v>70</v>
      </c>
      <c r="J67" s="74"/>
      <c r="K67" s="24">
        <f t="shared" si="38"/>
        <v>0</v>
      </c>
      <c r="L67" s="78" t="s">
        <v>7</v>
      </c>
      <c r="M67" s="56">
        <v>9.11</v>
      </c>
      <c r="N67" s="71" t="s">
        <v>6</v>
      </c>
      <c r="O67" s="30">
        <f t="shared" si="43"/>
        <v>0</v>
      </c>
      <c r="P67" s="27" t="s">
        <v>7</v>
      </c>
      <c r="Q67" s="5"/>
      <c r="R67" s="71" t="s">
        <v>6</v>
      </c>
      <c r="S67" s="25">
        <f t="shared" si="39"/>
        <v>0</v>
      </c>
      <c r="T67" s="80">
        <f t="shared" si="29"/>
        <v>0.86143655714285705</v>
      </c>
      <c r="U67" s="81">
        <f t="shared" si="40"/>
        <v>60.300558999999993</v>
      </c>
      <c r="V67" s="81">
        <f t="shared" si="26"/>
        <v>17.519441</v>
      </c>
      <c r="W67" s="70">
        <f t="shared" si="41"/>
        <v>109.76948408342481</v>
      </c>
      <c r="X67" s="82">
        <f t="shared" si="42"/>
        <v>7683.8638858397371</v>
      </c>
      <c r="Z67" s="98">
        <f t="shared" si="9"/>
        <v>60.300558999999993</v>
      </c>
      <c r="AA67" s="99">
        <f t="shared" si="10"/>
        <v>17.519441</v>
      </c>
      <c r="AD67" s="105">
        <v>77.819999999999993</v>
      </c>
      <c r="AE67" s="100">
        <f t="shared" si="21"/>
        <v>1.1117142857142857</v>
      </c>
    </row>
    <row r="68" spans="1:38" ht="25.5" customHeight="1" x14ac:dyDescent="0.3">
      <c r="A68" s="54">
        <v>25511</v>
      </c>
      <c r="B68" s="55" t="s">
        <v>335</v>
      </c>
      <c r="C68" s="56">
        <v>4.55</v>
      </c>
      <c r="D68" s="62" t="s">
        <v>192</v>
      </c>
      <c r="E68" s="61">
        <f>C68*I68/16</f>
        <v>19.90625</v>
      </c>
      <c r="F68" s="58" t="s">
        <v>177</v>
      </c>
      <c r="G68" s="8"/>
      <c r="H68" s="72" t="s">
        <v>10</v>
      </c>
      <c r="I68" s="70">
        <v>70</v>
      </c>
      <c r="J68" s="74"/>
      <c r="K68" s="24">
        <f>G68/I68</f>
        <v>0</v>
      </c>
      <c r="L68" s="78" t="s">
        <v>7</v>
      </c>
      <c r="M68" s="56">
        <v>9.11</v>
      </c>
      <c r="N68" s="71" t="s">
        <v>6</v>
      </c>
      <c r="O68" s="30">
        <f t="shared" si="43"/>
        <v>0</v>
      </c>
      <c r="P68" s="27" t="s">
        <v>7</v>
      </c>
      <c r="Q68" s="5"/>
      <c r="R68" s="71" t="s">
        <v>6</v>
      </c>
      <c r="S68" s="25">
        <f t="shared" si="39"/>
        <v>0</v>
      </c>
      <c r="T68" s="80">
        <f>Z68/I68</f>
        <v>0.81000798571428567</v>
      </c>
      <c r="U68" s="81">
        <f t="shared" si="40"/>
        <v>56.700558999999998</v>
      </c>
      <c r="V68" s="81">
        <f t="shared" si="26"/>
        <v>17.519441</v>
      </c>
      <c r="W68" s="70">
        <f t="shared" si="41"/>
        <v>109.76948408342481</v>
      </c>
      <c r="X68" s="82">
        <f t="shared" si="42"/>
        <v>7683.8638858397371</v>
      </c>
      <c r="Z68" s="98">
        <f t="shared" si="9"/>
        <v>56.700558999999998</v>
      </c>
      <c r="AA68" s="99">
        <f t="shared" si="10"/>
        <v>17.519441</v>
      </c>
      <c r="AD68" s="105">
        <v>74.22</v>
      </c>
      <c r="AE68" s="100">
        <f t="shared" si="21"/>
        <v>1.0602857142857143</v>
      </c>
    </row>
    <row r="69" spans="1:38" ht="25.5" hidden="1" customHeight="1" x14ac:dyDescent="0.3">
      <c r="A69" s="54">
        <v>40244</v>
      </c>
      <c r="B69" s="55" t="s">
        <v>308</v>
      </c>
      <c r="C69" s="56">
        <v>1</v>
      </c>
      <c r="D69" s="57" t="s">
        <v>313</v>
      </c>
      <c r="E69" s="61">
        <f>C69*I69/16</f>
        <v>10</v>
      </c>
      <c r="F69" s="58" t="s">
        <v>177</v>
      </c>
      <c r="G69" s="8"/>
      <c r="H69" s="69" t="s">
        <v>10</v>
      </c>
      <c r="I69" s="70">
        <f>'[1]40244'!$D$8</f>
        <v>160</v>
      </c>
      <c r="J69" s="74" t="s">
        <v>6</v>
      </c>
      <c r="K69" s="22">
        <f>G69/I69</f>
        <v>0</v>
      </c>
      <c r="L69" s="78" t="s">
        <v>7</v>
      </c>
      <c r="M69" s="56">
        <f>'[1]40244'!$M$8</f>
        <v>10</v>
      </c>
      <c r="N69" s="71" t="s">
        <v>6</v>
      </c>
      <c r="O69" s="24">
        <f>K69*M69</f>
        <v>0</v>
      </c>
      <c r="P69" s="23" t="s">
        <v>7</v>
      </c>
      <c r="Q69" s="5"/>
      <c r="R69" s="21" t="s">
        <v>6</v>
      </c>
      <c r="S69" s="25">
        <f t="shared" si="39"/>
        <v>0</v>
      </c>
      <c r="T69" s="80">
        <f>Z69/I69</f>
        <v>0.22586874999999998</v>
      </c>
      <c r="U69" s="81">
        <f>T69*I69</f>
        <v>36.138999999999996</v>
      </c>
      <c r="V69" s="81">
        <f>AA69</f>
        <v>19.231000000000002</v>
      </c>
      <c r="W69" s="70">
        <f t="shared" si="41"/>
        <v>100</v>
      </c>
      <c r="X69" s="82">
        <f t="shared" si="42"/>
        <v>16000</v>
      </c>
      <c r="Z69" s="98">
        <f t="shared" si="9"/>
        <v>36.138999999999996</v>
      </c>
      <c r="AA69" s="99">
        <f t="shared" si="10"/>
        <v>19.231000000000002</v>
      </c>
      <c r="AD69" s="100">
        <v>55.37</v>
      </c>
      <c r="AE69" s="100">
        <f t="shared" si="21"/>
        <v>0.3460625</v>
      </c>
    </row>
    <row r="70" spans="1:38" ht="25.5" hidden="1" customHeight="1" x14ac:dyDescent="0.3">
      <c r="A70" s="54">
        <v>40245</v>
      </c>
      <c r="B70" s="55" t="s">
        <v>309</v>
      </c>
      <c r="C70" s="56">
        <v>4</v>
      </c>
      <c r="D70" s="57" t="s">
        <v>314</v>
      </c>
      <c r="E70" s="61">
        <f>C70*I70/16</f>
        <v>12</v>
      </c>
      <c r="F70" s="58" t="s">
        <v>175</v>
      </c>
      <c r="G70" s="8"/>
      <c r="H70" s="69" t="s">
        <v>10</v>
      </c>
      <c r="I70" s="70">
        <f>'[1]40245'!$D$8</f>
        <v>48</v>
      </c>
      <c r="J70" s="74" t="s">
        <v>6</v>
      </c>
      <c r="K70" s="22">
        <f>G70/I70</f>
        <v>0</v>
      </c>
      <c r="L70" s="78" t="s">
        <v>7</v>
      </c>
      <c r="M70" s="56">
        <f>'[1]40245'!$M$8</f>
        <v>12</v>
      </c>
      <c r="N70" s="71" t="s">
        <v>6</v>
      </c>
      <c r="O70" s="24">
        <f>K70*M70</f>
        <v>0</v>
      </c>
      <c r="P70" s="23" t="s">
        <v>7</v>
      </c>
      <c r="Q70" s="5"/>
      <c r="R70" s="21" t="s">
        <v>6</v>
      </c>
      <c r="S70" s="25">
        <f t="shared" si="39"/>
        <v>0</v>
      </c>
      <c r="T70" s="80">
        <f>Z70/I70</f>
        <v>0.75955833333333322</v>
      </c>
      <c r="U70" s="81">
        <f>T70*I70</f>
        <v>36.458799999999997</v>
      </c>
      <c r="V70" s="81">
        <f>AA70</f>
        <v>23.371200000000002</v>
      </c>
      <c r="W70" s="70">
        <f t="shared" si="41"/>
        <v>83.333333333333329</v>
      </c>
      <c r="X70" s="82">
        <f t="shared" si="42"/>
        <v>4000</v>
      </c>
      <c r="Z70" s="98">
        <f t="shared" si="9"/>
        <v>36.458799999999997</v>
      </c>
      <c r="AA70" s="99">
        <f t="shared" si="10"/>
        <v>23.371200000000002</v>
      </c>
      <c r="AD70" s="100">
        <v>59.83</v>
      </c>
      <c r="AE70" s="100">
        <f t="shared" si="21"/>
        <v>1.2464583333333332</v>
      </c>
    </row>
    <row r="71" spans="1:38" ht="25.5" hidden="1" customHeight="1" x14ac:dyDescent="0.3">
      <c r="A71" s="54">
        <v>40246</v>
      </c>
      <c r="B71" s="55" t="s">
        <v>310</v>
      </c>
      <c r="C71" s="56">
        <v>16</v>
      </c>
      <c r="D71" s="57" t="s">
        <v>315</v>
      </c>
      <c r="E71" s="61">
        <f>C71*I71/16</f>
        <v>12</v>
      </c>
      <c r="F71" s="58" t="s">
        <v>175</v>
      </c>
      <c r="G71" s="8"/>
      <c r="H71" s="69" t="s">
        <v>10</v>
      </c>
      <c r="I71" s="70">
        <f>'[1]40246'!$D$8</f>
        <v>12</v>
      </c>
      <c r="J71" s="74" t="s">
        <v>6</v>
      </c>
      <c r="K71" s="22">
        <f>G71/I71</f>
        <v>0</v>
      </c>
      <c r="L71" s="78" t="s">
        <v>7</v>
      </c>
      <c r="M71" s="56">
        <f>'[1]40246'!$M$8</f>
        <v>12</v>
      </c>
      <c r="N71" s="71" t="s">
        <v>6</v>
      </c>
      <c r="O71" s="24">
        <f>K71*M71</f>
        <v>0</v>
      </c>
      <c r="P71" s="23" t="s">
        <v>7</v>
      </c>
      <c r="Q71" s="5"/>
      <c r="R71" s="21" t="s">
        <v>6</v>
      </c>
      <c r="S71" s="25">
        <f t="shared" si="39"/>
        <v>0</v>
      </c>
      <c r="T71" s="80">
        <f>Z71/I71</f>
        <v>2.598233333333333</v>
      </c>
      <c r="U71" s="81">
        <f>T71*I71</f>
        <v>31.178799999999995</v>
      </c>
      <c r="V71" s="81">
        <f>AA71</f>
        <v>23.371200000000002</v>
      </c>
      <c r="W71" s="70">
        <f t="shared" si="41"/>
        <v>83.333333333333329</v>
      </c>
      <c r="X71" s="82">
        <f t="shared" si="42"/>
        <v>1000</v>
      </c>
      <c r="Z71" s="98">
        <f t="shared" si="9"/>
        <v>31.178799999999995</v>
      </c>
      <c r="AA71" s="99">
        <f t="shared" ref="AA71:AA96" si="44">IF(F71="110242",AD$152*M71,AD$153*M71)</f>
        <v>23.371200000000002</v>
      </c>
      <c r="AD71" s="100">
        <v>54.55</v>
      </c>
      <c r="AE71" s="100">
        <f t="shared" si="21"/>
        <v>4.5458333333333334</v>
      </c>
    </row>
    <row r="72" spans="1:38" s="26" customFormat="1" ht="25.5" hidden="1" customHeight="1" x14ac:dyDescent="0.25">
      <c r="A72" s="54" t="s">
        <v>283</v>
      </c>
      <c r="B72" s="55" t="s">
        <v>281</v>
      </c>
      <c r="C72" s="56">
        <f>'[1]61191'!$E$13</f>
        <v>3.41</v>
      </c>
      <c r="D72" s="57" t="s">
        <v>284</v>
      </c>
      <c r="E72" s="56">
        <f>C72*I72/16</f>
        <v>12.787500000000001</v>
      </c>
      <c r="F72" s="58" t="s">
        <v>177</v>
      </c>
      <c r="G72" s="8"/>
      <c r="H72" s="69" t="s">
        <v>10</v>
      </c>
      <c r="I72" s="70">
        <f>'[1]61940'!$D$8</f>
        <v>60</v>
      </c>
      <c r="J72" s="71" t="s">
        <v>6</v>
      </c>
      <c r="K72" s="24">
        <f t="shared" si="38"/>
        <v>0</v>
      </c>
      <c r="L72" s="78" t="s">
        <v>7</v>
      </c>
      <c r="M72" s="56">
        <f>'[1]61191'!$M$8</f>
        <v>3.7413563049853367</v>
      </c>
      <c r="N72" s="71" t="s">
        <v>6</v>
      </c>
      <c r="O72" s="25">
        <f t="shared" si="43"/>
        <v>0</v>
      </c>
      <c r="P72" s="23" t="s">
        <v>7</v>
      </c>
      <c r="Q72" s="5"/>
      <c r="R72" s="21" t="s">
        <v>6</v>
      </c>
      <c r="S72" s="25">
        <f t="shared" si="39"/>
        <v>0</v>
      </c>
      <c r="T72" s="80">
        <f t="shared" ref="T72:T78" si="45">Z72/I72</f>
        <v>1.3240832948313783</v>
      </c>
      <c r="U72" s="81">
        <f>T72*I72</f>
        <v>79.444997689882698</v>
      </c>
      <c r="V72" s="81">
        <f t="shared" ref="V72:V77" si="46">AA72</f>
        <v>7.1950023101173013</v>
      </c>
      <c r="W72" s="70">
        <f t="shared" ref="W72:W82" si="47">1000/M72</f>
        <v>267.28274948512802</v>
      </c>
      <c r="X72" s="82">
        <f t="shared" ref="X72:X82" si="48">W72*I72</f>
        <v>16036.964969107681</v>
      </c>
      <c r="Y72" s="97"/>
      <c r="Z72" s="98">
        <f t="shared" ref="Z72:Z100" si="49">AD72-AA72</f>
        <v>79.444997689882698</v>
      </c>
      <c r="AA72" s="99">
        <f t="shared" si="44"/>
        <v>7.1950023101173013</v>
      </c>
      <c r="AB72" s="97"/>
      <c r="AC72" s="98"/>
      <c r="AD72" s="100">
        <v>86.64</v>
      </c>
      <c r="AE72" s="100">
        <f>AD72/I72</f>
        <v>1.444</v>
      </c>
      <c r="AF72" s="97"/>
      <c r="AG72" s="97"/>
      <c r="AH72" s="97"/>
      <c r="AI72" s="97"/>
      <c r="AJ72" s="97"/>
      <c r="AK72" s="97"/>
      <c r="AL72" s="97"/>
    </row>
    <row r="73" spans="1:38" s="26" customFormat="1" ht="25.5" customHeight="1" x14ac:dyDescent="0.25">
      <c r="A73" s="54">
        <v>25604</v>
      </c>
      <c r="B73" s="55" t="s">
        <v>339</v>
      </c>
      <c r="C73" s="56">
        <v>3</v>
      </c>
      <c r="D73" s="57" t="s">
        <v>267</v>
      </c>
      <c r="E73" s="56">
        <v>18.75</v>
      </c>
      <c r="F73" s="104">
        <v>110244</v>
      </c>
      <c r="G73" s="8"/>
      <c r="H73" s="72" t="s">
        <v>10</v>
      </c>
      <c r="I73" s="70">
        <v>100</v>
      </c>
      <c r="J73" s="71"/>
      <c r="K73" s="24">
        <f t="shared" si="38"/>
        <v>0</v>
      </c>
      <c r="L73" s="78" t="s">
        <v>7</v>
      </c>
      <c r="M73" s="56">
        <v>6.51</v>
      </c>
      <c r="N73" s="71" t="s">
        <v>6</v>
      </c>
      <c r="O73" s="30">
        <f t="shared" si="43"/>
        <v>0</v>
      </c>
      <c r="P73" s="27" t="s">
        <v>7</v>
      </c>
      <c r="Q73" s="5"/>
      <c r="R73" s="71" t="s">
        <v>6</v>
      </c>
      <c r="S73" s="25">
        <f t="shared" si="39"/>
        <v>0</v>
      </c>
      <c r="T73" s="80">
        <f t="shared" si="45"/>
        <v>0.41910618999999999</v>
      </c>
      <c r="U73" s="81">
        <f t="shared" si="40"/>
        <v>41.910618999999997</v>
      </c>
      <c r="V73" s="81">
        <f t="shared" si="46"/>
        <v>12.519380999999999</v>
      </c>
      <c r="W73" s="70">
        <f t="shared" si="47"/>
        <v>153.60983102918587</v>
      </c>
      <c r="X73" s="82">
        <f t="shared" si="48"/>
        <v>15360.983102918586</v>
      </c>
      <c r="Y73" s="97"/>
      <c r="Z73" s="98">
        <f t="shared" si="9"/>
        <v>41.910618999999997</v>
      </c>
      <c r="AA73" s="99">
        <f t="shared" si="44"/>
        <v>12.519380999999999</v>
      </c>
      <c r="AB73" s="97"/>
      <c r="AC73" s="98"/>
      <c r="AD73" s="105">
        <v>54.43</v>
      </c>
      <c r="AE73" s="100">
        <v>0.54</v>
      </c>
      <c r="AF73" s="97"/>
      <c r="AG73" s="97"/>
      <c r="AH73" s="97"/>
      <c r="AI73" s="97"/>
      <c r="AJ73" s="97"/>
      <c r="AK73" s="97"/>
      <c r="AL73" s="97"/>
    </row>
    <row r="74" spans="1:38" s="26" customFormat="1" ht="25.5" customHeight="1" x14ac:dyDescent="0.25">
      <c r="A74" s="54">
        <v>25605</v>
      </c>
      <c r="B74" s="55" t="s">
        <v>340</v>
      </c>
      <c r="C74" s="56">
        <v>3</v>
      </c>
      <c r="D74" s="57" t="s">
        <v>267</v>
      </c>
      <c r="E74" s="56">
        <v>18.75</v>
      </c>
      <c r="F74" s="104">
        <v>110244</v>
      </c>
      <c r="G74" s="8"/>
      <c r="H74" s="72" t="s">
        <v>10</v>
      </c>
      <c r="I74" s="70">
        <v>100</v>
      </c>
      <c r="J74" s="71"/>
      <c r="K74" s="24">
        <f t="shared" si="38"/>
        <v>0</v>
      </c>
      <c r="L74" s="78" t="s">
        <v>7</v>
      </c>
      <c r="M74" s="56">
        <v>6.51</v>
      </c>
      <c r="N74" s="71" t="s">
        <v>6</v>
      </c>
      <c r="O74" s="30">
        <f t="shared" si="43"/>
        <v>0</v>
      </c>
      <c r="P74" s="27" t="s">
        <v>7</v>
      </c>
      <c r="Q74" s="5"/>
      <c r="R74" s="71" t="s">
        <v>6</v>
      </c>
      <c r="S74" s="25">
        <f t="shared" si="39"/>
        <v>0</v>
      </c>
      <c r="T74" s="80">
        <f t="shared" si="45"/>
        <v>0.41910618999999999</v>
      </c>
      <c r="U74" s="81">
        <f t="shared" si="40"/>
        <v>41.910618999999997</v>
      </c>
      <c r="V74" s="81">
        <f t="shared" si="46"/>
        <v>12.519380999999999</v>
      </c>
      <c r="W74" s="70">
        <f t="shared" si="47"/>
        <v>153.60983102918587</v>
      </c>
      <c r="X74" s="82">
        <f t="shared" si="48"/>
        <v>15360.983102918586</v>
      </c>
      <c r="Y74" s="97"/>
      <c r="Z74" s="98">
        <f>AD74-AA74</f>
        <v>41.910618999999997</v>
      </c>
      <c r="AA74" s="99">
        <f t="shared" si="44"/>
        <v>12.519380999999999</v>
      </c>
      <c r="AB74" s="97"/>
      <c r="AC74" s="98"/>
      <c r="AD74" s="105">
        <v>54.43</v>
      </c>
      <c r="AE74" s="100">
        <v>0.54</v>
      </c>
      <c r="AF74" s="97"/>
      <c r="AG74" s="97"/>
      <c r="AH74" s="97"/>
      <c r="AI74" s="97"/>
      <c r="AJ74" s="97"/>
      <c r="AK74" s="97"/>
      <c r="AL74" s="97"/>
    </row>
    <row r="75" spans="1:38" s="26" customFormat="1" ht="25.5" hidden="1" customHeight="1" x14ac:dyDescent="0.25">
      <c r="A75" s="54" t="s">
        <v>300</v>
      </c>
      <c r="B75" s="55" t="s">
        <v>301</v>
      </c>
      <c r="C75" s="56">
        <v>8.69</v>
      </c>
      <c r="D75" s="57" t="s">
        <v>244</v>
      </c>
      <c r="E75" s="56">
        <f>C75*I75/16</f>
        <v>26.07</v>
      </c>
      <c r="F75" s="58" t="s">
        <v>177</v>
      </c>
      <c r="G75" s="8"/>
      <c r="H75" s="69" t="s">
        <v>10</v>
      </c>
      <c r="I75" s="70">
        <f>'[1]61862'!$D$8</f>
        <v>48</v>
      </c>
      <c r="J75" s="71" t="s">
        <v>6</v>
      </c>
      <c r="K75" s="24">
        <f t="shared" si="38"/>
        <v>0</v>
      </c>
      <c r="L75" s="78" t="s">
        <v>7</v>
      </c>
      <c r="M75" s="56">
        <v>3.12</v>
      </c>
      <c r="N75" s="71" t="s">
        <v>6</v>
      </c>
      <c r="O75" s="24">
        <f t="shared" si="43"/>
        <v>0</v>
      </c>
      <c r="P75" s="23" t="s">
        <v>7</v>
      </c>
      <c r="Q75" s="5"/>
      <c r="R75" s="21" t="s">
        <v>6</v>
      </c>
      <c r="S75" s="25">
        <f t="shared" si="39"/>
        <v>0</v>
      </c>
      <c r="T75" s="80">
        <f t="shared" si="45"/>
        <v>2.7889568333333337</v>
      </c>
      <c r="U75" s="81">
        <f t="shared" si="40"/>
        <v>133.86992800000002</v>
      </c>
      <c r="V75" s="81">
        <f t="shared" si="46"/>
        <v>6.0000720000000003</v>
      </c>
      <c r="W75" s="70">
        <f t="shared" si="47"/>
        <v>320.5128205128205</v>
      </c>
      <c r="X75" s="82">
        <f t="shared" si="48"/>
        <v>15384.615384615383</v>
      </c>
      <c r="Y75" s="97"/>
      <c r="Z75" s="98">
        <f t="shared" si="49"/>
        <v>133.86992800000002</v>
      </c>
      <c r="AA75" s="99">
        <f t="shared" si="44"/>
        <v>6.0000720000000003</v>
      </c>
      <c r="AB75" s="97"/>
      <c r="AC75" s="98"/>
      <c r="AD75" s="100">
        <v>139.87</v>
      </c>
      <c r="AE75" s="100">
        <f>AD75/I75</f>
        <v>2.9139583333333334</v>
      </c>
      <c r="AF75" s="100">
        <f>V75/I75</f>
        <v>0.12500150000000002</v>
      </c>
      <c r="AG75" s="97"/>
      <c r="AH75" s="97"/>
      <c r="AI75" s="97"/>
      <c r="AJ75" s="97"/>
      <c r="AK75" s="97"/>
      <c r="AL75" s="97"/>
    </row>
    <row r="76" spans="1:38" s="26" customFormat="1" ht="25.5" hidden="1" customHeight="1" x14ac:dyDescent="0.25">
      <c r="A76" s="54" t="s">
        <v>245</v>
      </c>
      <c r="B76" s="55" t="s">
        <v>279</v>
      </c>
      <c r="C76" s="56">
        <v>8.5</v>
      </c>
      <c r="D76" s="57" t="s">
        <v>244</v>
      </c>
      <c r="E76" s="56">
        <f>C76*I76/16</f>
        <v>25.5</v>
      </c>
      <c r="F76" s="58" t="s">
        <v>175</v>
      </c>
      <c r="G76" s="8"/>
      <c r="H76" s="69" t="s">
        <v>10</v>
      </c>
      <c r="I76" s="70">
        <v>48</v>
      </c>
      <c r="J76" s="71" t="s">
        <v>6</v>
      </c>
      <c r="K76" s="24">
        <f t="shared" si="38"/>
        <v>0</v>
      </c>
      <c r="L76" s="78" t="s">
        <v>7</v>
      </c>
      <c r="M76" s="56">
        <v>3.99</v>
      </c>
      <c r="N76" s="71" t="s">
        <v>6</v>
      </c>
      <c r="O76" s="24">
        <f t="shared" si="43"/>
        <v>0</v>
      </c>
      <c r="P76" s="23" t="s">
        <v>7</v>
      </c>
      <c r="Q76" s="5"/>
      <c r="R76" s="21" t="s">
        <v>6</v>
      </c>
      <c r="S76" s="25">
        <f t="shared" si="39"/>
        <v>0</v>
      </c>
      <c r="T76" s="80">
        <f t="shared" si="45"/>
        <v>2.7520640833333334</v>
      </c>
      <c r="U76" s="81">
        <f t="shared" si="40"/>
        <v>132.099076</v>
      </c>
      <c r="V76" s="81">
        <f t="shared" si="46"/>
        <v>7.7709240000000008</v>
      </c>
      <c r="W76" s="70">
        <f t="shared" si="47"/>
        <v>250.62656641604008</v>
      </c>
      <c r="X76" s="82">
        <f t="shared" si="48"/>
        <v>12030.075187969924</v>
      </c>
      <c r="Y76" s="97"/>
      <c r="Z76" s="98">
        <f t="shared" si="49"/>
        <v>132.099076</v>
      </c>
      <c r="AA76" s="99">
        <f t="shared" si="44"/>
        <v>7.7709240000000008</v>
      </c>
      <c r="AB76" s="97"/>
      <c r="AC76" s="98"/>
      <c r="AD76" s="100">
        <v>139.87</v>
      </c>
      <c r="AE76" s="100">
        <f t="shared" ref="AE76:AE89" si="50">AD76/I76</f>
        <v>2.9139583333333334</v>
      </c>
      <c r="AF76" s="100">
        <f>V76/I76</f>
        <v>0.16189425000000002</v>
      </c>
      <c r="AG76" s="97"/>
      <c r="AH76" s="97"/>
      <c r="AI76" s="97"/>
      <c r="AJ76" s="97"/>
      <c r="AK76" s="97"/>
      <c r="AL76" s="97"/>
    </row>
    <row r="77" spans="1:38" s="26" customFormat="1" ht="25.5" hidden="1" customHeight="1" x14ac:dyDescent="0.25">
      <c r="A77" s="54" t="s">
        <v>246</v>
      </c>
      <c r="B77" s="55" t="s">
        <v>247</v>
      </c>
      <c r="C77" s="56">
        <v>10</v>
      </c>
      <c r="D77" s="57" t="s">
        <v>244</v>
      </c>
      <c r="E77" s="56">
        <f>C77*I77/16</f>
        <v>30</v>
      </c>
      <c r="F77" s="58" t="s">
        <v>175</v>
      </c>
      <c r="G77" s="8"/>
      <c r="H77" s="69" t="s">
        <v>10</v>
      </c>
      <c r="I77" s="70">
        <v>48</v>
      </c>
      <c r="J77" s="71" t="s">
        <v>6</v>
      </c>
      <c r="K77" s="24">
        <f t="shared" si="38"/>
        <v>0</v>
      </c>
      <c r="L77" s="78" t="s">
        <v>7</v>
      </c>
      <c r="M77" s="56">
        <f>[1]!b04961856</f>
        <v>1.1479999999999999</v>
      </c>
      <c r="N77" s="71" t="s">
        <v>6</v>
      </c>
      <c r="O77" s="24">
        <f t="shared" si="43"/>
        <v>0</v>
      </c>
      <c r="P77" s="23" t="s">
        <v>7</v>
      </c>
      <c r="Q77" s="5"/>
      <c r="R77" s="21" t="s">
        <v>6</v>
      </c>
      <c r="S77" s="25">
        <f t="shared" si="39"/>
        <v>0</v>
      </c>
      <c r="T77" s="80">
        <f t="shared" ca="1" si="45"/>
        <v>2.1484447916666669</v>
      </c>
      <c r="U77" s="81">
        <f t="shared" ca="1" si="40"/>
        <v>103.12535000000001</v>
      </c>
      <c r="V77" s="81">
        <f t="shared" si="46"/>
        <v>2.2358447999999997</v>
      </c>
      <c r="W77" s="70">
        <f t="shared" si="47"/>
        <v>871.08013937282237</v>
      </c>
      <c r="X77" s="82">
        <f t="shared" si="48"/>
        <v>41811.846689895472</v>
      </c>
      <c r="Y77" s="97"/>
      <c r="Z77" s="98">
        <f t="shared" ca="1" si="49"/>
        <v>44.534596518987343</v>
      </c>
      <c r="AA77" s="99">
        <f t="shared" si="44"/>
        <v>2.2358447999999997</v>
      </c>
      <c r="AB77" s="97"/>
      <c r="AC77" s="98"/>
      <c r="AD77" s="100">
        <f t="shared" ref="AD77:AD93" ca="1" si="51">U77+AA77+AC77</f>
        <v>105.12</v>
      </c>
      <c r="AE77" s="100">
        <f t="shared" ca="1" si="50"/>
        <v>2.19</v>
      </c>
      <c r="AF77" s="100">
        <f>V77/I77</f>
        <v>4.6580099999999992E-2</v>
      </c>
      <c r="AG77" s="97"/>
      <c r="AH77" s="97"/>
      <c r="AI77" s="97"/>
      <c r="AJ77" s="97"/>
      <c r="AK77" s="97"/>
      <c r="AL77" s="97"/>
    </row>
    <row r="78" spans="1:38" s="26" customFormat="1" ht="25.5" hidden="1" customHeight="1" x14ac:dyDescent="0.25">
      <c r="A78" s="54" t="s">
        <v>260</v>
      </c>
      <c r="B78" s="55" t="s">
        <v>147</v>
      </c>
      <c r="C78" s="56">
        <v>12.9</v>
      </c>
      <c r="D78" s="57" t="s">
        <v>259</v>
      </c>
      <c r="E78" s="56">
        <f>C78*I78/16+0.01</f>
        <v>24.197500000000002</v>
      </c>
      <c r="F78" s="58" t="s">
        <v>175</v>
      </c>
      <c r="G78" s="8"/>
      <c r="H78" s="69" t="s">
        <v>10</v>
      </c>
      <c r="I78" s="70">
        <f>'[1]61921'!$D$11</f>
        <v>30</v>
      </c>
      <c r="J78" s="71" t="s">
        <v>6</v>
      </c>
      <c r="K78" s="24">
        <f t="shared" si="38"/>
        <v>0</v>
      </c>
      <c r="L78" s="78" t="s">
        <v>7</v>
      </c>
      <c r="M78" s="56">
        <f>[1]!b04961920</f>
        <v>1.425</v>
      </c>
      <c r="N78" s="71" t="s">
        <v>6</v>
      </c>
      <c r="O78" s="24">
        <f t="shared" si="43"/>
        <v>0</v>
      </c>
      <c r="P78" s="23" t="s">
        <v>7</v>
      </c>
      <c r="Q78" s="5"/>
      <c r="R78" s="21" t="s">
        <v>6</v>
      </c>
      <c r="S78" s="25">
        <f t="shared" si="39"/>
        <v>0</v>
      </c>
      <c r="T78" s="80">
        <f t="shared" si="45"/>
        <v>2.6614890000000004</v>
      </c>
      <c r="U78" s="81">
        <f t="shared" si="40"/>
        <v>79.844670000000008</v>
      </c>
      <c r="V78" s="81">
        <f t="shared" si="26"/>
        <v>2.7753300000000003</v>
      </c>
      <c r="W78" s="70">
        <f t="shared" si="47"/>
        <v>701.75438596491222</v>
      </c>
      <c r="X78" s="82">
        <f t="shared" si="48"/>
        <v>21052.631578947367</v>
      </c>
      <c r="Y78" s="97"/>
      <c r="Z78" s="98">
        <f t="shared" si="49"/>
        <v>79.844670000000008</v>
      </c>
      <c r="AA78" s="99">
        <f t="shared" si="44"/>
        <v>2.7753300000000003</v>
      </c>
      <c r="AB78" s="97"/>
      <c r="AC78" s="98"/>
      <c r="AD78" s="100">
        <v>82.62</v>
      </c>
      <c r="AE78" s="100">
        <f t="shared" si="50"/>
        <v>2.754</v>
      </c>
      <c r="AF78" s="100">
        <f>V78/30</f>
        <v>9.251100000000001E-2</v>
      </c>
      <c r="AG78" s="97"/>
      <c r="AH78" s="97"/>
      <c r="AI78" s="97"/>
      <c r="AJ78" s="97"/>
      <c r="AK78" s="97"/>
      <c r="AL78" s="97"/>
    </row>
    <row r="79" spans="1:38" s="26" customFormat="1" ht="25.5" customHeight="1" x14ac:dyDescent="0.25">
      <c r="A79" s="54" t="s">
        <v>40</v>
      </c>
      <c r="B79" s="55" t="s">
        <v>299</v>
      </c>
      <c r="C79" s="56">
        <v>13.05</v>
      </c>
      <c r="D79" s="57" t="s">
        <v>348</v>
      </c>
      <c r="E79" s="56">
        <v>24.5</v>
      </c>
      <c r="F79" s="58" t="s">
        <v>177</v>
      </c>
      <c r="G79" s="8"/>
      <c r="H79" s="69" t="s">
        <v>10</v>
      </c>
      <c r="I79" s="70">
        <f>'[1]61921'!$D$11</f>
        <v>30</v>
      </c>
      <c r="J79" s="71" t="s">
        <v>6</v>
      </c>
      <c r="K79" s="24">
        <f t="shared" si="38"/>
        <v>0</v>
      </c>
      <c r="L79" s="78" t="s">
        <v>7</v>
      </c>
      <c r="M79" s="56">
        <f>ROUND('[1]61921'!$N$14,2)</f>
        <v>1.88</v>
      </c>
      <c r="N79" s="71" t="s">
        <v>6</v>
      </c>
      <c r="O79" s="24">
        <f>K79*M79</f>
        <v>0</v>
      </c>
      <c r="P79" s="23" t="s">
        <v>7</v>
      </c>
      <c r="Q79" s="5"/>
      <c r="R79" s="21" t="s">
        <v>6</v>
      </c>
      <c r="S79" s="25">
        <f t="shared" si="39"/>
        <v>0</v>
      </c>
      <c r="T79" s="80">
        <f t="shared" ref="T79:T94" si="52">Z79/I79</f>
        <v>2.7934857333333336</v>
      </c>
      <c r="U79" s="81">
        <f>ROUNDUP(T79*I79,2)</f>
        <v>83.81</v>
      </c>
      <c r="V79" s="81">
        <f>ROUNDDOWN(AA79,2)</f>
        <v>3.61</v>
      </c>
      <c r="W79" s="70">
        <f t="shared" si="47"/>
        <v>531.91489361702133</v>
      </c>
      <c r="X79" s="82">
        <f t="shared" si="48"/>
        <v>15957.44680851064</v>
      </c>
      <c r="Y79" s="97"/>
      <c r="Z79" s="98">
        <f t="shared" si="49"/>
        <v>83.804572000000007</v>
      </c>
      <c r="AA79" s="99">
        <f t="shared" si="44"/>
        <v>3.6154279999999996</v>
      </c>
      <c r="AB79" s="97"/>
      <c r="AC79" s="98"/>
      <c r="AD79" s="105">
        <v>87.42</v>
      </c>
      <c r="AE79" s="100">
        <f t="shared" si="50"/>
        <v>2.9140000000000001</v>
      </c>
      <c r="AF79" s="97"/>
      <c r="AG79" s="97"/>
      <c r="AH79" s="97"/>
      <c r="AI79" s="97"/>
      <c r="AJ79" s="97"/>
      <c r="AK79" s="97"/>
      <c r="AL79" s="97"/>
    </row>
    <row r="80" spans="1:38" s="26" customFormat="1" ht="25.5" hidden="1" customHeight="1" x14ac:dyDescent="0.25">
      <c r="A80" s="54" t="s">
        <v>45</v>
      </c>
      <c r="B80" s="55" t="s">
        <v>144</v>
      </c>
      <c r="C80" s="56" t="e">
        <f>#REF!</f>
        <v>#REF!</v>
      </c>
      <c r="D80" s="106" t="s">
        <v>216</v>
      </c>
      <c r="E80" s="56" t="e">
        <f>C80*I80/16</f>
        <v>#REF!</v>
      </c>
      <c r="F80" s="56" t="s">
        <v>175</v>
      </c>
      <c r="G80" s="8"/>
      <c r="H80" s="69" t="s">
        <v>10</v>
      </c>
      <c r="I80" s="70" t="e">
        <f>#REF!</f>
        <v>#REF!</v>
      </c>
      <c r="J80" s="71" t="s">
        <v>6</v>
      </c>
      <c r="K80" s="24" t="e">
        <f t="shared" si="38"/>
        <v>#REF!</v>
      </c>
      <c r="L80" s="78" t="s">
        <v>7</v>
      </c>
      <c r="M80" s="56" t="e">
        <f>[1]!b04961923</f>
        <v>#NAME?</v>
      </c>
      <c r="N80" s="71" t="s">
        <v>6</v>
      </c>
      <c r="O80" s="24" t="e">
        <f>K80*M80</f>
        <v>#REF!</v>
      </c>
      <c r="P80" s="23" t="s">
        <v>7</v>
      </c>
      <c r="Q80" s="5"/>
      <c r="R80" s="21" t="s">
        <v>6</v>
      </c>
      <c r="S80" s="25" t="e">
        <f t="shared" si="39"/>
        <v>#REF!</v>
      </c>
      <c r="T80" s="80" t="e">
        <f t="shared" ca="1" si="52"/>
        <v>#REF!</v>
      </c>
      <c r="U80" s="81" t="e">
        <f t="shared" ca="1" si="40"/>
        <v>#REF!</v>
      </c>
      <c r="V80" s="81" t="e">
        <f t="shared" si="26"/>
        <v>#NAME?</v>
      </c>
      <c r="W80" s="70" t="e">
        <f t="shared" si="47"/>
        <v>#NAME?</v>
      </c>
      <c r="X80" s="82" t="e">
        <f t="shared" si="48"/>
        <v>#NAME?</v>
      </c>
      <c r="Y80" s="97"/>
      <c r="Z80" s="98">
        <f t="shared" ca="1" si="49"/>
        <v>44.534596518987343</v>
      </c>
      <c r="AA80" s="99" t="e">
        <f t="shared" si="44"/>
        <v>#NAME?</v>
      </c>
      <c r="AB80" s="97"/>
      <c r="AC80" s="98"/>
      <c r="AD80" s="100" t="e">
        <f t="shared" ca="1" si="51"/>
        <v>#REF!</v>
      </c>
      <c r="AE80" s="100" t="e">
        <f t="shared" ca="1" si="50"/>
        <v>#REF!</v>
      </c>
      <c r="AF80" s="100" t="e">
        <f>V80/30</f>
        <v>#NAME?</v>
      </c>
      <c r="AG80" s="97"/>
      <c r="AH80" s="97"/>
      <c r="AI80" s="97"/>
      <c r="AJ80" s="97"/>
      <c r="AK80" s="97"/>
      <c r="AL80" s="97"/>
    </row>
    <row r="81" spans="1:38" s="26" customFormat="1" ht="25.5" hidden="1" customHeight="1" x14ac:dyDescent="0.25">
      <c r="A81" s="54" t="s">
        <v>46</v>
      </c>
      <c r="B81" s="55" t="s">
        <v>47</v>
      </c>
      <c r="C81" s="56" t="e">
        <f>#REF!</f>
        <v>#REF!</v>
      </c>
      <c r="D81" s="106" t="s">
        <v>201</v>
      </c>
      <c r="E81" s="56" t="e">
        <f>C81*I81/16</f>
        <v>#REF!</v>
      </c>
      <c r="F81" s="56" t="s">
        <v>175</v>
      </c>
      <c r="G81" s="8"/>
      <c r="H81" s="69" t="s">
        <v>10</v>
      </c>
      <c r="I81" s="70" t="e">
        <f>#REF!</f>
        <v>#REF!</v>
      </c>
      <c r="J81" s="71" t="s">
        <v>6</v>
      </c>
      <c r="K81" s="24" t="e">
        <f t="shared" si="38"/>
        <v>#REF!</v>
      </c>
      <c r="L81" s="78" t="s">
        <v>7</v>
      </c>
      <c r="M81" s="56">
        <f>[1]!b04961920</f>
        <v>1.425</v>
      </c>
      <c r="N81" s="71" t="s">
        <v>6</v>
      </c>
      <c r="O81" s="25" t="e">
        <f>K81*M81</f>
        <v>#REF!</v>
      </c>
      <c r="P81" s="23" t="s">
        <v>7</v>
      </c>
      <c r="Q81" s="5"/>
      <c r="R81" s="21" t="s">
        <v>6</v>
      </c>
      <c r="S81" s="25" t="e">
        <f t="shared" si="39"/>
        <v>#REF!</v>
      </c>
      <c r="T81" s="80" t="e">
        <f t="shared" ca="1" si="52"/>
        <v>#REF!</v>
      </c>
      <c r="U81" s="81" t="e">
        <f t="shared" ca="1" si="40"/>
        <v>#REF!</v>
      </c>
      <c r="V81" s="81">
        <f t="shared" si="26"/>
        <v>2.7753300000000003</v>
      </c>
      <c r="W81" s="70">
        <f t="shared" si="47"/>
        <v>701.75438596491222</v>
      </c>
      <c r="X81" s="82" t="e">
        <f t="shared" si="48"/>
        <v>#REF!</v>
      </c>
      <c r="Y81" s="97"/>
      <c r="Z81" s="98">
        <f t="shared" ca="1" si="49"/>
        <v>44.534596518987343</v>
      </c>
      <c r="AA81" s="99">
        <f t="shared" si="44"/>
        <v>2.7753300000000003</v>
      </c>
      <c r="AB81" s="97"/>
      <c r="AC81" s="98"/>
      <c r="AD81" s="100" t="e">
        <f t="shared" ca="1" si="51"/>
        <v>#REF!</v>
      </c>
      <c r="AE81" s="100" t="e">
        <f t="shared" ca="1" si="50"/>
        <v>#REF!</v>
      </c>
      <c r="AF81" s="97"/>
      <c r="AG81" s="97"/>
      <c r="AH81" s="97"/>
      <c r="AI81" s="97"/>
      <c r="AJ81" s="97"/>
      <c r="AK81" s="97"/>
      <c r="AL81" s="97"/>
    </row>
    <row r="82" spans="1:38" s="26" customFormat="1" ht="26" x14ac:dyDescent="0.25">
      <c r="A82" s="54" t="s">
        <v>48</v>
      </c>
      <c r="B82" s="55" t="s">
        <v>145</v>
      </c>
      <c r="C82" s="56">
        <v>12.9</v>
      </c>
      <c r="D82" s="57" t="s">
        <v>349</v>
      </c>
      <c r="E82" s="56">
        <f>C82*I82/16+0.01</f>
        <v>24.197500000000002</v>
      </c>
      <c r="F82" s="58" t="s">
        <v>175</v>
      </c>
      <c r="G82" s="8"/>
      <c r="H82" s="69" t="s">
        <v>10</v>
      </c>
      <c r="I82" s="70">
        <f>'[1]61925'!$D$11</f>
        <v>30</v>
      </c>
      <c r="J82" s="71" t="s">
        <v>6</v>
      </c>
      <c r="K82" s="24">
        <f t="shared" si="38"/>
        <v>0</v>
      </c>
      <c r="L82" s="78" t="s">
        <v>7</v>
      </c>
      <c r="M82" s="56">
        <f>[1]!b04961925</f>
        <v>1.425</v>
      </c>
      <c r="N82" s="71" t="s">
        <v>6</v>
      </c>
      <c r="O82" s="25">
        <f>K82*M82</f>
        <v>0</v>
      </c>
      <c r="P82" s="23" t="s">
        <v>7</v>
      </c>
      <c r="Q82" s="5"/>
      <c r="R82" s="21" t="s">
        <v>6</v>
      </c>
      <c r="S82" s="25">
        <f t="shared" si="39"/>
        <v>0</v>
      </c>
      <c r="T82" s="80">
        <f t="shared" si="52"/>
        <v>2.6614890000000004</v>
      </c>
      <c r="U82" s="81">
        <f t="shared" si="40"/>
        <v>79.844670000000008</v>
      </c>
      <c r="V82" s="81">
        <f t="shared" si="26"/>
        <v>2.7753300000000003</v>
      </c>
      <c r="W82" s="70">
        <f t="shared" si="47"/>
        <v>701.75438596491222</v>
      </c>
      <c r="X82" s="82">
        <f t="shared" si="48"/>
        <v>21052.631578947367</v>
      </c>
      <c r="Y82" s="97"/>
      <c r="Z82" s="98">
        <f t="shared" si="49"/>
        <v>79.844670000000008</v>
      </c>
      <c r="AA82" s="99">
        <f t="shared" si="44"/>
        <v>2.7753300000000003</v>
      </c>
      <c r="AB82" s="97"/>
      <c r="AC82" s="98"/>
      <c r="AD82" s="105">
        <v>82.62</v>
      </c>
      <c r="AE82" s="100">
        <f t="shared" si="50"/>
        <v>2.754</v>
      </c>
      <c r="AF82" s="97"/>
      <c r="AG82" s="97"/>
      <c r="AH82" s="97"/>
      <c r="AI82" s="97"/>
      <c r="AJ82" s="97"/>
      <c r="AK82" s="97"/>
      <c r="AL82" s="97"/>
    </row>
    <row r="83" spans="1:38" s="26" customFormat="1" ht="25.5" hidden="1" customHeight="1" x14ac:dyDescent="0.25">
      <c r="A83" s="54" t="s">
        <v>134</v>
      </c>
      <c r="B83" s="55" t="s">
        <v>140</v>
      </c>
      <c r="C83" s="56">
        <v>7.75</v>
      </c>
      <c r="D83" s="57" t="s">
        <v>202</v>
      </c>
      <c r="E83" s="56">
        <f>C83*I83/16</f>
        <v>23.25</v>
      </c>
      <c r="F83" s="58" t="s">
        <v>177</v>
      </c>
      <c r="G83" s="8"/>
      <c r="H83" s="69" t="s">
        <v>10</v>
      </c>
      <c r="I83" s="70">
        <v>48</v>
      </c>
      <c r="J83" s="71" t="s">
        <v>6</v>
      </c>
      <c r="K83" s="24">
        <f t="shared" ref="K83:K100" si="53">G83/I83</f>
        <v>0</v>
      </c>
      <c r="L83" s="78" t="s">
        <v>7</v>
      </c>
      <c r="M83" s="56">
        <f>[1]!b04961920</f>
        <v>1.425</v>
      </c>
      <c r="N83" s="71" t="s">
        <v>6</v>
      </c>
      <c r="O83" s="24">
        <f t="shared" ref="O83:O100" si="54">K83*M83</f>
        <v>0</v>
      </c>
      <c r="P83" s="23" t="s">
        <v>7</v>
      </c>
      <c r="Q83" s="5"/>
      <c r="R83" s="21" t="s">
        <v>6</v>
      </c>
      <c r="S83" s="25">
        <f t="shared" si="39"/>
        <v>0</v>
      </c>
      <c r="T83" s="80">
        <f t="shared" ref="T83:T89" ca="1" si="55">Z83/I83</f>
        <v>1.4920190625</v>
      </c>
      <c r="U83" s="81">
        <f t="shared" ref="U83:U88" ca="1" si="56">T83*I83</f>
        <v>71.616915000000006</v>
      </c>
      <c r="V83" s="81">
        <f t="shared" ref="V83:V88" si="57">AA83</f>
        <v>2.7404175</v>
      </c>
      <c r="W83" s="70">
        <f t="shared" ref="W83:W89" si="58">1000/M83</f>
        <v>701.75438596491222</v>
      </c>
      <c r="X83" s="82">
        <f t="shared" ref="X83:X89" si="59">W83*I83</f>
        <v>33684.210526315786</v>
      </c>
      <c r="Y83" s="97"/>
      <c r="Z83" s="98">
        <f t="shared" ca="1" si="49"/>
        <v>44.534596518987343</v>
      </c>
      <c r="AA83" s="99">
        <f t="shared" si="44"/>
        <v>2.7404175</v>
      </c>
      <c r="AB83" s="97"/>
      <c r="AC83" s="98"/>
      <c r="AD83" s="100">
        <f t="shared" ca="1" si="51"/>
        <v>74.234497500000003</v>
      </c>
      <c r="AE83" s="100">
        <f t="shared" ca="1" si="50"/>
        <v>1.5465520312500001</v>
      </c>
      <c r="AF83" s="97"/>
      <c r="AG83" s="97"/>
      <c r="AH83" s="97"/>
      <c r="AI83" s="97"/>
      <c r="AJ83" s="97"/>
      <c r="AK83" s="97"/>
      <c r="AL83" s="97"/>
    </row>
    <row r="84" spans="1:38" s="26" customFormat="1" ht="25.5" hidden="1" customHeight="1" x14ac:dyDescent="0.25">
      <c r="A84" s="54" t="s">
        <v>135</v>
      </c>
      <c r="B84" s="55" t="s">
        <v>141</v>
      </c>
      <c r="C84" s="56">
        <v>7.9</v>
      </c>
      <c r="D84" s="57" t="s">
        <v>203</v>
      </c>
      <c r="E84" s="56">
        <f>C84*I84/16</f>
        <v>23.700000000000003</v>
      </c>
      <c r="F84" s="56" t="s">
        <v>175</v>
      </c>
      <c r="G84" s="8"/>
      <c r="H84" s="69" t="s">
        <v>10</v>
      </c>
      <c r="I84" s="70">
        <v>48</v>
      </c>
      <c r="J84" s="71" t="s">
        <v>6</v>
      </c>
      <c r="K84" s="24">
        <f t="shared" si="53"/>
        <v>0</v>
      </c>
      <c r="L84" s="78" t="s">
        <v>7</v>
      </c>
      <c r="M84" s="56">
        <f>[1]!b04961920</f>
        <v>1.425</v>
      </c>
      <c r="N84" s="71" t="s">
        <v>6</v>
      </c>
      <c r="O84" s="24">
        <f t="shared" si="54"/>
        <v>0</v>
      </c>
      <c r="P84" s="23" t="s">
        <v>7</v>
      </c>
      <c r="Q84" s="5"/>
      <c r="R84" s="21" t="s">
        <v>6</v>
      </c>
      <c r="S84" s="25"/>
      <c r="T84" s="80" t="e">
        <f t="shared" ca="1" si="55"/>
        <v>#VALUE!</v>
      </c>
      <c r="U84" s="81" t="e">
        <f t="shared" ca="1" si="56"/>
        <v>#VALUE!</v>
      </c>
      <c r="V84" s="81">
        <f t="shared" si="57"/>
        <v>2.7753300000000003</v>
      </c>
      <c r="W84" s="70">
        <f t="shared" si="58"/>
        <v>701.75438596491222</v>
      </c>
      <c r="X84" s="82">
        <f t="shared" si="59"/>
        <v>33684.210526315786</v>
      </c>
      <c r="Y84" s="97"/>
      <c r="Z84" s="98">
        <f t="shared" ca="1" si="49"/>
        <v>44.534596518987343</v>
      </c>
      <c r="AA84" s="99">
        <f t="shared" si="44"/>
        <v>2.7753300000000003</v>
      </c>
      <c r="AB84" s="97"/>
      <c r="AC84" s="98"/>
      <c r="AD84" s="100" t="e">
        <f t="shared" ca="1" si="51"/>
        <v>#VALUE!</v>
      </c>
      <c r="AE84" s="100" t="e">
        <f t="shared" ca="1" si="50"/>
        <v>#VALUE!</v>
      </c>
      <c r="AF84" s="97"/>
      <c r="AG84" s="97"/>
      <c r="AH84" s="97"/>
      <c r="AI84" s="97"/>
      <c r="AJ84" s="97"/>
      <c r="AK84" s="97"/>
      <c r="AL84" s="97"/>
    </row>
    <row r="85" spans="1:38" s="26" customFormat="1" ht="25.5" hidden="1" customHeight="1" x14ac:dyDescent="0.25">
      <c r="A85" s="54" t="s">
        <v>136</v>
      </c>
      <c r="B85" s="55" t="s">
        <v>142</v>
      </c>
      <c r="C85" s="56">
        <v>7.8</v>
      </c>
      <c r="D85" s="57" t="s">
        <v>202</v>
      </c>
      <c r="E85" s="56">
        <f>C85*I85/16</f>
        <v>23.4</v>
      </c>
      <c r="F85" s="58" t="s">
        <v>177</v>
      </c>
      <c r="G85" s="8"/>
      <c r="H85" s="69" t="s">
        <v>10</v>
      </c>
      <c r="I85" s="70">
        <v>48</v>
      </c>
      <c r="J85" s="71" t="s">
        <v>6</v>
      </c>
      <c r="K85" s="24">
        <f t="shared" si="53"/>
        <v>0</v>
      </c>
      <c r="L85" s="78" t="s">
        <v>7</v>
      </c>
      <c r="M85" s="56">
        <f>[1]!b04961920</f>
        <v>1.425</v>
      </c>
      <c r="N85" s="71" t="s">
        <v>6</v>
      </c>
      <c r="O85" s="24">
        <f t="shared" si="54"/>
        <v>0</v>
      </c>
      <c r="P85" s="23" t="s">
        <v>7</v>
      </c>
      <c r="Q85" s="5"/>
      <c r="R85" s="21" t="s">
        <v>6</v>
      </c>
      <c r="S85" s="25">
        <f>O85*Q85</f>
        <v>0</v>
      </c>
      <c r="T85" s="80">
        <f t="shared" ca="1" si="55"/>
        <v>-0.10101250000000001</v>
      </c>
      <c r="U85" s="81">
        <f t="shared" ca="1" si="56"/>
        <v>-4.8486000000000002</v>
      </c>
      <c r="V85" s="81">
        <f t="shared" si="57"/>
        <v>2.7404175</v>
      </c>
      <c r="W85" s="70">
        <f t="shared" si="58"/>
        <v>701.75438596491222</v>
      </c>
      <c r="X85" s="82">
        <f t="shared" si="59"/>
        <v>33684.210526315786</v>
      </c>
      <c r="Y85" s="97"/>
      <c r="Z85" s="98">
        <f t="shared" ca="1" si="49"/>
        <v>44.534596518987343</v>
      </c>
      <c r="AA85" s="99">
        <f t="shared" si="44"/>
        <v>2.7404175</v>
      </c>
      <c r="AB85" s="97"/>
      <c r="AC85" s="98"/>
      <c r="AD85" s="100">
        <f t="shared" ca="1" si="51"/>
        <v>-2.2310175000000001</v>
      </c>
      <c r="AE85" s="100">
        <f t="shared" ca="1" si="50"/>
        <v>-4.6479531250000004E-2</v>
      </c>
      <c r="AF85" s="97"/>
      <c r="AG85" s="97"/>
      <c r="AH85" s="97"/>
      <c r="AI85" s="97"/>
      <c r="AJ85" s="97"/>
      <c r="AK85" s="97"/>
      <c r="AL85" s="97"/>
    </row>
    <row r="86" spans="1:38" s="26" customFormat="1" ht="25.5" hidden="1" customHeight="1" x14ac:dyDescent="0.25">
      <c r="A86" s="54" t="s">
        <v>137</v>
      </c>
      <c r="B86" s="55" t="s">
        <v>143</v>
      </c>
      <c r="C86" s="56">
        <v>7.5</v>
      </c>
      <c r="D86" s="57" t="s">
        <v>202</v>
      </c>
      <c r="E86" s="56">
        <f>C86*I86/16</f>
        <v>22.5</v>
      </c>
      <c r="F86" s="56" t="s">
        <v>175</v>
      </c>
      <c r="G86" s="8"/>
      <c r="H86" s="69" t="s">
        <v>10</v>
      </c>
      <c r="I86" s="70">
        <v>48</v>
      </c>
      <c r="J86" s="71" t="s">
        <v>6</v>
      </c>
      <c r="K86" s="24">
        <f t="shared" si="53"/>
        <v>0</v>
      </c>
      <c r="L86" s="78" t="s">
        <v>7</v>
      </c>
      <c r="M86" s="56">
        <f>[1]!b04961920</f>
        <v>1.425</v>
      </c>
      <c r="N86" s="71" t="s">
        <v>6</v>
      </c>
      <c r="O86" s="24">
        <f t="shared" si="54"/>
        <v>0</v>
      </c>
      <c r="P86" s="23" t="s">
        <v>7</v>
      </c>
      <c r="Q86" s="5"/>
      <c r="R86" s="21" t="s">
        <v>6</v>
      </c>
      <c r="S86" s="25"/>
      <c r="T86" s="80" t="e">
        <f t="shared" ca="1" si="55"/>
        <v>#VALUE!</v>
      </c>
      <c r="U86" s="81" t="e">
        <f t="shared" ca="1" si="56"/>
        <v>#VALUE!</v>
      </c>
      <c r="V86" s="81">
        <f t="shared" si="57"/>
        <v>2.7753300000000003</v>
      </c>
      <c r="W86" s="70">
        <f t="shared" si="58"/>
        <v>701.75438596491222</v>
      </c>
      <c r="X86" s="82">
        <f t="shared" si="59"/>
        <v>33684.210526315786</v>
      </c>
      <c r="Y86" s="97"/>
      <c r="Z86" s="98">
        <f t="shared" ca="1" si="49"/>
        <v>44.534596518987343</v>
      </c>
      <c r="AA86" s="99">
        <f t="shared" si="44"/>
        <v>2.7753300000000003</v>
      </c>
      <c r="AB86" s="97"/>
      <c r="AC86" s="98"/>
      <c r="AD86" s="100" t="e">
        <f t="shared" ca="1" si="51"/>
        <v>#VALUE!</v>
      </c>
      <c r="AE86" s="100" t="e">
        <f t="shared" ca="1" si="50"/>
        <v>#VALUE!</v>
      </c>
      <c r="AF86" s="97"/>
      <c r="AG86" s="97"/>
      <c r="AH86" s="97"/>
      <c r="AI86" s="97"/>
      <c r="AJ86" s="97"/>
      <c r="AK86" s="97"/>
      <c r="AL86" s="97"/>
    </row>
    <row r="87" spans="1:38" s="26" customFormat="1" ht="25.5" hidden="1" customHeight="1" x14ac:dyDescent="0.25">
      <c r="A87" s="54" t="s">
        <v>92</v>
      </c>
      <c r="B87" s="55" t="s">
        <v>146</v>
      </c>
      <c r="C87" s="56" t="e">
        <f>#REF!</f>
        <v>#REF!</v>
      </c>
      <c r="D87" s="57" t="s">
        <v>259</v>
      </c>
      <c r="E87" s="56" t="e">
        <f>C87*I87/16</f>
        <v>#REF!</v>
      </c>
      <c r="F87" s="56" t="s">
        <v>175</v>
      </c>
      <c r="G87" s="8"/>
      <c r="H87" s="69" t="s">
        <v>10</v>
      </c>
      <c r="I87" s="70" t="e">
        <f>#REF!</f>
        <v>#REF!</v>
      </c>
      <c r="J87" s="71" t="s">
        <v>6</v>
      </c>
      <c r="K87" s="24" t="e">
        <f t="shared" si="53"/>
        <v>#REF!</v>
      </c>
      <c r="L87" s="78" t="s">
        <v>7</v>
      </c>
      <c r="M87" s="56">
        <f>[1]!b04961937</f>
        <v>1.425</v>
      </c>
      <c r="N87" s="71" t="s">
        <v>6</v>
      </c>
      <c r="O87" s="25" t="e">
        <f t="shared" si="54"/>
        <v>#REF!</v>
      </c>
      <c r="P87" s="23" t="s">
        <v>7</v>
      </c>
      <c r="Q87" s="5"/>
      <c r="R87" s="21" t="s">
        <v>6</v>
      </c>
      <c r="S87" s="25" t="e">
        <f t="shared" ref="S87:S93" si="60">O87*Q87</f>
        <v>#REF!</v>
      </c>
      <c r="T87" s="80" t="e">
        <f t="shared" ca="1" si="55"/>
        <v>#REF!</v>
      </c>
      <c r="U87" s="81" t="e">
        <f t="shared" ca="1" si="56"/>
        <v>#REF!</v>
      </c>
      <c r="V87" s="81">
        <f t="shared" si="57"/>
        <v>2.7753300000000003</v>
      </c>
      <c r="W87" s="70">
        <f t="shared" si="58"/>
        <v>701.75438596491222</v>
      </c>
      <c r="X87" s="82" t="e">
        <f t="shared" si="59"/>
        <v>#REF!</v>
      </c>
      <c r="Y87" s="97"/>
      <c r="Z87" s="98">
        <f t="shared" ca="1" si="49"/>
        <v>44.534596518987343</v>
      </c>
      <c r="AA87" s="99">
        <f t="shared" si="44"/>
        <v>2.7753300000000003</v>
      </c>
      <c r="AB87" s="99"/>
      <c r="AC87" s="98"/>
      <c r="AD87" s="100" t="e">
        <f t="shared" ca="1" si="51"/>
        <v>#REF!</v>
      </c>
      <c r="AE87" s="100" t="e">
        <f t="shared" ca="1" si="50"/>
        <v>#REF!</v>
      </c>
      <c r="AF87" s="97"/>
      <c r="AG87" s="97"/>
      <c r="AH87" s="97"/>
      <c r="AI87" s="97"/>
      <c r="AJ87" s="97"/>
      <c r="AK87" s="97"/>
      <c r="AL87" s="97"/>
    </row>
    <row r="88" spans="1:38" s="26" customFormat="1" ht="25.5" hidden="1" customHeight="1" x14ac:dyDescent="0.25">
      <c r="A88" s="54" t="s">
        <v>150</v>
      </c>
      <c r="B88" s="55" t="s">
        <v>151</v>
      </c>
      <c r="C88" s="56">
        <v>10.65</v>
      </c>
      <c r="D88" s="57" t="s">
        <v>207</v>
      </c>
      <c r="E88" s="56">
        <v>19.899999999999999</v>
      </c>
      <c r="F88" s="58" t="s">
        <v>175</v>
      </c>
      <c r="G88" s="8"/>
      <c r="H88" s="69" t="s">
        <v>10</v>
      </c>
      <c r="I88" s="70">
        <f>'[1]61938'!$D$11</f>
        <v>30</v>
      </c>
      <c r="J88" s="71" t="s">
        <v>6</v>
      </c>
      <c r="K88" s="24">
        <f>G88/I88</f>
        <v>0</v>
      </c>
      <c r="L88" s="78" t="s">
        <v>7</v>
      </c>
      <c r="M88" s="56">
        <f>[1]!b04961938</f>
        <v>1.425</v>
      </c>
      <c r="N88" s="71" t="s">
        <v>6</v>
      </c>
      <c r="O88" s="25">
        <f>K88*M88</f>
        <v>0</v>
      </c>
      <c r="P88" s="23" t="s">
        <v>7</v>
      </c>
      <c r="Q88" s="5"/>
      <c r="R88" s="21" t="s">
        <v>6</v>
      </c>
      <c r="S88" s="25">
        <f t="shared" si="60"/>
        <v>0</v>
      </c>
      <c r="T88" s="80">
        <f t="shared" si="55"/>
        <v>2.8214890000000001</v>
      </c>
      <c r="U88" s="81">
        <f t="shared" si="56"/>
        <v>84.644670000000005</v>
      </c>
      <c r="V88" s="81">
        <f t="shared" si="57"/>
        <v>2.7753300000000003</v>
      </c>
      <c r="W88" s="70">
        <f t="shared" si="58"/>
        <v>701.75438596491222</v>
      </c>
      <c r="X88" s="82">
        <f t="shared" si="59"/>
        <v>21052.631578947367</v>
      </c>
      <c r="Y88" s="97"/>
      <c r="Z88" s="98">
        <f t="shared" si="49"/>
        <v>84.644670000000005</v>
      </c>
      <c r="AA88" s="99">
        <f t="shared" si="44"/>
        <v>2.7753300000000003</v>
      </c>
      <c r="AB88" s="97"/>
      <c r="AC88" s="98"/>
      <c r="AD88" s="100">
        <v>87.42</v>
      </c>
      <c r="AE88" s="100">
        <f t="shared" si="50"/>
        <v>2.9140000000000001</v>
      </c>
      <c r="AF88" s="97"/>
      <c r="AG88" s="97"/>
      <c r="AH88" s="97"/>
      <c r="AI88" s="97"/>
      <c r="AJ88" s="97"/>
      <c r="AK88" s="97"/>
      <c r="AL88" s="97"/>
    </row>
    <row r="89" spans="1:38" s="26" customFormat="1" ht="25.5" hidden="1" customHeight="1" x14ac:dyDescent="0.25">
      <c r="A89" s="54" t="s">
        <v>280</v>
      </c>
      <c r="B89" s="55" t="s">
        <v>281</v>
      </c>
      <c r="C89" s="56">
        <f>'[1]61940'!$E$13</f>
        <v>3.1</v>
      </c>
      <c r="D89" s="57" t="s">
        <v>282</v>
      </c>
      <c r="E89" s="56">
        <f>C89*I89/16</f>
        <v>11.625</v>
      </c>
      <c r="F89" s="58" t="s">
        <v>177</v>
      </c>
      <c r="G89" s="8"/>
      <c r="H89" s="69" t="s">
        <v>10</v>
      </c>
      <c r="I89" s="70">
        <f>'[1]61940'!$D$8</f>
        <v>60</v>
      </c>
      <c r="J89" s="71" t="s">
        <v>6</v>
      </c>
      <c r="K89" s="24">
        <f>G89/I89</f>
        <v>0</v>
      </c>
      <c r="L89" s="78" t="s">
        <v>7</v>
      </c>
      <c r="M89" s="56">
        <f>'[1]61940'!$M$8</f>
        <v>3.7422338709677425</v>
      </c>
      <c r="N89" s="71" t="s">
        <v>6</v>
      </c>
      <c r="O89" s="25">
        <f>K89*M89</f>
        <v>0</v>
      </c>
      <c r="P89" s="23" t="s">
        <v>7</v>
      </c>
      <c r="Q89" s="5"/>
      <c r="R89" s="21" t="s">
        <v>6</v>
      </c>
      <c r="S89" s="25">
        <f t="shared" si="60"/>
        <v>0</v>
      </c>
      <c r="T89" s="80">
        <f t="shared" ca="1" si="55"/>
        <v>1.5754315100403222</v>
      </c>
      <c r="U89" s="81">
        <f t="shared" ref="U89:U100" ca="1" si="61">T89*I89</f>
        <v>94.525890602419338</v>
      </c>
      <c r="V89" s="81">
        <f t="shared" ref="V89:V100" si="62">AA89</f>
        <v>7.1966899572580658</v>
      </c>
      <c r="W89" s="70">
        <f t="shared" si="58"/>
        <v>267.22007081331873</v>
      </c>
      <c r="X89" s="82">
        <f t="shared" si="59"/>
        <v>16033.204248799124</v>
      </c>
      <c r="Y89" s="97"/>
      <c r="Z89" s="98">
        <f t="shared" ca="1" si="49"/>
        <v>44.534596518987343</v>
      </c>
      <c r="AA89" s="99">
        <f t="shared" si="44"/>
        <v>7.1966899572580658</v>
      </c>
      <c r="AB89" s="97"/>
      <c r="AC89" s="98"/>
      <c r="AD89" s="100">
        <f t="shared" ca="1" si="51"/>
        <v>101.39999999999998</v>
      </c>
      <c r="AE89" s="100">
        <f t="shared" ca="1" si="50"/>
        <v>1.6899999999999997</v>
      </c>
      <c r="AF89" s="97"/>
      <c r="AG89" s="97"/>
      <c r="AH89" s="97"/>
      <c r="AI89" s="97"/>
      <c r="AJ89" s="97"/>
      <c r="AK89" s="97"/>
      <c r="AL89" s="97"/>
    </row>
    <row r="90" spans="1:38" s="26" customFormat="1" ht="25.5" hidden="1" customHeight="1" x14ac:dyDescent="0.25">
      <c r="A90" s="54" t="s">
        <v>280</v>
      </c>
      <c r="B90" s="55" t="s">
        <v>58</v>
      </c>
      <c r="C90" s="56" t="e">
        <f>'[1]61940'!$E$23</f>
        <v>#REF!</v>
      </c>
      <c r="D90" s="57" t="s">
        <v>204</v>
      </c>
      <c r="E90" s="56" t="e">
        <f>C90*I90/16</f>
        <v>#REF!</v>
      </c>
      <c r="F90" s="56"/>
      <c r="G90" s="8"/>
      <c r="H90" s="69" t="s">
        <v>10</v>
      </c>
      <c r="I90" s="70" t="e">
        <f>'[1]61940'!$D$11</f>
        <v>#REF!</v>
      </c>
      <c r="J90" s="71" t="s">
        <v>6</v>
      </c>
      <c r="K90" s="24" t="e">
        <f t="shared" si="53"/>
        <v>#REF!</v>
      </c>
      <c r="L90" s="78" t="s">
        <v>7</v>
      </c>
      <c r="M90" s="56" t="e">
        <f>'[1]61940'!$N$15</f>
        <v>#REF!</v>
      </c>
      <c r="N90" s="71" t="s">
        <v>6</v>
      </c>
      <c r="O90" s="25" t="e">
        <f t="shared" si="54"/>
        <v>#REF!</v>
      </c>
      <c r="P90" s="23" t="s">
        <v>7</v>
      </c>
      <c r="Q90" s="5"/>
      <c r="R90" s="21" t="s">
        <v>6</v>
      </c>
      <c r="S90" s="25" t="e">
        <f t="shared" si="60"/>
        <v>#REF!</v>
      </c>
      <c r="T90" s="80" t="e">
        <f t="shared" ca="1" si="52"/>
        <v>#NAME?</v>
      </c>
      <c r="U90" s="81" t="e">
        <f t="shared" ca="1" si="61"/>
        <v>#NAME?</v>
      </c>
      <c r="V90" s="81" t="e">
        <f t="shared" si="62"/>
        <v>#REF!</v>
      </c>
      <c r="W90" s="70" t="e">
        <f t="shared" ref="W90:W100" si="63">1000/M90</f>
        <v>#REF!</v>
      </c>
      <c r="X90" s="82" t="e">
        <f t="shared" ref="X90:X100" si="64">W90*I90</f>
        <v>#REF!</v>
      </c>
      <c r="Y90" s="97"/>
      <c r="Z90" s="98">
        <f t="shared" ca="1" si="49"/>
        <v>44.534596518987343</v>
      </c>
      <c r="AA90" s="99" t="e">
        <f t="shared" si="44"/>
        <v>#REF!</v>
      </c>
      <c r="AB90" s="97"/>
      <c r="AC90" s="98"/>
      <c r="AD90" s="100" t="e">
        <f t="shared" ca="1" si="51"/>
        <v>#NAME?</v>
      </c>
      <c r="AE90" s="97"/>
      <c r="AF90" s="97"/>
      <c r="AG90" s="97"/>
      <c r="AH90" s="97"/>
      <c r="AI90" s="97"/>
      <c r="AJ90" s="97"/>
      <c r="AK90" s="97"/>
      <c r="AL90" s="97"/>
    </row>
    <row r="91" spans="1:38" s="26" customFormat="1" ht="25.5" hidden="1" customHeight="1" x14ac:dyDescent="0.25">
      <c r="A91" s="54" t="s">
        <v>55</v>
      </c>
      <c r="B91" s="55" t="s">
        <v>59</v>
      </c>
      <c r="C91" s="56" t="e">
        <f>#REF!</f>
        <v>#REF!</v>
      </c>
      <c r="D91" s="57" t="s">
        <v>205</v>
      </c>
      <c r="E91" s="56" t="e">
        <f>C91*I91/16</f>
        <v>#REF!</v>
      </c>
      <c r="F91" s="56"/>
      <c r="G91" s="8"/>
      <c r="H91" s="69" t="s">
        <v>10</v>
      </c>
      <c r="I91" s="70" t="e">
        <f>#REF!</f>
        <v>#REF!</v>
      </c>
      <c r="J91" s="71" t="s">
        <v>6</v>
      </c>
      <c r="K91" s="24" t="e">
        <f t="shared" si="53"/>
        <v>#REF!</v>
      </c>
      <c r="L91" s="78" t="s">
        <v>7</v>
      </c>
      <c r="M91" s="56" t="e">
        <f>#REF!</f>
        <v>#REF!</v>
      </c>
      <c r="N91" s="71" t="s">
        <v>6</v>
      </c>
      <c r="O91" s="25" t="e">
        <f t="shared" si="54"/>
        <v>#REF!</v>
      </c>
      <c r="P91" s="23" t="s">
        <v>7</v>
      </c>
      <c r="Q91" s="5"/>
      <c r="R91" s="21" t="s">
        <v>6</v>
      </c>
      <c r="S91" s="25" t="e">
        <f t="shared" si="60"/>
        <v>#REF!</v>
      </c>
      <c r="T91" s="80" t="e">
        <f t="shared" ca="1" si="52"/>
        <v>#REF!</v>
      </c>
      <c r="U91" s="81" t="e">
        <f t="shared" ca="1" si="61"/>
        <v>#REF!</v>
      </c>
      <c r="V91" s="81" t="e">
        <f t="shared" si="62"/>
        <v>#REF!</v>
      </c>
      <c r="W91" s="70" t="e">
        <f t="shared" si="63"/>
        <v>#REF!</v>
      </c>
      <c r="X91" s="82" t="e">
        <f t="shared" si="64"/>
        <v>#REF!</v>
      </c>
      <c r="Y91" s="97"/>
      <c r="Z91" s="98">
        <f t="shared" ca="1" si="49"/>
        <v>44.534596518987343</v>
      </c>
      <c r="AA91" s="99" t="e">
        <f t="shared" si="44"/>
        <v>#REF!</v>
      </c>
      <c r="AB91" s="97"/>
      <c r="AC91" s="98"/>
      <c r="AD91" s="100" t="e">
        <f t="shared" ca="1" si="51"/>
        <v>#REF!</v>
      </c>
      <c r="AE91" s="97"/>
      <c r="AF91" s="97"/>
      <c r="AG91" s="97"/>
      <c r="AH91" s="97"/>
      <c r="AI91" s="97"/>
      <c r="AJ91" s="97"/>
      <c r="AK91" s="97"/>
      <c r="AL91" s="97"/>
    </row>
    <row r="92" spans="1:38" s="26" customFormat="1" ht="25.5" hidden="1" customHeight="1" x14ac:dyDescent="0.25">
      <c r="A92" s="54" t="s">
        <v>56</v>
      </c>
      <c r="B92" s="55" t="s">
        <v>60</v>
      </c>
      <c r="C92" s="56" t="e">
        <f>#REF!</f>
        <v>#REF!</v>
      </c>
      <c r="D92" s="57" t="s">
        <v>205</v>
      </c>
      <c r="E92" s="56" t="e">
        <f>C92*I92/16</f>
        <v>#REF!</v>
      </c>
      <c r="F92" s="56"/>
      <c r="G92" s="8"/>
      <c r="H92" s="69" t="s">
        <v>10</v>
      </c>
      <c r="I92" s="70" t="e">
        <f>#REF!</f>
        <v>#REF!</v>
      </c>
      <c r="J92" s="71" t="s">
        <v>6</v>
      </c>
      <c r="K92" s="24" t="e">
        <f t="shared" si="53"/>
        <v>#REF!</v>
      </c>
      <c r="L92" s="78" t="s">
        <v>7</v>
      </c>
      <c r="M92" s="56" t="e">
        <f>#REF!</f>
        <v>#REF!</v>
      </c>
      <c r="N92" s="71" t="s">
        <v>6</v>
      </c>
      <c r="O92" s="25" t="e">
        <f t="shared" si="54"/>
        <v>#REF!</v>
      </c>
      <c r="P92" s="23" t="s">
        <v>7</v>
      </c>
      <c r="Q92" s="5"/>
      <c r="R92" s="21" t="s">
        <v>6</v>
      </c>
      <c r="S92" s="25" t="e">
        <f t="shared" si="60"/>
        <v>#REF!</v>
      </c>
      <c r="T92" s="80" t="e">
        <f t="shared" ca="1" si="52"/>
        <v>#REF!</v>
      </c>
      <c r="U92" s="81" t="e">
        <f t="shared" ca="1" si="61"/>
        <v>#REF!</v>
      </c>
      <c r="V92" s="81" t="e">
        <f t="shared" si="62"/>
        <v>#REF!</v>
      </c>
      <c r="W92" s="70" t="e">
        <f t="shared" si="63"/>
        <v>#REF!</v>
      </c>
      <c r="X92" s="82" t="e">
        <f t="shared" si="64"/>
        <v>#REF!</v>
      </c>
      <c r="Y92" s="97"/>
      <c r="Z92" s="98">
        <f t="shared" ca="1" si="49"/>
        <v>44.534596518987343</v>
      </c>
      <c r="AA92" s="99" t="e">
        <f t="shared" si="44"/>
        <v>#REF!</v>
      </c>
      <c r="AB92" s="97"/>
      <c r="AC92" s="98"/>
      <c r="AD92" s="100" t="e">
        <f t="shared" ca="1" si="51"/>
        <v>#REF!</v>
      </c>
      <c r="AE92" s="97"/>
      <c r="AF92" s="97"/>
      <c r="AG92" s="97"/>
      <c r="AH92" s="97"/>
      <c r="AI92" s="97"/>
      <c r="AJ92" s="97"/>
      <c r="AK92" s="97"/>
      <c r="AL92" s="97"/>
    </row>
    <row r="93" spans="1:38" s="26" customFormat="1" ht="25.5" hidden="1" customHeight="1" x14ac:dyDescent="0.25">
      <c r="A93" s="54" t="s">
        <v>57</v>
      </c>
      <c r="B93" s="55" t="s">
        <v>61</v>
      </c>
      <c r="C93" s="56" t="e">
        <f>#REF!</f>
        <v>#REF!</v>
      </c>
      <c r="D93" s="57" t="s">
        <v>205</v>
      </c>
      <c r="E93" s="56" t="e">
        <f>C93*I93/16</f>
        <v>#REF!</v>
      </c>
      <c r="F93" s="56"/>
      <c r="G93" s="8"/>
      <c r="H93" s="69" t="s">
        <v>10</v>
      </c>
      <c r="I93" s="70" t="e">
        <f>#REF!</f>
        <v>#REF!</v>
      </c>
      <c r="J93" s="71" t="s">
        <v>6</v>
      </c>
      <c r="K93" s="24" t="e">
        <f t="shared" si="53"/>
        <v>#REF!</v>
      </c>
      <c r="L93" s="78" t="s">
        <v>7</v>
      </c>
      <c r="M93" s="56" t="e">
        <f>#REF!</f>
        <v>#REF!</v>
      </c>
      <c r="N93" s="71" t="s">
        <v>6</v>
      </c>
      <c r="O93" s="25" t="e">
        <f t="shared" si="54"/>
        <v>#REF!</v>
      </c>
      <c r="P93" s="23" t="s">
        <v>7</v>
      </c>
      <c r="Q93" s="5"/>
      <c r="R93" s="21" t="s">
        <v>6</v>
      </c>
      <c r="S93" s="25" t="e">
        <f t="shared" si="60"/>
        <v>#REF!</v>
      </c>
      <c r="T93" s="80" t="e">
        <f t="shared" ca="1" si="52"/>
        <v>#REF!</v>
      </c>
      <c r="U93" s="81" t="e">
        <f t="shared" ca="1" si="61"/>
        <v>#REF!</v>
      </c>
      <c r="V93" s="81" t="e">
        <f t="shared" si="62"/>
        <v>#REF!</v>
      </c>
      <c r="W93" s="70" t="e">
        <f t="shared" si="63"/>
        <v>#REF!</v>
      </c>
      <c r="X93" s="82" t="e">
        <f t="shared" si="64"/>
        <v>#REF!</v>
      </c>
      <c r="Y93" s="97"/>
      <c r="Z93" s="98">
        <f t="shared" ca="1" si="49"/>
        <v>44.534596518987343</v>
      </c>
      <c r="AA93" s="99" t="e">
        <f t="shared" si="44"/>
        <v>#REF!</v>
      </c>
      <c r="AB93" s="97"/>
      <c r="AC93" s="98"/>
      <c r="AD93" s="100" t="e">
        <f t="shared" ca="1" si="51"/>
        <v>#REF!</v>
      </c>
      <c r="AE93" s="97"/>
      <c r="AF93" s="97"/>
      <c r="AG93" s="97"/>
      <c r="AH93" s="97"/>
      <c r="AI93" s="97"/>
      <c r="AJ93" s="97"/>
      <c r="AK93" s="97"/>
      <c r="AL93" s="97"/>
    </row>
    <row r="94" spans="1:38" s="26" customFormat="1" ht="25.5" customHeight="1" x14ac:dyDescent="0.25">
      <c r="A94" s="54">
        <v>61948</v>
      </c>
      <c r="B94" s="55" t="s">
        <v>337</v>
      </c>
      <c r="C94" s="56">
        <v>12.33</v>
      </c>
      <c r="D94" s="57" t="s">
        <v>350</v>
      </c>
      <c r="E94" s="56">
        <v>23.11</v>
      </c>
      <c r="F94" s="58" t="s">
        <v>175</v>
      </c>
      <c r="G94" s="8"/>
      <c r="H94" s="69" t="s">
        <v>10</v>
      </c>
      <c r="I94" s="70">
        <f>'[1]61948'!$D$8</f>
        <v>30</v>
      </c>
      <c r="J94" s="71" t="s">
        <v>6</v>
      </c>
      <c r="K94" s="24">
        <f>G94/I94</f>
        <v>0</v>
      </c>
      <c r="L94" s="78" t="s">
        <v>7</v>
      </c>
      <c r="M94" s="56">
        <f>ROUND('[1]61948'!$M$8,2)</f>
        <v>0.94</v>
      </c>
      <c r="N94" s="71" t="s">
        <v>6</v>
      </c>
      <c r="O94" s="25">
        <f>K94*M94</f>
        <v>0</v>
      </c>
      <c r="P94" s="23" t="s">
        <v>7</v>
      </c>
      <c r="Q94" s="5"/>
      <c r="R94" s="21" t="s">
        <v>6</v>
      </c>
      <c r="S94" s="25">
        <f t="shared" ref="S94:S100" si="65">O94*Q94</f>
        <v>0</v>
      </c>
      <c r="T94" s="80">
        <f t="shared" si="52"/>
        <v>2.8529752000000004</v>
      </c>
      <c r="U94" s="81">
        <f t="shared" si="61"/>
        <v>85.589256000000006</v>
      </c>
      <c r="V94" s="81">
        <f t="shared" si="62"/>
        <v>1.8307439999999999</v>
      </c>
      <c r="W94" s="70">
        <f t="shared" si="63"/>
        <v>1063.8297872340427</v>
      </c>
      <c r="X94" s="82">
        <f t="shared" si="64"/>
        <v>31914.89361702128</v>
      </c>
      <c r="Y94" s="97"/>
      <c r="Z94" s="98">
        <f>AD94-AA94</f>
        <v>85.589256000000006</v>
      </c>
      <c r="AA94" s="99">
        <f t="shared" si="44"/>
        <v>1.8307439999999999</v>
      </c>
      <c r="AB94" s="97"/>
      <c r="AC94" s="98"/>
      <c r="AD94" s="105">
        <v>87.42</v>
      </c>
      <c r="AE94" s="100">
        <f t="shared" ref="AE94:AE100" si="66">AD94/I94</f>
        <v>2.9140000000000001</v>
      </c>
      <c r="AF94" s="97"/>
      <c r="AG94" s="97"/>
      <c r="AH94" s="97"/>
      <c r="AI94" s="97"/>
      <c r="AJ94" s="97"/>
      <c r="AK94" s="97"/>
      <c r="AL94" s="97"/>
    </row>
    <row r="95" spans="1:38" s="26" customFormat="1" ht="25.5" customHeight="1" x14ac:dyDescent="0.25">
      <c r="A95" s="54" t="s">
        <v>318</v>
      </c>
      <c r="B95" s="55" t="s">
        <v>317</v>
      </c>
      <c r="C95" s="56">
        <v>12.3</v>
      </c>
      <c r="D95" s="57" t="s">
        <v>342</v>
      </c>
      <c r="E95" s="56">
        <f>C95*I95/16</f>
        <v>23.0625</v>
      </c>
      <c r="F95" s="58" t="s">
        <v>177</v>
      </c>
      <c r="G95" s="8"/>
      <c r="H95" s="69" t="s">
        <v>10</v>
      </c>
      <c r="I95" s="70">
        <f>'[1]61921'!$D$11</f>
        <v>30</v>
      </c>
      <c r="J95" s="71" t="s">
        <v>6</v>
      </c>
      <c r="K95" s="24">
        <f>G95/I95</f>
        <v>0</v>
      </c>
      <c r="L95" s="78" t="s">
        <v>7</v>
      </c>
      <c r="M95" s="56">
        <f>ROUNDDOWN('[1]61921'!$N$14,2)</f>
        <v>1.87</v>
      </c>
      <c r="N95" s="71" t="s">
        <v>6</v>
      </c>
      <c r="O95" s="24">
        <f>K95*M95</f>
        <v>0</v>
      </c>
      <c r="P95" s="23" t="s">
        <v>7</v>
      </c>
      <c r="Q95" s="5"/>
      <c r="R95" s="21" t="s">
        <v>6</v>
      </c>
      <c r="S95" s="25">
        <f>O95*Q95</f>
        <v>0</v>
      </c>
      <c r="T95" s="80">
        <f t="shared" ref="T95:T100" si="67">Z95/I95</f>
        <v>2.7941267666666665</v>
      </c>
      <c r="U95" s="81">
        <f>T95*I95</f>
        <v>83.823802999999998</v>
      </c>
      <c r="V95" s="81">
        <f>AA95</f>
        <v>3.5961970000000001</v>
      </c>
      <c r="W95" s="70">
        <f>1000/M95</f>
        <v>534.75935828877004</v>
      </c>
      <c r="X95" s="82">
        <f>W95*I95</f>
        <v>16042.780748663101</v>
      </c>
      <c r="Y95" s="97"/>
      <c r="Z95" s="98">
        <f>AD95-AA95</f>
        <v>83.823802999999998</v>
      </c>
      <c r="AA95" s="99">
        <f t="shared" si="44"/>
        <v>3.5961970000000001</v>
      </c>
      <c r="AB95" s="97"/>
      <c r="AC95" s="98"/>
      <c r="AD95" s="105">
        <v>87.42</v>
      </c>
      <c r="AE95" s="100">
        <f>AD95/I95</f>
        <v>2.9140000000000001</v>
      </c>
      <c r="AF95" s="97"/>
      <c r="AG95" s="97"/>
      <c r="AH95" s="97"/>
      <c r="AI95" s="97"/>
      <c r="AJ95" s="97"/>
      <c r="AK95" s="97"/>
      <c r="AL95" s="97"/>
    </row>
    <row r="96" spans="1:38" s="26" customFormat="1" ht="25.5" customHeight="1" x14ac:dyDescent="0.25">
      <c r="A96" s="54">
        <v>61955</v>
      </c>
      <c r="B96" s="55" t="s">
        <v>341</v>
      </c>
      <c r="C96" s="56">
        <v>11.9</v>
      </c>
      <c r="D96" s="57" t="s">
        <v>342</v>
      </c>
      <c r="E96" s="56">
        <v>22.3</v>
      </c>
      <c r="F96" s="104">
        <v>110244</v>
      </c>
      <c r="G96" s="8"/>
      <c r="H96" s="69" t="s">
        <v>10</v>
      </c>
      <c r="I96" s="70">
        <v>30</v>
      </c>
      <c r="J96" s="71" t="s">
        <v>6</v>
      </c>
      <c r="K96" s="24">
        <f>G96/I96</f>
        <v>0</v>
      </c>
      <c r="L96" s="78" t="s">
        <v>7</v>
      </c>
      <c r="M96" s="56">
        <v>1.88</v>
      </c>
      <c r="N96" s="71" t="s">
        <v>6</v>
      </c>
      <c r="O96" s="24">
        <f>K96*M96</f>
        <v>0</v>
      </c>
      <c r="P96" s="23" t="s">
        <v>7</v>
      </c>
      <c r="Q96" s="5"/>
      <c r="R96" s="21" t="s">
        <v>6</v>
      </c>
      <c r="S96" s="25">
        <f>O96*Q96</f>
        <v>0</v>
      </c>
      <c r="T96" s="80">
        <f t="shared" si="67"/>
        <v>2.6334857333333335</v>
      </c>
      <c r="U96" s="81">
        <f>T96*I96</f>
        <v>79.00457200000001</v>
      </c>
      <c r="V96" s="81">
        <f>AA96</f>
        <v>3.6154279999999996</v>
      </c>
      <c r="W96" s="70">
        <f>1000/M96</f>
        <v>531.91489361702133</v>
      </c>
      <c r="X96" s="82">
        <f>W96*I96</f>
        <v>15957.44680851064</v>
      </c>
      <c r="Y96" s="97"/>
      <c r="Z96" s="98">
        <f>AD96-AA96</f>
        <v>79.00457200000001</v>
      </c>
      <c r="AA96" s="99">
        <f t="shared" si="44"/>
        <v>3.6154279999999996</v>
      </c>
      <c r="AB96" s="97"/>
      <c r="AC96" s="98"/>
      <c r="AD96" s="105">
        <v>82.62</v>
      </c>
      <c r="AE96" s="100">
        <f>AD96/I96</f>
        <v>2.754</v>
      </c>
      <c r="AF96" s="97"/>
      <c r="AG96" s="97"/>
      <c r="AH96" s="97"/>
      <c r="AI96" s="97"/>
      <c r="AJ96" s="97"/>
      <c r="AK96" s="97"/>
      <c r="AL96" s="97"/>
    </row>
    <row r="97" spans="1:38" s="26" customFormat="1" ht="25.5" hidden="1" customHeight="1" x14ac:dyDescent="0.25">
      <c r="A97" s="54">
        <v>61952</v>
      </c>
      <c r="B97" s="55" t="s">
        <v>303</v>
      </c>
      <c r="C97" s="56">
        <v>12.4</v>
      </c>
      <c r="D97" s="57" t="s">
        <v>304</v>
      </c>
      <c r="E97" s="56">
        <f>C97*I97/16</f>
        <v>23.25</v>
      </c>
      <c r="F97" s="58" t="s">
        <v>177</v>
      </c>
      <c r="G97" s="8"/>
      <c r="H97" s="69" t="s">
        <v>10</v>
      </c>
      <c r="I97" s="70">
        <f>'[1]61952'!$D$8</f>
        <v>30</v>
      </c>
      <c r="J97" s="71" t="s">
        <v>6</v>
      </c>
      <c r="K97" s="24">
        <f>G97/I97</f>
        <v>0</v>
      </c>
      <c r="L97" s="78" t="s">
        <v>7</v>
      </c>
      <c r="M97" s="56">
        <f>ROUND('[1]61952'!$M$8,2)</f>
        <v>1.87</v>
      </c>
      <c r="N97" s="71" t="s">
        <v>6</v>
      </c>
      <c r="O97" s="25">
        <f>K97*M97</f>
        <v>0</v>
      </c>
      <c r="P97" s="23" t="s">
        <v>7</v>
      </c>
      <c r="Q97" s="5"/>
      <c r="R97" s="21" t="s">
        <v>6</v>
      </c>
      <c r="S97" s="25">
        <f t="shared" si="65"/>
        <v>0</v>
      </c>
      <c r="T97" s="80">
        <f t="shared" si="67"/>
        <v>2.7994999000000003</v>
      </c>
      <c r="U97" s="81">
        <f t="shared" si="61"/>
        <v>83.984997000000007</v>
      </c>
      <c r="V97" s="81">
        <f t="shared" si="62"/>
        <v>3.435003</v>
      </c>
      <c r="W97" s="70">
        <f t="shared" si="63"/>
        <v>534.75935828877004</v>
      </c>
      <c r="X97" s="82">
        <f t="shared" si="64"/>
        <v>16042.780748663101</v>
      </c>
      <c r="Y97" s="97"/>
      <c r="Z97" s="98">
        <f t="shared" si="49"/>
        <v>83.984997000000007</v>
      </c>
      <c r="AA97" s="99">
        <f>IF(F97="110242",AC$156*M97,AC$157*M97)</f>
        <v>3.435003</v>
      </c>
      <c r="AB97" s="97"/>
      <c r="AC97" s="98"/>
      <c r="AD97" s="100">
        <v>87.42</v>
      </c>
      <c r="AE97" s="100">
        <f t="shared" si="66"/>
        <v>2.9140000000000001</v>
      </c>
      <c r="AF97" s="97"/>
      <c r="AG97" s="97"/>
      <c r="AH97" s="97"/>
      <c r="AI97" s="97"/>
      <c r="AJ97" s="97"/>
      <c r="AK97" s="97"/>
      <c r="AL97" s="97"/>
    </row>
    <row r="98" spans="1:38" s="26" customFormat="1" ht="25.5" hidden="1" customHeight="1" x14ac:dyDescent="0.25">
      <c r="A98" s="54">
        <v>61953</v>
      </c>
      <c r="B98" s="55" t="s">
        <v>305</v>
      </c>
      <c r="C98" s="56">
        <v>13.4</v>
      </c>
      <c r="D98" s="57" t="s">
        <v>306</v>
      </c>
      <c r="E98" s="56">
        <v>25.1</v>
      </c>
      <c r="F98" s="58" t="s">
        <v>175</v>
      </c>
      <c r="G98" s="8"/>
      <c r="H98" s="69" t="s">
        <v>10</v>
      </c>
      <c r="I98" s="70">
        <f>'[1]61953'!$D$8</f>
        <v>30</v>
      </c>
      <c r="J98" s="71" t="s">
        <v>6</v>
      </c>
      <c r="K98" s="24">
        <f>G98/I98</f>
        <v>0</v>
      </c>
      <c r="L98" s="78" t="s">
        <v>7</v>
      </c>
      <c r="M98" s="56">
        <f>ROUND('[1]61953'!$M$8,2)</f>
        <v>0.94</v>
      </c>
      <c r="N98" s="71" t="s">
        <v>6</v>
      </c>
      <c r="O98" s="25">
        <f>K98*M98</f>
        <v>0</v>
      </c>
      <c r="P98" s="23" t="s">
        <v>7</v>
      </c>
      <c r="Q98" s="5"/>
      <c r="R98" s="21" t="s">
        <v>6</v>
      </c>
      <c r="S98" s="25">
        <f t="shared" si="65"/>
        <v>0</v>
      </c>
      <c r="T98" s="80">
        <f t="shared" si="67"/>
        <v>2.8595583333333332</v>
      </c>
      <c r="U98" s="81">
        <f t="shared" si="61"/>
        <v>85.786749999999998</v>
      </c>
      <c r="V98" s="81">
        <f t="shared" si="62"/>
        <v>1.6332499999999999</v>
      </c>
      <c r="W98" s="70">
        <f t="shared" si="63"/>
        <v>1063.8297872340427</v>
      </c>
      <c r="X98" s="82">
        <f t="shared" si="64"/>
        <v>31914.89361702128</v>
      </c>
      <c r="Y98" s="97"/>
      <c r="Z98" s="98">
        <f t="shared" si="49"/>
        <v>85.786749999999998</v>
      </c>
      <c r="AA98" s="99">
        <f>IF(F98="110242",AC$156*M98,AC$157*M98)</f>
        <v>1.6332499999999999</v>
      </c>
      <c r="AB98" s="97"/>
      <c r="AC98" s="98"/>
      <c r="AD98" s="100">
        <v>87.42</v>
      </c>
      <c r="AE98" s="100">
        <f t="shared" si="66"/>
        <v>2.9140000000000001</v>
      </c>
      <c r="AF98" s="97"/>
      <c r="AG98" s="97"/>
      <c r="AH98" s="97"/>
      <c r="AI98" s="97"/>
      <c r="AJ98" s="97"/>
      <c r="AK98" s="97"/>
      <c r="AL98" s="97"/>
    </row>
    <row r="99" spans="1:38" s="26" customFormat="1" ht="25.5" hidden="1" customHeight="1" x14ac:dyDescent="0.25">
      <c r="A99" s="54" t="s">
        <v>297</v>
      </c>
      <c r="B99" s="55" t="s">
        <v>298</v>
      </c>
      <c r="C99" s="56">
        <v>13.4</v>
      </c>
      <c r="D99" s="57" t="s">
        <v>259</v>
      </c>
      <c r="E99" s="56">
        <v>25.1</v>
      </c>
      <c r="F99" s="58" t="s">
        <v>177</v>
      </c>
      <c r="G99" s="8"/>
      <c r="H99" s="69" t="s">
        <v>10</v>
      </c>
      <c r="I99" s="70">
        <f>'[1]61954'!$D$8</f>
        <v>30</v>
      </c>
      <c r="J99" s="71" t="s">
        <v>6</v>
      </c>
      <c r="K99" s="24">
        <f t="shared" si="53"/>
        <v>0</v>
      </c>
      <c r="L99" s="78" t="s">
        <v>7</v>
      </c>
      <c r="M99" s="56">
        <v>1.88</v>
      </c>
      <c r="N99" s="71" t="s">
        <v>6</v>
      </c>
      <c r="O99" s="24">
        <f t="shared" si="54"/>
        <v>0</v>
      </c>
      <c r="P99" s="23" t="s">
        <v>7</v>
      </c>
      <c r="Q99" s="5"/>
      <c r="R99" s="21" t="s">
        <v>6</v>
      </c>
      <c r="S99" s="25">
        <f t="shared" si="65"/>
        <v>0</v>
      </c>
      <c r="T99" s="80">
        <f t="shared" si="67"/>
        <v>2.7988876</v>
      </c>
      <c r="U99" s="81">
        <f t="shared" si="61"/>
        <v>83.966628</v>
      </c>
      <c r="V99" s="81">
        <f t="shared" si="62"/>
        <v>3.4533719999999999</v>
      </c>
      <c r="W99" s="70">
        <f t="shared" si="63"/>
        <v>531.91489361702133</v>
      </c>
      <c r="X99" s="82">
        <f t="shared" si="64"/>
        <v>15957.44680851064</v>
      </c>
      <c r="Y99" s="97"/>
      <c r="Z99" s="98">
        <f t="shared" si="49"/>
        <v>83.966628</v>
      </c>
      <c r="AA99" s="99">
        <f>IF(F99="110242",AC$156*M99,AC$157*M99)</f>
        <v>3.4533719999999999</v>
      </c>
      <c r="AB99" s="97"/>
      <c r="AC99" s="98"/>
      <c r="AD99" s="100">
        <v>87.42</v>
      </c>
      <c r="AE99" s="100">
        <f t="shared" si="66"/>
        <v>2.9140000000000001</v>
      </c>
      <c r="AF99" s="97"/>
      <c r="AG99" s="97"/>
      <c r="AH99" s="97"/>
      <c r="AI99" s="97"/>
      <c r="AJ99" s="97"/>
      <c r="AK99" s="97"/>
      <c r="AL99" s="97"/>
    </row>
    <row r="100" spans="1:38" s="26" customFormat="1" ht="25.5" hidden="1" customHeight="1" x14ac:dyDescent="0.25">
      <c r="A100" s="54" t="s">
        <v>302</v>
      </c>
      <c r="B100" s="55" t="s">
        <v>281</v>
      </c>
      <c r="C100" s="56">
        <f>'[1]61940'!$E$13</f>
        <v>3.1</v>
      </c>
      <c r="D100" s="57" t="s">
        <v>282</v>
      </c>
      <c r="E100" s="56">
        <f>C100*I100/16</f>
        <v>11.625</v>
      </c>
      <c r="F100" s="58" t="s">
        <v>177</v>
      </c>
      <c r="G100" s="8"/>
      <c r="H100" s="69" t="s">
        <v>10</v>
      </c>
      <c r="I100" s="70">
        <f>'[1]61940'!$D$8</f>
        <v>60</v>
      </c>
      <c r="J100" s="71" t="s">
        <v>6</v>
      </c>
      <c r="K100" s="24">
        <f t="shared" si="53"/>
        <v>0</v>
      </c>
      <c r="L100" s="78" t="s">
        <v>7</v>
      </c>
      <c r="M100" s="56">
        <f>'[1]61940'!$M$8</f>
        <v>3.7422338709677425</v>
      </c>
      <c r="N100" s="71" t="s">
        <v>6</v>
      </c>
      <c r="O100" s="25">
        <f t="shared" si="54"/>
        <v>0</v>
      </c>
      <c r="P100" s="23" t="s">
        <v>7</v>
      </c>
      <c r="Q100" s="5"/>
      <c r="R100" s="21" t="s">
        <v>6</v>
      </c>
      <c r="S100" s="25">
        <f t="shared" si="65"/>
        <v>0</v>
      </c>
      <c r="T100" s="80">
        <f t="shared" si="67"/>
        <v>2.1394315100403229</v>
      </c>
      <c r="U100" s="81">
        <f t="shared" si="61"/>
        <v>128.36589060241937</v>
      </c>
      <c r="V100" s="81">
        <f t="shared" si="62"/>
        <v>6.8741093975806464</v>
      </c>
      <c r="W100" s="70">
        <f t="shared" si="63"/>
        <v>267.22007081331873</v>
      </c>
      <c r="X100" s="82">
        <f t="shared" si="64"/>
        <v>16033.204248799124</v>
      </c>
      <c r="Y100" s="97"/>
      <c r="Z100" s="98">
        <f t="shared" si="49"/>
        <v>128.36589060241937</v>
      </c>
      <c r="AA100" s="99">
        <f>IF(F100="110242",AC$156*M100,AC$157*M100)</f>
        <v>6.8741093975806464</v>
      </c>
      <c r="AB100" s="97"/>
      <c r="AC100" s="98"/>
      <c r="AD100" s="100">
        <v>135.24</v>
      </c>
      <c r="AE100" s="100">
        <f t="shared" si="66"/>
        <v>2.254</v>
      </c>
      <c r="AF100" s="97"/>
      <c r="AG100" s="97"/>
      <c r="AH100" s="97"/>
      <c r="AI100" s="97"/>
      <c r="AJ100" s="97"/>
      <c r="AK100" s="97"/>
      <c r="AL100" s="97"/>
    </row>
    <row r="101" spans="1:38" s="26" customFormat="1" ht="15.75" customHeight="1" x14ac:dyDescent="0.25">
      <c r="A101" s="65" t="s">
        <v>73</v>
      </c>
      <c r="B101" s="66"/>
      <c r="C101" s="67"/>
      <c r="D101" s="68"/>
      <c r="E101" s="67"/>
      <c r="F101" s="67"/>
      <c r="G101" s="31"/>
      <c r="H101" s="75"/>
      <c r="I101" s="76"/>
      <c r="J101" s="77"/>
      <c r="K101" s="33"/>
      <c r="L101" s="79"/>
      <c r="M101" s="67"/>
      <c r="N101" s="77"/>
      <c r="O101" s="35"/>
      <c r="P101" s="34"/>
      <c r="Q101" s="36"/>
      <c r="R101" s="32"/>
      <c r="S101" s="35"/>
      <c r="T101" s="83"/>
      <c r="U101" s="84"/>
      <c r="V101" s="84"/>
      <c r="W101" s="76"/>
      <c r="X101" s="85"/>
      <c r="Y101" s="97"/>
      <c r="Z101" s="98"/>
      <c r="AA101" s="99"/>
      <c r="AB101" s="97"/>
      <c r="AC101" s="98"/>
      <c r="AD101" s="100"/>
      <c r="AE101" s="97"/>
      <c r="AF101" s="97"/>
      <c r="AG101" s="97"/>
      <c r="AH101" s="97"/>
      <c r="AI101" s="97"/>
      <c r="AJ101" s="97"/>
      <c r="AK101" s="97"/>
      <c r="AL101" s="97"/>
    </row>
    <row r="102" spans="1:38" s="26" customFormat="1" ht="25.5" hidden="1" customHeight="1" x14ac:dyDescent="0.25">
      <c r="A102" s="54" t="s">
        <v>41</v>
      </c>
      <c r="B102" s="55" t="s">
        <v>44</v>
      </c>
      <c r="C102" s="56" t="e">
        <f>#REF!</f>
        <v>#REF!</v>
      </c>
      <c r="D102" s="57" t="s">
        <v>206</v>
      </c>
      <c r="E102" s="56" t="e">
        <f t="shared" ref="E102:E107" si="68">C102*I102/16</f>
        <v>#REF!</v>
      </c>
      <c r="F102" s="56" t="s">
        <v>175</v>
      </c>
      <c r="G102" s="8"/>
      <c r="H102" s="69" t="s">
        <v>10</v>
      </c>
      <c r="I102" s="70" t="e">
        <f>#REF!</f>
        <v>#REF!</v>
      </c>
      <c r="J102" s="71" t="s">
        <v>6</v>
      </c>
      <c r="K102" s="24" t="e">
        <f t="shared" ref="K102:K116" si="69">G102/I102</f>
        <v>#REF!</v>
      </c>
      <c r="L102" s="78" t="s">
        <v>7</v>
      </c>
      <c r="M102" s="56">
        <v>1.875</v>
      </c>
      <c r="N102" s="71" t="s">
        <v>6</v>
      </c>
      <c r="O102" s="24" t="e">
        <f t="shared" ref="O102:O116" si="70">K102*M102</f>
        <v>#REF!</v>
      </c>
      <c r="P102" s="23" t="s">
        <v>7</v>
      </c>
      <c r="Q102" s="5"/>
      <c r="R102" s="21" t="s">
        <v>6</v>
      </c>
      <c r="S102" s="25" t="e">
        <f t="shared" ref="S102:S107" si="71">O102*Q102</f>
        <v>#REF!</v>
      </c>
      <c r="T102" s="80" t="e">
        <f t="shared" ref="T102:T116" si="72">Z102/I102</f>
        <v>#NAME?</v>
      </c>
      <c r="U102" s="81" t="e">
        <f t="shared" ref="U102:U116" si="73">T102*I102</f>
        <v>#NAME?</v>
      </c>
      <c r="V102" s="81">
        <f t="shared" ref="V102:V116" si="74">AA102</f>
        <v>3.3667500000000001</v>
      </c>
      <c r="W102" s="70">
        <f t="shared" ref="W102:W116" si="75">1000/M102</f>
        <v>533.33333333333337</v>
      </c>
      <c r="X102" s="82" t="e">
        <f t="shared" ref="X102:X116" si="76">W102*I102</f>
        <v>#REF!</v>
      </c>
      <c r="Y102" s="97"/>
      <c r="Z102" s="98" t="e">
        <v>#NAME?</v>
      </c>
      <c r="AA102" s="99">
        <f>M102*AC$152</f>
        <v>3.3667500000000001</v>
      </c>
      <c r="AB102" s="97"/>
      <c r="AC102" s="98"/>
      <c r="AD102" s="100" t="e">
        <f>U102+AA102+AC102</f>
        <v>#NAME?</v>
      </c>
      <c r="AE102" s="97"/>
      <c r="AF102" s="97"/>
      <c r="AG102" s="97"/>
      <c r="AH102" s="97"/>
      <c r="AI102" s="97"/>
      <c r="AJ102" s="97"/>
      <c r="AK102" s="97"/>
      <c r="AL102" s="97"/>
    </row>
    <row r="103" spans="1:38" ht="25.5" customHeight="1" x14ac:dyDescent="0.3">
      <c r="A103" s="54">
        <v>40244</v>
      </c>
      <c r="B103" s="55" t="s">
        <v>338</v>
      </c>
      <c r="C103" s="56">
        <v>1</v>
      </c>
      <c r="D103" s="57" t="s">
        <v>313</v>
      </c>
      <c r="E103" s="61">
        <f t="shared" si="68"/>
        <v>10</v>
      </c>
      <c r="F103" s="58" t="s">
        <v>177</v>
      </c>
      <c r="G103" s="8"/>
      <c r="H103" s="69" t="s">
        <v>10</v>
      </c>
      <c r="I103" s="70">
        <f>'[1]40247'!$D$8</f>
        <v>160</v>
      </c>
      <c r="J103" s="74" t="s">
        <v>6</v>
      </c>
      <c r="K103" s="22">
        <f>G103/I103</f>
        <v>0</v>
      </c>
      <c r="L103" s="78" t="s">
        <v>7</v>
      </c>
      <c r="M103" s="56">
        <f>'[1]40247'!$M$8</f>
        <v>10</v>
      </c>
      <c r="N103" s="71" t="s">
        <v>6</v>
      </c>
      <c r="O103" s="24">
        <f>K103*M103</f>
        <v>0</v>
      </c>
      <c r="P103" s="23" t="s">
        <v>7</v>
      </c>
      <c r="Q103" s="5"/>
      <c r="R103" s="21" t="s">
        <v>6</v>
      </c>
      <c r="S103" s="25">
        <f t="shared" si="71"/>
        <v>0</v>
      </c>
      <c r="T103" s="80">
        <f>Z103/I103</f>
        <v>0.28211875000000003</v>
      </c>
      <c r="U103" s="81">
        <f>T103*I103</f>
        <v>45.139000000000003</v>
      </c>
      <c r="V103" s="81">
        <f>AA103</f>
        <v>19.231000000000002</v>
      </c>
      <c r="W103" s="70">
        <f>1000/M103</f>
        <v>100</v>
      </c>
      <c r="X103" s="82">
        <f>W103*I103</f>
        <v>16000</v>
      </c>
      <c r="Z103" s="98">
        <f>AD103-AA103</f>
        <v>45.139000000000003</v>
      </c>
      <c r="AA103" s="99">
        <f>IF(F103="110242",AD$152*M103,AD$153*M103)</f>
        <v>19.231000000000002</v>
      </c>
      <c r="AD103" s="105">
        <v>64.37</v>
      </c>
      <c r="AE103" s="100">
        <f>AD103/I103</f>
        <v>0.40231250000000002</v>
      </c>
    </row>
    <row r="104" spans="1:38" ht="25.5" customHeight="1" x14ac:dyDescent="0.3">
      <c r="A104" s="54">
        <v>40247</v>
      </c>
      <c r="B104" s="55" t="s">
        <v>336</v>
      </c>
      <c r="C104" s="56">
        <v>1</v>
      </c>
      <c r="D104" s="57" t="s">
        <v>313</v>
      </c>
      <c r="E104" s="61">
        <f t="shared" si="68"/>
        <v>10</v>
      </c>
      <c r="F104" s="58" t="s">
        <v>175</v>
      </c>
      <c r="G104" s="8"/>
      <c r="H104" s="69" t="s">
        <v>10</v>
      </c>
      <c r="I104" s="70">
        <f>'[1]40247'!$D$8</f>
        <v>160</v>
      </c>
      <c r="J104" s="74" t="s">
        <v>6</v>
      </c>
      <c r="K104" s="22">
        <f>G104/I104</f>
        <v>0</v>
      </c>
      <c r="L104" s="78" t="s">
        <v>7</v>
      </c>
      <c r="M104" s="56">
        <f>'[1]40247'!$M$8</f>
        <v>10</v>
      </c>
      <c r="N104" s="71" t="s">
        <v>6</v>
      </c>
      <c r="O104" s="24">
        <f>K104*M104</f>
        <v>0</v>
      </c>
      <c r="P104" s="23" t="s">
        <v>7</v>
      </c>
      <c r="Q104" s="5"/>
      <c r="R104" s="21" t="s">
        <v>6</v>
      </c>
      <c r="S104" s="25">
        <f t="shared" si="71"/>
        <v>0</v>
      </c>
      <c r="T104" s="80">
        <f>Z104/I104</f>
        <v>0.27440000000000003</v>
      </c>
      <c r="U104" s="81">
        <f>T104*I104</f>
        <v>43.904000000000003</v>
      </c>
      <c r="V104" s="81">
        <f>AA104</f>
        <v>19.475999999999999</v>
      </c>
      <c r="W104" s="70">
        <f>1000/M104</f>
        <v>100</v>
      </c>
      <c r="X104" s="82">
        <f>W104*I104</f>
        <v>16000</v>
      </c>
      <c r="Z104" s="98">
        <f>AD104-AA104</f>
        <v>43.904000000000003</v>
      </c>
      <c r="AA104" s="99">
        <f>IF(F104="110242",AD$152*M104,AD$153*M104)</f>
        <v>19.475999999999999</v>
      </c>
      <c r="AD104" s="105">
        <v>63.38</v>
      </c>
      <c r="AE104" s="100">
        <f>AD104/I104</f>
        <v>0.396125</v>
      </c>
    </row>
    <row r="105" spans="1:38" ht="25.5" hidden="1" customHeight="1" x14ac:dyDescent="0.3">
      <c r="A105" s="54">
        <v>40248</v>
      </c>
      <c r="B105" s="55" t="s">
        <v>311</v>
      </c>
      <c r="C105" s="56">
        <v>1</v>
      </c>
      <c r="D105" s="57" t="s">
        <v>313</v>
      </c>
      <c r="E105" s="61">
        <f t="shared" si="68"/>
        <v>10</v>
      </c>
      <c r="F105" s="58" t="s">
        <v>175</v>
      </c>
      <c r="G105" s="8"/>
      <c r="H105" s="69" t="s">
        <v>10</v>
      </c>
      <c r="I105" s="70">
        <f>'[1]40248'!$D$8</f>
        <v>160</v>
      </c>
      <c r="J105" s="74" t="s">
        <v>6</v>
      </c>
      <c r="K105" s="22">
        <f>G105/I105</f>
        <v>0</v>
      </c>
      <c r="L105" s="78" t="s">
        <v>7</v>
      </c>
      <c r="M105" s="56">
        <f>'[1]40248'!$M$8</f>
        <v>10</v>
      </c>
      <c r="N105" s="71" t="s">
        <v>6</v>
      </c>
      <c r="O105" s="24">
        <f>K105*M105</f>
        <v>0</v>
      </c>
      <c r="P105" s="23" t="s">
        <v>7</v>
      </c>
      <c r="Q105" s="5"/>
      <c r="R105" s="21" t="s">
        <v>6</v>
      </c>
      <c r="S105" s="25">
        <f t="shared" si="71"/>
        <v>0</v>
      </c>
      <c r="T105" s="80">
        <f>Z105/I105</f>
        <v>0.21811875</v>
      </c>
      <c r="U105" s="81">
        <f>T105*I105</f>
        <v>34.899000000000001</v>
      </c>
      <c r="V105" s="81">
        <f>AA105</f>
        <v>19.475999999999999</v>
      </c>
      <c r="W105" s="70">
        <f>1000/M105</f>
        <v>100</v>
      </c>
      <c r="X105" s="82">
        <f>W105*I105</f>
        <v>16000</v>
      </c>
      <c r="Z105" s="98">
        <f>AD105-AA105</f>
        <v>34.899000000000001</v>
      </c>
      <c r="AA105" s="99">
        <f>IF(F105="110242",AD$152*M105,AD$153*M105)</f>
        <v>19.475999999999999</v>
      </c>
      <c r="AD105" s="100">
        <v>54.375</v>
      </c>
      <c r="AE105" s="100">
        <f>AD105/I105</f>
        <v>0.33984375</v>
      </c>
    </row>
    <row r="106" spans="1:38" ht="25.5" hidden="1" customHeight="1" x14ac:dyDescent="0.3">
      <c r="A106" s="54">
        <v>40249</v>
      </c>
      <c r="B106" s="55" t="s">
        <v>312</v>
      </c>
      <c r="C106" s="56">
        <v>1</v>
      </c>
      <c r="D106" s="57" t="s">
        <v>313</v>
      </c>
      <c r="E106" s="61">
        <f t="shared" si="68"/>
        <v>10</v>
      </c>
      <c r="F106" s="58" t="s">
        <v>175</v>
      </c>
      <c r="G106" s="8"/>
      <c r="H106" s="69" t="s">
        <v>10</v>
      </c>
      <c r="I106" s="70">
        <f>'[1]40249'!$D$8</f>
        <v>160</v>
      </c>
      <c r="J106" s="74" t="s">
        <v>6</v>
      </c>
      <c r="K106" s="22">
        <f>G106/I106</f>
        <v>0</v>
      </c>
      <c r="L106" s="78" t="s">
        <v>7</v>
      </c>
      <c r="M106" s="56">
        <f>'[1]40249'!$M$8</f>
        <v>10</v>
      </c>
      <c r="N106" s="71" t="s">
        <v>6</v>
      </c>
      <c r="O106" s="24">
        <f>K106*M106</f>
        <v>0</v>
      </c>
      <c r="P106" s="23" t="s">
        <v>7</v>
      </c>
      <c r="Q106" s="5"/>
      <c r="R106" s="21" t="s">
        <v>6</v>
      </c>
      <c r="S106" s="25">
        <f t="shared" si="71"/>
        <v>0</v>
      </c>
      <c r="T106" s="80">
        <f>Z106/I106</f>
        <v>0.21811875</v>
      </c>
      <c r="U106" s="81">
        <f>T106*I106</f>
        <v>34.899000000000001</v>
      </c>
      <c r="V106" s="81">
        <f>AA106</f>
        <v>19.475999999999999</v>
      </c>
      <c r="W106" s="70">
        <f>1000/M106</f>
        <v>100</v>
      </c>
      <c r="X106" s="82">
        <f>W106*I106</f>
        <v>16000</v>
      </c>
      <c r="Z106" s="98">
        <f>AD106-AA106</f>
        <v>34.899000000000001</v>
      </c>
      <c r="AA106" s="99">
        <f>IF(F106="110242",AD$152*M106,AD$153*M106)</f>
        <v>19.475999999999999</v>
      </c>
      <c r="AD106" s="100">
        <v>54.375</v>
      </c>
      <c r="AE106" s="100">
        <f>AD106/I106</f>
        <v>0.33984375</v>
      </c>
    </row>
    <row r="107" spans="1:38" ht="25.5" customHeight="1" x14ac:dyDescent="0.3">
      <c r="A107" s="54">
        <v>40250</v>
      </c>
      <c r="B107" s="55" t="s">
        <v>336</v>
      </c>
      <c r="C107" s="56">
        <v>2</v>
      </c>
      <c r="D107" s="57" t="s">
        <v>316</v>
      </c>
      <c r="E107" s="56">
        <f t="shared" si="68"/>
        <v>10.5</v>
      </c>
      <c r="F107" s="58" t="s">
        <v>175</v>
      </c>
      <c r="G107" s="8"/>
      <c r="H107" s="69" t="s">
        <v>10</v>
      </c>
      <c r="I107" s="70">
        <f>'[1]40250'!$D$8</f>
        <v>84</v>
      </c>
      <c r="J107" s="74" t="s">
        <v>6</v>
      </c>
      <c r="K107" s="22">
        <f>G107/I107</f>
        <v>0</v>
      </c>
      <c r="L107" s="78" t="s">
        <v>7</v>
      </c>
      <c r="M107" s="56">
        <f>'[1]40250'!$M$8</f>
        <v>10.5</v>
      </c>
      <c r="N107" s="71" t="s">
        <v>6</v>
      </c>
      <c r="O107" s="24">
        <f>K107*M107</f>
        <v>0</v>
      </c>
      <c r="P107" s="23" t="s">
        <v>7</v>
      </c>
      <c r="Q107" s="5"/>
      <c r="R107" s="21" t="s">
        <v>6</v>
      </c>
      <c r="S107" s="25">
        <f t="shared" si="71"/>
        <v>0</v>
      </c>
      <c r="T107" s="80">
        <f>Z107/I107</f>
        <v>0.55000238095238108</v>
      </c>
      <c r="U107" s="81">
        <f>T107*I107</f>
        <v>46.200200000000009</v>
      </c>
      <c r="V107" s="81">
        <f>AA107</f>
        <v>20.4498</v>
      </c>
      <c r="W107" s="70">
        <f>1000/M107</f>
        <v>95.238095238095241</v>
      </c>
      <c r="X107" s="82">
        <f>W107*I107</f>
        <v>8000</v>
      </c>
      <c r="Z107" s="98">
        <f>AD107-AA107</f>
        <v>46.200200000000009</v>
      </c>
      <c r="AA107" s="99">
        <f>IF(F107="110242",AD$152*M107,AD$153*M107)</f>
        <v>20.4498</v>
      </c>
      <c r="AD107" s="105">
        <v>66.650000000000006</v>
      </c>
      <c r="AE107" s="100">
        <f>AD107/I107</f>
        <v>0.79345238095238102</v>
      </c>
    </row>
    <row r="108" spans="1:38" s="26" customFormat="1" ht="15.75" customHeight="1" x14ac:dyDescent="0.25">
      <c r="A108" s="65" t="s">
        <v>73</v>
      </c>
      <c r="B108" s="66"/>
      <c r="C108" s="67"/>
      <c r="D108" s="68"/>
      <c r="E108" s="67"/>
      <c r="F108" s="67"/>
      <c r="G108" s="31"/>
      <c r="H108" s="75"/>
      <c r="I108" s="76"/>
      <c r="J108" s="77"/>
      <c r="K108" s="33"/>
      <c r="L108" s="79"/>
      <c r="M108" s="67"/>
      <c r="N108" s="77"/>
      <c r="O108" s="35"/>
      <c r="P108" s="34"/>
      <c r="Q108" s="36"/>
      <c r="R108" s="32"/>
      <c r="S108" s="35"/>
      <c r="T108" s="83"/>
      <c r="U108" s="84"/>
      <c r="V108" s="84"/>
      <c r="W108" s="76"/>
      <c r="X108" s="85"/>
      <c r="Y108" s="97"/>
      <c r="Z108" s="98"/>
      <c r="AA108" s="99"/>
      <c r="AB108" s="97"/>
      <c r="AC108" s="98"/>
      <c r="AD108" s="100"/>
      <c r="AE108" s="97"/>
      <c r="AF108" s="97"/>
      <c r="AG108" s="97"/>
      <c r="AH108" s="97"/>
      <c r="AI108" s="97"/>
      <c r="AJ108" s="97"/>
      <c r="AK108" s="97"/>
      <c r="AL108" s="97"/>
    </row>
    <row r="109" spans="1:38" s="26" customFormat="1" ht="25.5" customHeight="1" x14ac:dyDescent="0.25">
      <c r="A109" s="54">
        <v>61191</v>
      </c>
      <c r="B109" s="55" t="s">
        <v>343</v>
      </c>
      <c r="C109" s="56">
        <v>3.41</v>
      </c>
      <c r="D109" s="57" t="s">
        <v>344</v>
      </c>
      <c r="E109" s="56">
        <v>12.79</v>
      </c>
      <c r="F109" s="104">
        <v>110244</v>
      </c>
      <c r="G109" s="8"/>
      <c r="H109" s="69" t="s">
        <v>10</v>
      </c>
      <c r="I109" s="70">
        <v>60</v>
      </c>
      <c r="J109" s="74" t="s">
        <v>6</v>
      </c>
      <c r="K109" s="22"/>
      <c r="L109" s="78" t="s">
        <v>7</v>
      </c>
      <c r="M109" s="56">
        <v>3.74</v>
      </c>
      <c r="N109" s="71" t="s">
        <v>6</v>
      </c>
      <c r="O109" s="24">
        <f t="shared" si="70"/>
        <v>0</v>
      </c>
      <c r="P109" s="23" t="s">
        <v>7</v>
      </c>
      <c r="Q109" s="5"/>
      <c r="R109" s="21" t="s">
        <v>6</v>
      </c>
      <c r="S109" s="25">
        <f>O109*Q109</f>
        <v>0</v>
      </c>
      <c r="T109" s="80">
        <f>Z109/I109</f>
        <v>1.3241267666666667</v>
      </c>
      <c r="U109" s="81">
        <f>T109*I109</f>
        <v>79.447606000000007</v>
      </c>
      <c r="V109" s="81">
        <f>AA109</f>
        <v>7.1923940000000002</v>
      </c>
      <c r="W109" s="70">
        <f>1000/M109</f>
        <v>267.37967914438502</v>
      </c>
      <c r="X109" s="82">
        <f>W109*I109</f>
        <v>16042.780748663101</v>
      </c>
      <c r="Y109" s="97"/>
      <c r="Z109" s="98">
        <f>AD109-AA109</f>
        <v>79.447606000000007</v>
      </c>
      <c r="AA109" s="99">
        <f t="shared" ref="AA109:AA116" si="77">IF(F109="110242",AD$152*M109,AD$153*M109)</f>
        <v>7.1923940000000002</v>
      </c>
      <c r="AB109" s="97"/>
      <c r="AC109" s="98"/>
      <c r="AD109" s="105">
        <v>86.64</v>
      </c>
      <c r="AE109" s="97">
        <v>1.44</v>
      </c>
      <c r="AF109" s="97"/>
      <c r="AG109" s="97"/>
      <c r="AH109" s="97"/>
      <c r="AI109" s="97"/>
      <c r="AJ109" s="97"/>
      <c r="AK109" s="97"/>
      <c r="AL109" s="97"/>
    </row>
    <row r="110" spans="1:38" s="26" customFormat="1" ht="25.5" customHeight="1" x14ac:dyDescent="0.25">
      <c r="A110" s="54" t="s">
        <v>42</v>
      </c>
      <c r="B110" s="55" t="s">
        <v>43</v>
      </c>
      <c r="C110" s="56">
        <v>11.5</v>
      </c>
      <c r="D110" s="57" t="s">
        <v>348</v>
      </c>
      <c r="E110" s="56">
        <v>21.5</v>
      </c>
      <c r="F110" s="58" t="s">
        <v>175</v>
      </c>
      <c r="G110" s="8"/>
      <c r="H110" s="69" t="s">
        <v>10</v>
      </c>
      <c r="I110" s="70">
        <f>'[1]61406'!$D$11</f>
        <v>30</v>
      </c>
      <c r="J110" s="71" t="s">
        <v>6</v>
      </c>
      <c r="K110" s="24">
        <f t="shared" si="69"/>
        <v>0</v>
      </c>
      <c r="L110" s="78" t="s">
        <v>7</v>
      </c>
      <c r="M110" s="56">
        <v>1.706</v>
      </c>
      <c r="N110" s="71" t="s">
        <v>6</v>
      </c>
      <c r="O110" s="24">
        <f t="shared" si="70"/>
        <v>0</v>
      </c>
      <c r="P110" s="23" t="s">
        <v>7</v>
      </c>
      <c r="Q110" s="5"/>
      <c r="R110" s="21" t="s">
        <v>6</v>
      </c>
      <c r="S110" s="25">
        <f>O110*Q110</f>
        <v>0</v>
      </c>
      <c r="T110" s="80">
        <f t="shared" si="72"/>
        <v>2.4832464799999996</v>
      </c>
      <c r="U110" s="81">
        <f t="shared" si="73"/>
        <v>74.49739439999999</v>
      </c>
      <c r="V110" s="81">
        <f t="shared" si="74"/>
        <v>3.3226055999999997</v>
      </c>
      <c r="W110" s="70">
        <f t="shared" si="75"/>
        <v>586.1664712778429</v>
      </c>
      <c r="X110" s="82">
        <f t="shared" si="76"/>
        <v>17584.994138335285</v>
      </c>
      <c r="Y110" s="97"/>
      <c r="Z110" s="98">
        <f t="shared" ref="Z110:Z116" si="78">AD110-AA110</f>
        <v>74.49739439999999</v>
      </c>
      <c r="AA110" s="99">
        <f t="shared" si="77"/>
        <v>3.3226055999999997</v>
      </c>
      <c r="AB110" s="97"/>
      <c r="AC110" s="98"/>
      <c r="AD110" s="105">
        <v>77.819999999999993</v>
      </c>
      <c r="AE110" s="97"/>
      <c r="AF110" s="97"/>
      <c r="AG110" s="97"/>
      <c r="AH110" s="97"/>
      <c r="AI110" s="97"/>
      <c r="AJ110" s="97"/>
      <c r="AK110" s="97"/>
      <c r="AL110" s="97"/>
    </row>
    <row r="111" spans="1:38" s="26" customFormat="1" ht="25.5" hidden="1" customHeight="1" x14ac:dyDescent="0.25">
      <c r="A111" s="54" t="s">
        <v>88</v>
      </c>
      <c r="B111" s="55" t="s">
        <v>89</v>
      </c>
      <c r="C111" s="56" t="e">
        <f>#REF!</f>
        <v>#REF!</v>
      </c>
      <c r="D111" s="57" t="s">
        <v>206</v>
      </c>
      <c r="E111" s="56" t="e">
        <f>C111*I111/16</f>
        <v>#REF!</v>
      </c>
      <c r="F111" s="58" t="s">
        <v>175</v>
      </c>
      <c r="G111" s="8"/>
      <c r="H111" s="69" t="s">
        <v>10</v>
      </c>
      <c r="I111" s="70" t="e">
        <f>#REF!</f>
        <v>#REF!</v>
      </c>
      <c r="J111" s="71" t="s">
        <v>6</v>
      </c>
      <c r="K111" s="24" t="e">
        <f t="shared" si="69"/>
        <v>#REF!</v>
      </c>
      <c r="L111" s="78" t="s">
        <v>7</v>
      </c>
      <c r="M111" s="56">
        <v>1.3129999999999999</v>
      </c>
      <c r="N111" s="71" t="s">
        <v>6</v>
      </c>
      <c r="O111" s="24" t="e">
        <f t="shared" si="70"/>
        <v>#REF!</v>
      </c>
      <c r="P111" s="23" t="s">
        <v>7</v>
      </c>
      <c r="Q111" s="5"/>
      <c r="R111" s="21" t="s">
        <v>6</v>
      </c>
      <c r="S111" s="25" t="e">
        <f>O111*Q111</f>
        <v>#REF!</v>
      </c>
      <c r="T111" s="80" t="e">
        <f t="shared" ca="1" si="72"/>
        <v>#NAME?</v>
      </c>
      <c r="U111" s="81" t="e">
        <f t="shared" ca="1" si="73"/>
        <v>#NAME?</v>
      </c>
      <c r="V111" s="81">
        <f t="shared" si="74"/>
        <v>2.5571988000000001</v>
      </c>
      <c r="W111" s="70">
        <f t="shared" si="75"/>
        <v>761.61462300076164</v>
      </c>
      <c r="X111" s="82" t="e">
        <f t="shared" si="76"/>
        <v>#REF!</v>
      </c>
      <c r="Y111" s="97"/>
      <c r="Z111" s="98">
        <f t="shared" ca="1" si="78"/>
        <v>44.534596518987343</v>
      </c>
      <c r="AA111" s="99">
        <f t="shared" si="77"/>
        <v>2.5571988000000001</v>
      </c>
      <c r="AB111" s="97"/>
      <c r="AC111" s="98"/>
      <c r="AD111" s="100" t="e">
        <f ca="1">U111+AA111+AC111</f>
        <v>#NAME?</v>
      </c>
      <c r="AE111" s="97"/>
      <c r="AF111" s="97"/>
      <c r="AG111" s="97"/>
      <c r="AH111" s="97"/>
      <c r="AI111" s="97"/>
      <c r="AJ111" s="97"/>
      <c r="AK111" s="97"/>
      <c r="AL111" s="97"/>
    </row>
    <row r="112" spans="1:38" s="26" customFormat="1" ht="25.5" hidden="1" customHeight="1" x14ac:dyDescent="0.25">
      <c r="A112" s="54" t="s">
        <v>154</v>
      </c>
      <c r="B112" s="55" t="s">
        <v>155</v>
      </c>
      <c r="C112" s="56" t="e">
        <f>#REF!</f>
        <v>#REF!</v>
      </c>
      <c r="D112" s="57" t="s">
        <v>206</v>
      </c>
      <c r="E112" s="56" t="e">
        <f>C112*I112/16</f>
        <v>#REF!</v>
      </c>
      <c r="F112" s="58" t="s">
        <v>175</v>
      </c>
      <c r="G112" s="8"/>
      <c r="H112" s="69" t="s">
        <v>10</v>
      </c>
      <c r="I112" s="70" t="e">
        <f>#REF!</f>
        <v>#REF!</v>
      </c>
      <c r="J112" s="71" t="s">
        <v>6</v>
      </c>
      <c r="K112" s="24" t="e">
        <f t="shared" si="69"/>
        <v>#REF!</v>
      </c>
      <c r="L112" s="78" t="s">
        <v>7</v>
      </c>
      <c r="M112" s="56" t="e">
        <f>#REF!</f>
        <v>#REF!</v>
      </c>
      <c r="N112" s="71" t="s">
        <v>6</v>
      </c>
      <c r="O112" s="24" t="e">
        <f t="shared" si="70"/>
        <v>#REF!</v>
      </c>
      <c r="P112" s="23" t="s">
        <v>7</v>
      </c>
      <c r="Q112" s="5"/>
      <c r="R112" s="21" t="s">
        <v>6</v>
      </c>
      <c r="S112" s="25" t="e">
        <f>O112*Q112</f>
        <v>#REF!</v>
      </c>
      <c r="T112" s="80" t="e">
        <f t="shared" ca="1" si="72"/>
        <v>#NAME?</v>
      </c>
      <c r="U112" s="81" t="e">
        <f t="shared" ca="1" si="73"/>
        <v>#NAME?</v>
      </c>
      <c r="V112" s="81" t="e">
        <f t="shared" si="74"/>
        <v>#REF!</v>
      </c>
      <c r="W112" s="70" t="e">
        <f t="shared" si="75"/>
        <v>#REF!</v>
      </c>
      <c r="X112" s="82" t="e">
        <f t="shared" si="76"/>
        <v>#REF!</v>
      </c>
      <c r="Y112" s="97"/>
      <c r="Z112" s="98">
        <f t="shared" ca="1" si="78"/>
        <v>44.534596518987343</v>
      </c>
      <c r="AA112" s="99" t="e">
        <f t="shared" si="77"/>
        <v>#REF!</v>
      </c>
      <c r="AB112" s="97"/>
      <c r="AC112" s="98"/>
      <c r="AD112" s="100" t="e">
        <f ca="1">U112+AA112+AC112</f>
        <v>#NAME?</v>
      </c>
      <c r="AE112" s="97"/>
      <c r="AF112" s="97"/>
      <c r="AG112" s="97"/>
      <c r="AH112" s="97"/>
      <c r="AI112" s="97"/>
      <c r="AJ112" s="97"/>
      <c r="AK112" s="97"/>
      <c r="AL112" s="97"/>
    </row>
    <row r="113" spans="1:47" s="26" customFormat="1" ht="25.5" hidden="1" customHeight="1" x14ac:dyDescent="0.25">
      <c r="A113" s="54" t="s">
        <v>156</v>
      </c>
      <c r="B113" s="55" t="s">
        <v>157</v>
      </c>
      <c r="C113" s="56">
        <v>9.33</v>
      </c>
      <c r="D113" s="57" t="s">
        <v>258</v>
      </c>
      <c r="E113" s="56">
        <v>17.5</v>
      </c>
      <c r="F113" s="58" t="s">
        <v>175</v>
      </c>
      <c r="G113" s="8"/>
      <c r="H113" s="69" t="s">
        <v>10</v>
      </c>
      <c r="I113" s="70">
        <f>'[1]MB Chs Stick versions'!$D$11</f>
        <v>30</v>
      </c>
      <c r="J113" s="71" t="s">
        <v>6</v>
      </c>
      <c r="K113" s="24">
        <f t="shared" si="69"/>
        <v>0</v>
      </c>
      <c r="L113" s="78" t="s">
        <v>7</v>
      </c>
      <c r="M113" s="56">
        <f>'[1]MB Chs Cup versions'!$L$14</f>
        <v>1.9399635117696794</v>
      </c>
      <c r="N113" s="71" t="s">
        <v>6</v>
      </c>
      <c r="O113" s="24">
        <f t="shared" si="70"/>
        <v>0</v>
      </c>
      <c r="P113" s="23" t="s">
        <v>7</v>
      </c>
      <c r="Q113" s="5"/>
      <c r="R113" s="21" t="s">
        <v>6</v>
      </c>
      <c r="S113" s="25">
        <f>O113*Q113</f>
        <v>0</v>
      </c>
      <c r="T113" s="80">
        <f t="shared" si="72"/>
        <v>2.2680575688159124</v>
      </c>
      <c r="U113" s="81">
        <f t="shared" si="73"/>
        <v>68.041727064477371</v>
      </c>
      <c r="V113" s="81">
        <f t="shared" si="74"/>
        <v>3.7782729355226277</v>
      </c>
      <c r="W113" s="70">
        <f t="shared" si="75"/>
        <v>515.47361274221953</v>
      </c>
      <c r="X113" s="82">
        <f t="shared" si="76"/>
        <v>15464.208382266586</v>
      </c>
      <c r="Y113" s="97"/>
      <c r="Z113" s="98">
        <f t="shared" si="78"/>
        <v>68.041727064477371</v>
      </c>
      <c r="AA113" s="99">
        <f t="shared" si="77"/>
        <v>3.7782729355226277</v>
      </c>
      <c r="AB113" s="97"/>
      <c r="AC113" s="98"/>
      <c r="AD113" s="100">
        <v>71.819999999999993</v>
      </c>
      <c r="AE113" s="97"/>
      <c r="AF113" s="100">
        <f>V113/I113</f>
        <v>0.1259424311840876</v>
      </c>
      <c r="AG113" s="97"/>
      <c r="AH113" s="97"/>
      <c r="AI113" s="97"/>
      <c r="AJ113" s="97"/>
      <c r="AK113" s="97"/>
      <c r="AL113" s="97"/>
    </row>
    <row r="114" spans="1:47" s="26" customFormat="1" ht="25.5" customHeight="1" x14ac:dyDescent="0.25">
      <c r="A114" s="54" t="s">
        <v>187</v>
      </c>
      <c r="B114" s="55" t="s">
        <v>188</v>
      </c>
      <c r="C114" s="56">
        <v>9.43</v>
      </c>
      <c r="D114" s="57" t="s">
        <v>347</v>
      </c>
      <c r="E114" s="56">
        <v>17.600000000000001</v>
      </c>
      <c r="F114" s="58" t="s">
        <v>175</v>
      </c>
      <c r="G114" s="8"/>
      <c r="H114" s="69" t="s">
        <v>10</v>
      </c>
      <c r="I114" s="70">
        <f>'[1]MB Chs Stick versions'!$D$11</f>
        <v>30</v>
      </c>
      <c r="J114" s="71" t="s">
        <v>6</v>
      </c>
      <c r="K114" s="24">
        <f t="shared" si="69"/>
        <v>0</v>
      </c>
      <c r="L114" s="78" t="s">
        <v>7</v>
      </c>
      <c r="M114" s="56">
        <f>'[1]MB Chs Stick versions'!$L$14</f>
        <v>1.5562499999999997</v>
      </c>
      <c r="N114" s="71" t="s">
        <v>6</v>
      </c>
      <c r="O114" s="24">
        <f t="shared" si="70"/>
        <v>0</v>
      </c>
      <c r="P114" s="23" t="s">
        <v>7</v>
      </c>
      <c r="Q114" s="5"/>
      <c r="R114" s="21" t="s">
        <v>6</v>
      </c>
      <c r="S114" s="25">
        <f t="shared" ref="S114:S119" si="79">O114*Q114</f>
        <v>0</v>
      </c>
      <c r="T114" s="80">
        <f t="shared" si="72"/>
        <v>2.4929682499999997</v>
      </c>
      <c r="U114" s="81">
        <f t="shared" si="73"/>
        <v>74.789047499999995</v>
      </c>
      <c r="V114" s="81">
        <f t="shared" si="74"/>
        <v>3.0309524999999993</v>
      </c>
      <c r="W114" s="70">
        <f t="shared" si="75"/>
        <v>642.57028112449814</v>
      </c>
      <c r="X114" s="82">
        <f t="shared" si="76"/>
        <v>19277.108433734946</v>
      </c>
      <c r="Y114" s="97"/>
      <c r="Z114" s="98">
        <f t="shared" si="78"/>
        <v>74.789047499999995</v>
      </c>
      <c r="AA114" s="99">
        <f t="shared" si="77"/>
        <v>3.0309524999999993</v>
      </c>
      <c r="AB114" s="97"/>
      <c r="AC114" s="98"/>
      <c r="AD114" s="105">
        <v>77.819999999999993</v>
      </c>
      <c r="AE114" s="97"/>
      <c r="AF114" s="100">
        <f>V114/I114</f>
        <v>0.10103174999999998</v>
      </c>
      <c r="AG114" s="97"/>
      <c r="AH114" s="97"/>
      <c r="AI114" s="97"/>
      <c r="AJ114" s="97"/>
      <c r="AK114" s="97"/>
      <c r="AL114" s="97"/>
    </row>
    <row r="115" spans="1:47" s="26" customFormat="1" ht="25.5" customHeight="1" x14ac:dyDescent="0.25">
      <c r="A115" s="54" t="s">
        <v>185</v>
      </c>
      <c r="B115" s="55" t="s">
        <v>189</v>
      </c>
      <c r="C115" s="56">
        <v>10</v>
      </c>
      <c r="D115" s="57" t="s">
        <v>347</v>
      </c>
      <c r="E115" s="56">
        <f>C115*I115/16</f>
        <v>18.75</v>
      </c>
      <c r="F115" s="58" t="s">
        <v>175</v>
      </c>
      <c r="G115" s="8"/>
      <c r="H115" s="69" t="s">
        <v>10</v>
      </c>
      <c r="I115" s="70">
        <f>'[1]MB Chs Stick versions'!$D$11</f>
        <v>30</v>
      </c>
      <c r="J115" s="71" t="s">
        <v>6</v>
      </c>
      <c r="K115" s="24">
        <f t="shared" si="69"/>
        <v>0</v>
      </c>
      <c r="L115" s="78" t="s">
        <v>7</v>
      </c>
      <c r="M115" s="56">
        <f>'[1]MB Chs Stick versions'!$L$14</f>
        <v>1.5562499999999997</v>
      </c>
      <c r="N115" s="71" t="s">
        <v>6</v>
      </c>
      <c r="O115" s="24">
        <f t="shared" si="70"/>
        <v>0</v>
      </c>
      <c r="P115" s="23" t="s">
        <v>7</v>
      </c>
      <c r="Q115" s="5"/>
      <c r="R115" s="21" t="s">
        <v>6</v>
      </c>
      <c r="S115" s="25">
        <f t="shared" si="79"/>
        <v>0</v>
      </c>
      <c r="T115" s="80">
        <f t="shared" si="72"/>
        <v>2.2929682499999999</v>
      </c>
      <c r="U115" s="81">
        <f t="shared" si="73"/>
        <v>68.789047499999995</v>
      </c>
      <c r="V115" s="81">
        <f t="shared" si="74"/>
        <v>3.0309524999999993</v>
      </c>
      <c r="W115" s="70">
        <f t="shared" si="75"/>
        <v>642.57028112449814</v>
      </c>
      <c r="X115" s="82">
        <f t="shared" si="76"/>
        <v>19277.108433734946</v>
      </c>
      <c r="Y115" s="97"/>
      <c r="Z115" s="98">
        <f t="shared" si="78"/>
        <v>68.789047499999995</v>
      </c>
      <c r="AA115" s="99">
        <f t="shared" si="77"/>
        <v>3.0309524999999993</v>
      </c>
      <c r="AB115" s="97"/>
      <c r="AC115" s="98"/>
      <c r="AD115" s="105">
        <v>71.819999999999993</v>
      </c>
      <c r="AE115" s="97"/>
      <c r="AF115" s="100">
        <f>V115/I115</f>
        <v>0.10103174999999998</v>
      </c>
      <c r="AG115" s="97"/>
      <c r="AH115" s="97"/>
      <c r="AI115" s="97"/>
      <c r="AJ115" s="97"/>
      <c r="AK115" s="97"/>
      <c r="AL115" s="97"/>
    </row>
    <row r="116" spans="1:47" s="26" customFormat="1" ht="25.5" customHeight="1" x14ac:dyDescent="0.25">
      <c r="A116" s="54" t="s">
        <v>186</v>
      </c>
      <c r="B116" s="55" t="s">
        <v>219</v>
      </c>
      <c r="C116" s="56">
        <v>11</v>
      </c>
      <c r="D116" s="57" t="s">
        <v>347</v>
      </c>
      <c r="E116" s="56">
        <v>20.6</v>
      </c>
      <c r="F116" s="58" t="s">
        <v>175</v>
      </c>
      <c r="G116" s="8"/>
      <c r="H116" s="69" t="s">
        <v>10</v>
      </c>
      <c r="I116" s="70">
        <f>'[1]MB Chs Stick versions'!$D$11</f>
        <v>30</v>
      </c>
      <c r="J116" s="71" t="s">
        <v>6</v>
      </c>
      <c r="K116" s="24">
        <f t="shared" si="69"/>
        <v>0</v>
      </c>
      <c r="L116" s="78" t="s">
        <v>7</v>
      </c>
      <c r="M116" s="56">
        <f>'[1]MB Chs Cup versions'!$L$14</f>
        <v>1.9399635117696794</v>
      </c>
      <c r="N116" s="71" t="s">
        <v>6</v>
      </c>
      <c r="O116" s="24">
        <f t="shared" si="70"/>
        <v>0</v>
      </c>
      <c r="P116" s="23" t="s">
        <v>7</v>
      </c>
      <c r="Q116" s="5"/>
      <c r="R116" s="21" t="s">
        <v>6</v>
      </c>
      <c r="S116" s="25">
        <f t="shared" si="79"/>
        <v>0</v>
      </c>
      <c r="T116" s="80">
        <f t="shared" si="72"/>
        <v>2.4680575688159125</v>
      </c>
      <c r="U116" s="81">
        <f t="shared" si="73"/>
        <v>74.041727064477371</v>
      </c>
      <c r="V116" s="81">
        <f t="shared" si="74"/>
        <v>3.7782729355226277</v>
      </c>
      <c r="W116" s="70">
        <f t="shared" si="75"/>
        <v>515.47361274221953</v>
      </c>
      <c r="X116" s="82">
        <f t="shared" si="76"/>
        <v>15464.208382266586</v>
      </c>
      <c r="Y116" s="97"/>
      <c r="Z116" s="98">
        <f t="shared" si="78"/>
        <v>74.041727064477371</v>
      </c>
      <c r="AA116" s="99">
        <f t="shared" si="77"/>
        <v>3.7782729355226277</v>
      </c>
      <c r="AB116" s="97"/>
      <c r="AC116" s="98"/>
      <c r="AD116" s="105">
        <v>77.819999999999993</v>
      </c>
      <c r="AE116" s="97"/>
      <c r="AF116" s="100">
        <f>V116/I116</f>
        <v>0.1259424311840876</v>
      </c>
      <c r="AG116" s="97"/>
      <c r="AH116" s="97"/>
      <c r="AI116" s="97"/>
      <c r="AJ116" s="97"/>
      <c r="AK116" s="97"/>
      <c r="AL116" s="97"/>
    </row>
    <row r="117" spans="1:47" s="26" customFormat="1" ht="25.5" hidden="1" customHeight="1" x14ac:dyDescent="0.25">
      <c r="A117" s="54" t="s">
        <v>209</v>
      </c>
      <c r="B117" s="55" t="s">
        <v>210</v>
      </c>
      <c r="C117" s="56">
        <v>9.08</v>
      </c>
      <c r="D117" s="57" t="s">
        <v>261</v>
      </c>
      <c r="E117" s="56">
        <f>C117*I117/16</f>
        <v>17.024999999999999</v>
      </c>
      <c r="F117" s="58" t="s">
        <v>175</v>
      </c>
      <c r="G117" s="8"/>
      <c r="H117" s="69" t="s">
        <v>10</v>
      </c>
      <c r="I117" s="70">
        <f>'[1]MB Chs Stick versions'!$D$11</f>
        <v>30</v>
      </c>
      <c r="J117" s="71" t="s">
        <v>6</v>
      </c>
      <c r="K117" s="24">
        <f>G117/I117</f>
        <v>0</v>
      </c>
      <c r="L117" s="78" t="s">
        <v>7</v>
      </c>
      <c r="M117" s="56">
        <f>'[1]MB Chs Cup versions'!$L$14</f>
        <v>1.9399635117696794</v>
      </c>
      <c r="N117" s="71" t="s">
        <v>6</v>
      </c>
      <c r="O117" s="24">
        <f>K117*M117</f>
        <v>0</v>
      </c>
      <c r="P117" s="23" t="s">
        <v>7</v>
      </c>
      <c r="Q117" s="5"/>
      <c r="R117" s="21" t="s">
        <v>6</v>
      </c>
      <c r="S117" s="25">
        <f t="shared" si="79"/>
        <v>0</v>
      </c>
      <c r="T117" s="80">
        <f>Z117/I117</f>
        <v>2.1638867172755458</v>
      </c>
      <c r="U117" s="81">
        <f>T117*I117</f>
        <v>64.916601518266376</v>
      </c>
      <c r="V117" s="81">
        <f>AA117</f>
        <v>3.4833984817336363</v>
      </c>
      <c r="W117" s="70">
        <f>1000/M117</f>
        <v>515.47361274221953</v>
      </c>
      <c r="X117" s="82">
        <f>W117*I117</f>
        <v>15464.208382266586</v>
      </c>
      <c r="Y117" s="97"/>
      <c r="Z117" s="98">
        <f>'[4]FS proforma-ssmb'!$S$8-V117</f>
        <v>64.916601518266376</v>
      </c>
      <c r="AA117" s="99">
        <f>IF(F117="110242",AC$152*M117,AC$153*M117)</f>
        <v>3.4833984817336363</v>
      </c>
      <c r="AB117" s="97"/>
      <c r="AC117" s="98"/>
      <c r="AD117" s="100">
        <f>U117+AA117+AC117</f>
        <v>68.400000000000006</v>
      </c>
      <c r="AE117" s="97"/>
      <c r="AF117" s="97"/>
      <c r="AG117" s="97"/>
      <c r="AH117" s="97"/>
      <c r="AI117" s="97"/>
      <c r="AJ117" s="97"/>
      <c r="AK117" s="97"/>
      <c r="AL117" s="97"/>
    </row>
    <row r="118" spans="1:47" s="26" customFormat="1" ht="25.5" hidden="1" customHeight="1" x14ac:dyDescent="0.25">
      <c r="A118" s="54" t="s">
        <v>292</v>
      </c>
      <c r="B118" s="55" t="s">
        <v>293</v>
      </c>
      <c r="C118" s="56">
        <v>3.1</v>
      </c>
      <c r="D118" s="57" t="s">
        <v>282</v>
      </c>
      <c r="E118" s="56">
        <f>C118*I118/16</f>
        <v>11.625</v>
      </c>
      <c r="F118" s="58" t="s">
        <v>175</v>
      </c>
      <c r="G118" s="8"/>
      <c r="H118" s="69" t="s">
        <v>10</v>
      </c>
      <c r="I118" s="70">
        <f>'[1]61442'!$D$8</f>
        <v>60</v>
      </c>
      <c r="J118" s="71" t="s">
        <v>6</v>
      </c>
      <c r="K118" s="24">
        <f>G118/I118</f>
        <v>0</v>
      </c>
      <c r="L118" s="78" t="s">
        <v>7</v>
      </c>
      <c r="M118" s="56">
        <f>'[1]61442'!$M$8</f>
        <v>3.7422338709677425</v>
      </c>
      <c r="N118" s="71" t="s">
        <v>6</v>
      </c>
      <c r="O118" s="24">
        <f>K118*M118</f>
        <v>0</v>
      </c>
      <c r="P118" s="23" t="s">
        <v>7</v>
      </c>
      <c r="Q118" s="5"/>
      <c r="R118" s="21" t="s">
        <v>6</v>
      </c>
      <c r="S118" s="25">
        <f t="shared" si="79"/>
        <v>0</v>
      </c>
      <c r="T118" s="80">
        <f>Z118/I118</f>
        <v>1.26</v>
      </c>
      <c r="U118" s="81">
        <f>T118*I118</f>
        <v>75.599999999999994</v>
      </c>
      <c r="V118" s="81">
        <f>AA118</f>
        <v>6.719555138709679</v>
      </c>
      <c r="W118" s="70">
        <f>1000/M118</f>
        <v>267.22007081331873</v>
      </c>
      <c r="X118" s="82">
        <f>W118*I118</f>
        <v>16033.204248799124</v>
      </c>
      <c r="Y118" s="97"/>
      <c r="Z118" s="98">
        <f>'[4]FS proforma-ssmb'!$BR$8</f>
        <v>75.599999999999994</v>
      </c>
      <c r="AA118" s="99">
        <f>IF(F118="110242",AC$152*M118,AC$153*M118)</f>
        <v>6.719555138709679</v>
      </c>
      <c r="AB118" s="97"/>
      <c r="AC118" s="98"/>
      <c r="AD118" s="100">
        <f>U118+AA118+AC118</f>
        <v>82.319555138709674</v>
      </c>
      <c r="AE118" s="97"/>
      <c r="AF118" s="97"/>
      <c r="AG118" s="97"/>
      <c r="AH118" s="97"/>
      <c r="AI118" s="97"/>
      <c r="AJ118" s="97"/>
      <c r="AK118" s="97"/>
      <c r="AL118" s="97"/>
    </row>
    <row r="119" spans="1:47" s="26" customFormat="1" ht="25.5" hidden="1" customHeight="1" x14ac:dyDescent="0.25">
      <c r="A119" s="54" t="s">
        <v>295</v>
      </c>
      <c r="B119" s="55" t="s">
        <v>294</v>
      </c>
      <c r="C119" s="56">
        <v>4.2</v>
      </c>
      <c r="D119" s="57" t="s">
        <v>282</v>
      </c>
      <c r="E119" s="56">
        <f>C119*I119/16</f>
        <v>15.75</v>
      </c>
      <c r="F119" s="58" t="s">
        <v>175</v>
      </c>
      <c r="G119" s="8"/>
      <c r="H119" s="69" t="s">
        <v>10</v>
      </c>
      <c r="I119" s="70">
        <f>'[1]61443'!$D$8</f>
        <v>60</v>
      </c>
      <c r="J119" s="71" t="s">
        <v>6</v>
      </c>
      <c r="K119" s="24">
        <f>G119/I119</f>
        <v>0</v>
      </c>
      <c r="L119" s="78" t="s">
        <v>7</v>
      </c>
      <c r="M119" s="56">
        <f>'[1]61443'!$M$8</f>
        <v>3.8690909090909105</v>
      </c>
      <c r="N119" s="71" t="s">
        <v>6</v>
      </c>
      <c r="O119" s="24">
        <f>K119*M119</f>
        <v>0</v>
      </c>
      <c r="P119" s="23" t="s">
        <v>7</v>
      </c>
      <c r="Q119" s="5"/>
      <c r="R119" s="21" t="s">
        <v>6</v>
      </c>
      <c r="S119" s="25">
        <f t="shared" si="79"/>
        <v>0</v>
      </c>
      <c r="T119" s="80">
        <f>Z119/I119</f>
        <v>1.274211006060606</v>
      </c>
      <c r="U119" s="81">
        <f>T119*I119</f>
        <v>76.452660363636355</v>
      </c>
      <c r="V119" s="81">
        <f>AA119</f>
        <v>6.9473396363636395</v>
      </c>
      <c r="W119" s="70">
        <f>1000/M119</f>
        <v>258.45864661654127</v>
      </c>
      <c r="X119" s="82">
        <f>W119*I119</f>
        <v>15507.518796992477</v>
      </c>
      <c r="Y119" s="97"/>
      <c r="Z119" s="98">
        <f>'[4]FS proforma-ssmb'!$BP$8-V119</f>
        <v>76.452660363636355</v>
      </c>
      <c r="AA119" s="99">
        <f>IF(F119="110242",AC$152*M119,AC$153*M119)</f>
        <v>6.9473396363636395</v>
      </c>
      <c r="AB119" s="97"/>
      <c r="AC119" s="98"/>
      <c r="AD119" s="100">
        <f>U119+AA119+AC119</f>
        <v>83.399999999999991</v>
      </c>
      <c r="AE119" s="97"/>
      <c r="AF119" s="97"/>
      <c r="AG119" s="97"/>
      <c r="AH119" s="97"/>
      <c r="AI119" s="97"/>
      <c r="AJ119" s="97"/>
      <c r="AK119" s="97"/>
      <c r="AL119" s="97"/>
    </row>
    <row r="120" spans="1:47" s="26" customFormat="1" ht="15.75" hidden="1" customHeight="1" x14ac:dyDescent="0.25">
      <c r="A120" s="65" t="s">
        <v>73</v>
      </c>
      <c r="B120" s="66"/>
      <c r="C120" s="67"/>
      <c r="D120" s="68"/>
      <c r="E120" s="67"/>
      <c r="F120" s="67"/>
      <c r="G120" s="31"/>
      <c r="H120" s="75"/>
      <c r="I120" s="76"/>
      <c r="J120" s="77"/>
      <c r="K120" s="33"/>
      <c r="L120" s="79"/>
      <c r="M120" s="67"/>
      <c r="N120" s="77"/>
      <c r="O120" s="35"/>
      <c r="P120" s="34"/>
      <c r="Q120" s="36"/>
      <c r="R120" s="32"/>
      <c r="S120" s="35"/>
      <c r="T120" s="83"/>
      <c r="U120" s="84"/>
      <c r="V120" s="84"/>
      <c r="W120" s="76"/>
      <c r="X120" s="85"/>
      <c r="Y120" s="97"/>
      <c r="Z120" s="98"/>
      <c r="AA120" s="99"/>
      <c r="AB120" s="97"/>
      <c r="AC120" s="98"/>
      <c r="AD120" s="100"/>
      <c r="AE120" s="97"/>
      <c r="AF120" s="97"/>
      <c r="AG120" s="97"/>
      <c r="AH120" s="97"/>
      <c r="AI120" s="97"/>
      <c r="AJ120" s="97"/>
      <c r="AK120" s="97"/>
      <c r="AL120" s="97"/>
    </row>
    <row r="121" spans="1:47" s="26" customFormat="1" ht="25.5" hidden="1" customHeight="1" x14ac:dyDescent="0.25">
      <c r="A121" s="54" t="str">
        <f>A64</f>
        <v>61253</v>
      </c>
      <c r="B121" s="55" t="str">
        <f>B64</f>
        <v>Breakfast Breaks Rice Chex &amp; String Cheese - Gluten Free</v>
      </c>
      <c r="C121" s="56">
        <f>C64</f>
        <v>6</v>
      </c>
      <c r="D121" s="57" t="str">
        <f>D64</f>
        <v>1 m/ma, 1 oeg, 1/2 f</v>
      </c>
      <c r="E121" s="56">
        <f>C121*I121/16</f>
        <v>22.5</v>
      </c>
      <c r="F121" s="56" t="str">
        <f>F64</f>
        <v>110244</v>
      </c>
      <c r="G121" s="8"/>
      <c r="H121" s="69" t="s">
        <v>10</v>
      </c>
      <c r="I121" s="70">
        <f>I64</f>
        <v>60</v>
      </c>
      <c r="J121" s="71" t="s">
        <v>6</v>
      </c>
      <c r="K121" s="24">
        <f>G121/I121</f>
        <v>0</v>
      </c>
      <c r="L121" s="78" t="s">
        <v>7</v>
      </c>
      <c r="M121" s="56">
        <f>M64</f>
        <v>3.75</v>
      </c>
      <c r="N121" s="71" t="s">
        <v>6</v>
      </c>
      <c r="O121" s="24">
        <f>K121*M121</f>
        <v>0</v>
      </c>
      <c r="P121" s="23" t="s">
        <v>7</v>
      </c>
      <c r="Q121" s="5"/>
      <c r="R121" s="21" t="s">
        <v>6</v>
      </c>
      <c r="S121" s="25">
        <f>O121*Q121</f>
        <v>0</v>
      </c>
      <c r="T121" s="80">
        <f ca="1">Z121/I121</f>
        <v>-0.11480625</v>
      </c>
      <c r="U121" s="81">
        <f ca="1">T121*I121</f>
        <v>-6.8883749999999999</v>
      </c>
      <c r="V121" s="81">
        <f>AA121</f>
        <v>6.9251250000000004</v>
      </c>
      <c r="W121" s="70">
        <f>1000/M121</f>
        <v>266.66666666666669</v>
      </c>
      <c r="X121" s="82">
        <f>W121*I121</f>
        <v>16000.000000000002</v>
      </c>
      <c r="Y121" s="97"/>
      <c r="Z121" s="98">
        <f ca="1">Z64</f>
        <v>-6.8883749999999999</v>
      </c>
      <c r="AA121" s="99">
        <f>M121*AC$153</f>
        <v>6.9251250000000004</v>
      </c>
      <c r="AB121" s="97"/>
      <c r="AC121" s="98"/>
      <c r="AD121" s="100">
        <f ca="1">U121+AA121+AC121</f>
        <v>3.6750000000000504E-2</v>
      </c>
      <c r="AE121" s="97"/>
      <c r="AF121" s="97"/>
      <c r="AG121" s="97"/>
      <c r="AH121" s="97"/>
      <c r="AI121" s="97"/>
      <c r="AJ121" s="97"/>
      <c r="AK121" s="97"/>
      <c r="AL121" s="97"/>
    </row>
    <row r="122" spans="1:47" s="26" customFormat="1" ht="25.5" hidden="1" customHeight="1" x14ac:dyDescent="0.25">
      <c r="A122" s="54" t="s">
        <v>138</v>
      </c>
      <c r="B122" s="55" t="s">
        <v>148</v>
      </c>
      <c r="C122" s="56" t="e">
        <f>#REF!</f>
        <v>#REF!</v>
      </c>
      <c r="D122" s="57" t="s">
        <v>202</v>
      </c>
      <c r="E122" s="56" t="e">
        <f>C122*I122/16</f>
        <v>#REF!</v>
      </c>
      <c r="F122" s="58" t="s">
        <v>177</v>
      </c>
      <c r="G122" s="8"/>
      <c r="H122" s="69" t="s">
        <v>10</v>
      </c>
      <c r="I122" s="70">
        <v>48</v>
      </c>
      <c r="J122" s="71" t="s">
        <v>6</v>
      </c>
      <c r="K122" s="24">
        <f>G122/I122</f>
        <v>0</v>
      </c>
      <c r="L122" s="78" t="s">
        <v>7</v>
      </c>
      <c r="M122" s="56">
        <f>'[1]61921'!$N$14/I$79*I122*0.76</f>
        <v>2.2800000000000007</v>
      </c>
      <c r="N122" s="71" t="s">
        <v>6</v>
      </c>
      <c r="O122" s="24">
        <f>K122*M122</f>
        <v>0</v>
      </c>
      <c r="P122" s="23" t="s">
        <v>7</v>
      </c>
      <c r="Q122" s="5"/>
      <c r="R122" s="21" t="s">
        <v>6</v>
      </c>
      <c r="S122" s="25">
        <f>O122*Q122</f>
        <v>0</v>
      </c>
      <c r="T122" s="80">
        <f>Z122/I122</f>
        <v>1.3632305</v>
      </c>
      <c r="U122" s="81">
        <f>T122*I122</f>
        <v>65.435063999999997</v>
      </c>
      <c r="V122" s="81">
        <f>AA122</f>
        <v>4.2104760000000017</v>
      </c>
      <c r="W122" s="70">
        <f>1000/M122</f>
        <v>438.59649122807002</v>
      </c>
      <c r="X122" s="82">
        <f>W122*I122</f>
        <v>21052.631578947359</v>
      </c>
      <c r="Y122" s="97"/>
      <c r="Z122" s="98">
        <v>65.435063999999997</v>
      </c>
      <c r="AA122" s="99">
        <f>M122*AC$153</f>
        <v>4.2104760000000017</v>
      </c>
      <c r="AB122" s="97"/>
      <c r="AC122" s="98"/>
      <c r="AD122" s="100">
        <f>U122+AA122+AC122</f>
        <v>69.645539999999997</v>
      </c>
      <c r="AE122" s="100"/>
      <c r="AF122" s="100">
        <f>V122/I122</f>
        <v>8.7718250000000039E-2</v>
      </c>
      <c r="AG122" s="97"/>
      <c r="AH122" s="97"/>
      <c r="AI122" s="97"/>
      <c r="AJ122" s="97"/>
      <c r="AK122" s="97"/>
      <c r="AL122" s="97"/>
    </row>
    <row r="123" spans="1:47" s="26" customFormat="1" ht="25.5" hidden="1" customHeight="1" x14ac:dyDescent="0.25">
      <c r="A123" s="54" t="s">
        <v>139</v>
      </c>
      <c r="B123" s="55" t="s">
        <v>231</v>
      </c>
      <c r="C123" s="56" t="e">
        <f>#REF!</f>
        <v>#REF!</v>
      </c>
      <c r="D123" s="57" t="s">
        <v>202</v>
      </c>
      <c r="E123" s="56" t="e">
        <f>C123*I123/16</f>
        <v>#REF!</v>
      </c>
      <c r="F123" s="58" t="s">
        <v>175</v>
      </c>
      <c r="G123" s="8"/>
      <c r="H123" s="69" t="s">
        <v>10</v>
      </c>
      <c r="I123" s="70">
        <v>48</v>
      </c>
      <c r="J123" s="71" t="s">
        <v>6</v>
      </c>
      <c r="K123" s="24">
        <f>G123/I123</f>
        <v>0</v>
      </c>
      <c r="L123" s="78" t="s">
        <v>7</v>
      </c>
      <c r="M123" s="56">
        <f>'[1]61921'!$N$14/I$79*I123</f>
        <v>3.0000000000000009</v>
      </c>
      <c r="N123" s="71" t="s">
        <v>6</v>
      </c>
      <c r="O123" s="24">
        <f>K123*M123</f>
        <v>0</v>
      </c>
      <c r="P123" s="23" t="s">
        <v>7</v>
      </c>
      <c r="Q123" s="5"/>
      <c r="R123" s="21" t="s">
        <v>6</v>
      </c>
      <c r="S123" s="25">
        <f>O123*Q123</f>
        <v>0</v>
      </c>
      <c r="T123" s="80">
        <f>Z123/I123</f>
        <v>1.3389875</v>
      </c>
      <c r="U123" s="81">
        <f>T123*I123</f>
        <v>64.2714</v>
      </c>
      <c r="V123" s="81">
        <f>AA123</f>
        <v>5.3868000000000018</v>
      </c>
      <c r="W123" s="70">
        <f>1000/M123</f>
        <v>333.33333333333326</v>
      </c>
      <c r="X123" s="82">
        <f>W123*I123</f>
        <v>15999.999999999996</v>
      </c>
      <c r="Y123" s="97"/>
      <c r="Z123" s="98">
        <v>64.2714</v>
      </c>
      <c r="AA123" s="99">
        <f>IF(F123="110242",AC$152*M123,AC$153*M123)</f>
        <v>5.3868000000000018</v>
      </c>
      <c r="AB123" s="97"/>
      <c r="AC123" s="98"/>
      <c r="AD123" s="100">
        <f>U123+AA123+AC123</f>
        <v>69.658200000000008</v>
      </c>
      <c r="AE123" s="97"/>
      <c r="AF123" s="97"/>
      <c r="AG123" s="97"/>
      <c r="AH123" s="97"/>
      <c r="AI123" s="97"/>
      <c r="AJ123" s="97"/>
      <c r="AK123" s="97"/>
      <c r="AL123" s="97"/>
    </row>
    <row r="124" spans="1:47" s="26" customFormat="1" ht="25.5" hidden="1" customHeight="1" x14ac:dyDescent="0.25">
      <c r="A124" s="54" t="s">
        <v>232</v>
      </c>
      <c r="B124" s="55" t="s">
        <v>148</v>
      </c>
      <c r="C124" s="56" t="e">
        <f>#REF!</f>
        <v>#REF!</v>
      </c>
      <c r="D124" s="57" t="s">
        <v>202</v>
      </c>
      <c r="E124" s="56" t="e">
        <f>C124*I124/16</f>
        <v>#REF!</v>
      </c>
      <c r="F124" s="58" t="s">
        <v>175</v>
      </c>
      <c r="G124" s="8"/>
      <c r="H124" s="69" t="s">
        <v>10</v>
      </c>
      <c r="I124" s="70">
        <v>48</v>
      </c>
      <c r="J124" s="71" t="s">
        <v>6</v>
      </c>
      <c r="K124" s="24">
        <f>G124/I124</f>
        <v>0</v>
      </c>
      <c r="L124" s="78" t="s">
        <v>7</v>
      </c>
      <c r="M124" s="56">
        <f>'[1]61921'!$N$14/I$79*I124</f>
        <v>3.0000000000000009</v>
      </c>
      <c r="N124" s="71" t="s">
        <v>6</v>
      </c>
      <c r="O124" s="24">
        <f>K124*M124</f>
        <v>0</v>
      </c>
      <c r="P124" s="23" t="s">
        <v>7</v>
      </c>
      <c r="Q124" s="5"/>
      <c r="R124" s="21" t="s">
        <v>6</v>
      </c>
      <c r="S124" s="25">
        <f>O124*Q124</f>
        <v>0</v>
      </c>
      <c r="T124" s="80">
        <f>Z124/I124</f>
        <v>1.3389875</v>
      </c>
      <c r="U124" s="81">
        <f>T124*I124</f>
        <v>64.2714</v>
      </c>
      <c r="V124" s="81">
        <f>AA124</f>
        <v>5.3868000000000018</v>
      </c>
      <c r="W124" s="70">
        <f>1000/M124</f>
        <v>333.33333333333326</v>
      </c>
      <c r="X124" s="82">
        <f>W124*I124</f>
        <v>15999.999999999996</v>
      </c>
      <c r="Y124" s="97"/>
      <c r="Z124" s="98">
        <v>64.2714</v>
      </c>
      <c r="AA124" s="99">
        <f>IF(F124="110242",AC$152*M124,AC$153*M124)</f>
        <v>5.3868000000000018</v>
      </c>
      <c r="AB124" s="97"/>
      <c r="AC124" s="98"/>
      <c r="AD124" s="100">
        <f>U124+AA124+AC124</f>
        <v>69.658200000000008</v>
      </c>
      <c r="AE124" s="97"/>
      <c r="AF124" s="100">
        <f>V124/I124</f>
        <v>0.11222500000000003</v>
      </c>
      <c r="AG124" s="97"/>
      <c r="AH124" s="97"/>
      <c r="AI124" s="97"/>
      <c r="AJ124" s="97"/>
      <c r="AK124" s="97"/>
      <c r="AL124" s="97"/>
    </row>
    <row r="125" spans="1:47" s="26" customFormat="1" ht="15.75" hidden="1" customHeight="1" x14ac:dyDescent="0.25">
      <c r="A125" s="65" t="s">
        <v>73</v>
      </c>
      <c r="B125" s="66"/>
      <c r="C125" s="67"/>
      <c r="D125" s="68"/>
      <c r="E125" s="67"/>
      <c r="F125" s="67"/>
      <c r="G125" s="31"/>
      <c r="H125" s="75"/>
      <c r="I125" s="76"/>
      <c r="J125" s="77"/>
      <c r="K125" s="33"/>
      <c r="L125" s="79"/>
      <c r="M125" s="67"/>
      <c r="N125" s="77"/>
      <c r="O125" s="35"/>
      <c r="P125" s="34"/>
      <c r="Q125" s="36"/>
      <c r="R125" s="32"/>
      <c r="S125" s="35"/>
      <c r="T125" s="83"/>
      <c r="U125" s="84"/>
      <c r="V125" s="84"/>
      <c r="W125" s="76"/>
      <c r="X125" s="85"/>
      <c r="Y125" s="97"/>
      <c r="Z125" s="98"/>
      <c r="AA125" s="99"/>
      <c r="AB125" s="97"/>
      <c r="AC125" s="98"/>
      <c r="AD125" s="100"/>
      <c r="AE125" s="97"/>
      <c r="AF125" s="97" t="s">
        <v>111</v>
      </c>
      <c r="AG125" s="97"/>
      <c r="AH125" s="97"/>
      <c r="AI125" s="97"/>
      <c r="AJ125" s="97" t="s">
        <v>173</v>
      </c>
      <c r="AK125" s="97"/>
      <c r="AL125" s="97"/>
    </row>
    <row r="126" spans="1:47" s="26" customFormat="1" ht="25.5" hidden="1" customHeight="1" x14ac:dyDescent="0.25">
      <c r="A126" s="54" t="s">
        <v>77</v>
      </c>
      <c r="B126" s="55" t="s">
        <v>99</v>
      </c>
      <c r="C126" s="56" t="e">
        <f>#REF!</f>
        <v>#REF!</v>
      </c>
      <c r="D126" s="57" t="s">
        <v>30</v>
      </c>
      <c r="E126" s="56" t="s">
        <v>103</v>
      </c>
      <c r="F126" s="56" t="s">
        <v>175</v>
      </c>
      <c r="G126" s="8"/>
      <c r="H126" s="69" t="s">
        <v>10</v>
      </c>
      <c r="I126" s="70" t="e">
        <f>#REF!</f>
        <v>#REF!</v>
      </c>
      <c r="J126" s="71" t="s">
        <v>6</v>
      </c>
      <c r="K126" s="24" t="e">
        <f t="shared" ref="K126:K139" si="80">G126/I126</f>
        <v>#REF!</v>
      </c>
      <c r="L126" s="78" t="s">
        <v>7</v>
      </c>
      <c r="M126" s="56" t="e">
        <f>#REF!</f>
        <v>#REF!</v>
      </c>
      <c r="N126" s="71" t="s">
        <v>6</v>
      </c>
      <c r="O126" s="25" t="e">
        <f t="shared" ref="O126:O139" si="81">K126*M126</f>
        <v>#REF!</v>
      </c>
      <c r="P126" s="23" t="s">
        <v>7</v>
      </c>
      <c r="Q126" s="5"/>
      <c r="R126" s="21" t="s">
        <v>6</v>
      </c>
      <c r="S126" s="25" t="e">
        <f t="shared" ref="S126:S139" si="82">O126*Q126</f>
        <v>#REF!</v>
      </c>
      <c r="T126" s="80" t="e">
        <f t="shared" ref="T126:T139" si="83">Z126/I126</f>
        <v>#REF!</v>
      </c>
      <c r="U126" s="81" t="e">
        <f t="shared" ref="U126:U139" si="84">T126*I126</f>
        <v>#REF!</v>
      </c>
      <c r="V126" s="81" t="e">
        <f t="shared" ref="V126:V139" si="85">AA126</f>
        <v>#REF!</v>
      </c>
      <c r="W126" s="70" t="e">
        <f t="shared" ref="W126:W139" si="86">1000/M126</f>
        <v>#REF!</v>
      </c>
      <c r="X126" s="82" t="e">
        <f t="shared" ref="X126:X139" si="87">W126*I126</f>
        <v>#REF!</v>
      </c>
      <c r="Y126" s="97"/>
      <c r="Z126" s="98">
        <f>[2]!sell10129e</f>
        <v>30.6</v>
      </c>
      <c r="AA126" s="99" t="e">
        <f t="shared" ref="AA126:AA133" si="88">M126*AC$152</f>
        <v>#REF!</v>
      </c>
      <c r="AB126" s="97"/>
      <c r="AC126" s="98"/>
      <c r="AD126" s="100" t="e">
        <f t="shared" ref="AD126:AD139" si="89">U126+AA126+AC126</f>
        <v>#REF!</v>
      </c>
      <c r="AE126" s="97"/>
      <c r="AF126" s="97">
        <f>29.7</f>
        <v>29.7</v>
      </c>
      <c r="AG126" s="97" t="s">
        <v>110</v>
      </c>
      <c r="AH126" s="97"/>
      <c r="AI126" s="97"/>
      <c r="AJ126" s="97">
        <v>26.7</v>
      </c>
      <c r="AK126" s="97">
        <f>0.048*480</f>
        <v>23.04</v>
      </c>
      <c r="AL126" s="97"/>
      <c r="AS126" s="26" t="s">
        <v>224</v>
      </c>
    </row>
    <row r="127" spans="1:47" s="26" customFormat="1" ht="25.5" hidden="1" customHeight="1" x14ac:dyDescent="0.25">
      <c r="A127" s="54" t="s">
        <v>230</v>
      </c>
      <c r="B127" s="55" t="s">
        <v>229</v>
      </c>
      <c r="C127" s="56">
        <v>1</v>
      </c>
      <c r="D127" s="57" t="s">
        <v>30</v>
      </c>
      <c r="E127" s="56">
        <v>30</v>
      </c>
      <c r="F127" s="56" t="s">
        <v>175</v>
      </c>
      <c r="G127" s="8"/>
      <c r="H127" s="69" t="s">
        <v>10</v>
      </c>
      <c r="I127" s="70"/>
      <c r="J127" s="71" t="s">
        <v>6</v>
      </c>
      <c r="K127" s="24" t="e">
        <f t="shared" si="80"/>
        <v>#DIV/0!</v>
      </c>
      <c r="L127" s="78" t="s">
        <v>7</v>
      </c>
      <c r="M127" s="56"/>
      <c r="N127" s="71" t="s">
        <v>6</v>
      </c>
      <c r="O127" s="25" t="e">
        <f t="shared" si="81"/>
        <v>#DIV/0!</v>
      </c>
      <c r="P127" s="23" t="s">
        <v>7</v>
      </c>
      <c r="Q127" s="5"/>
      <c r="R127" s="21" t="s">
        <v>6</v>
      </c>
      <c r="S127" s="25" t="e">
        <f>O127*Q127</f>
        <v>#DIV/0!</v>
      </c>
      <c r="T127" s="80" t="e">
        <f t="shared" si="83"/>
        <v>#DIV/0!</v>
      </c>
      <c r="U127" s="81" t="e">
        <f t="shared" si="84"/>
        <v>#DIV/0!</v>
      </c>
      <c r="V127" s="81">
        <f t="shared" si="85"/>
        <v>0</v>
      </c>
      <c r="W127" s="70" t="e">
        <f t="shared" si="86"/>
        <v>#DIV/0!</v>
      </c>
      <c r="X127" s="82" t="e">
        <f t="shared" si="87"/>
        <v>#DIV/0!</v>
      </c>
      <c r="Y127" s="97"/>
      <c r="Z127" s="98">
        <f>[2]!sell40232e+4.8</f>
        <v>44.64</v>
      </c>
      <c r="AA127" s="99">
        <f t="shared" si="88"/>
        <v>0</v>
      </c>
      <c r="AB127" s="97"/>
      <c r="AC127" s="98"/>
      <c r="AD127" s="100" t="e">
        <f t="shared" si="89"/>
        <v>#DIV/0!</v>
      </c>
      <c r="AE127" s="97"/>
      <c r="AF127" s="97"/>
      <c r="AG127" s="97"/>
      <c r="AH127" s="97"/>
      <c r="AI127" s="97"/>
      <c r="AJ127" s="97"/>
      <c r="AK127" s="97"/>
      <c r="AL127" s="97"/>
      <c r="AS127" s="26">
        <f>14.91/168</f>
        <v>8.8749999999999996E-2</v>
      </c>
      <c r="AT127" s="26" t="s">
        <v>220</v>
      </c>
      <c r="AU127" s="26" t="s">
        <v>222</v>
      </c>
    </row>
    <row r="128" spans="1:47" s="26" customFormat="1" ht="25.5" hidden="1" customHeight="1" x14ac:dyDescent="0.25">
      <c r="A128" s="54" t="s">
        <v>227</v>
      </c>
      <c r="B128" s="55" t="s">
        <v>228</v>
      </c>
      <c r="C128" s="56">
        <v>1</v>
      </c>
      <c r="D128" s="57" t="s">
        <v>30</v>
      </c>
      <c r="E128" s="56">
        <v>30</v>
      </c>
      <c r="F128" s="56" t="s">
        <v>175</v>
      </c>
      <c r="G128" s="8"/>
      <c r="H128" s="69" t="s">
        <v>10</v>
      </c>
      <c r="I128" s="70"/>
      <c r="J128" s="71" t="s">
        <v>6</v>
      </c>
      <c r="K128" s="24" t="e">
        <f t="shared" si="80"/>
        <v>#DIV/0!</v>
      </c>
      <c r="L128" s="78" t="s">
        <v>7</v>
      </c>
      <c r="M128" s="56"/>
      <c r="N128" s="71" t="s">
        <v>6</v>
      </c>
      <c r="O128" s="25" t="e">
        <f t="shared" si="81"/>
        <v>#DIV/0!</v>
      </c>
      <c r="P128" s="23" t="s">
        <v>7</v>
      </c>
      <c r="Q128" s="5"/>
      <c r="R128" s="21" t="s">
        <v>6</v>
      </c>
      <c r="S128" s="25" t="e">
        <f>O128*Q128</f>
        <v>#DIV/0!</v>
      </c>
      <c r="T128" s="80" t="e">
        <f t="shared" si="83"/>
        <v>#DIV/0!</v>
      </c>
      <c r="U128" s="81" t="e">
        <f t="shared" si="84"/>
        <v>#DIV/0!</v>
      </c>
      <c r="V128" s="81">
        <f t="shared" si="85"/>
        <v>0</v>
      </c>
      <c r="W128" s="70" t="e">
        <f t="shared" si="86"/>
        <v>#DIV/0!</v>
      </c>
      <c r="X128" s="82" t="e">
        <f t="shared" si="87"/>
        <v>#DIV/0!</v>
      </c>
      <c r="Y128" s="97"/>
      <c r="Z128" s="98">
        <f>[2]!sell40232e</f>
        <v>39.840000000000003</v>
      </c>
      <c r="AA128" s="99">
        <f t="shared" si="88"/>
        <v>0</v>
      </c>
      <c r="AB128" s="97"/>
      <c r="AC128" s="98"/>
      <c r="AD128" s="100" t="e">
        <f t="shared" si="89"/>
        <v>#DIV/0!</v>
      </c>
      <c r="AE128" s="97"/>
      <c r="AF128" s="97"/>
      <c r="AG128" s="97"/>
      <c r="AH128" s="97"/>
      <c r="AI128" s="97"/>
      <c r="AJ128" s="97"/>
      <c r="AK128" s="97"/>
      <c r="AL128" s="97"/>
      <c r="AS128" s="26">
        <f>14.91/168</f>
        <v>8.8749999999999996E-2</v>
      </c>
      <c r="AT128" s="26" t="s">
        <v>220</v>
      </c>
      <c r="AU128" s="26" t="s">
        <v>222</v>
      </c>
    </row>
    <row r="129" spans="1:48" s="26" customFormat="1" ht="25.5" hidden="1" customHeight="1" x14ac:dyDescent="0.25">
      <c r="A129" s="54" t="s">
        <v>217</v>
      </c>
      <c r="B129" s="55" t="s">
        <v>218</v>
      </c>
      <c r="C129" s="56">
        <v>1</v>
      </c>
      <c r="D129" s="57" t="s">
        <v>30</v>
      </c>
      <c r="E129" s="56">
        <v>30</v>
      </c>
      <c r="F129" s="56" t="s">
        <v>175</v>
      </c>
      <c r="G129" s="8"/>
      <c r="H129" s="69" t="s">
        <v>10</v>
      </c>
      <c r="I129" s="70" t="e">
        <f>#REF!</f>
        <v>#REF!</v>
      </c>
      <c r="J129" s="71" t="s">
        <v>6</v>
      </c>
      <c r="K129" s="24" t="e">
        <f t="shared" si="80"/>
        <v>#REF!</v>
      </c>
      <c r="L129" s="78" t="s">
        <v>7</v>
      </c>
      <c r="M129" s="56" t="e">
        <f>#REF!</f>
        <v>#REF!</v>
      </c>
      <c r="N129" s="71" t="s">
        <v>6</v>
      </c>
      <c r="O129" s="25" t="e">
        <f t="shared" si="81"/>
        <v>#REF!</v>
      </c>
      <c r="P129" s="23" t="s">
        <v>7</v>
      </c>
      <c r="Q129" s="5"/>
      <c r="R129" s="21" t="s">
        <v>6</v>
      </c>
      <c r="S129" s="25" t="e">
        <f>O129*Q129</f>
        <v>#REF!</v>
      </c>
      <c r="T129" s="80" t="e">
        <f t="shared" si="83"/>
        <v>#REF!</v>
      </c>
      <c r="U129" s="81" t="e">
        <f t="shared" si="84"/>
        <v>#REF!</v>
      </c>
      <c r="V129" s="81" t="e">
        <f t="shared" si="85"/>
        <v>#REF!</v>
      </c>
      <c r="W129" s="70" t="e">
        <f t="shared" si="86"/>
        <v>#REF!</v>
      </c>
      <c r="X129" s="82" t="e">
        <f t="shared" si="87"/>
        <v>#REF!</v>
      </c>
      <c r="Y129" s="97"/>
      <c r="Z129" s="98">
        <f>[2]!sell40232e</f>
        <v>39.840000000000003</v>
      </c>
      <c r="AA129" s="99" t="e">
        <f t="shared" si="88"/>
        <v>#REF!</v>
      </c>
      <c r="AB129" s="97"/>
      <c r="AC129" s="98"/>
      <c r="AD129" s="100" t="e">
        <f t="shared" si="89"/>
        <v>#REF!</v>
      </c>
      <c r="AE129" s="97"/>
      <c r="AF129" s="97"/>
      <c r="AG129" s="97"/>
      <c r="AH129" s="97"/>
      <c r="AI129" s="97"/>
      <c r="AJ129" s="97"/>
      <c r="AK129" s="97"/>
      <c r="AL129" s="97"/>
      <c r="AS129" s="26">
        <f>14.91/168</f>
        <v>8.8749999999999996E-2</v>
      </c>
      <c r="AT129" s="26" t="s">
        <v>220</v>
      </c>
      <c r="AU129" s="26" t="s">
        <v>222</v>
      </c>
    </row>
    <row r="130" spans="1:48" s="26" customFormat="1" ht="25.5" hidden="1" customHeight="1" x14ac:dyDescent="0.25">
      <c r="A130" s="54" t="s">
        <v>74</v>
      </c>
      <c r="B130" s="55" t="s">
        <v>162</v>
      </c>
      <c r="C130" s="56" t="e">
        <f>#REF!</f>
        <v>#REF!</v>
      </c>
      <c r="D130" s="57" t="s">
        <v>30</v>
      </c>
      <c r="E130" s="56" t="e">
        <f>I130/16</f>
        <v>#REF!</v>
      </c>
      <c r="F130" s="56" t="s">
        <v>175</v>
      </c>
      <c r="G130" s="8"/>
      <c r="H130" s="69" t="s">
        <v>10</v>
      </c>
      <c r="I130" s="70" t="e">
        <f>#REF!</f>
        <v>#REF!</v>
      </c>
      <c r="J130" s="71" t="s">
        <v>6</v>
      </c>
      <c r="K130" s="24" t="e">
        <f t="shared" si="80"/>
        <v>#REF!</v>
      </c>
      <c r="L130" s="78" t="s">
        <v>7</v>
      </c>
      <c r="M130" s="56" t="e">
        <f>#REF!</f>
        <v>#REF!</v>
      </c>
      <c r="N130" s="71" t="s">
        <v>6</v>
      </c>
      <c r="O130" s="25" t="e">
        <f t="shared" si="81"/>
        <v>#REF!</v>
      </c>
      <c r="P130" s="23" t="s">
        <v>7</v>
      </c>
      <c r="Q130" s="5"/>
      <c r="R130" s="21" t="s">
        <v>6</v>
      </c>
      <c r="S130" s="25" t="e">
        <f t="shared" si="82"/>
        <v>#REF!</v>
      </c>
      <c r="T130" s="80" t="e">
        <f t="shared" si="83"/>
        <v>#REF!</v>
      </c>
      <c r="U130" s="81" t="e">
        <f t="shared" si="84"/>
        <v>#REF!</v>
      </c>
      <c r="V130" s="81" t="e">
        <f t="shared" si="85"/>
        <v>#REF!</v>
      </c>
      <c r="W130" s="70" t="e">
        <f t="shared" si="86"/>
        <v>#REF!</v>
      </c>
      <c r="X130" s="82" t="e">
        <f t="shared" si="87"/>
        <v>#REF!</v>
      </c>
      <c r="Y130" s="97"/>
      <c r="Z130" s="98">
        <f>[2]!sell40234e</f>
        <v>18.75</v>
      </c>
      <c r="AA130" s="99" t="e">
        <f t="shared" si="88"/>
        <v>#REF!</v>
      </c>
      <c r="AB130" s="100"/>
      <c r="AC130" s="98"/>
      <c r="AD130" s="100" t="e">
        <f t="shared" si="89"/>
        <v>#REF!</v>
      </c>
      <c r="AE130" s="97"/>
      <c r="AF130" s="97">
        <f>14.39/168*400</f>
        <v>34.261904761904766</v>
      </c>
      <c r="AG130" s="97" t="s">
        <v>107</v>
      </c>
      <c r="AH130" s="97">
        <f>20.79/168*400</f>
        <v>49.5</v>
      </c>
      <c r="AI130" s="97" t="s">
        <v>108</v>
      </c>
      <c r="AJ130" s="97"/>
      <c r="AK130" s="97"/>
      <c r="AL130" s="97"/>
    </row>
    <row r="131" spans="1:48" s="26" customFormat="1" ht="25.5" hidden="1" customHeight="1" x14ac:dyDescent="0.25">
      <c r="A131" s="54" t="s">
        <v>160</v>
      </c>
      <c r="B131" s="55" t="s">
        <v>161</v>
      </c>
      <c r="C131" s="56" t="e">
        <f>#REF!</f>
        <v>#REF!</v>
      </c>
      <c r="D131" s="57" t="s">
        <v>30</v>
      </c>
      <c r="E131" s="56" t="e">
        <f>I131/16</f>
        <v>#REF!</v>
      </c>
      <c r="F131" s="56" t="s">
        <v>175</v>
      </c>
      <c r="G131" s="8"/>
      <c r="H131" s="69" t="s">
        <v>10</v>
      </c>
      <c r="I131" s="70" t="e">
        <f>#REF!</f>
        <v>#REF!</v>
      </c>
      <c r="J131" s="71" t="s">
        <v>6</v>
      </c>
      <c r="K131" s="24" t="e">
        <f t="shared" si="80"/>
        <v>#REF!</v>
      </c>
      <c r="L131" s="78" t="s">
        <v>7</v>
      </c>
      <c r="M131" s="56" t="e">
        <f>#REF!</f>
        <v>#REF!</v>
      </c>
      <c r="N131" s="71" t="s">
        <v>6</v>
      </c>
      <c r="O131" s="25" t="e">
        <f t="shared" si="81"/>
        <v>#REF!</v>
      </c>
      <c r="P131" s="23" t="s">
        <v>7</v>
      </c>
      <c r="Q131" s="5"/>
      <c r="R131" s="21" t="s">
        <v>6</v>
      </c>
      <c r="S131" s="25" t="e">
        <f t="shared" si="82"/>
        <v>#REF!</v>
      </c>
      <c r="T131" s="80" t="e">
        <f t="shared" si="83"/>
        <v>#REF!</v>
      </c>
      <c r="U131" s="81" t="e">
        <f t="shared" si="84"/>
        <v>#REF!</v>
      </c>
      <c r="V131" s="81" t="e">
        <f t="shared" si="85"/>
        <v>#REF!</v>
      </c>
      <c r="W131" s="70" t="e">
        <f t="shared" si="86"/>
        <v>#REF!</v>
      </c>
      <c r="X131" s="82" t="e">
        <f t="shared" si="87"/>
        <v>#REF!</v>
      </c>
      <c r="Y131" s="97"/>
      <c r="Z131" s="98">
        <f>[2]!sell40235e</f>
        <v>30</v>
      </c>
      <c r="AA131" s="99" t="e">
        <f t="shared" si="88"/>
        <v>#REF!</v>
      </c>
      <c r="AB131" s="97"/>
      <c r="AC131" s="98"/>
      <c r="AD131" s="100" t="e">
        <f t="shared" si="89"/>
        <v>#REF!</v>
      </c>
      <c r="AE131" s="97"/>
      <c r="AF131" s="97"/>
      <c r="AG131" s="97"/>
      <c r="AH131" s="97"/>
      <c r="AI131" s="97"/>
      <c r="AJ131" s="97"/>
      <c r="AK131" s="97"/>
      <c r="AL131" s="97"/>
    </row>
    <row r="132" spans="1:48" s="26" customFormat="1" ht="25.5" hidden="1" customHeight="1" x14ac:dyDescent="0.25">
      <c r="A132" s="54" t="s">
        <v>158</v>
      </c>
      <c r="B132" s="55" t="s">
        <v>159</v>
      </c>
      <c r="C132" s="56" t="e">
        <f>#REF!</f>
        <v>#REF!</v>
      </c>
      <c r="D132" s="57" t="s">
        <v>30</v>
      </c>
      <c r="E132" s="56" t="e">
        <f>I132/16</f>
        <v>#REF!</v>
      </c>
      <c r="F132" s="56" t="s">
        <v>175</v>
      </c>
      <c r="G132" s="8"/>
      <c r="H132" s="69" t="s">
        <v>10</v>
      </c>
      <c r="I132" s="70" t="e">
        <f>#REF!</f>
        <v>#REF!</v>
      </c>
      <c r="J132" s="71" t="s">
        <v>6</v>
      </c>
      <c r="K132" s="24" t="e">
        <f t="shared" si="80"/>
        <v>#REF!</v>
      </c>
      <c r="L132" s="78" t="s">
        <v>7</v>
      </c>
      <c r="M132" s="56" t="e">
        <f>#REF!</f>
        <v>#REF!</v>
      </c>
      <c r="N132" s="71" t="s">
        <v>6</v>
      </c>
      <c r="O132" s="25" t="e">
        <f t="shared" si="81"/>
        <v>#REF!</v>
      </c>
      <c r="P132" s="23" t="s">
        <v>7</v>
      </c>
      <c r="Q132" s="5"/>
      <c r="R132" s="21" t="s">
        <v>6</v>
      </c>
      <c r="S132" s="25" t="e">
        <f t="shared" si="82"/>
        <v>#REF!</v>
      </c>
      <c r="T132" s="80" t="e">
        <f t="shared" si="83"/>
        <v>#REF!</v>
      </c>
      <c r="U132" s="81" t="e">
        <f t="shared" si="84"/>
        <v>#REF!</v>
      </c>
      <c r="V132" s="81" t="e">
        <f t="shared" si="85"/>
        <v>#REF!</v>
      </c>
      <c r="W132" s="70" t="e">
        <f t="shared" si="86"/>
        <v>#REF!</v>
      </c>
      <c r="X132" s="82" t="e">
        <f t="shared" si="87"/>
        <v>#REF!</v>
      </c>
      <c r="Y132" s="97"/>
      <c r="Z132" s="98">
        <f>[2]!sell40236e</f>
        <v>30</v>
      </c>
      <c r="AA132" s="99" t="e">
        <f t="shared" si="88"/>
        <v>#REF!</v>
      </c>
      <c r="AB132" s="97"/>
      <c r="AC132" s="98"/>
      <c r="AD132" s="100" t="e">
        <f t="shared" si="89"/>
        <v>#REF!</v>
      </c>
      <c r="AE132" s="97"/>
      <c r="AF132" s="97"/>
      <c r="AG132" s="97"/>
      <c r="AH132" s="97"/>
      <c r="AI132" s="97"/>
      <c r="AJ132" s="97">
        <v>21.53</v>
      </c>
      <c r="AK132" s="97"/>
      <c r="AL132" s="97"/>
    </row>
    <row r="133" spans="1:48" s="26" customFormat="1" ht="25.5" hidden="1" customHeight="1" x14ac:dyDescent="0.25">
      <c r="A133" s="54" t="s">
        <v>133</v>
      </c>
      <c r="B133" s="55" t="s">
        <v>163</v>
      </c>
      <c r="C133" s="56" t="e">
        <f>#REF!</f>
        <v>#REF!</v>
      </c>
      <c r="D133" s="57" t="s">
        <v>30</v>
      </c>
      <c r="E133" s="56" t="e">
        <f>I133/16</f>
        <v>#REF!</v>
      </c>
      <c r="F133" s="56" t="s">
        <v>175</v>
      </c>
      <c r="G133" s="8"/>
      <c r="H133" s="69" t="s">
        <v>10</v>
      </c>
      <c r="I133" s="70" t="e">
        <f>#REF!</f>
        <v>#REF!</v>
      </c>
      <c r="J133" s="71" t="s">
        <v>6</v>
      </c>
      <c r="K133" s="24" t="e">
        <f t="shared" si="80"/>
        <v>#REF!</v>
      </c>
      <c r="L133" s="78" t="s">
        <v>7</v>
      </c>
      <c r="M133" s="56" t="e">
        <f>#REF!</f>
        <v>#REF!</v>
      </c>
      <c r="N133" s="71" t="s">
        <v>6</v>
      </c>
      <c r="O133" s="25" t="e">
        <f t="shared" si="81"/>
        <v>#REF!</v>
      </c>
      <c r="P133" s="23" t="s">
        <v>7</v>
      </c>
      <c r="Q133" s="5"/>
      <c r="R133" s="21" t="s">
        <v>6</v>
      </c>
      <c r="S133" s="25" t="e">
        <f t="shared" si="82"/>
        <v>#REF!</v>
      </c>
      <c r="T133" s="80" t="e">
        <f t="shared" si="83"/>
        <v>#REF!</v>
      </c>
      <c r="U133" s="81" t="e">
        <f t="shared" si="84"/>
        <v>#REF!</v>
      </c>
      <c r="V133" s="81" t="e">
        <f t="shared" si="85"/>
        <v>#REF!</v>
      </c>
      <c r="W133" s="70" t="e">
        <f t="shared" si="86"/>
        <v>#REF!</v>
      </c>
      <c r="X133" s="82" t="e">
        <f t="shared" si="87"/>
        <v>#REF!</v>
      </c>
      <c r="Y133" s="97"/>
      <c r="Z133" s="98">
        <f>[2]!sell40239e</f>
        <v>30</v>
      </c>
      <c r="AA133" s="99" t="e">
        <f t="shared" si="88"/>
        <v>#REF!</v>
      </c>
      <c r="AB133" s="97"/>
      <c r="AC133" s="98"/>
      <c r="AD133" s="100" t="e">
        <f t="shared" si="89"/>
        <v>#REF!</v>
      </c>
      <c r="AE133" s="97"/>
      <c r="AF133" s="97"/>
      <c r="AG133" s="97"/>
      <c r="AH133" s="97"/>
      <c r="AI133" s="97"/>
      <c r="AJ133" s="97">
        <v>15.12</v>
      </c>
      <c r="AK133" s="97"/>
      <c r="AL133" s="97"/>
    </row>
    <row r="134" spans="1:48" s="26" customFormat="1" ht="25.5" hidden="1" customHeight="1" x14ac:dyDescent="0.25">
      <c r="A134" s="54" t="s">
        <v>75</v>
      </c>
      <c r="B134" s="55" t="s">
        <v>164</v>
      </c>
      <c r="C134" s="56" t="e">
        <f>#REF!</f>
        <v>#REF!</v>
      </c>
      <c r="D134" s="57" t="s">
        <v>30</v>
      </c>
      <c r="E134" s="56" t="e">
        <f>I134/16</f>
        <v>#REF!</v>
      </c>
      <c r="F134" s="56" t="s">
        <v>175</v>
      </c>
      <c r="G134" s="8"/>
      <c r="H134" s="69" t="s">
        <v>10</v>
      </c>
      <c r="I134" s="70" t="e">
        <f>#REF!</f>
        <v>#REF!</v>
      </c>
      <c r="J134" s="71" t="s">
        <v>6</v>
      </c>
      <c r="K134" s="24" t="e">
        <f t="shared" si="80"/>
        <v>#REF!</v>
      </c>
      <c r="L134" s="78" t="s">
        <v>7</v>
      </c>
      <c r="M134" s="56" t="e">
        <f>#REF!</f>
        <v>#REF!</v>
      </c>
      <c r="N134" s="71" t="s">
        <v>6</v>
      </c>
      <c r="O134" s="25" t="e">
        <f t="shared" si="81"/>
        <v>#REF!</v>
      </c>
      <c r="P134" s="23" t="s">
        <v>7</v>
      </c>
      <c r="Q134" s="5"/>
      <c r="R134" s="21" t="s">
        <v>6</v>
      </c>
      <c r="S134" s="25" t="e">
        <f t="shared" si="82"/>
        <v>#REF!</v>
      </c>
      <c r="T134" s="80" t="e">
        <f t="shared" si="83"/>
        <v>#REF!</v>
      </c>
      <c r="U134" s="81" t="e">
        <f t="shared" si="84"/>
        <v>#REF!</v>
      </c>
      <c r="V134" s="81" t="e">
        <f t="shared" si="85"/>
        <v>#REF!</v>
      </c>
      <c r="W134" s="70" t="e">
        <f t="shared" si="86"/>
        <v>#REF!</v>
      </c>
      <c r="X134" s="82" t="e">
        <f t="shared" si="87"/>
        <v>#REF!</v>
      </c>
      <c r="Y134" s="97"/>
      <c r="Z134" s="98">
        <f>[2]!sell40244e</f>
        <v>35</v>
      </c>
      <c r="AA134" s="99" t="e">
        <f>M134*AC$153</f>
        <v>#REF!</v>
      </c>
      <c r="AB134" s="97"/>
      <c r="AC134" s="98"/>
      <c r="AD134" s="100" t="e">
        <f t="shared" si="89"/>
        <v>#REF!</v>
      </c>
      <c r="AE134" s="97"/>
      <c r="AF134" s="97">
        <f>12.6</f>
        <v>12.6</v>
      </c>
      <c r="AG134" s="97">
        <f>13.13</f>
        <v>13.13</v>
      </c>
      <c r="AH134" s="97" t="s">
        <v>109</v>
      </c>
      <c r="AI134" s="97"/>
      <c r="AJ134" s="97">
        <v>13.86</v>
      </c>
      <c r="AK134" s="97"/>
      <c r="AL134" s="97">
        <f>0.6*10.5</f>
        <v>6.3</v>
      </c>
      <c r="AS134" s="26">
        <f>12.92/168</f>
        <v>7.6904761904761906E-2</v>
      </c>
      <c r="AU134" s="26" t="s">
        <v>221</v>
      </c>
      <c r="AV134" s="26" t="s">
        <v>223</v>
      </c>
    </row>
    <row r="135" spans="1:48" s="26" customFormat="1" ht="25.5" hidden="1" customHeight="1" x14ac:dyDescent="0.25">
      <c r="A135" s="54" t="s">
        <v>76</v>
      </c>
      <c r="B135" s="55" t="s">
        <v>113</v>
      </c>
      <c r="C135" s="56">
        <f>'[1]Chs cups'!$E$23</f>
        <v>2</v>
      </c>
      <c r="D135" s="57" t="s">
        <v>30</v>
      </c>
      <c r="E135" s="56">
        <f>I135*2/16</f>
        <v>30</v>
      </c>
      <c r="F135" s="56" t="s">
        <v>175</v>
      </c>
      <c r="G135" s="8"/>
      <c r="H135" s="69" t="s">
        <v>10</v>
      </c>
      <c r="I135" s="70">
        <f>'[1]Chs cups'!$D$11</f>
        <v>240</v>
      </c>
      <c r="J135" s="71" t="s">
        <v>6</v>
      </c>
      <c r="K135" s="24">
        <f t="shared" si="80"/>
        <v>0</v>
      </c>
      <c r="L135" s="78" t="s">
        <v>7</v>
      </c>
      <c r="M135" s="56">
        <f>'[1]Chs cups'!$N$14</f>
        <v>15.360000000000001</v>
      </c>
      <c r="N135" s="71" t="s">
        <v>6</v>
      </c>
      <c r="O135" s="25">
        <f t="shared" si="81"/>
        <v>0</v>
      </c>
      <c r="P135" s="23" t="s">
        <v>7</v>
      </c>
      <c r="Q135" s="5"/>
      <c r="R135" s="21" t="s">
        <v>6</v>
      </c>
      <c r="S135" s="25">
        <f t="shared" si="82"/>
        <v>0</v>
      </c>
      <c r="T135" s="80">
        <f t="shared" si="83"/>
        <v>0.35</v>
      </c>
      <c r="U135" s="81">
        <f t="shared" si="84"/>
        <v>84</v>
      </c>
      <c r="V135" s="81">
        <f t="shared" si="85"/>
        <v>27.580416000000003</v>
      </c>
      <c r="W135" s="70">
        <f t="shared" si="86"/>
        <v>65.104166666666657</v>
      </c>
      <c r="X135" s="82">
        <f t="shared" si="87"/>
        <v>15624.999999999998</v>
      </c>
      <c r="Y135" s="97"/>
      <c r="Z135" s="98">
        <f>[2]!sell40251e</f>
        <v>84</v>
      </c>
      <c r="AA135" s="99">
        <f>M135*AC$152</f>
        <v>27.580416000000003</v>
      </c>
      <c r="AB135" s="97"/>
      <c r="AC135" s="98"/>
      <c r="AD135" s="100">
        <f t="shared" si="89"/>
        <v>111.580416</v>
      </c>
      <c r="AE135" s="97"/>
      <c r="AF135" s="97"/>
      <c r="AG135" s="97"/>
      <c r="AH135" s="97"/>
      <c r="AI135" s="97"/>
      <c r="AJ135" s="97">
        <v>0.36</v>
      </c>
      <c r="AK135" s="97"/>
      <c r="AL135" s="97"/>
    </row>
    <row r="136" spans="1:48" s="26" customFormat="1" ht="25.5" hidden="1" customHeight="1" x14ac:dyDescent="0.25">
      <c r="A136" s="54" t="s">
        <v>152</v>
      </c>
      <c r="B136" s="55" t="s">
        <v>153</v>
      </c>
      <c r="C136" s="56">
        <f>'[1]Chs cups'!$E$23</f>
        <v>2</v>
      </c>
      <c r="D136" s="57" t="s">
        <v>30</v>
      </c>
      <c r="E136" s="56">
        <f>I136*2/16</f>
        <v>30</v>
      </c>
      <c r="F136" s="56" t="s">
        <v>175</v>
      </c>
      <c r="G136" s="8"/>
      <c r="H136" s="69" t="s">
        <v>10</v>
      </c>
      <c r="I136" s="70">
        <f>'[1]Chs cups'!$D$11</f>
        <v>240</v>
      </c>
      <c r="J136" s="71" t="s">
        <v>6</v>
      </c>
      <c r="K136" s="24">
        <f t="shared" si="80"/>
        <v>0</v>
      </c>
      <c r="L136" s="78" t="s">
        <v>7</v>
      </c>
      <c r="M136" s="56">
        <f>'[1]Chs cups'!$N$14</f>
        <v>15.360000000000001</v>
      </c>
      <c r="N136" s="71" t="s">
        <v>6</v>
      </c>
      <c r="O136" s="25">
        <f t="shared" si="81"/>
        <v>0</v>
      </c>
      <c r="P136" s="23" t="s">
        <v>7</v>
      </c>
      <c r="Q136" s="5"/>
      <c r="R136" s="21" t="s">
        <v>6</v>
      </c>
      <c r="S136" s="25">
        <f t="shared" si="82"/>
        <v>0</v>
      </c>
      <c r="T136" s="80">
        <f t="shared" si="83"/>
        <v>0.35</v>
      </c>
      <c r="U136" s="81">
        <f t="shared" si="84"/>
        <v>84</v>
      </c>
      <c r="V136" s="81">
        <f t="shared" si="85"/>
        <v>27.580416000000003</v>
      </c>
      <c r="W136" s="70">
        <f t="shared" si="86"/>
        <v>65.104166666666657</v>
      </c>
      <c r="X136" s="82">
        <f t="shared" si="87"/>
        <v>15624.999999999998</v>
      </c>
      <c r="Y136" s="97"/>
      <c r="Z136" s="98">
        <f>[2]!sell40251e</f>
        <v>84</v>
      </c>
      <c r="AA136" s="99">
        <f>M136*AC$152</f>
        <v>27.580416000000003</v>
      </c>
      <c r="AB136" s="97"/>
      <c r="AC136" s="98"/>
      <c r="AD136" s="100">
        <f t="shared" si="89"/>
        <v>111.580416</v>
      </c>
      <c r="AE136" s="97"/>
      <c r="AF136" s="97"/>
      <c r="AG136" s="97"/>
      <c r="AH136" s="97"/>
      <c r="AI136" s="97"/>
      <c r="AJ136" s="97">
        <v>0.36</v>
      </c>
      <c r="AK136" s="97"/>
      <c r="AL136" s="97"/>
    </row>
    <row r="137" spans="1:48" s="26" customFormat="1" ht="25.5" hidden="1" customHeight="1" x14ac:dyDescent="0.25">
      <c r="A137" s="54" t="s">
        <v>101</v>
      </c>
      <c r="B137" s="55" t="s">
        <v>102</v>
      </c>
      <c r="C137" s="56" t="e">
        <f>#REF!</f>
        <v>#REF!</v>
      </c>
      <c r="D137" s="57" t="s">
        <v>30</v>
      </c>
      <c r="E137" s="56" t="e">
        <f>#REF!</f>
        <v>#REF!</v>
      </c>
      <c r="F137" s="56" t="s">
        <v>175</v>
      </c>
      <c r="G137" s="8"/>
      <c r="H137" s="69" t="s">
        <v>10</v>
      </c>
      <c r="I137" s="70" t="e">
        <f>#REF!</f>
        <v>#REF!</v>
      </c>
      <c r="J137" s="71" t="s">
        <v>6</v>
      </c>
      <c r="K137" s="24" t="e">
        <f t="shared" si="80"/>
        <v>#REF!</v>
      </c>
      <c r="L137" s="78" t="s">
        <v>7</v>
      </c>
      <c r="M137" s="56" t="e">
        <f>#REF!</f>
        <v>#REF!</v>
      </c>
      <c r="N137" s="71" t="s">
        <v>6</v>
      </c>
      <c r="O137" s="25" t="e">
        <f t="shared" si="81"/>
        <v>#REF!</v>
      </c>
      <c r="P137" s="23" t="s">
        <v>7</v>
      </c>
      <c r="Q137" s="5"/>
      <c r="R137" s="21" t="s">
        <v>6</v>
      </c>
      <c r="S137" s="25" t="e">
        <f t="shared" si="82"/>
        <v>#REF!</v>
      </c>
      <c r="T137" s="80" t="e">
        <f t="shared" si="83"/>
        <v>#REF!</v>
      </c>
      <c r="U137" s="81" t="e">
        <f t="shared" si="84"/>
        <v>#REF!</v>
      </c>
      <c r="V137" s="81" t="e">
        <f t="shared" si="85"/>
        <v>#REF!</v>
      </c>
      <c r="W137" s="70" t="e">
        <f t="shared" si="86"/>
        <v>#REF!</v>
      </c>
      <c r="X137" s="82" t="e">
        <f t="shared" si="87"/>
        <v>#REF!</v>
      </c>
      <c r="Y137" s="97"/>
      <c r="Z137" s="98">
        <f>[2]!sell75550e</f>
        <v>15</v>
      </c>
      <c r="AA137" s="99" t="e">
        <f>M137*AC$152</f>
        <v>#REF!</v>
      </c>
      <c r="AB137" s="97"/>
      <c r="AC137" s="98"/>
      <c r="AD137" s="100" t="e">
        <f t="shared" si="89"/>
        <v>#REF!</v>
      </c>
      <c r="AE137" s="97"/>
      <c r="AF137" s="97">
        <v>11.9</v>
      </c>
      <c r="AG137" s="97">
        <v>20.399999999999999</v>
      </c>
      <c r="AH137" s="97" t="s">
        <v>105</v>
      </c>
      <c r="AI137" s="97"/>
      <c r="AJ137" s="97">
        <v>13.1</v>
      </c>
      <c r="AK137" s="97"/>
      <c r="AL137" s="97"/>
    </row>
    <row r="138" spans="1:48" s="26" customFormat="1" ht="25.5" hidden="1" customHeight="1" x14ac:dyDescent="0.25">
      <c r="A138" s="54" t="s">
        <v>127</v>
      </c>
      <c r="B138" s="55" t="s">
        <v>100</v>
      </c>
      <c r="C138" s="56">
        <f>'[1]10132Chateaux'!$E$23</f>
        <v>1</v>
      </c>
      <c r="D138" s="57" t="s">
        <v>30</v>
      </c>
      <c r="E138" s="56" t="s">
        <v>104</v>
      </c>
      <c r="F138" s="56" t="s">
        <v>175</v>
      </c>
      <c r="G138" s="8"/>
      <c r="H138" s="69" t="s">
        <v>10</v>
      </c>
      <c r="I138" s="70">
        <f>'[1]10132Chateaux'!$D$11</f>
        <v>320</v>
      </c>
      <c r="J138" s="71" t="s">
        <v>6</v>
      </c>
      <c r="K138" s="24">
        <f t="shared" si="80"/>
        <v>0</v>
      </c>
      <c r="L138" s="78" t="s">
        <v>7</v>
      </c>
      <c r="M138" s="56" t="e">
        <f>M129/30*20</f>
        <v>#REF!</v>
      </c>
      <c r="N138" s="71" t="s">
        <v>6</v>
      </c>
      <c r="O138" s="25" t="e">
        <f t="shared" si="81"/>
        <v>#REF!</v>
      </c>
      <c r="P138" s="23" t="s">
        <v>7</v>
      </c>
      <c r="Q138" s="5"/>
      <c r="R138" s="21" t="s">
        <v>6</v>
      </c>
      <c r="S138" s="25" t="e">
        <f t="shared" si="82"/>
        <v>#REF!</v>
      </c>
      <c r="T138" s="80">
        <f t="shared" si="83"/>
        <v>7.8125E-2</v>
      </c>
      <c r="U138" s="81">
        <f t="shared" si="84"/>
        <v>25</v>
      </c>
      <c r="V138" s="81" t="e">
        <f t="shared" si="85"/>
        <v>#REF!</v>
      </c>
      <c r="W138" s="70" t="e">
        <f t="shared" si="86"/>
        <v>#REF!</v>
      </c>
      <c r="X138" s="82" t="e">
        <f t="shared" si="87"/>
        <v>#REF!</v>
      </c>
      <c r="Y138" s="97"/>
      <c r="Z138" s="98">
        <f>[2]!sell75551e+3</f>
        <v>25</v>
      </c>
      <c r="AA138" s="99" t="e">
        <f>M138*AC$152</f>
        <v>#REF!</v>
      </c>
      <c r="AB138" s="97"/>
      <c r="AC138" s="98"/>
      <c r="AD138" s="100" t="e">
        <f t="shared" si="89"/>
        <v>#REF!</v>
      </c>
      <c r="AE138" s="97"/>
      <c r="AF138" s="97">
        <v>21.9</v>
      </c>
      <c r="AG138" s="97" t="s">
        <v>112</v>
      </c>
      <c r="AH138" s="97">
        <v>14.9</v>
      </c>
      <c r="AI138" s="97" t="s">
        <v>106</v>
      </c>
      <c r="AJ138" s="97">
        <v>22</v>
      </c>
      <c r="AK138" s="97"/>
      <c r="AL138" s="97"/>
    </row>
    <row r="139" spans="1:48" s="26" customFormat="1" ht="25.5" hidden="1" customHeight="1" x14ac:dyDescent="0.25">
      <c r="A139" s="54" t="s">
        <v>78</v>
      </c>
      <c r="B139" s="55" t="s">
        <v>114</v>
      </c>
      <c r="C139" s="56" t="e">
        <f>#REF!</f>
        <v>#REF!</v>
      </c>
      <c r="D139" s="57" t="s">
        <v>30</v>
      </c>
      <c r="E139" s="56" t="e">
        <f>#REF!</f>
        <v>#REF!</v>
      </c>
      <c r="F139" s="58" t="s">
        <v>177</v>
      </c>
      <c r="G139" s="8"/>
      <c r="H139" s="69" t="s">
        <v>10</v>
      </c>
      <c r="I139" s="70" t="e">
        <f>#REF!</f>
        <v>#REF!</v>
      </c>
      <c r="J139" s="71" t="s">
        <v>6</v>
      </c>
      <c r="K139" s="24" t="e">
        <f t="shared" si="80"/>
        <v>#REF!</v>
      </c>
      <c r="L139" s="78" t="s">
        <v>7</v>
      </c>
      <c r="M139" s="56" t="e">
        <f>#REF!</f>
        <v>#REF!</v>
      </c>
      <c r="N139" s="71" t="s">
        <v>6</v>
      </c>
      <c r="O139" s="25" t="e">
        <f t="shared" si="81"/>
        <v>#REF!</v>
      </c>
      <c r="P139" s="23" t="s">
        <v>7</v>
      </c>
      <c r="Q139" s="5"/>
      <c r="R139" s="21" t="s">
        <v>6</v>
      </c>
      <c r="S139" s="25" t="e">
        <f t="shared" si="82"/>
        <v>#REF!</v>
      </c>
      <c r="T139" s="80" t="e">
        <f t="shared" si="83"/>
        <v>#REF!</v>
      </c>
      <c r="U139" s="81" t="e">
        <f t="shared" si="84"/>
        <v>#REF!</v>
      </c>
      <c r="V139" s="81" t="e">
        <f t="shared" si="85"/>
        <v>#REF!</v>
      </c>
      <c r="W139" s="70" t="e">
        <f t="shared" si="86"/>
        <v>#REF!</v>
      </c>
      <c r="X139" s="82" t="e">
        <f t="shared" si="87"/>
        <v>#REF!</v>
      </c>
      <c r="Y139" s="97"/>
      <c r="Z139" s="98">
        <f>[2]!sell75553e</f>
        <v>15</v>
      </c>
      <c r="AA139" s="99" t="e">
        <f>M139*AC$153</f>
        <v>#REF!</v>
      </c>
      <c r="AB139" s="97"/>
      <c r="AC139" s="98"/>
      <c r="AD139" s="100" t="e">
        <f t="shared" si="89"/>
        <v>#REF!</v>
      </c>
      <c r="AE139" s="97"/>
      <c r="AF139" s="97">
        <v>11.7</v>
      </c>
      <c r="AG139" s="97"/>
      <c r="AH139" s="97"/>
      <c r="AI139" s="97"/>
      <c r="AJ139" s="97">
        <v>13.2</v>
      </c>
      <c r="AK139" s="97"/>
      <c r="AL139" s="97"/>
    </row>
    <row r="140" spans="1:48" s="26" customFormat="1" ht="15.75" customHeight="1" x14ac:dyDescent="0.25">
      <c r="A140" s="65" t="s">
        <v>73</v>
      </c>
      <c r="B140" s="66"/>
      <c r="C140" s="67"/>
      <c r="D140" s="68"/>
      <c r="E140" s="67"/>
      <c r="F140" s="67"/>
      <c r="G140" s="31"/>
      <c r="H140" s="75"/>
      <c r="I140" s="76"/>
      <c r="J140" s="77"/>
      <c r="K140" s="33"/>
      <c r="L140" s="79"/>
      <c r="M140" s="67"/>
      <c r="N140" s="77"/>
      <c r="O140" s="35"/>
      <c r="P140" s="34"/>
      <c r="Q140" s="36"/>
      <c r="R140" s="32"/>
      <c r="S140" s="35"/>
      <c r="T140" s="83"/>
      <c r="U140" s="84"/>
      <c r="V140" s="84"/>
      <c r="W140" s="76"/>
      <c r="X140" s="85"/>
      <c r="Y140" s="97"/>
      <c r="Z140" s="98"/>
      <c r="AA140" s="99"/>
      <c r="AB140" s="97"/>
      <c r="AC140" s="98"/>
      <c r="AD140" s="100"/>
      <c r="AE140" s="97"/>
      <c r="AF140" s="97"/>
      <c r="AG140" s="97"/>
      <c r="AH140" s="97"/>
      <c r="AI140" s="97"/>
      <c r="AJ140" s="97"/>
      <c r="AK140" s="97"/>
      <c r="AL140" s="97"/>
    </row>
    <row r="141" spans="1:48" s="26" customFormat="1" ht="25.5" customHeight="1" x14ac:dyDescent="0.25">
      <c r="A141" s="54">
        <v>65004</v>
      </c>
      <c r="B141" s="55" t="s">
        <v>319</v>
      </c>
      <c r="C141" s="56" t="s">
        <v>326</v>
      </c>
      <c r="D141" s="57" t="s">
        <v>328</v>
      </c>
      <c r="E141" s="56">
        <v>7</v>
      </c>
      <c r="F141" s="104">
        <v>110242</v>
      </c>
      <c r="G141" s="8"/>
      <c r="H141" s="69" t="s">
        <v>10</v>
      </c>
      <c r="I141" s="70">
        <v>3</v>
      </c>
      <c r="J141" s="71" t="s">
        <v>6</v>
      </c>
      <c r="K141" s="24">
        <f t="shared" ref="K141:K150" si="90">G141/I141</f>
        <v>0</v>
      </c>
      <c r="L141" s="78" t="s">
        <v>7</v>
      </c>
      <c r="M141" s="56">
        <v>0.16</v>
      </c>
      <c r="N141" s="71" t="s">
        <v>6</v>
      </c>
      <c r="O141" s="24">
        <f t="shared" ref="O141:O150" si="91">K141*M141</f>
        <v>0</v>
      </c>
      <c r="P141" s="23" t="s">
        <v>7</v>
      </c>
      <c r="Q141" s="5"/>
      <c r="R141" s="71" t="s">
        <v>6</v>
      </c>
      <c r="S141" s="25">
        <f t="shared" ref="S141:S150" si="92">O141*Q141</f>
        <v>0</v>
      </c>
      <c r="T141" s="80">
        <f t="shared" ref="T141:T150" si="93">Z141/I141</f>
        <v>8.8474346666666666</v>
      </c>
      <c r="U141" s="81">
        <f t="shared" ref="U141:U150" si="94">T141*I141</f>
        <v>26.542304000000001</v>
      </c>
      <c r="V141" s="81">
        <v>0.28000000000000003</v>
      </c>
      <c r="W141" s="70">
        <f t="shared" ref="W141:W150" si="95">1000/M141</f>
        <v>6250</v>
      </c>
      <c r="X141" s="82">
        <f t="shared" ref="X141:X150" si="96">W141*I141</f>
        <v>18750</v>
      </c>
      <c r="Y141" s="97"/>
      <c r="Z141" s="98">
        <f t="shared" ref="Z141:Z150" si="97">AD141-AA141</f>
        <v>26.542304000000001</v>
      </c>
      <c r="AA141" s="99">
        <f t="shared" ref="AA141:AA150" si="98">IF(F141="110242",AD$152*M141,AD$153*M141)</f>
        <v>0.30769600000000003</v>
      </c>
      <c r="AB141" s="97"/>
      <c r="AC141" s="98"/>
      <c r="AD141" s="105">
        <v>26.85</v>
      </c>
      <c r="AE141" s="97"/>
      <c r="AF141" s="97"/>
      <c r="AG141" s="97"/>
      <c r="AH141" s="97"/>
      <c r="AI141" s="97"/>
      <c r="AJ141" s="97"/>
      <c r="AK141" s="97"/>
      <c r="AL141" s="97"/>
    </row>
    <row r="142" spans="1:48" s="26" customFormat="1" ht="25.5" customHeight="1" x14ac:dyDescent="0.25">
      <c r="A142" s="54">
        <v>65006</v>
      </c>
      <c r="B142" s="55" t="s">
        <v>320</v>
      </c>
      <c r="C142" s="56" t="s">
        <v>326</v>
      </c>
      <c r="D142" s="57" t="s">
        <v>328</v>
      </c>
      <c r="E142" s="56">
        <v>6.8</v>
      </c>
      <c r="F142" s="104">
        <v>110242</v>
      </c>
      <c r="G142" s="8"/>
      <c r="H142" s="69" t="s">
        <v>10</v>
      </c>
      <c r="I142" s="70">
        <v>2</v>
      </c>
      <c r="J142" s="71" t="s">
        <v>6</v>
      </c>
      <c r="K142" s="24">
        <f t="shared" si="90"/>
        <v>0</v>
      </c>
      <c r="L142" s="78" t="s">
        <v>7</v>
      </c>
      <c r="M142" s="56">
        <v>0.1</v>
      </c>
      <c r="N142" s="71" t="s">
        <v>6</v>
      </c>
      <c r="O142" s="24">
        <f t="shared" si="91"/>
        <v>0</v>
      </c>
      <c r="P142" s="23" t="s">
        <v>7</v>
      </c>
      <c r="Q142" s="5"/>
      <c r="R142" s="71" t="s">
        <v>6</v>
      </c>
      <c r="S142" s="25">
        <f t="shared" si="92"/>
        <v>0</v>
      </c>
      <c r="T142" s="80">
        <f t="shared" si="93"/>
        <v>13.328845000000001</v>
      </c>
      <c r="U142" s="81">
        <f t="shared" si="94"/>
        <v>26.657690000000002</v>
      </c>
      <c r="V142" s="81">
        <v>0.17</v>
      </c>
      <c r="W142" s="70">
        <f t="shared" si="95"/>
        <v>10000</v>
      </c>
      <c r="X142" s="82">
        <f t="shared" si="96"/>
        <v>20000</v>
      </c>
      <c r="Y142" s="97"/>
      <c r="Z142" s="98">
        <f t="shared" si="97"/>
        <v>26.657690000000002</v>
      </c>
      <c r="AA142" s="99">
        <f t="shared" si="98"/>
        <v>0.19231000000000001</v>
      </c>
      <c r="AB142" s="97"/>
      <c r="AC142" s="98"/>
      <c r="AD142" s="105">
        <v>26.85</v>
      </c>
      <c r="AE142" s="97"/>
      <c r="AF142" s="97"/>
      <c r="AG142" s="97"/>
      <c r="AH142" s="97"/>
      <c r="AI142" s="97"/>
      <c r="AJ142" s="97"/>
      <c r="AK142" s="97"/>
      <c r="AL142" s="97"/>
    </row>
    <row r="143" spans="1:48" s="26" customFormat="1" ht="25.5" customHeight="1" x14ac:dyDescent="0.25">
      <c r="A143" s="54">
        <v>65030</v>
      </c>
      <c r="B143" s="55" t="s">
        <v>321</v>
      </c>
      <c r="C143" s="56" t="s">
        <v>326</v>
      </c>
      <c r="D143" s="57" t="s">
        <v>327</v>
      </c>
      <c r="E143" s="56">
        <v>2.6</v>
      </c>
      <c r="F143" s="104">
        <v>110242</v>
      </c>
      <c r="G143" s="8"/>
      <c r="H143" s="69" t="s">
        <v>10</v>
      </c>
      <c r="I143" s="70">
        <v>1</v>
      </c>
      <c r="J143" s="71" t="s">
        <v>6</v>
      </c>
      <c r="K143" s="24">
        <f t="shared" si="90"/>
        <v>0</v>
      </c>
      <c r="L143" s="78" t="s">
        <v>7</v>
      </c>
      <c r="M143" s="56">
        <v>0.05</v>
      </c>
      <c r="N143" s="71" t="s">
        <v>6</v>
      </c>
      <c r="O143" s="24">
        <f t="shared" si="91"/>
        <v>0</v>
      </c>
      <c r="P143" s="23" t="s">
        <v>7</v>
      </c>
      <c r="Q143" s="5"/>
      <c r="R143" s="71" t="s">
        <v>6</v>
      </c>
      <c r="S143" s="25">
        <f t="shared" si="92"/>
        <v>0</v>
      </c>
      <c r="T143" s="80">
        <f t="shared" si="93"/>
        <v>12.423845</v>
      </c>
      <c r="U143" s="81">
        <f t="shared" si="94"/>
        <v>12.423845</v>
      </c>
      <c r="V143" s="81">
        <f t="shared" ref="V143:V150" si="99">AA143</f>
        <v>9.6155000000000004E-2</v>
      </c>
      <c r="W143" s="70">
        <f t="shared" si="95"/>
        <v>20000</v>
      </c>
      <c r="X143" s="82">
        <f t="shared" si="96"/>
        <v>20000</v>
      </c>
      <c r="Y143" s="97"/>
      <c r="Z143" s="98">
        <f t="shared" si="97"/>
        <v>12.423845</v>
      </c>
      <c r="AA143" s="99">
        <f t="shared" si="98"/>
        <v>9.6155000000000004E-2</v>
      </c>
      <c r="AB143" s="97"/>
      <c r="AC143" s="98"/>
      <c r="AD143" s="105">
        <v>12.52</v>
      </c>
      <c r="AE143" s="97"/>
      <c r="AF143" s="97"/>
      <c r="AG143" s="97"/>
      <c r="AH143" s="97"/>
      <c r="AI143" s="97"/>
      <c r="AJ143" s="97"/>
      <c r="AK143" s="97"/>
      <c r="AL143" s="97"/>
    </row>
    <row r="144" spans="1:48" s="26" customFormat="1" ht="25.5" customHeight="1" x14ac:dyDescent="0.25">
      <c r="A144" s="54">
        <v>65050</v>
      </c>
      <c r="B144" s="55" t="s">
        <v>322</v>
      </c>
      <c r="C144" s="56" t="s">
        <v>326</v>
      </c>
      <c r="D144" s="57" t="s">
        <v>327</v>
      </c>
      <c r="E144" s="56">
        <v>4.7</v>
      </c>
      <c r="F144" s="104">
        <v>110242</v>
      </c>
      <c r="G144" s="8"/>
      <c r="H144" s="69" t="s">
        <v>10</v>
      </c>
      <c r="I144" s="70">
        <v>2</v>
      </c>
      <c r="J144" s="71" t="s">
        <v>6</v>
      </c>
      <c r="K144" s="24">
        <f t="shared" si="90"/>
        <v>0</v>
      </c>
      <c r="L144" s="78" t="s">
        <v>7</v>
      </c>
      <c r="M144" s="56">
        <v>0.1</v>
      </c>
      <c r="N144" s="71" t="s">
        <v>6</v>
      </c>
      <c r="O144" s="24">
        <f t="shared" si="91"/>
        <v>0</v>
      </c>
      <c r="P144" s="23" t="s">
        <v>7</v>
      </c>
      <c r="Q144" s="5"/>
      <c r="R144" s="71" t="s">
        <v>6</v>
      </c>
      <c r="S144" s="25">
        <f t="shared" si="92"/>
        <v>0</v>
      </c>
      <c r="T144" s="80">
        <f t="shared" si="93"/>
        <v>9.7888450000000002</v>
      </c>
      <c r="U144" s="81">
        <f t="shared" si="94"/>
        <v>19.57769</v>
      </c>
      <c r="V144" s="81">
        <v>0.17</v>
      </c>
      <c r="W144" s="70">
        <f t="shared" si="95"/>
        <v>10000</v>
      </c>
      <c r="X144" s="82">
        <f t="shared" si="96"/>
        <v>20000</v>
      </c>
      <c r="Y144" s="97"/>
      <c r="Z144" s="98">
        <f t="shared" si="97"/>
        <v>19.57769</v>
      </c>
      <c r="AA144" s="99">
        <f t="shared" si="98"/>
        <v>0.19231000000000001</v>
      </c>
      <c r="AB144" s="97"/>
      <c r="AC144" s="98"/>
      <c r="AD144" s="105">
        <v>19.77</v>
      </c>
      <c r="AE144" s="97"/>
      <c r="AF144" s="97"/>
      <c r="AG144" s="97"/>
      <c r="AH144" s="97"/>
      <c r="AI144" s="97"/>
      <c r="AJ144" s="97"/>
      <c r="AK144" s="97"/>
      <c r="AL144" s="97"/>
    </row>
    <row r="145" spans="1:38" s="26" customFormat="1" ht="25.5" customHeight="1" x14ac:dyDescent="0.25">
      <c r="A145" s="54">
        <v>65500</v>
      </c>
      <c r="B145" s="55" t="s">
        <v>323</v>
      </c>
      <c r="C145" s="56" t="s">
        <v>326</v>
      </c>
      <c r="D145" s="57" t="s">
        <v>327</v>
      </c>
      <c r="E145" s="56">
        <v>8</v>
      </c>
      <c r="F145" s="104">
        <v>110242</v>
      </c>
      <c r="G145" s="8"/>
      <c r="H145" s="69" t="s">
        <v>10</v>
      </c>
      <c r="I145" s="70">
        <v>2</v>
      </c>
      <c r="J145" s="71" t="s">
        <v>6</v>
      </c>
      <c r="K145" s="24">
        <f t="shared" si="90"/>
        <v>0</v>
      </c>
      <c r="L145" s="78" t="s">
        <v>7</v>
      </c>
      <c r="M145" s="56">
        <v>0.31</v>
      </c>
      <c r="N145" s="71" t="s">
        <v>6</v>
      </c>
      <c r="O145" s="24">
        <f t="shared" si="91"/>
        <v>0</v>
      </c>
      <c r="P145" s="23" t="s">
        <v>7</v>
      </c>
      <c r="Q145" s="5"/>
      <c r="R145" s="71" t="s">
        <v>6</v>
      </c>
      <c r="S145" s="25">
        <f t="shared" si="92"/>
        <v>0</v>
      </c>
      <c r="T145" s="80">
        <f t="shared" si="93"/>
        <v>14.666919500000001</v>
      </c>
      <c r="U145" s="81">
        <f t="shared" si="94"/>
        <v>29.333839000000001</v>
      </c>
      <c r="V145" s="81">
        <v>0.54</v>
      </c>
      <c r="W145" s="70">
        <f t="shared" si="95"/>
        <v>3225.8064516129034</v>
      </c>
      <c r="X145" s="82">
        <f t="shared" si="96"/>
        <v>6451.6129032258068</v>
      </c>
      <c r="Y145" s="97"/>
      <c r="Z145" s="98">
        <f t="shared" si="97"/>
        <v>29.333839000000001</v>
      </c>
      <c r="AA145" s="99">
        <f t="shared" si="98"/>
        <v>0.59616100000000005</v>
      </c>
      <c r="AB145" s="97"/>
      <c r="AC145" s="98"/>
      <c r="AD145" s="105">
        <v>29.93</v>
      </c>
      <c r="AE145" s="97"/>
      <c r="AF145" s="97"/>
      <c r="AG145" s="97"/>
      <c r="AH145" s="97"/>
      <c r="AI145" s="97"/>
      <c r="AJ145" s="97"/>
      <c r="AK145" s="97"/>
      <c r="AL145" s="97"/>
    </row>
    <row r="146" spans="1:38" s="26" customFormat="1" ht="25.5" customHeight="1" x14ac:dyDescent="0.25">
      <c r="A146" s="54">
        <v>65500</v>
      </c>
      <c r="B146" s="55" t="s">
        <v>323</v>
      </c>
      <c r="C146" s="56" t="s">
        <v>326</v>
      </c>
      <c r="D146" s="57" t="s">
        <v>328</v>
      </c>
      <c r="E146" s="56">
        <v>8</v>
      </c>
      <c r="F146" s="104">
        <v>110244</v>
      </c>
      <c r="G146" s="8"/>
      <c r="H146" s="69" t="s">
        <v>10</v>
      </c>
      <c r="I146" s="70">
        <v>2</v>
      </c>
      <c r="J146" s="71" t="s">
        <v>6</v>
      </c>
      <c r="K146" s="24">
        <f t="shared" si="90"/>
        <v>0</v>
      </c>
      <c r="L146" s="78" t="s">
        <v>7</v>
      </c>
      <c r="M146" s="56">
        <v>0.19</v>
      </c>
      <c r="N146" s="71" t="s">
        <v>6</v>
      </c>
      <c r="O146" s="24">
        <f t="shared" si="91"/>
        <v>0</v>
      </c>
      <c r="P146" s="23" t="s">
        <v>7</v>
      </c>
      <c r="Q146" s="5"/>
      <c r="R146" s="71" t="s">
        <v>6</v>
      </c>
      <c r="S146" s="25">
        <f t="shared" si="92"/>
        <v>0</v>
      </c>
      <c r="T146" s="80">
        <f t="shared" si="93"/>
        <v>14.7823055</v>
      </c>
      <c r="U146" s="81">
        <f t="shared" si="94"/>
        <v>29.564610999999999</v>
      </c>
      <c r="V146" s="81">
        <f t="shared" si="99"/>
        <v>0.36538900000000002</v>
      </c>
      <c r="W146" s="70">
        <f t="shared" si="95"/>
        <v>5263.1578947368416</v>
      </c>
      <c r="X146" s="82">
        <f t="shared" si="96"/>
        <v>10526.315789473683</v>
      </c>
      <c r="Y146" s="97"/>
      <c r="Z146" s="98">
        <f t="shared" si="97"/>
        <v>29.564610999999999</v>
      </c>
      <c r="AA146" s="99">
        <f t="shared" si="98"/>
        <v>0.36538900000000002</v>
      </c>
      <c r="AB146" s="97"/>
      <c r="AC146" s="98"/>
      <c r="AD146" s="105">
        <v>29.93</v>
      </c>
      <c r="AE146" s="97"/>
      <c r="AF146" s="97"/>
      <c r="AG146" s="97"/>
      <c r="AH146" s="97"/>
      <c r="AI146" s="97"/>
      <c r="AJ146" s="97"/>
      <c r="AK146" s="97"/>
      <c r="AL146" s="97"/>
    </row>
    <row r="147" spans="1:38" s="26" customFormat="1" ht="25.5" hidden="1" customHeight="1" x14ac:dyDescent="0.25">
      <c r="A147" s="54">
        <v>65501</v>
      </c>
      <c r="B147" s="55" t="s">
        <v>330</v>
      </c>
      <c r="C147" s="56" t="s">
        <v>326</v>
      </c>
      <c r="D147" s="57" t="s">
        <v>331</v>
      </c>
      <c r="E147" s="56">
        <v>7.91</v>
      </c>
      <c r="F147" s="104">
        <v>110242</v>
      </c>
      <c r="G147" s="8"/>
      <c r="H147" s="69" t="s">
        <v>10</v>
      </c>
      <c r="I147" s="70">
        <v>4</v>
      </c>
      <c r="J147" s="71"/>
      <c r="K147" s="24">
        <f>G147/I147</f>
        <v>0</v>
      </c>
      <c r="L147" s="78" t="s">
        <v>7</v>
      </c>
      <c r="M147" s="56">
        <v>0.27</v>
      </c>
      <c r="N147" s="71"/>
      <c r="O147" s="24">
        <f>K147*M147</f>
        <v>0</v>
      </c>
      <c r="P147" s="23" t="s">
        <v>7</v>
      </c>
      <c r="Q147" s="5"/>
      <c r="R147" s="71" t="s">
        <v>6</v>
      </c>
      <c r="S147" s="25">
        <f>O147*Q147</f>
        <v>0</v>
      </c>
      <c r="T147" s="80">
        <f t="shared" si="93"/>
        <v>7.3926907499999999</v>
      </c>
      <c r="U147" s="81">
        <f>T147*I147</f>
        <v>29.570762999999999</v>
      </c>
      <c r="V147" s="81">
        <f>AA147</f>
        <v>0.51923700000000006</v>
      </c>
      <c r="W147" s="70">
        <f>1000/M147</f>
        <v>3703.7037037037035</v>
      </c>
      <c r="X147" s="82">
        <f>W147*I147</f>
        <v>14814.814814814814</v>
      </c>
      <c r="Y147" s="97"/>
      <c r="Z147" s="98">
        <f t="shared" si="97"/>
        <v>29.570762999999999</v>
      </c>
      <c r="AA147" s="99">
        <f t="shared" si="98"/>
        <v>0.51923700000000006</v>
      </c>
      <c r="AB147" s="97"/>
      <c r="AC147" s="98"/>
      <c r="AD147" s="105">
        <v>30.09</v>
      </c>
      <c r="AE147" s="97"/>
      <c r="AF147" s="97"/>
      <c r="AG147" s="97"/>
      <c r="AH147" s="97"/>
      <c r="AI147" s="97"/>
      <c r="AJ147" s="97"/>
      <c r="AK147" s="97"/>
      <c r="AL147" s="97"/>
    </row>
    <row r="148" spans="1:38" s="26" customFormat="1" ht="25.5" customHeight="1" x14ac:dyDescent="0.25">
      <c r="A148" s="54">
        <v>65530</v>
      </c>
      <c r="B148" s="55" t="s">
        <v>324</v>
      </c>
      <c r="C148" s="56" t="s">
        <v>326</v>
      </c>
      <c r="D148" s="57" t="s">
        <v>328</v>
      </c>
      <c r="E148" s="56">
        <v>3.46</v>
      </c>
      <c r="F148" s="104">
        <v>110242</v>
      </c>
      <c r="G148" s="8"/>
      <c r="H148" s="69" t="s">
        <v>10</v>
      </c>
      <c r="I148" s="70">
        <v>1</v>
      </c>
      <c r="J148" s="71" t="s">
        <v>6</v>
      </c>
      <c r="K148" s="24">
        <f t="shared" si="90"/>
        <v>0</v>
      </c>
      <c r="L148" s="78" t="s">
        <v>7</v>
      </c>
      <c r="M148" s="56">
        <v>0.16</v>
      </c>
      <c r="N148" s="71" t="s">
        <v>6</v>
      </c>
      <c r="O148" s="24">
        <f t="shared" si="91"/>
        <v>0</v>
      </c>
      <c r="P148" s="23" t="s">
        <v>7</v>
      </c>
      <c r="Q148" s="5"/>
      <c r="R148" s="71" t="s">
        <v>6</v>
      </c>
      <c r="S148" s="25">
        <f t="shared" si="92"/>
        <v>0</v>
      </c>
      <c r="T148" s="80">
        <f t="shared" si="93"/>
        <v>13.072304000000001</v>
      </c>
      <c r="U148" s="81">
        <f t="shared" si="94"/>
        <v>13.072304000000001</v>
      </c>
      <c r="V148" s="81">
        <f t="shared" si="99"/>
        <v>0.30769600000000003</v>
      </c>
      <c r="W148" s="70">
        <f t="shared" si="95"/>
        <v>6250</v>
      </c>
      <c r="X148" s="82">
        <f t="shared" si="96"/>
        <v>6250</v>
      </c>
      <c r="Y148" s="97"/>
      <c r="Z148" s="98">
        <f t="shared" si="97"/>
        <v>13.072304000000001</v>
      </c>
      <c r="AA148" s="99">
        <f t="shared" si="98"/>
        <v>0.30769600000000003</v>
      </c>
      <c r="AB148" s="97"/>
      <c r="AC148" s="98"/>
      <c r="AD148" s="105">
        <v>13.38</v>
      </c>
      <c r="AE148" s="97"/>
      <c r="AF148" s="97"/>
      <c r="AG148" s="97"/>
      <c r="AH148" s="97"/>
      <c r="AI148" s="97"/>
      <c r="AJ148" s="97"/>
      <c r="AK148" s="97"/>
      <c r="AL148" s="97"/>
    </row>
    <row r="149" spans="1:38" s="26" customFormat="1" ht="25.5" customHeight="1" x14ac:dyDescent="0.25">
      <c r="A149" s="54">
        <v>65550</v>
      </c>
      <c r="B149" s="55" t="s">
        <v>325</v>
      </c>
      <c r="C149" s="56" t="s">
        <v>326</v>
      </c>
      <c r="D149" s="57" t="s">
        <v>328</v>
      </c>
      <c r="E149" s="56">
        <v>5.7</v>
      </c>
      <c r="F149" s="104">
        <v>110242</v>
      </c>
      <c r="G149" s="8"/>
      <c r="H149" s="69" t="s">
        <v>10</v>
      </c>
      <c r="I149" s="70">
        <v>2</v>
      </c>
      <c r="J149" s="71" t="s">
        <v>6</v>
      </c>
      <c r="K149" s="24">
        <f t="shared" si="90"/>
        <v>0</v>
      </c>
      <c r="L149" s="78" t="s">
        <v>7</v>
      </c>
      <c r="M149" s="56">
        <v>0.1</v>
      </c>
      <c r="N149" s="71" t="s">
        <v>6</v>
      </c>
      <c r="O149" s="24">
        <f t="shared" si="91"/>
        <v>0</v>
      </c>
      <c r="P149" s="23" t="s">
        <v>7</v>
      </c>
      <c r="Q149" s="5"/>
      <c r="R149" s="71" t="s">
        <v>6</v>
      </c>
      <c r="S149" s="25">
        <f t="shared" si="92"/>
        <v>0</v>
      </c>
      <c r="T149" s="80">
        <f t="shared" si="93"/>
        <v>11.068845</v>
      </c>
      <c r="U149" s="81">
        <f t="shared" si="94"/>
        <v>22.137689999999999</v>
      </c>
      <c r="V149" s="81">
        <v>0.17</v>
      </c>
      <c r="W149" s="70">
        <f t="shared" si="95"/>
        <v>10000</v>
      </c>
      <c r="X149" s="82">
        <f t="shared" si="96"/>
        <v>20000</v>
      </c>
      <c r="Y149" s="97"/>
      <c r="Z149" s="98">
        <f t="shared" si="97"/>
        <v>22.137689999999999</v>
      </c>
      <c r="AA149" s="99">
        <f t="shared" si="98"/>
        <v>0.19231000000000001</v>
      </c>
      <c r="AB149" s="97"/>
      <c r="AC149" s="98"/>
      <c r="AD149" s="105">
        <v>22.33</v>
      </c>
      <c r="AE149" s="97"/>
      <c r="AF149" s="97"/>
      <c r="AG149" s="97"/>
      <c r="AH149" s="97"/>
      <c r="AI149" s="97"/>
      <c r="AJ149" s="97"/>
      <c r="AK149" s="97"/>
      <c r="AL149" s="97"/>
    </row>
    <row r="150" spans="1:38" s="26" customFormat="1" ht="25.5" customHeight="1" x14ac:dyDescent="0.25">
      <c r="A150" s="54">
        <v>65550</v>
      </c>
      <c r="B150" s="55" t="s">
        <v>325</v>
      </c>
      <c r="C150" s="56" t="s">
        <v>326</v>
      </c>
      <c r="D150" s="57" t="s">
        <v>328</v>
      </c>
      <c r="E150" s="56">
        <v>5.7</v>
      </c>
      <c r="F150" s="104">
        <v>110244</v>
      </c>
      <c r="G150" s="8"/>
      <c r="H150" s="69" t="s">
        <v>10</v>
      </c>
      <c r="I150" s="70">
        <v>2</v>
      </c>
      <c r="J150" s="71" t="s">
        <v>6</v>
      </c>
      <c r="K150" s="24">
        <f t="shared" si="90"/>
        <v>0</v>
      </c>
      <c r="L150" s="78" t="s">
        <v>7</v>
      </c>
      <c r="M150" s="56">
        <v>0.13</v>
      </c>
      <c r="N150" s="71" t="s">
        <v>6</v>
      </c>
      <c r="O150" s="24">
        <f t="shared" si="91"/>
        <v>0</v>
      </c>
      <c r="P150" s="23" t="s">
        <v>7</v>
      </c>
      <c r="Q150" s="5"/>
      <c r="R150" s="71" t="s">
        <v>6</v>
      </c>
      <c r="S150" s="25">
        <f t="shared" si="92"/>
        <v>0</v>
      </c>
      <c r="T150" s="80">
        <f t="shared" si="93"/>
        <v>11.039998499999999</v>
      </c>
      <c r="U150" s="81">
        <f t="shared" si="94"/>
        <v>22.079996999999999</v>
      </c>
      <c r="V150" s="81">
        <f t="shared" si="99"/>
        <v>0.25000300000000003</v>
      </c>
      <c r="W150" s="70">
        <f t="shared" si="95"/>
        <v>7692.3076923076924</v>
      </c>
      <c r="X150" s="82">
        <f t="shared" si="96"/>
        <v>15384.615384615385</v>
      </c>
      <c r="Y150" s="97"/>
      <c r="Z150" s="98">
        <f t="shared" si="97"/>
        <v>22.079996999999999</v>
      </c>
      <c r="AA150" s="99">
        <f t="shared" si="98"/>
        <v>0.25000300000000003</v>
      </c>
      <c r="AB150" s="97"/>
      <c r="AC150" s="98"/>
      <c r="AD150" s="105">
        <v>22.33</v>
      </c>
      <c r="AE150" s="97"/>
      <c r="AF150" s="97"/>
      <c r="AG150" s="97"/>
      <c r="AH150" s="97"/>
      <c r="AI150" s="97"/>
      <c r="AJ150" s="97"/>
      <c r="AK150" s="97"/>
      <c r="AL150" s="97"/>
    </row>
    <row r="151" spans="1:38" ht="15.75" customHeight="1" x14ac:dyDescent="0.3">
      <c r="O151" s="38"/>
      <c r="Z151" s="91" t="s">
        <v>274</v>
      </c>
      <c r="AA151" s="90" t="s">
        <v>296</v>
      </c>
      <c r="AC151" s="91" t="s">
        <v>307</v>
      </c>
      <c r="AD151" s="2" t="s">
        <v>345</v>
      </c>
      <c r="AE151" s="2"/>
    </row>
    <row r="152" spans="1:38" ht="15.75" customHeight="1" thickBot="1" x14ac:dyDescent="0.4">
      <c r="L152" s="39" t="s">
        <v>39</v>
      </c>
      <c r="M152" s="87"/>
      <c r="R152" s="39" t="s">
        <v>64</v>
      </c>
      <c r="S152" s="7">
        <f>SUM(S6:S7,S9,S11,S20:S22,S24,S26:S27,S47:S53,S55:S58,S60,S65,S66,S67,S68,S73:S76,S79,S82,S94:S96,S103,S104,S107, S109,S110,S114:S116, S141:S150)</f>
        <v>0</v>
      </c>
      <c r="T152" s="40" t="s">
        <v>11</v>
      </c>
      <c r="X152" s="41"/>
      <c r="Z152" s="90">
        <f>[1]!usdachsval</f>
        <v>1.7956000000000001</v>
      </c>
      <c r="AA152" s="90">
        <v>1.6046</v>
      </c>
      <c r="AB152" s="90" t="s">
        <v>171</v>
      </c>
      <c r="AC152" s="90">
        <f>[1]!usdachsval</f>
        <v>1.7956000000000001</v>
      </c>
      <c r="AD152" s="2">
        <v>1.9476</v>
      </c>
      <c r="AE152" s="2"/>
    </row>
    <row r="153" spans="1:38" ht="15.75" customHeight="1" x14ac:dyDescent="0.35">
      <c r="A153" s="42"/>
      <c r="B153" s="2" t="s">
        <v>19</v>
      </c>
      <c r="C153" s="43"/>
      <c r="D153" s="43"/>
      <c r="E153" s="43"/>
      <c r="F153" s="43"/>
      <c r="G153" s="44"/>
      <c r="H153" s="43"/>
      <c r="I153" s="42"/>
      <c r="J153" s="3"/>
      <c r="N153" s="45"/>
      <c r="P153" s="3"/>
      <c r="Q153" s="46"/>
      <c r="R153" s="45"/>
      <c r="S153" s="40"/>
      <c r="Z153" s="90">
        <f>[1]!usdamozzval</f>
        <v>1.8467</v>
      </c>
      <c r="AA153" s="90">
        <v>1.6208</v>
      </c>
      <c r="AB153" s="90" t="s">
        <v>170</v>
      </c>
      <c r="AC153" s="90">
        <f>[1]!usdamozzval</f>
        <v>1.8467</v>
      </c>
      <c r="AD153" s="90">
        <v>1.9231</v>
      </c>
    </row>
    <row r="154" spans="1:38" ht="15.75" customHeight="1" x14ac:dyDescent="0.3">
      <c r="A154" s="42"/>
      <c r="B154" s="2" t="s">
        <v>83</v>
      </c>
      <c r="C154" s="43"/>
      <c r="D154" s="43"/>
      <c r="E154" s="43"/>
      <c r="F154" s="43"/>
      <c r="G154" s="44"/>
      <c r="H154" s="43"/>
      <c r="I154" s="47" t="s">
        <v>67</v>
      </c>
      <c r="J154" s="1"/>
      <c r="K154" s="1"/>
      <c r="L154" s="1"/>
      <c r="M154" s="88"/>
      <c r="N154" s="1"/>
      <c r="O154" s="1"/>
      <c r="P154" s="3"/>
      <c r="R154" s="45"/>
      <c r="T154" s="47" t="s">
        <v>65</v>
      </c>
      <c r="U154" s="1"/>
      <c r="V154" s="1"/>
      <c r="W154" s="1"/>
      <c r="X154" s="1"/>
    </row>
    <row r="155" spans="1:38" ht="14.25" customHeight="1" x14ac:dyDescent="0.3">
      <c r="A155" s="42"/>
      <c r="B155" s="2" t="s">
        <v>52</v>
      </c>
      <c r="C155" s="43"/>
      <c r="D155" s="43"/>
      <c r="E155" s="43"/>
      <c r="F155" s="43"/>
      <c r="G155" s="44"/>
      <c r="H155" s="43"/>
      <c r="I155" s="47" t="s">
        <v>70</v>
      </c>
      <c r="J155" s="1"/>
      <c r="K155" s="1"/>
      <c r="L155" s="1"/>
      <c r="M155" s="88"/>
      <c r="N155" s="1"/>
      <c r="O155" s="1"/>
      <c r="P155" s="3"/>
      <c r="T155" s="47" t="s">
        <v>70</v>
      </c>
      <c r="U155" s="1"/>
      <c r="V155" s="1"/>
      <c r="W155" s="1"/>
      <c r="X155" s="1"/>
      <c r="AC155" s="90" t="s">
        <v>332</v>
      </c>
    </row>
    <row r="156" spans="1:38" ht="15" customHeight="1" x14ac:dyDescent="0.3">
      <c r="A156" s="48"/>
      <c r="B156" s="2" t="s">
        <v>51</v>
      </c>
      <c r="G156" s="49"/>
      <c r="I156" s="47" t="s">
        <v>69</v>
      </c>
      <c r="J156" s="1"/>
      <c r="K156" s="1"/>
      <c r="L156" s="1"/>
      <c r="M156" s="88"/>
      <c r="N156" s="1"/>
      <c r="O156" s="1"/>
      <c r="P156" s="3"/>
      <c r="T156" s="47" t="s">
        <v>69</v>
      </c>
      <c r="U156" s="1"/>
      <c r="V156" s="1"/>
      <c r="W156" s="1"/>
      <c r="X156" s="1"/>
      <c r="AC156" s="90">
        <v>1.7375</v>
      </c>
    </row>
    <row r="157" spans="1:38" ht="15" customHeight="1" x14ac:dyDescent="0.3">
      <c r="A157" s="50"/>
      <c r="G157" s="49"/>
      <c r="I157" s="47" t="s">
        <v>8</v>
      </c>
      <c r="J157" s="1"/>
      <c r="K157" s="1"/>
      <c r="L157" s="1"/>
      <c r="M157" s="88"/>
      <c r="N157" s="1"/>
      <c r="O157" s="1"/>
      <c r="P157" s="3"/>
      <c r="T157" s="47" t="s">
        <v>8</v>
      </c>
      <c r="U157" s="1"/>
      <c r="V157" s="1"/>
      <c r="W157" s="1"/>
      <c r="X157" s="1"/>
      <c r="AC157" s="90">
        <v>1.8369</v>
      </c>
    </row>
    <row r="158" spans="1:38" ht="15" customHeight="1" x14ac:dyDescent="0.3">
      <c r="A158" s="50"/>
      <c r="G158" s="49"/>
      <c r="I158" s="47"/>
      <c r="J158" s="3"/>
      <c r="K158" s="3"/>
      <c r="L158" s="3"/>
      <c r="M158" s="89"/>
      <c r="N158" s="3"/>
      <c r="O158" s="3"/>
      <c r="P158" s="3"/>
      <c r="T158" s="47" t="s">
        <v>9</v>
      </c>
      <c r="U158" s="1"/>
      <c r="V158" s="1"/>
      <c r="W158" s="1"/>
      <c r="X158" s="1"/>
    </row>
    <row r="159" spans="1:38" ht="15" customHeight="1" x14ac:dyDescent="0.3">
      <c r="A159" s="48"/>
      <c r="G159" s="49"/>
      <c r="I159" s="47" t="s">
        <v>68</v>
      </c>
      <c r="J159" s="1"/>
      <c r="K159" s="1"/>
      <c r="L159" s="1"/>
      <c r="M159" s="88"/>
      <c r="N159" s="1"/>
      <c r="O159" s="1"/>
      <c r="P159" s="3"/>
      <c r="T159" s="47" t="s">
        <v>68</v>
      </c>
      <c r="U159" s="1"/>
      <c r="V159" s="1"/>
      <c r="W159" s="1"/>
      <c r="X159" s="1"/>
    </row>
    <row r="160" spans="1:38" ht="15" customHeight="1" x14ac:dyDescent="0.3">
      <c r="A160" s="48"/>
      <c r="G160" s="49"/>
      <c r="I160" s="51" t="s">
        <v>18</v>
      </c>
      <c r="J160" s="1"/>
      <c r="K160" s="1"/>
      <c r="L160" s="1"/>
      <c r="M160" s="88"/>
      <c r="N160" s="1"/>
      <c r="O160" s="1"/>
      <c r="P160" s="3"/>
      <c r="T160" s="51" t="s">
        <v>18</v>
      </c>
      <c r="U160" s="1"/>
      <c r="V160" s="1"/>
      <c r="W160" s="1"/>
      <c r="X160" s="1"/>
    </row>
    <row r="161" spans="1:24" ht="15" customHeight="1" x14ac:dyDescent="0.3">
      <c r="A161" s="48"/>
      <c r="B161" s="119" t="s">
        <v>32</v>
      </c>
      <c r="C161" s="119"/>
      <c r="D161" s="119"/>
      <c r="E161" s="119"/>
      <c r="F161" s="119"/>
      <c r="G161" s="49"/>
      <c r="J161" s="3"/>
      <c r="K161" s="3"/>
      <c r="L161" s="3"/>
      <c r="M161" s="89"/>
      <c r="N161" s="3"/>
      <c r="O161" s="3"/>
      <c r="P161" s="3"/>
      <c r="T161" s="52" t="s">
        <v>66</v>
      </c>
      <c r="U161" s="1"/>
      <c r="V161" s="1"/>
      <c r="W161" s="1"/>
      <c r="X161" s="1"/>
    </row>
    <row r="162" spans="1:24" ht="15" customHeight="1" x14ac:dyDescent="0.3">
      <c r="B162" s="53"/>
      <c r="G162" s="49"/>
    </row>
    <row r="163" spans="1:24" x14ac:dyDescent="0.3">
      <c r="G163" s="49"/>
    </row>
  </sheetData>
  <sheetProtection algorithmName="SHA-512" hashValue="0Asy+AEV+4Hbm0/i0OP/Se3ClF3mi5LKcKGEP+5GEyLgWnhjbJvlp6FqSpMloBu7onFEnmTZVVUtynsKVi038g==" saltValue="XbW5OSDrXwPZpNltnt/TEQ==" spinCount="100000" sheet="1" selectLockedCells="1"/>
  <mergeCells count="24">
    <mergeCell ref="A2:A3"/>
    <mergeCell ref="I2:I3"/>
    <mergeCell ref="H2:H3"/>
    <mergeCell ref="B2:B3"/>
    <mergeCell ref="D2:D3"/>
    <mergeCell ref="C2:C3"/>
    <mergeCell ref="G2:G3"/>
    <mergeCell ref="E2:E3"/>
    <mergeCell ref="B161:F161"/>
    <mergeCell ref="M2:M3"/>
    <mergeCell ref="P2:P3"/>
    <mergeCell ref="F2:F3"/>
    <mergeCell ref="K2:K3"/>
    <mergeCell ref="L2:L3"/>
    <mergeCell ref="W2:X2"/>
    <mergeCell ref="J2:J3"/>
    <mergeCell ref="V2:V3"/>
    <mergeCell ref="U2:U3"/>
    <mergeCell ref="S2:S3"/>
    <mergeCell ref="R2:R3"/>
    <mergeCell ref="T2:T3"/>
    <mergeCell ref="Q2:Q3"/>
    <mergeCell ref="O2:O3"/>
    <mergeCell ref="N2:N3"/>
  </mergeCells>
  <phoneticPr fontId="11" type="noConversion"/>
  <printOptions horizontalCentered="1"/>
  <pageMargins left="0.25" right="0.25" top="0.5" bottom="0.3" header="0.25" footer="0.05"/>
  <pageSetup scale="66" fitToHeight="0" orientation="landscape" r:id="rId1"/>
  <headerFooter alignWithMargins="0">
    <oddHeader xml:space="preserve">&amp;LSchool Year 2023-2024&amp;RCheddar Barrel OR Mozzarella Unfrz Options </oddHeader>
    <oddFooter>&amp;C&amp;"Times New Roman,Regular"&amp;D&amp;R&amp;"Times New Roman,Regular"Page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2023-01-29T03:18:31+00:00</Remediation_x0020_Date>
  </documentManagement>
</p:properties>
</file>

<file path=customXml/itemProps1.xml><?xml version="1.0" encoding="utf-8"?>
<ds:datastoreItem xmlns:ds="http://schemas.openxmlformats.org/officeDocument/2006/customXml" ds:itemID="{18F622FE-01F4-4194-8491-0AED9A366AE8}"/>
</file>

<file path=customXml/itemProps2.xml><?xml version="1.0" encoding="utf-8"?>
<ds:datastoreItem xmlns:ds="http://schemas.openxmlformats.org/officeDocument/2006/customXml" ds:itemID="{C9CF1F91-7D63-4D95-BDC3-87A3B0F28D1D}"/>
</file>

<file path=customXml/itemProps3.xml><?xml version="1.0" encoding="utf-8"?>
<ds:datastoreItem xmlns:ds="http://schemas.openxmlformats.org/officeDocument/2006/customXml" ds:itemID="{A085D958-1361-4E1D-9B9D-B74A137DE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B049 entrees</vt:lpstr>
      <vt:lpstr>'B049 entrees'!Print_Area</vt:lpstr>
      <vt:lpstr>'B049 entrees'!Print_Titles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"CameronB"</cp:lastModifiedBy>
  <cp:lastPrinted>2023-01-24T16:15:43Z</cp:lastPrinted>
  <dcterms:created xsi:type="dcterms:W3CDTF">1996-10-14T23:33:28Z</dcterms:created>
  <dcterms:modified xsi:type="dcterms:W3CDTF">2023-01-27T00:33:18Z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0x01010046895D7B4FD22A4A9C390F7B0E997D3F</vt:lpwstr>
  </property>
</Properties>
</file>