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6-27\"/>
    </mc:Choice>
  </mc:AlternateContent>
  <xr:revisionPtr revIDLastSave="0" documentId="8_{2A3F73A1-0B36-4BE2-A374-86A7FB3CD4F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Integrated Food Service" sheetId="1" r:id="rId1"/>
  </sheets>
  <definedNames>
    <definedName name="_xlnm.Print_Area" localSheetId="0">'Integrated Food Service'!$A$1:$K$110</definedName>
    <definedName name="_xlnm.Print_Titles" localSheetId="0">'Integrated Food Service'!$1:$12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1" l="1"/>
  <c r="I95" i="1" s="1"/>
  <c r="K95" i="1" s="1"/>
  <c r="H91" i="1"/>
  <c r="I91" i="1" s="1"/>
  <c r="K91" i="1" s="1"/>
  <c r="H67" i="1"/>
  <c r="I67" i="1" s="1"/>
  <c r="J67" i="1" s="1"/>
  <c r="H57" i="1"/>
  <c r="I57" i="1" s="1"/>
  <c r="J57" i="1" s="1"/>
  <c r="H65" i="1"/>
  <c r="I65" i="1" s="1"/>
  <c r="J65" i="1" s="1"/>
  <c r="H75" i="1"/>
  <c r="I75" i="1" s="1"/>
  <c r="K75" i="1" s="1"/>
  <c r="H73" i="1"/>
  <c r="I73" i="1" s="1"/>
  <c r="K73" i="1" s="1"/>
  <c r="H83" i="1"/>
  <c r="I83" i="1" s="1"/>
  <c r="K83" i="1" s="1"/>
  <c r="H85" i="1"/>
  <c r="I85" i="1" s="1"/>
  <c r="K85" i="1" s="1"/>
  <c r="H87" i="1"/>
  <c r="I87" i="1" s="1"/>
  <c r="K87" i="1" s="1"/>
  <c r="H53" i="1" l="1"/>
  <c r="I53" i="1" s="1"/>
  <c r="K53" i="1" s="1"/>
  <c r="H89" i="1"/>
  <c r="H93" i="1"/>
  <c r="I93" i="1" s="1"/>
  <c r="K93" i="1" s="1"/>
  <c r="H51" i="1"/>
  <c r="H49" i="1"/>
  <c r="H101" i="1"/>
  <c r="I101" i="1" s="1"/>
  <c r="K101" i="1" s="1"/>
  <c r="I89" i="1" l="1"/>
  <c r="K89" i="1"/>
  <c r="I51" i="1"/>
  <c r="K51" i="1"/>
  <c r="I49" i="1"/>
  <c r="K49" i="1"/>
  <c r="J51" i="1"/>
  <c r="H99" i="1"/>
  <c r="I99" i="1" s="1"/>
  <c r="K99" i="1" s="1"/>
  <c r="H97" i="1"/>
  <c r="I97" i="1" s="1"/>
  <c r="K97" i="1" s="1"/>
  <c r="H71" i="1"/>
  <c r="I71" i="1" s="1"/>
  <c r="K71" i="1" s="1"/>
  <c r="H21" i="1" l="1"/>
  <c r="I21" i="1" s="1"/>
  <c r="J21" i="1" s="1"/>
  <c r="H59" i="1"/>
  <c r="I59" i="1" s="1"/>
  <c r="K59" i="1" s="1"/>
  <c r="H77" i="1"/>
  <c r="K77" i="1" s="1"/>
  <c r="H79" i="1"/>
  <c r="H81" i="1"/>
  <c r="H41" i="1"/>
  <c r="H43" i="1"/>
  <c r="K43" i="1" s="1"/>
  <c r="H45" i="1"/>
  <c r="H47" i="1"/>
  <c r="K47" i="1" s="1"/>
  <c r="H55" i="1"/>
  <c r="H61" i="1"/>
  <c r="H63" i="1"/>
  <c r="H39" i="1"/>
  <c r="H24" i="1"/>
  <c r="H26" i="1"/>
  <c r="H28" i="1"/>
  <c r="H30" i="1"/>
  <c r="H32" i="1"/>
  <c r="H34" i="1"/>
  <c r="H36" i="1"/>
  <c r="H17" i="1"/>
  <c r="H19" i="1"/>
  <c r="H15" i="1"/>
  <c r="J59" i="1" l="1"/>
  <c r="J103" i="1" l="1"/>
  <c r="J107" i="1" s="1"/>
  <c r="I81" i="1"/>
  <c r="K81" i="1" s="1"/>
  <c r="I28" i="1"/>
  <c r="K28" i="1" s="1"/>
  <c r="I63" i="1"/>
  <c r="I61" i="1"/>
  <c r="I55" i="1"/>
  <c r="J55" i="1" s="1"/>
  <c r="I47" i="1"/>
  <c r="I45" i="1"/>
  <c r="I43" i="1"/>
  <c r="I41" i="1"/>
  <c r="K41" i="1" s="1"/>
  <c r="I39" i="1"/>
  <c r="J39" i="1" s="1"/>
  <c r="I36" i="1"/>
  <c r="K36" i="1" s="1"/>
  <c r="I34" i="1"/>
  <c r="I32" i="1"/>
  <c r="J32" i="1" s="1"/>
  <c r="I30" i="1"/>
  <c r="K30" i="1" s="1"/>
  <c r="I26" i="1"/>
  <c r="K26" i="1" s="1"/>
  <c r="I24" i="1"/>
  <c r="J24" i="1" s="1"/>
  <c r="I19" i="1"/>
  <c r="J19" i="1" s="1"/>
  <c r="I17" i="1"/>
  <c r="J17" i="1" s="1"/>
  <c r="I15" i="1"/>
  <c r="J15" i="1" s="1"/>
  <c r="I77" i="1"/>
  <c r="I79" i="1"/>
  <c r="K79" i="1" s="1"/>
  <c r="J45" i="1" l="1"/>
  <c r="K45" i="1"/>
  <c r="J63" i="1"/>
  <c r="K63" i="1"/>
  <c r="J34" i="1"/>
  <c r="K34" i="1"/>
  <c r="K103" i="1"/>
  <c r="K107" i="1" s="1"/>
  <c r="J61" i="1"/>
  <c r="K61" i="1"/>
  <c r="J30" i="1"/>
  <c r="J47" i="1"/>
  <c r="K69" i="1" l="1"/>
  <c r="K106" i="1" s="1"/>
  <c r="K108" i="1" s="1"/>
  <c r="K109" i="1" s="1"/>
  <c r="J69" i="1"/>
  <c r="J106" i="1" s="1"/>
  <c r="J108" i="1" s="1"/>
  <c r="J109" i="1" s="1"/>
</calcChain>
</file>

<file path=xl/sharedStrings.xml><?xml version="1.0" encoding="utf-8"?>
<sst xmlns="http://schemas.openxmlformats.org/spreadsheetml/2006/main" count="207" uniqueCount="195">
  <si>
    <t>Code</t>
  </si>
  <si>
    <t>C32225B</t>
  </si>
  <si>
    <t>C78000B</t>
  </si>
  <si>
    <t>C47007</t>
  </si>
  <si>
    <t>Product Description</t>
  </si>
  <si>
    <t>Estimated Annual Total lbs needed page 2</t>
  </si>
  <si>
    <t>Estimated Annual Total lbs needed</t>
  </si>
  <si>
    <t>C47107</t>
  </si>
  <si>
    <t>Estimated Annual Total lbs needed page 1</t>
  </si>
  <si>
    <t>C10400</t>
  </si>
  <si>
    <t>Cases Needed</t>
  </si>
  <si>
    <t>Estimated Annual Total Lbs. Needed Page 1</t>
  </si>
  <si>
    <t>Estimated Annual Total Lbs. Needed Page 2</t>
  </si>
  <si>
    <t>S  U  M  M  A  R  Y</t>
  </si>
  <si>
    <t>Unit    Oz</t>
  </si>
  <si>
    <t>Case Count</t>
  </si>
  <si>
    <t>C95200</t>
  </si>
  <si>
    <t>Beef:  31.64 lbs.</t>
  </si>
  <si>
    <t>310-523-3664              310-523-1619 fax</t>
  </si>
  <si>
    <t>C99018</t>
  </si>
  <si>
    <t>C32300B-NF</t>
  </si>
  <si>
    <t>Chili Cheese Dog, Low Sodium, Reduced Fat, IW</t>
  </si>
  <si>
    <t>Grilled Cheese Sandwich on Whole Grain Bread, Reduced Sodium, IW</t>
  </si>
  <si>
    <t>C47220</t>
  </si>
  <si>
    <t>C46007</t>
  </si>
  <si>
    <t>310 W. Alondra Blvd. Gardena, CA 90248</t>
  </si>
  <si>
    <t>C10800</t>
  </si>
  <si>
    <t>All American Burger on a Whole Grain Bun, IW</t>
  </si>
  <si>
    <t>C80916</t>
  </si>
  <si>
    <t>Beef Sausage Breakfast Sandwich on a Whole Grain Hawaiian Bun, IW</t>
  </si>
  <si>
    <t>BBQ Rib Sandwich on a Whole Grain Roll, IW</t>
  </si>
  <si>
    <t>Cheeseburger Sliders on Whole Grain Buns, Reduced Sodium, IW</t>
  </si>
  <si>
    <t xml:space="preserve">Beef &amp; Cheese Chalupa on a Whole Grain Tostada Bowl </t>
  </si>
  <si>
    <t xml:space="preserve">Bean &amp; Cheese Chalupa on a Whole Grain Tostada Bowl </t>
  </si>
  <si>
    <t>C80940</t>
  </si>
  <si>
    <t xml:space="preserve">Beef Sausage &amp; Cheese on a Whole Grain Mini Bagel, IW     </t>
  </si>
  <si>
    <t>Grilled Cheese Sandwich on Whole Grain Bread, Reduced Sodium</t>
  </si>
  <si>
    <t>C13018</t>
  </si>
  <si>
    <t>Grilled Cheese Sandwich on Whole Grain Bread,  IW</t>
  </si>
  <si>
    <t>All American Cheeseburger on a Whole Grain Bun, IW</t>
  </si>
  <si>
    <t>Processed Cheese Lbs.</t>
  </si>
  <si>
    <t>Ground Beef Lbs.</t>
  </si>
  <si>
    <t>2 oz. Equiv. Grain, 2 M/MA                                                                                                                            Proc Chs: 9.00 lbs.</t>
  </si>
  <si>
    <t>2 oz. Equiv. Grain, 1.5 M/MA                                                                                                                         Proc Chs: 6.75 lbs.</t>
  </si>
  <si>
    <t xml:space="preserve">Breakfast Products </t>
  </si>
  <si>
    <t>2 oz. Equiv. Grain, 2 M/MA                                                                                                                            Proc Chs: 8.55 lbs.</t>
  </si>
  <si>
    <t>2 oz. Equiv. Grain, 1 M/MA                                                                                                                            Proc Chs: 2.50 lbs.</t>
  </si>
  <si>
    <t>1 oz. Equiv. Grain, 1 M/MA                                                                                                                           Proc Chs: 1.56 lbs.</t>
  </si>
  <si>
    <t>2 oz. Equiv. Grain, 2 M/MA                                                                                                                                  Beef: 7.71 lbs.</t>
  </si>
  <si>
    <t>2 oz. Equiv. Grain, 2.25 M/MA                                                                                            Proc Chs: 1.09 lbs., Beef: 7.71 lbs.</t>
  </si>
  <si>
    <t>2 oz. Equiv. Grain, 2 M/MA                                                                                                                            Proc Chs: 1.17 lbs.</t>
  </si>
  <si>
    <t>1=1 oz. Equiv. Grain, 1 M/MA     2=2 oz. Equiv. Grain, 2 M/MA                                                                        Mozz: 7.50 lbs.</t>
  </si>
  <si>
    <t>Proc Chs: 9.00 lbs.</t>
  </si>
  <si>
    <t>Proc Chs: 6.75 lbs.</t>
  </si>
  <si>
    <t>Proc Chs: 2.50 lbs.</t>
  </si>
  <si>
    <t xml:space="preserve">2 oz. Equiv. Grain, 1 M/MA                                                                                                                               </t>
  </si>
  <si>
    <t>Beef:  10.70 lbs.</t>
  </si>
  <si>
    <t xml:space="preserve">1.25 oz. Equiv. Grain, 1.25 M/MA                                                                                        </t>
  </si>
  <si>
    <t>Proc Chs: 1.13 lbs., Beef: 7.70 lbs.</t>
  </si>
  <si>
    <t xml:space="preserve">2 oz. Equiv. Grain, 2 M/MA                                                                                                                         </t>
  </si>
  <si>
    <t>Proc Chs:  2.25 lbs.</t>
  </si>
  <si>
    <t>Beef: 7.71 lbs.</t>
  </si>
  <si>
    <t>Proc Chs:  1.09 lbs.,  Beef: 7.71 lbs.</t>
  </si>
  <si>
    <t xml:space="preserve">2 oz. Equiv. Grain, 2 M/MA                                                                                                 </t>
  </si>
  <si>
    <t xml:space="preserve">1 oz. Equiv. Grain, 2 M/MA                                                                                                        </t>
  </si>
  <si>
    <t xml:space="preserve">1 oz. Equiv. Grain, 2 M/MA                                                                                                                                  </t>
  </si>
  <si>
    <t>Proc Chs: 1.17 lbs., Beef: 10.28 lbs.</t>
  </si>
  <si>
    <t>Beef: 26.34 lbs.</t>
  </si>
  <si>
    <t>Beef: 30.11 lbs.</t>
  </si>
  <si>
    <t>Beef: 22.58 lbs.</t>
  </si>
  <si>
    <t>Estimated Servings Required</t>
  </si>
  <si>
    <t>Time Period:</t>
  </si>
  <si>
    <t>To:</t>
  </si>
  <si>
    <t>From:</t>
  </si>
  <si>
    <t xml:space="preserve">2 M/MA                                                                                                                     </t>
  </si>
  <si>
    <t>Beef Items</t>
  </si>
  <si>
    <t xml:space="preserve">2 oz. Equiv. Grain, 2 M/MA                                                                                                                           </t>
  </si>
  <si>
    <r>
      <rPr>
        <b/>
        <sz val="12"/>
        <rFont val="Arial Narrow"/>
        <family val="2"/>
      </rP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100036</t>
    </r>
  </si>
  <si>
    <r>
      <t>USDA#</t>
    </r>
    <r>
      <rPr>
        <b/>
        <i/>
        <sz val="12"/>
        <color indexed="10"/>
        <rFont val="Arial Narrow"/>
        <family val="2"/>
      </rPr>
      <t xml:space="preserve"> </t>
    </r>
    <r>
      <rPr>
        <b/>
        <sz val="12"/>
        <rFont val="Arial Narrow"/>
        <family val="2"/>
      </rPr>
      <t>100154</t>
    </r>
  </si>
  <si>
    <t xml:space="preserve">Turkey Ham &amp; Cheese on a Whole Grain Hawaiian Bun, IW     </t>
  </si>
  <si>
    <t>C99118</t>
  </si>
  <si>
    <t>C18021</t>
  </si>
  <si>
    <t xml:space="preserve"> </t>
  </si>
  <si>
    <t>Beef &amp; Cheese Taco Stick on a Whole Grain Flour Tortilla</t>
  </si>
  <si>
    <t>C45019 - IW</t>
  </si>
  <si>
    <t>***C44019 - Bulk</t>
  </si>
  <si>
    <t xml:space="preserve">C82651 - IW </t>
  </si>
  <si>
    <t>C82605 - Bulk</t>
  </si>
  <si>
    <t xml:space="preserve">C82751 - IW </t>
  </si>
  <si>
    <t>C82705 - Bulk</t>
  </si>
  <si>
    <t xml:space="preserve">3.75 M/MA                                                                                                                          </t>
  </si>
  <si>
    <t>Kettle Cook Beef Taco Meat - Servings are approx. and within (+)/(-) 5%</t>
  </si>
  <si>
    <t>C99120</t>
  </si>
  <si>
    <r>
      <rPr>
        <b/>
        <sz val="11"/>
        <rFont val="Arial Narrow"/>
        <family val="2"/>
      </rPr>
      <t>Maple</t>
    </r>
    <r>
      <rPr>
        <b/>
        <sz val="10"/>
        <rFont val="Arial Narrow"/>
        <family val="2"/>
      </rPr>
      <t xml:space="preserve"> Beef Sausage Breakfast Sandwich on a Whole Grain Hawaiian Bun, IW  </t>
    </r>
  </si>
  <si>
    <t xml:space="preserve">1 oz. Equiv. Grain, 1 M/MA                                                                                                                      </t>
  </si>
  <si>
    <t>Beef:  9.93 lbs.</t>
  </si>
  <si>
    <t>C13400 - IW</t>
  </si>
  <si>
    <t>C70303 - Bulk</t>
  </si>
  <si>
    <t>Beef: 10.97 lbs.</t>
  </si>
  <si>
    <t xml:space="preserve">Three Cheese Corn Enchilada, Bulk                                                 </t>
  </si>
  <si>
    <t>PLEASE FILL IN THE HIGHLIGHTED BLUE CELL, "ESTIMATED SERVINGS REQUIRED" and your required servings will automatically be converted into cases.</t>
  </si>
  <si>
    <t>Lunch / Supper Products</t>
  </si>
  <si>
    <t xml:space="preserve">Chorizo Seasoned Beef &amp; Cheese Sunrise Stick on a Whole Grain Flour Tortilla, IW </t>
  </si>
  <si>
    <t xml:space="preserve">2 oz. Equiv. Grain, 2 M/MA                           (soft rolled taco)                                                                  </t>
  </si>
  <si>
    <t xml:space="preserve"> (60 svgs./cs.)                      Proc Chs: 7.50 lbs.</t>
  </si>
  <si>
    <t xml:space="preserve">Maple Seasoned Beef Sausage and Pancake Breakfast Sandwich, IW   </t>
  </si>
  <si>
    <t xml:space="preserve">1.25 oz. Equiv. Grain, 1 M/MA                                                                                                                       </t>
  </si>
  <si>
    <t>Three Cheese Lunch Quesadilla on a Whole Grain Flour Tortilla, IW</t>
  </si>
  <si>
    <t>Proc Chs: 6.25 lbs.</t>
  </si>
  <si>
    <t>Proc Chs: 12.50 lbs.</t>
  </si>
  <si>
    <t xml:space="preserve"> Chs: 3.13 lbs., Beef: 6.80 lbs.</t>
  </si>
  <si>
    <t>Chs: 6.76 lbs., Beef: 2.85 lbs.</t>
  </si>
  <si>
    <t>Chs: 3.12 lbs., Beef: 3.71 lbs.</t>
  </si>
  <si>
    <t xml:space="preserve">Three Cheese Breakfast Quesadilla on a Whole Grain Flour Tortilla   </t>
  </si>
  <si>
    <t xml:space="preserve">2.75 M/MA                                                    </t>
  </si>
  <si>
    <t>C32400B</t>
  </si>
  <si>
    <t>Estimated Allocation Dollars required</t>
  </si>
  <si>
    <t>Servings/  Menu</t>
  </si>
  <si>
    <t>Frequency per period</t>
  </si>
  <si>
    <t>Date Submitted:</t>
  </si>
  <si>
    <t>C70401</t>
  </si>
  <si>
    <r>
      <t>Grilled Cheese Sandwiches</t>
    </r>
    <r>
      <rPr>
        <i/>
        <sz val="13"/>
        <rFont val="Arial Narrow"/>
        <family val="2"/>
      </rPr>
      <t xml:space="preserve"> (made with Reduced Sodium, Reduced Fat American Cheese)</t>
    </r>
  </si>
  <si>
    <t>***C70404 -Bulk</t>
  </si>
  <si>
    <t xml:space="preserve">Charbroiled Beef Patty w/10% APP- Bulk </t>
  </si>
  <si>
    <t>Beef: 43.94 lbs.</t>
  </si>
  <si>
    <t>C79000V</t>
  </si>
  <si>
    <t>Kettle Cook Beef Chorizo Meat - Servings are approx. and within (+)/(-) 5%</t>
  </si>
  <si>
    <t>Beef:  31.62 lbs.</t>
  </si>
  <si>
    <t>Beef Sausage Patty- Bulk</t>
  </si>
  <si>
    <r>
      <rPr>
        <sz val="8"/>
        <rFont val="Arial Narrow"/>
        <family val="2"/>
      </rPr>
      <t xml:space="preserve">1 M/MA </t>
    </r>
    <r>
      <rPr>
        <i/>
        <sz val="8"/>
        <rFont val="Arial Narrow"/>
        <family val="2"/>
      </rPr>
      <t xml:space="preserve">   </t>
    </r>
  </si>
  <si>
    <t>Beef:  57.13 lbs.</t>
  </si>
  <si>
    <t>Beef Maple Breakfast Patty- Bulk</t>
  </si>
  <si>
    <t xml:space="preserve">1 M/MA    </t>
  </si>
  <si>
    <t>Beef:  53.01 lbs.</t>
  </si>
  <si>
    <t>Triple B 100% All Beef Burger 2.25 oz. - Bulk</t>
  </si>
  <si>
    <t>Triple B 100% All Beef Burger 3.00 oz., Reduced Sodium</t>
  </si>
  <si>
    <t xml:space="preserve">Triple B 100% All Beef Burger 4.00 oz., Reduced Sodium </t>
  </si>
  <si>
    <r>
      <rPr>
        <sz val="8"/>
        <rFont val="Arial Narrow"/>
        <family val="2"/>
      </rPr>
      <t xml:space="preserve">1.5 oz. Serving = 1 M/MA </t>
    </r>
    <r>
      <rPr>
        <i/>
        <sz val="8"/>
        <rFont val="Arial Narrow"/>
        <family val="2"/>
      </rPr>
      <t xml:space="preserve">     (8/5# Boil-in-Bags - Approx. 426 servings)</t>
    </r>
  </si>
  <si>
    <r>
      <rPr>
        <sz val="8"/>
        <rFont val="Arial Narrow"/>
        <family val="2"/>
      </rPr>
      <t xml:space="preserve">3 oz. Serving = 2 M/MA </t>
    </r>
    <r>
      <rPr>
        <i/>
        <sz val="8"/>
        <rFont val="Arial Narrow"/>
        <family val="2"/>
      </rPr>
      <t xml:space="preserve">     (8/5# Boil-in-Bags - Approx. 213 servings)</t>
    </r>
  </si>
  <si>
    <t>C55019 - IW</t>
  </si>
  <si>
    <t>***C77109- Bulk</t>
  </si>
  <si>
    <t>***C12225V</t>
  </si>
  <si>
    <t>***C32120V</t>
  </si>
  <si>
    <t>***C39120V</t>
  </si>
  <si>
    <t>***Highlighted items are Special Order &amp; require 6 weeks lead time with forecast</t>
  </si>
  <si>
    <t>***C36210 - Bulk</t>
  </si>
  <si>
    <t>C36200 - IW</t>
  </si>
  <si>
    <t>C36400 - IW</t>
  </si>
  <si>
    <t>***C36410 - Bulk</t>
  </si>
  <si>
    <t>C52000B</t>
  </si>
  <si>
    <t>Beef: 40.14 lbs.</t>
  </si>
  <si>
    <t>C84000B</t>
  </si>
  <si>
    <t>Beef: 30.65 lbs.</t>
  </si>
  <si>
    <t>C49002</t>
  </si>
  <si>
    <t>2.25 oz. Equiv. Grain, 2 M/MA                                                                                                                                  Beef: 7.71 lbs.</t>
  </si>
  <si>
    <r>
      <t xml:space="preserve">100% Beef Brioche Burger, IW </t>
    </r>
    <r>
      <rPr>
        <b/>
        <sz val="10"/>
        <color rgb="FF0000FF"/>
        <rFont val="Arial Narrow"/>
        <family val="2"/>
      </rPr>
      <t>(NEW)</t>
    </r>
  </si>
  <si>
    <r>
      <t xml:space="preserve">100% Beef Brioche Cheeseburger, IW </t>
    </r>
    <r>
      <rPr>
        <b/>
        <sz val="10"/>
        <color rgb="FF0000FF"/>
        <rFont val="Arial Narrow"/>
        <family val="2"/>
      </rPr>
      <t>(NEW)</t>
    </r>
  </si>
  <si>
    <t>C49102</t>
  </si>
  <si>
    <t>2.25 oz. Equiv. Grain, 2.50 M/MA                                                                                            Proc Chs: 1.09 lbs., Beef: 7.71 lbs.</t>
  </si>
  <si>
    <t>Beef: 9.41 lbs.</t>
  </si>
  <si>
    <t>Proc Chs:  1.09 lbs.,  Beef: 9.41 lbs.</t>
  </si>
  <si>
    <t>BBQ Rib Shapped Patty (No Sauce)</t>
  </si>
  <si>
    <t xml:space="preserve">2.25 oz. svg. = 2 M/MA                                                                                                            </t>
  </si>
  <si>
    <t>Beef: 41.54 lbs.</t>
  </si>
  <si>
    <t>***C34225V</t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</si>
  <si>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Taco Stick on a Whole Grain Flour Tortilla</t>
    </r>
  </si>
  <si>
    <r>
      <rPr>
        <b/>
        <sz val="10"/>
        <color rgb="FFFF0000"/>
        <rFont val="Arial Narrow"/>
        <family val="2"/>
      </rPr>
      <t>Spicy</t>
    </r>
    <r>
      <rPr>
        <b/>
        <sz val="10"/>
        <rFont val="Arial Narrow"/>
        <family val="2"/>
      </rPr>
      <t xml:space="preserve"> Grilled Cheese on Whole Grain, IW </t>
    </r>
  </si>
  <si>
    <t>C49220</t>
  </si>
  <si>
    <t>Beef: 14.24 lbs.</t>
  </si>
  <si>
    <r>
      <t xml:space="preserve">100% Beef Sliders, IW </t>
    </r>
    <r>
      <rPr>
        <b/>
        <sz val="10"/>
        <color rgb="FF0000FF"/>
        <rFont val="Arial Narrow"/>
        <family val="2"/>
      </rPr>
      <t>(NEW)</t>
    </r>
  </si>
  <si>
    <t>C52225B</t>
  </si>
  <si>
    <t>C52300B</t>
  </si>
  <si>
    <t>C52400B</t>
  </si>
  <si>
    <t>Beef: 26.25 lbs.</t>
  </si>
  <si>
    <t>Beef: 22.50 lbs.</t>
  </si>
  <si>
    <t>Beef: 30.00 lbs.</t>
  </si>
  <si>
    <t xml:space="preserve">Fully Cooked Italian Style Beef Filling- Servings are approx. and within (+)/(-) 5%  </t>
  </si>
  <si>
    <r>
      <t xml:space="preserve">100% Beef Grill Master Burger Patty- Bulk Pack </t>
    </r>
    <r>
      <rPr>
        <b/>
        <sz val="10"/>
        <color rgb="FF0000FF"/>
        <rFont val="Arial Narrow"/>
        <family val="2"/>
      </rPr>
      <t>(NEW)</t>
    </r>
  </si>
  <si>
    <r>
      <t>100% Beef Grill Master Burger Patty- Bulk Pack</t>
    </r>
    <r>
      <rPr>
        <b/>
        <sz val="10"/>
        <color rgb="FF0000FF"/>
        <rFont val="Arial Narrow"/>
        <family val="2"/>
      </rPr>
      <t xml:space="preserve"> (NEW)</t>
    </r>
  </si>
  <si>
    <t>C18000B</t>
  </si>
  <si>
    <r>
      <t xml:space="preserve">Refried Beans with Cheese- 8/5# Boil-in-Bags </t>
    </r>
    <r>
      <rPr>
        <b/>
        <sz val="10"/>
        <color rgb="FF0000FF"/>
        <rFont val="Arial Narrow"/>
        <family val="2"/>
      </rPr>
      <t>(NEW)</t>
    </r>
  </si>
  <si>
    <t>***C34450B</t>
  </si>
  <si>
    <r>
      <t xml:space="preserve">      </t>
    </r>
    <r>
      <rPr>
        <b/>
        <sz val="18"/>
        <rFont val="Arial Narrow"/>
        <family val="2"/>
      </rPr>
      <t>Commodity Calculator 2026-2027 SY</t>
    </r>
  </si>
  <si>
    <t>Chs: 4.50 lbs.</t>
  </si>
  <si>
    <t>Beef:  39.44 lbs.</t>
  </si>
  <si>
    <t>C62000B</t>
  </si>
  <si>
    <r>
      <rPr>
        <b/>
        <sz val="10"/>
        <color indexed="8"/>
        <rFont val="Arial Narrow"/>
        <family val="2"/>
      </rPr>
      <t>100% All</t>
    </r>
    <r>
      <rPr>
        <b/>
        <sz val="10"/>
        <rFont val="Arial Narrow"/>
        <family val="2"/>
      </rPr>
      <t xml:space="preserve"> Beef Crumbles, S</t>
    </r>
    <r>
      <rPr>
        <b/>
        <i/>
        <sz val="10"/>
        <rFont val="Arial Narrow"/>
        <family val="2"/>
      </rPr>
      <t>ervings are approx. and within (+)/(-) 5%</t>
    </r>
    <r>
      <rPr>
        <b/>
        <sz val="10"/>
        <color indexed="12"/>
        <rFont val="Arial Narrow"/>
        <family val="2"/>
      </rPr>
      <t xml:space="preserve"> </t>
    </r>
  </si>
  <si>
    <t xml:space="preserve">2.00 oz. svg. = 2 M/MA       (6/5# Bulk Bags)                                                                                         </t>
  </si>
  <si>
    <t>Beef:  19.15 lbs.</t>
  </si>
  <si>
    <r>
      <rPr>
        <sz val="8"/>
        <rFont val="Arial Narrow"/>
        <family val="2"/>
      </rPr>
      <t xml:space="preserve">3.00 oz. svg. = 2 M/MA </t>
    </r>
    <r>
      <rPr>
        <i/>
        <sz val="8"/>
        <rFont val="Arial Narrow"/>
        <family val="2"/>
      </rPr>
      <t xml:space="preserve">    (8/5# Boil-in-Bags - Approx. 213 servings)</t>
    </r>
  </si>
  <si>
    <t>3.00 oz. svg. = 1 M/MA     (8/5# Boil-in-Bags - Approx. 213 servings)</t>
  </si>
  <si>
    <t xml:space="preserve">4.00 oz. Equiv. = 2 M/MA                                                                      </t>
  </si>
  <si>
    <t xml:space="preserve"> (Approx 160 svgs./cs.)                      Chs: 8.00 lbs.</t>
  </si>
  <si>
    <r>
      <t xml:space="preserve">Kettle Cook All Purpose Beef- Servings are approx. and within (+)/(-) 5% </t>
    </r>
    <r>
      <rPr>
        <b/>
        <sz val="10"/>
        <color rgb="FF0000FF"/>
        <rFont val="Arial Narrow"/>
        <family val="2"/>
      </rPr>
      <t>(NEW)</t>
    </r>
  </si>
  <si>
    <r>
      <t xml:space="preserve">Chili Sauce with Meat- Servings are approx. and within (+)/(-) 5% </t>
    </r>
    <r>
      <rPr>
        <sz val="10"/>
        <rFont val="Arial Narrow"/>
        <family val="2"/>
      </rPr>
      <t xml:space="preserve"> </t>
    </r>
    <r>
      <rPr>
        <b/>
        <sz val="10"/>
        <color rgb="FF0000FF"/>
        <rFont val="Arial Narrow"/>
        <family val="2"/>
      </rPr>
      <t>(NEW)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</si>
</sst>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5" formatCode="_(&quot;$&quot;* #,##0.0000_);_(&quot;$&quot;* \(#,##0.0000\);_(&quot;$&quot;* &quot;-&quot;??_);_(@_)"/>
  </numFmts>
  <fonts count="26" x14ac:knownFonts="1">
    <font>
      <sz val="10"/>
      <name val="Arial"/>
    </font>
    <font>
      <b/>
      <i/>
      <sz val="1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10"/>
      <name val="Arial Narrow"/>
      <family val="2"/>
    </font>
    <font>
      <b/>
      <sz val="12"/>
      <name val="Arial Narrow"/>
      <family val="2"/>
    </font>
    <font>
      <b/>
      <sz val="11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0"/>
      <color indexed="12"/>
      <name val="Arial Narrow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b/>
      <i/>
      <sz val="12"/>
      <color indexed="1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0"/>
      <color indexed="8"/>
      <name val="Arial Narrow"/>
      <family val="2"/>
    </font>
    <font>
      <b/>
      <sz val="10"/>
      <color rgb="FFFF0000"/>
      <name val="Arial Narrow"/>
      <family val="2"/>
    </font>
    <font>
      <b/>
      <i/>
      <sz val="12"/>
      <color rgb="FFFF0000"/>
      <name val="Arial Narrow"/>
      <family val="2"/>
    </font>
    <font>
      <sz val="10"/>
      <name val="Arial"/>
      <family val="2"/>
    </font>
    <font>
      <b/>
      <sz val="10"/>
      <color rgb="FF0000FF"/>
      <name val="Arial Narrow"/>
      <family val="2"/>
    </font>
    <font>
      <b/>
      <sz val="13"/>
      <name val="Arial"/>
      <family val="2"/>
    </font>
    <font>
      <sz val="13"/>
      <name val="Arial Narrow"/>
      <family val="2"/>
    </font>
    <font>
      <b/>
      <sz val="13"/>
      <name val="Arial Narrow"/>
      <family val="2"/>
    </font>
    <font>
      <i/>
      <sz val="13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186">
    <xf numFmtId="0" fontId="0" fillId="0" borderId="0" xfId="0"/>
    <xf numFmtId="0" fontId="2" fillId="0" borderId="0" xfId="0" applyFont="1" applyProtection="1">
      <protection locked="0"/>
    </xf>
    <xf numFmtId="164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vertic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4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3" fontId="4" fillId="0" borderId="0" xfId="0" applyNumberFormat="1" applyFont="1" applyProtection="1">
      <protection locked="0"/>
    </xf>
    <xf numFmtId="0" fontId="7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left" vertical="center"/>
    </xf>
    <xf numFmtId="0" fontId="9" fillId="0" borderId="0" xfId="0" applyFont="1" applyProtection="1">
      <protection locked="0"/>
    </xf>
    <xf numFmtId="164" fontId="9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10" fillId="4" borderId="0" xfId="0" applyFont="1" applyFill="1" applyAlignment="1">
      <alignment horizontal="center"/>
    </xf>
    <xf numFmtId="0" fontId="9" fillId="4" borderId="0" xfId="0" applyFont="1" applyFill="1" applyProtection="1">
      <protection locked="0"/>
    </xf>
    <xf numFmtId="164" fontId="9" fillId="4" borderId="0" xfId="0" applyNumberFormat="1" applyFont="1" applyFill="1" applyProtection="1">
      <protection locked="0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4" fontId="2" fillId="0" borderId="10" xfId="0" applyNumberFormat="1" applyFont="1" applyBorder="1" applyAlignment="1">
      <alignment horizontal="center" vertical="center" shrinkToFit="1"/>
    </xf>
    <xf numFmtId="4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 applyProtection="1">
      <alignment horizontal="center" vertical="center"/>
      <protection locked="0"/>
    </xf>
    <xf numFmtId="4" fontId="2" fillId="0" borderId="0" xfId="0" applyNumberFormat="1" applyFont="1" applyAlignment="1" applyProtection="1">
      <alignment horizontal="center" vertical="center"/>
      <protection locked="0"/>
    </xf>
    <xf numFmtId="4" fontId="3" fillId="0" borderId="11" xfId="0" applyNumberFormat="1" applyFont="1" applyBorder="1" applyAlignment="1">
      <alignment horizontal="center" shrinkToFit="1"/>
    </xf>
    <xf numFmtId="16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2" fillId="0" borderId="12" xfId="0" applyNumberFormat="1" applyFont="1" applyBorder="1" applyAlignment="1">
      <alignment horizontal="center" vertical="center" shrinkToFit="1"/>
    </xf>
    <xf numFmtId="4" fontId="2" fillId="0" borderId="13" xfId="0" applyNumberFormat="1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 shrinkToFit="1"/>
    </xf>
    <xf numFmtId="4" fontId="6" fillId="0" borderId="15" xfId="0" applyNumberFormat="1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right"/>
    </xf>
    <xf numFmtId="0" fontId="3" fillId="4" borderId="0" xfId="0" applyFont="1" applyFill="1" applyAlignment="1">
      <alignment horizontal="right"/>
    </xf>
    <xf numFmtId="0" fontId="7" fillId="2" borderId="17" xfId="0" applyFont="1" applyFill="1" applyBorder="1" applyAlignment="1">
      <alignment horizontal="right" vertical="center"/>
    </xf>
    <xf numFmtId="0" fontId="3" fillId="0" borderId="0" xfId="0" applyFont="1" applyAlignment="1" applyProtection="1">
      <alignment horizontal="right"/>
      <protection locked="0"/>
    </xf>
    <xf numFmtId="0" fontId="16" fillId="4" borderId="0" xfId="0" applyFont="1" applyFill="1" applyAlignment="1">
      <alignment horizontal="right"/>
    </xf>
    <xf numFmtId="0" fontId="3" fillId="0" borderId="6" xfId="0" applyFont="1" applyBorder="1" applyAlignment="1">
      <alignment horizontal="center" vertical="distributed"/>
    </xf>
    <xf numFmtId="0" fontId="3" fillId="0" borderId="20" xfId="0" applyFont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distributed"/>
    </xf>
    <xf numFmtId="0" fontId="18" fillId="4" borderId="0" xfId="0" applyFont="1" applyFill="1" applyAlignment="1">
      <alignment horizontal="left" indent="15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6" borderId="24" xfId="0" applyFont="1" applyFill="1" applyBorder="1" applyAlignment="1">
      <alignment vertical="center"/>
    </xf>
    <xf numFmtId="0" fontId="2" fillId="6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165" fontId="3" fillId="0" borderId="45" xfId="1" applyNumberFormat="1" applyFont="1" applyBorder="1" applyAlignment="1" applyProtection="1">
      <alignment horizontal="right" wrapText="1"/>
    </xf>
    <xf numFmtId="165" fontId="3" fillId="0" borderId="23" xfId="1" applyNumberFormat="1" applyFont="1" applyBorder="1" applyAlignment="1" applyProtection="1">
      <alignment horizontal="right" wrapText="1"/>
    </xf>
    <xf numFmtId="4" fontId="6" fillId="0" borderId="11" xfId="0" applyNumberFormat="1" applyFont="1" applyBorder="1" applyAlignment="1">
      <alignment horizontal="center" vertical="center" shrinkToFit="1"/>
    </xf>
    <xf numFmtId="0" fontId="3" fillId="0" borderId="29" xfId="0" applyFont="1" applyBorder="1" applyProtection="1">
      <protection locked="0"/>
    </xf>
    <xf numFmtId="14" fontId="3" fillId="0" borderId="29" xfId="0" applyNumberFormat="1" applyFont="1" applyBorder="1" applyProtection="1">
      <protection locked="0"/>
    </xf>
    <xf numFmtId="0" fontId="12" fillId="4" borderId="0" xfId="0" applyFont="1" applyFill="1" applyAlignment="1">
      <alignment vertical="center"/>
    </xf>
    <xf numFmtId="14" fontId="3" fillId="5" borderId="11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164" fontId="23" fillId="0" borderId="0" xfId="0" applyNumberFormat="1" applyFont="1" applyAlignment="1" applyProtection="1">
      <alignment horizontal="center"/>
      <protection locked="0"/>
    </xf>
    <xf numFmtId="4" fontId="23" fillId="0" borderId="0" xfId="0" applyNumberFormat="1" applyFont="1" applyAlignment="1" applyProtection="1">
      <alignment horizontal="center"/>
      <protection locked="0"/>
    </xf>
    <xf numFmtId="14" fontId="2" fillId="0" borderId="33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6" borderId="19" xfId="0" applyFont="1" applyFill="1" applyBorder="1" applyAlignment="1">
      <alignment vertical="center"/>
    </xf>
    <xf numFmtId="0" fontId="7" fillId="2" borderId="31" xfId="0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32" xfId="0" applyFont="1" applyBorder="1" applyAlignment="1">
      <alignment horizontal="right" vertical="center"/>
    </xf>
    <xf numFmtId="0" fontId="3" fillId="6" borderId="19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right" vertical="center"/>
    </xf>
    <xf numFmtId="4" fontId="2" fillId="0" borderId="7" xfId="0" applyNumberFormat="1" applyFont="1" applyBorder="1" applyAlignment="1">
      <alignment horizontal="center" vertical="center" shrinkToFit="1"/>
    </xf>
    <xf numFmtId="0" fontId="7" fillId="2" borderId="32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vertical="center"/>
    </xf>
    <xf numFmtId="0" fontId="7" fillId="5" borderId="17" xfId="0" applyFont="1" applyFill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2" fillId="0" borderId="25" xfId="0" applyNumberFormat="1" applyFont="1" applyBorder="1" applyAlignment="1">
      <alignment horizontal="center" vertical="center"/>
    </xf>
    <xf numFmtId="4" fontId="2" fillId="0" borderId="1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distributed" wrapText="1"/>
    </xf>
    <xf numFmtId="0" fontId="2" fillId="0" borderId="18" xfId="0" applyFont="1" applyBorder="1" applyAlignment="1">
      <alignment horizontal="center" vertical="distributed" wrapText="1"/>
    </xf>
    <xf numFmtId="3" fontId="3" fillId="0" borderId="7" xfId="0" applyNumberFormat="1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3" fontId="3" fillId="2" borderId="25" xfId="0" applyNumberFormat="1" applyFont="1" applyFill="1" applyBorder="1" applyAlignment="1" applyProtection="1">
      <alignment horizontal="center" vertical="center"/>
      <protection locked="0"/>
    </xf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4" fontId="2" fillId="0" borderId="8" xfId="0" applyNumberFormat="1" applyFont="1" applyBorder="1" applyAlignment="1">
      <alignment horizontal="center" vertical="center" shrinkToFit="1"/>
    </xf>
    <xf numFmtId="4" fontId="2" fillId="0" borderId="9" xfId="0" applyNumberFormat="1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" fontId="3" fillId="2" borderId="7" xfId="0" applyNumberFormat="1" applyFont="1" applyFill="1" applyBorder="1" applyAlignment="1" applyProtection="1">
      <alignment horizontal="center" vertical="center"/>
      <protection locked="0"/>
    </xf>
    <xf numFmtId="4" fontId="2" fillId="0" borderId="25" xfId="0" applyNumberFormat="1" applyFont="1" applyBorder="1" applyAlignment="1">
      <alignment horizontal="center" vertical="center" shrinkToFit="1"/>
    </xf>
    <xf numFmtId="4" fontId="2" fillId="0" borderId="18" xfId="0" applyNumberFormat="1" applyFont="1" applyBorder="1" applyAlignment="1">
      <alignment horizontal="center" vertical="center" shrinkToFit="1"/>
    </xf>
    <xf numFmtId="4" fontId="2" fillId="0" borderId="48" xfId="0" applyNumberFormat="1" applyFont="1" applyBorder="1" applyAlignment="1">
      <alignment horizontal="center" vertical="center" shrinkToFit="1"/>
    </xf>
    <xf numFmtId="4" fontId="2" fillId="0" borderId="42" xfId="0" applyNumberFormat="1" applyFont="1" applyBorder="1" applyAlignment="1">
      <alignment horizontal="center" vertical="center" shrinkToFit="1"/>
    </xf>
    <xf numFmtId="4" fontId="2" fillId="0" borderId="30" xfId="0" applyNumberFormat="1" applyFont="1" applyBorder="1" applyAlignment="1">
      <alignment horizontal="center" vertical="center" shrinkToFit="1"/>
    </xf>
    <xf numFmtId="4" fontId="2" fillId="0" borderId="43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42" xfId="0" applyNumberFormat="1" applyFont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5" xfId="0" applyFont="1" applyBorder="1" applyAlignment="1">
      <alignment horizontal="distributed" vertical="distributed" wrapText="1"/>
    </xf>
    <xf numFmtId="0" fontId="2" fillId="0" borderId="18" xfId="0" applyFont="1" applyBorder="1" applyAlignment="1">
      <alignment horizontal="distributed" vertical="distributed" wrapText="1"/>
    </xf>
    <xf numFmtId="0" fontId="3" fillId="7" borderId="33" xfId="0" applyFont="1" applyFill="1" applyBorder="1" applyAlignment="1">
      <alignment horizontal="right"/>
    </xf>
    <xf numFmtId="0" fontId="3" fillId="7" borderId="34" xfId="0" applyFont="1" applyFill="1" applyBorder="1" applyAlignment="1">
      <alignment horizontal="right"/>
    </xf>
    <xf numFmtId="0" fontId="3" fillId="7" borderId="15" xfId="0" applyFont="1" applyFill="1" applyBorder="1" applyAlignment="1">
      <alignment horizontal="right"/>
    </xf>
    <xf numFmtId="3" fontId="3" fillId="0" borderId="25" xfId="0" applyNumberFormat="1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3" fontId="3" fillId="2" borderId="35" xfId="0" applyNumberFormat="1" applyFont="1" applyFill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14" fontId="12" fillId="4" borderId="44" xfId="0" applyNumberFormat="1" applyFont="1" applyFill="1" applyBorder="1" applyAlignment="1" applyProtection="1">
      <alignment horizontal="center" vertical="center"/>
      <protection locked="0"/>
    </xf>
    <xf numFmtId="0" fontId="12" fillId="4" borderId="44" xfId="0" applyFont="1" applyFill="1" applyBorder="1" applyAlignment="1" applyProtection="1">
      <alignment horizontal="center" vertical="center"/>
      <protection locked="0"/>
    </xf>
    <xf numFmtId="17" fontId="3" fillId="0" borderId="46" xfId="0" applyNumberFormat="1" applyFont="1" applyBorder="1" applyAlignment="1">
      <alignment horizontal="center" wrapText="1"/>
    </xf>
    <xf numFmtId="0" fontId="3" fillId="0" borderId="45" xfId="0" applyFont="1" applyBorder="1" applyAlignment="1">
      <alignment horizontal="center" wrapText="1"/>
    </xf>
    <xf numFmtId="0" fontId="3" fillId="4" borderId="0" xfId="0" applyFont="1" applyFill="1" applyAlignment="1">
      <alignment horizontal="left"/>
    </xf>
    <xf numFmtId="0" fontId="3" fillId="4" borderId="22" xfId="0" applyFont="1" applyFill="1" applyBorder="1" applyAlignment="1">
      <alignment horizontal="left"/>
    </xf>
    <xf numFmtId="0" fontId="12" fillId="4" borderId="0" xfId="0" applyFont="1" applyFill="1" applyAlignment="1">
      <alignment horizontal="left" vertical="center"/>
    </xf>
    <xf numFmtId="0" fontId="19" fillId="0" borderId="35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14" fontId="3" fillId="5" borderId="33" xfId="0" applyNumberFormat="1" applyFont="1" applyFill="1" applyBorder="1" applyAlignment="1" applyProtection="1">
      <alignment horizontal="center"/>
      <protection locked="0"/>
    </xf>
    <xf numFmtId="14" fontId="3" fillId="5" borderId="34" xfId="0" applyNumberFormat="1" applyFont="1" applyFill="1" applyBorder="1" applyAlignment="1" applyProtection="1">
      <alignment horizontal="center"/>
      <protection locked="0"/>
    </xf>
    <xf numFmtId="0" fontId="3" fillId="5" borderId="15" xfId="0" applyFont="1" applyFill="1" applyBorder="1" applyAlignment="1" applyProtection="1">
      <alignment horizontal="center"/>
      <protection locked="0"/>
    </xf>
    <xf numFmtId="4" fontId="3" fillId="0" borderId="35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3" fillId="0" borderId="36" xfId="0" applyNumberFormat="1" applyFont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5" fillId="0" borderId="33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5" fillId="0" borderId="24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1" fillId="0" borderId="28" xfId="0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3" fontId="3" fillId="0" borderId="35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4" fontId="2" fillId="0" borderId="35" xfId="0" applyNumberFormat="1" applyFont="1" applyBorder="1" applyAlignment="1">
      <alignment horizontal="center" vertical="center" shrinkToFit="1"/>
    </xf>
    <xf numFmtId="3" fontId="3" fillId="2" borderId="36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4" fontId="2" fillId="0" borderId="50" xfId="0" applyNumberFormat="1" applyFont="1" applyBorder="1" applyAlignment="1">
      <alignment horizontal="center" vertical="center" shrinkToFit="1"/>
    </xf>
    <xf numFmtId="4" fontId="2" fillId="0" borderId="36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6" borderId="49" xfId="0" applyFont="1" applyFill="1" applyBorder="1" applyAlignment="1">
      <alignment horizontal="center" vertical="center"/>
    </xf>
    <xf numFmtId="4" fontId="2" fillId="0" borderId="26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4" fillId="0" borderId="3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 wrapText="1"/>
    </xf>
    <xf numFmtId="3" fontId="3" fillId="0" borderId="35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36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4" fontId="2" fillId="0" borderId="35" xfId="0" applyNumberFormat="1" applyFont="1" applyBorder="1" applyAlignment="1">
      <alignment horizontal="center" vertical="center"/>
    </xf>
    <xf numFmtId="0" fontId="3" fillId="0" borderId="47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</xdr:rowOff>
    </xdr:from>
    <xdr:to>
      <xdr:col>1</xdr:col>
      <xdr:colOff>876300</xdr:colOff>
      <xdr:row>3</xdr:row>
      <xdr:rowOff>85725</xdr:rowOff>
    </xdr:to>
    <xdr:pic>
      <xdr:nvPicPr>
        <xdr:cNvPr id="2906" name="Picture 1" descr="Integrated Logo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7811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219074</xdr:colOff>
      <xdr:row>1</xdr:row>
      <xdr:rowOff>152401</xdr:rowOff>
    </xdr:from>
    <xdr:to>
      <xdr:col>10</xdr:col>
      <xdr:colOff>685799</xdr:colOff>
      <xdr:row>6</xdr:row>
      <xdr:rowOff>85726</xdr:rowOff>
    </xdr:to>
    <xdr:pic>
      <xdr:nvPicPr>
        <xdr:cNvPr id="2907" name="Picture 6" descr="Hot_Off_The_Grill TM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10887074" y="247651"/>
          <a:ext cx="466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showGridLines="0" tabSelected="1" zoomScaleNormal="100" zoomScaleSheetLayoutView="100" workbookViewId="0">
      <pane ySplit="12" topLeftCell="A13" activePane="bottomLeft" state="frozenSplit"/>
      <selection pane="bottomLeft" activeCell="F15" sqref="F15:F16"/>
    </sheetView>
  </sheetViews>
  <sheetFormatPr defaultColWidth="9.1796875" defaultRowHeight="13" x14ac:dyDescent="0.3"/>
  <cols>
    <col min="1" max="1" width="13.54296875" style="8" customWidth="1"/>
    <col min="2" max="2" width="46.7265625" style="7" customWidth="1"/>
    <col min="3" max="3" width="32.26953125" style="42" customWidth="1"/>
    <col min="4" max="4" width="6.26953125" style="6" customWidth="1"/>
    <col min="5" max="5" width="6.54296875" style="9" customWidth="1"/>
    <col min="6" max="6" width="9.26953125" style="9" customWidth="1"/>
    <col min="7" max="7" width="9.1796875" style="9" customWidth="1"/>
    <col min="8" max="8" width="9.26953125" style="9" customWidth="1"/>
    <col min="9" max="9" width="8" style="10" customWidth="1"/>
    <col min="10" max="10" width="18.81640625" style="6" customWidth="1"/>
    <col min="11" max="11" width="17.81640625" style="6" customWidth="1"/>
    <col min="12" max="12" width="6.81640625" style="6" customWidth="1"/>
    <col min="13" max="13" width="9.26953125" style="5" customWidth="1"/>
    <col min="14" max="16" width="9.7265625" style="6" customWidth="1"/>
    <col min="17" max="17" width="10" style="6" customWidth="1"/>
    <col min="18" max="18" width="9.26953125" style="6" bestFit="1" customWidth="1"/>
    <col min="19" max="16384" width="9.1796875" style="1"/>
  </cols>
  <sheetData>
    <row r="1" spans="1:18" s="13" customFormat="1" ht="7.5" customHeight="1" x14ac:dyDescent="0.25">
      <c r="A1" s="21"/>
      <c r="B1" s="22"/>
      <c r="C1" s="39"/>
      <c r="D1" s="22"/>
      <c r="E1" s="22"/>
      <c r="F1" s="22"/>
      <c r="G1" s="22"/>
      <c r="H1" s="22"/>
      <c r="I1" s="22"/>
      <c r="J1" s="22"/>
      <c r="K1" s="23"/>
      <c r="M1" s="14"/>
    </row>
    <row r="2" spans="1:18" s="19" customFormat="1" ht="14.5" customHeight="1" x14ac:dyDescent="0.3">
      <c r="A2" s="18"/>
      <c r="B2" s="47" t="s">
        <v>100</v>
      </c>
      <c r="D2" s="18"/>
      <c r="E2" s="18"/>
      <c r="F2" s="18"/>
      <c r="G2" s="18"/>
      <c r="H2" s="18"/>
      <c r="I2" s="18"/>
      <c r="J2" s="18"/>
      <c r="K2" s="18"/>
      <c r="M2" s="20"/>
    </row>
    <row r="3" spans="1:18" ht="10" customHeight="1" x14ac:dyDescent="0.3">
      <c r="A3" s="16"/>
      <c r="B3" s="1"/>
      <c r="C3" s="40"/>
      <c r="D3" s="17"/>
      <c r="E3" s="17"/>
      <c r="F3" s="17"/>
      <c r="G3" s="17"/>
      <c r="H3" s="17"/>
      <c r="I3" s="17"/>
      <c r="J3" s="17"/>
      <c r="K3" s="16"/>
      <c r="L3" s="1"/>
      <c r="M3" s="2"/>
      <c r="N3" s="1"/>
      <c r="O3" s="1"/>
      <c r="P3" s="1"/>
      <c r="Q3" s="1"/>
      <c r="R3" s="1"/>
    </row>
    <row r="4" spans="1:18" ht="10.5" customHeight="1" x14ac:dyDescent="0.3">
      <c r="A4" s="16"/>
      <c r="B4" s="17"/>
      <c r="D4" s="61"/>
      <c r="E4" s="61"/>
      <c r="F4" s="124" t="s">
        <v>119</v>
      </c>
      <c r="G4" s="124"/>
      <c r="H4" s="125"/>
      <c r="I4" s="126"/>
      <c r="J4" s="61"/>
      <c r="K4" s="16"/>
      <c r="L4" s="1" t="s">
        <v>82</v>
      </c>
      <c r="M4" s="2"/>
      <c r="N4" s="1"/>
      <c r="O4" s="1"/>
      <c r="P4" s="1"/>
      <c r="Q4" s="1"/>
      <c r="R4" s="1"/>
    </row>
    <row r="5" spans="1:18" ht="18" customHeight="1" x14ac:dyDescent="0.3">
      <c r="A5" s="129" t="s">
        <v>25</v>
      </c>
      <c r="B5" s="129"/>
      <c r="C5" s="131" t="s">
        <v>182</v>
      </c>
      <c r="D5" s="131"/>
      <c r="E5" s="131"/>
      <c r="F5" s="131"/>
      <c r="G5" s="131"/>
      <c r="H5" s="131"/>
      <c r="I5" s="131"/>
      <c r="J5" s="131"/>
      <c r="K5" s="16"/>
      <c r="L5" s="1"/>
      <c r="M5" s="2"/>
      <c r="N5" s="1"/>
      <c r="O5" s="1"/>
      <c r="P5" s="1"/>
      <c r="Q5" s="1"/>
      <c r="R5" s="1"/>
    </row>
    <row r="6" spans="1:18" ht="11.25" customHeight="1" thickBot="1" x14ac:dyDescent="0.35">
      <c r="A6" s="129"/>
      <c r="B6" s="129"/>
      <c r="C6" s="61"/>
      <c r="D6" s="61"/>
      <c r="E6" s="61"/>
      <c r="F6" s="61"/>
      <c r="G6" s="61"/>
      <c r="H6" s="61"/>
      <c r="I6" s="61"/>
      <c r="J6" s="61"/>
      <c r="K6" s="16"/>
      <c r="L6" s="1"/>
      <c r="M6" s="2"/>
      <c r="N6" s="1"/>
      <c r="O6" s="1"/>
      <c r="P6" s="1"/>
      <c r="Q6" s="1"/>
      <c r="R6" s="1"/>
    </row>
    <row r="7" spans="1:18" ht="15" customHeight="1" thickBot="1" x14ac:dyDescent="0.35">
      <c r="A7" s="130" t="s">
        <v>18</v>
      </c>
      <c r="B7" s="130"/>
      <c r="C7" s="43" t="s">
        <v>71</v>
      </c>
      <c r="D7" s="40" t="s">
        <v>73</v>
      </c>
      <c r="E7" s="135">
        <v>45839</v>
      </c>
      <c r="F7" s="136"/>
      <c r="G7" s="136"/>
      <c r="H7" s="137"/>
      <c r="I7" s="40" t="s">
        <v>72</v>
      </c>
      <c r="J7" s="62">
        <v>46203</v>
      </c>
      <c r="K7" s="16"/>
      <c r="L7" s="1"/>
      <c r="M7" s="2"/>
      <c r="N7" s="1"/>
      <c r="O7" s="1"/>
      <c r="P7" s="1"/>
      <c r="Q7" s="1"/>
      <c r="R7" s="1"/>
    </row>
    <row r="8" spans="1:18" s="3" customFormat="1" ht="6.75" customHeight="1" x14ac:dyDescent="0.25">
      <c r="A8" s="168" t="s">
        <v>0</v>
      </c>
      <c r="B8" s="171" t="s">
        <v>4</v>
      </c>
      <c r="C8" s="172"/>
      <c r="D8" s="138" t="s">
        <v>14</v>
      </c>
      <c r="E8" s="121" t="s">
        <v>15</v>
      </c>
      <c r="F8" s="121" t="s">
        <v>117</v>
      </c>
      <c r="G8" s="121" t="s">
        <v>118</v>
      </c>
      <c r="H8" s="121" t="s">
        <v>70</v>
      </c>
      <c r="I8" s="179" t="s">
        <v>10</v>
      </c>
      <c r="J8" s="132" t="s">
        <v>77</v>
      </c>
      <c r="K8" s="101" t="s">
        <v>78</v>
      </c>
      <c r="M8" s="4"/>
    </row>
    <row r="9" spans="1:18" ht="6.75" customHeight="1" x14ac:dyDescent="0.3">
      <c r="A9" s="169"/>
      <c r="B9" s="146"/>
      <c r="C9" s="173"/>
      <c r="D9" s="139"/>
      <c r="E9" s="122"/>
      <c r="F9" s="122"/>
      <c r="G9" s="122"/>
      <c r="H9" s="122"/>
      <c r="I9" s="180"/>
      <c r="J9" s="133"/>
      <c r="K9" s="102"/>
      <c r="L9" s="1"/>
      <c r="M9" s="2"/>
      <c r="N9" s="1"/>
      <c r="O9" s="1"/>
      <c r="P9" s="1"/>
      <c r="Q9" s="1"/>
      <c r="R9" s="1"/>
    </row>
    <row r="10" spans="1:18" ht="8.25" customHeight="1" x14ac:dyDescent="0.3">
      <c r="A10" s="169"/>
      <c r="B10" s="146"/>
      <c r="C10" s="173"/>
      <c r="D10" s="139"/>
      <c r="E10" s="122"/>
      <c r="F10" s="122"/>
      <c r="G10" s="122"/>
      <c r="H10" s="122"/>
      <c r="I10" s="180"/>
      <c r="J10" s="134"/>
      <c r="K10" s="103"/>
      <c r="L10" s="1"/>
      <c r="M10" s="2"/>
      <c r="N10" s="1"/>
      <c r="O10" s="1"/>
      <c r="P10" s="1"/>
      <c r="Q10" s="1"/>
      <c r="R10" s="1"/>
    </row>
    <row r="11" spans="1:18" ht="6.75" customHeight="1" x14ac:dyDescent="0.3">
      <c r="A11" s="169"/>
      <c r="B11" s="146"/>
      <c r="C11" s="173"/>
      <c r="D11" s="139"/>
      <c r="E11" s="122"/>
      <c r="F11" s="122"/>
      <c r="G11" s="122"/>
      <c r="H11" s="122"/>
      <c r="I11" s="180"/>
      <c r="J11" s="178" t="s">
        <v>40</v>
      </c>
      <c r="K11" s="104" t="s">
        <v>41</v>
      </c>
      <c r="L11" s="1"/>
      <c r="M11" s="2"/>
      <c r="N11" s="1"/>
      <c r="O11" s="1"/>
      <c r="P11" s="1"/>
      <c r="Q11" s="1"/>
      <c r="R11" s="1"/>
    </row>
    <row r="12" spans="1:18" ht="12.75" customHeight="1" thickBot="1" x14ac:dyDescent="0.35">
      <c r="A12" s="170"/>
      <c r="B12" s="174"/>
      <c r="C12" s="175"/>
      <c r="D12" s="140"/>
      <c r="E12" s="123"/>
      <c r="F12" s="123"/>
      <c r="G12" s="123"/>
      <c r="H12" s="123"/>
      <c r="I12" s="181"/>
      <c r="J12" s="140"/>
      <c r="K12" s="105"/>
      <c r="L12" s="1"/>
      <c r="M12" s="2"/>
      <c r="N12" s="1"/>
      <c r="O12" s="1"/>
      <c r="P12" s="1"/>
      <c r="Q12" s="1"/>
      <c r="R12" s="1"/>
    </row>
    <row r="13" spans="1:18" ht="12" customHeight="1" thickBot="1" x14ac:dyDescent="0.35">
      <c r="A13" s="48"/>
      <c r="B13" s="49"/>
      <c r="C13" s="49"/>
      <c r="D13" s="50"/>
      <c r="E13" s="51"/>
      <c r="F13" s="127"/>
      <c r="G13" s="128"/>
      <c r="H13" s="128"/>
      <c r="I13" s="128"/>
      <c r="J13" s="56"/>
      <c r="K13" s="57"/>
      <c r="L13" s="1"/>
      <c r="M13" s="2"/>
      <c r="N13" s="1"/>
      <c r="O13" s="1"/>
      <c r="P13" s="1"/>
      <c r="Q13" s="1"/>
      <c r="R13" s="1"/>
    </row>
    <row r="14" spans="1:18" ht="16.5" customHeight="1" thickBot="1" x14ac:dyDescent="0.35">
      <c r="A14" s="176" t="s">
        <v>121</v>
      </c>
      <c r="B14" s="177"/>
      <c r="C14" s="177"/>
      <c r="D14" s="177"/>
      <c r="E14" s="177"/>
      <c r="F14" s="177"/>
      <c r="G14" s="177"/>
      <c r="H14" s="177"/>
      <c r="I14" s="177"/>
      <c r="J14" s="177"/>
      <c r="K14" s="177"/>
      <c r="L14" s="1"/>
      <c r="O14" s="1"/>
      <c r="P14" s="1"/>
      <c r="Q14" s="1"/>
      <c r="R14" s="1"/>
    </row>
    <row r="15" spans="1:18" s="3" customFormat="1" ht="12.75" customHeight="1" x14ac:dyDescent="0.25">
      <c r="A15" s="45" t="s">
        <v>96</v>
      </c>
      <c r="B15" s="157" t="s">
        <v>36</v>
      </c>
      <c r="C15" s="158"/>
      <c r="D15" s="108">
        <v>4.1900000000000004</v>
      </c>
      <c r="E15" s="109">
        <v>72</v>
      </c>
      <c r="F15" s="94"/>
      <c r="G15" s="94"/>
      <c r="H15" s="84">
        <f>F15*G15</f>
        <v>0</v>
      </c>
      <c r="I15" s="84">
        <f>ROUNDUP(H15/E15,0)</f>
        <v>0</v>
      </c>
      <c r="J15" s="156">
        <f>I15*9</f>
        <v>0</v>
      </c>
      <c r="K15" s="99"/>
      <c r="M15"/>
    </row>
    <row r="16" spans="1:18" s="3" customFormat="1" ht="14.25" customHeight="1" x14ac:dyDescent="0.25">
      <c r="A16" s="72" t="s">
        <v>97</v>
      </c>
      <c r="B16" s="38" t="s">
        <v>42</v>
      </c>
      <c r="C16" s="11" t="s">
        <v>52</v>
      </c>
      <c r="D16" s="81"/>
      <c r="E16" s="93"/>
      <c r="F16" s="87"/>
      <c r="G16" s="87"/>
      <c r="H16" s="85"/>
      <c r="I16" s="85"/>
      <c r="J16" s="96"/>
      <c r="K16" s="89"/>
      <c r="M16"/>
    </row>
    <row r="17" spans="1:14" s="3" customFormat="1" ht="11.25" customHeight="1" x14ac:dyDescent="0.25">
      <c r="A17" s="78" t="s">
        <v>9</v>
      </c>
      <c r="B17" s="90" t="s">
        <v>22</v>
      </c>
      <c r="C17" s="91"/>
      <c r="D17" s="80">
        <v>3.69</v>
      </c>
      <c r="E17" s="92">
        <v>72</v>
      </c>
      <c r="F17" s="94"/>
      <c r="G17" s="94"/>
      <c r="H17" s="84">
        <f t="shared" ref="H17" si="0">F17*G17</f>
        <v>0</v>
      </c>
      <c r="I17" s="84">
        <f t="shared" ref="I17:I19" si="1">ROUNDUP(H17/E17,0)</f>
        <v>0</v>
      </c>
      <c r="J17" s="95">
        <f>I17*6.75</f>
        <v>0</v>
      </c>
      <c r="K17" s="88"/>
      <c r="M17" s="4"/>
    </row>
    <row r="18" spans="1:14" s="3" customFormat="1" ht="11.25" customHeight="1" x14ac:dyDescent="0.25">
      <c r="A18" s="79"/>
      <c r="B18" s="38" t="s">
        <v>43</v>
      </c>
      <c r="C18" s="11" t="s">
        <v>53</v>
      </c>
      <c r="D18" s="81"/>
      <c r="E18" s="93"/>
      <c r="F18" s="87"/>
      <c r="G18" s="87"/>
      <c r="H18" s="85"/>
      <c r="I18" s="85"/>
      <c r="J18" s="96"/>
      <c r="K18" s="89"/>
      <c r="M18" s="4"/>
    </row>
    <row r="19" spans="1:14" s="3" customFormat="1" ht="15.75" customHeight="1" x14ac:dyDescent="0.25">
      <c r="A19" s="78" t="s">
        <v>26</v>
      </c>
      <c r="B19" s="90" t="s">
        <v>38</v>
      </c>
      <c r="C19" s="91"/>
      <c r="D19" s="80">
        <v>4.1900000000000004</v>
      </c>
      <c r="E19" s="92">
        <v>72</v>
      </c>
      <c r="F19" s="94"/>
      <c r="G19" s="94"/>
      <c r="H19" s="84">
        <f t="shared" ref="H19" si="2">F19*G19</f>
        <v>0</v>
      </c>
      <c r="I19" s="84">
        <f t="shared" si="1"/>
        <v>0</v>
      </c>
      <c r="J19" s="95">
        <f>I19*9</f>
        <v>0</v>
      </c>
      <c r="K19" s="88"/>
      <c r="M19" s="4"/>
    </row>
    <row r="20" spans="1:14" s="3" customFormat="1" ht="12.75" customHeight="1" x14ac:dyDescent="0.25">
      <c r="A20" s="79"/>
      <c r="B20" s="38" t="s">
        <v>42</v>
      </c>
      <c r="C20" s="11" t="s">
        <v>52</v>
      </c>
      <c r="D20" s="81"/>
      <c r="E20" s="93"/>
      <c r="F20" s="87"/>
      <c r="G20" s="87"/>
      <c r="H20" s="85"/>
      <c r="I20" s="85"/>
      <c r="J20" s="96"/>
      <c r="K20" s="89"/>
      <c r="M20" s="4"/>
    </row>
    <row r="21" spans="1:14" s="3" customFormat="1" ht="13.5" customHeight="1" x14ac:dyDescent="0.25">
      <c r="A21" s="67" t="s">
        <v>120</v>
      </c>
      <c r="B21" s="90" t="s">
        <v>166</v>
      </c>
      <c r="C21" s="91"/>
      <c r="D21" s="80">
        <v>4.1900000000000004</v>
      </c>
      <c r="E21" s="92">
        <v>72</v>
      </c>
      <c r="F21" s="94"/>
      <c r="G21" s="94"/>
      <c r="H21" s="84">
        <f t="shared" ref="H21" si="3">F21*G21</f>
        <v>0</v>
      </c>
      <c r="I21" s="84">
        <f>ROUNDUP(H21/E21,0)</f>
        <v>0</v>
      </c>
      <c r="J21" s="95">
        <f>I21*9</f>
        <v>0</v>
      </c>
      <c r="K21" s="88"/>
      <c r="M21" s="4"/>
    </row>
    <row r="22" spans="1:14" s="3" customFormat="1" ht="15.75" customHeight="1" thickBot="1" x14ac:dyDescent="0.3">
      <c r="A22" s="68" t="s">
        <v>122</v>
      </c>
      <c r="B22" s="38" t="s">
        <v>45</v>
      </c>
      <c r="C22" s="11" t="s">
        <v>52</v>
      </c>
      <c r="D22" s="81"/>
      <c r="E22" s="93"/>
      <c r="F22" s="87"/>
      <c r="G22" s="87"/>
      <c r="H22" s="85"/>
      <c r="I22" s="85"/>
      <c r="J22" s="96"/>
      <c r="K22" s="89"/>
      <c r="M22" s="4"/>
    </row>
    <row r="23" spans="1:14" s="63" customFormat="1" ht="15" customHeight="1" thickBot="1" x14ac:dyDescent="0.4">
      <c r="A23" s="118" t="s">
        <v>44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M23" s="64"/>
      <c r="N23" s="65"/>
    </row>
    <row r="24" spans="1:14" s="3" customFormat="1" ht="11.9" customHeight="1" x14ac:dyDescent="0.25">
      <c r="A24" s="78" t="s">
        <v>37</v>
      </c>
      <c r="B24" s="90" t="s">
        <v>79</v>
      </c>
      <c r="C24" s="91"/>
      <c r="D24" s="80">
        <v>3.1</v>
      </c>
      <c r="E24" s="92">
        <v>100</v>
      </c>
      <c r="F24" s="94"/>
      <c r="G24" s="94"/>
      <c r="H24" s="84">
        <f t="shared" ref="H24" si="4">F24*G24</f>
        <v>0</v>
      </c>
      <c r="I24" s="84">
        <f>ROUNDUP(H24/E24,0)</f>
        <v>0</v>
      </c>
      <c r="J24" s="95">
        <f>I24*2.5</f>
        <v>0</v>
      </c>
      <c r="K24" s="88"/>
      <c r="M24" s="4"/>
    </row>
    <row r="25" spans="1:14" s="3" customFormat="1" ht="11.9" customHeight="1" x14ac:dyDescent="0.25">
      <c r="A25" s="79"/>
      <c r="B25" s="38" t="s">
        <v>46</v>
      </c>
      <c r="C25" s="11" t="s">
        <v>54</v>
      </c>
      <c r="D25" s="81"/>
      <c r="E25" s="93"/>
      <c r="F25" s="87"/>
      <c r="G25" s="87"/>
      <c r="H25" s="85"/>
      <c r="I25" s="85"/>
      <c r="J25" s="96"/>
      <c r="K25" s="89"/>
      <c r="M25" s="4"/>
    </row>
    <row r="26" spans="1:14" s="3" customFormat="1" ht="11.9" customHeight="1" x14ac:dyDescent="0.25">
      <c r="A26" s="78" t="s">
        <v>19</v>
      </c>
      <c r="B26" s="90" t="s">
        <v>29</v>
      </c>
      <c r="C26" s="91"/>
      <c r="D26" s="80">
        <v>3.1</v>
      </c>
      <c r="E26" s="92">
        <v>100</v>
      </c>
      <c r="F26" s="94"/>
      <c r="G26" s="94"/>
      <c r="H26" s="84">
        <f t="shared" ref="H26" si="5">F26*G26</f>
        <v>0</v>
      </c>
      <c r="I26" s="84">
        <f>ROUNDUP(H26/E26,0)</f>
        <v>0</v>
      </c>
      <c r="J26" s="95"/>
      <c r="K26" s="88">
        <f>I26*10.7</f>
        <v>0</v>
      </c>
      <c r="M26" s="4"/>
    </row>
    <row r="27" spans="1:14" s="3" customFormat="1" ht="11.9" customHeight="1" x14ac:dyDescent="0.25">
      <c r="A27" s="79"/>
      <c r="B27" s="38" t="s">
        <v>55</v>
      </c>
      <c r="C27" s="11" t="s">
        <v>56</v>
      </c>
      <c r="D27" s="81"/>
      <c r="E27" s="93"/>
      <c r="F27" s="87"/>
      <c r="G27" s="87"/>
      <c r="H27" s="85"/>
      <c r="I27" s="85"/>
      <c r="J27" s="96"/>
      <c r="K27" s="89"/>
      <c r="M27" s="4"/>
    </row>
    <row r="28" spans="1:14" s="3" customFormat="1" ht="11.9" customHeight="1" x14ac:dyDescent="0.25">
      <c r="A28" s="78" t="s">
        <v>80</v>
      </c>
      <c r="B28" s="90" t="s">
        <v>93</v>
      </c>
      <c r="C28" s="91"/>
      <c r="D28" s="80">
        <v>3.1</v>
      </c>
      <c r="E28" s="92">
        <v>100</v>
      </c>
      <c r="F28" s="94"/>
      <c r="G28" s="94"/>
      <c r="H28" s="84">
        <f t="shared" ref="H28" si="6">F28*G28</f>
        <v>0</v>
      </c>
      <c r="I28" s="84">
        <f>ROUNDUP(H28/E28,0)</f>
        <v>0</v>
      </c>
      <c r="J28" s="95"/>
      <c r="K28" s="88">
        <f>I28*9.93</f>
        <v>0</v>
      </c>
      <c r="M28" s="4"/>
    </row>
    <row r="29" spans="1:14" s="3" customFormat="1" ht="11.9" customHeight="1" x14ac:dyDescent="0.25">
      <c r="A29" s="79"/>
      <c r="B29" s="38" t="s">
        <v>55</v>
      </c>
      <c r="C29" s="11" t="s">
        <v>95</v>
      </c>
      <c r="D29" s="81"/>
      <c r="E29" s="93"/>
      <c r="F29" s="87"/>
      <c r="G29" s="87"/>
      <c r="H29" s="85"/>
      <c r="I29" s="85"/>
      <c r="J29" s="96"/>
      <c r="K29" s="89"/>
      <c r="M29" s="4"/>
    </row>
    <row r="30" spans="1:14" s="3" customFormat="1" ht="11.9" customHeight="1" x14ac:dyDescent="0.25">
      <c r="A30" s="78" t="s">
        <v>28</v>
      </c>
      <c r="B30" s="90" t="s">
        <v>35</v>
      </c>
      <c r="C30" s="91"/>
      <c r="D30" s="80">
        <v>2.65</v>
      </c>
      <c r="E30" s="92">
        <v>72</v>
      </c>
      <c r="F30" s="94"/>
      <c r="G30" s="94"/>
      <c r="H30" s="84">
        <f t="shared" ref="H30" si="7">F30*G30</f>
        <v>0</v>
      </c>
      <c r="I30" s="84">
        <f>ROUNDUP(H30/E30,0)</f>
        <v>0</v>
      </c>
      <c r="J30" s="95">
        <f>I30*1.13</f>
        <v>0</v>
      </c>
      <c r="K30" s="88">
        <f>I30*7.7</f>
        <v>0</v>
      </c>
      <c r="M30" s="4"/>
    </row>
    <row r="31" spans="1:14" s="3" customFormat="1" ht="11.9" customHeight="1" x14ac:dyDescent="0.25">
      <c r="A31" s="154"/>
      <c r="B31" s="38" t="s">
        <v>57</v>
      </c>
      <c r="C31" s="11" t="s">
        <v>58</v>
      </c>
      <c r="D31" s="108"/>
      <c r="E31" s="109"/>
      <c r="F31" s="87"/>
      <c r="G31" s="87"/>
      <c r="H31" s="85"/>
      <c r="I31" s="85"/>
      <c r="J31" s="156"/>
      <c r="K31" s="99"/>
      <c r="M31" s="4"/>
    </row>
    <row r="32" spans="1:14" s="3" customFormat="1" ht="11.9" customHeight="1" x14ac:dyDescent="0.25">
      <c r="A32" s="67" t="s">
        <v>147</v>
      </c>
      <c r="B32" s="90" t="s">
        <v>113</v>
      </c>
      <c r="C32" s="91"/>
      <c r="D32" s="80">
        <v>2.2000000000000002</v>
      </c>
      <c r="E32" s="92">
        <v>100</v>
      </c>
      <c r="F32" s="94"/>
      <c r="G32" s="94"/>
      <c r="H32" s="84">
        <f t="shared" ref="H32" si="8">F32*G32</f>
        <v>0</v>
      </c>
      <c r="I32" s="84">
        <f>ROUNDUP(H32/E32,0)</f>
        <v>0</v>
      </c>
      <c r="J32" s="95">
        <f>I32*6.25</f>
        <v>0</v>
      </c>
      <c r="K32" s="88"/>
      <c r="M32" s="4"/>
    </row>
    <row r="33" spans="1:14" s="3" customFormat="1" ht="11.9" customHeight="1" x14ac:dyDescent="0.25">
      <c r="A33" s="68" t="s">
        <v>148</v>
      </c>
      <c r="B33" s="38" t="s">
        <v>106</v>
      </c>
      <c r="C33" s="54" t="s">
        <v>108</v>
      </c>
      <c r="D33" s="81"/>
      <c r="E33" s="93"/>
      <c r="F33" s="87"/>
      <c r="G33" s="87"/>
      <c r="H33" s="85"/>
      <c r="I33" s="85"/>
      <c r="J33" s="96"/>
      <c r="K33" s="89"/>
      <c r="M33" s="4"/>
    </row>
    <row r="34" spans="1:14" s="3" customFormat="1" ht="11.9" customHeight="1" x14ac:dyDescent="0.25">
      <c r="A34" s="154" t="s">
        <v>81</v>
      </c>
      <c r="B34" s="157" t="s">
        <v>102</v>
      </c>
      <c r="C34" s="158"/>
      <c r="D34" s="108">
        <v>2.4</v>
      </c>
      <c r="E34" s="109">
        <v>100</v>
      </c>
      <c r="F34" s="94"/>
      <c r="G34" s="94"/>
      <c r="H34" s="84">
        <f t="shared" ref="H34" si="9">F34*G34</f>
        <v>0</v>
      </c>
      <c r="I34" s="84">
        <f>ROUNDUP(H34/E34,0)</f>
        <v>0</v>
      </c>
      <c r="J34" s="156">
        <f>I34*3.13</f>
        <v>0</v>
      </c>
      <c r="K34" s="99">
        <f>I34*6.8</f>
        <v>0</v>
      </c>
      <c r="M34" s="4"/>
    </row>
    <row r="35" spans="1:14" s="3" customFormat="1" ht="11.9" customHeight="1" x14ac:dyDescent="0.25">
      <c r="A35" s="79"/>
      <c r="B35" s="38" t="s">
        <v>47</v>
      </c>
      <c r="C35" s="11" t="s">
        <v>110</v>
      </c>
      <c r="D35" s="81"/>
      <c r="E35" s="93"/>
      <c r="F35" s="87"/>
      <c r="G35" s="87"/>
      <c r="H35" s="85"/>
      <c r="I35" s="85"/>
      <c r="J35" s="96"/>
      <c r="K35" s="89"/>
      <c r="M35" s="4"/>
    </row>
    <row r="36" spans="1:14" s="3" customFormat="1" ht="11.9" customHeight="1" x14ac:dyDescent="0.25">
      <c r="A36" s="78" t="s">
        <v>92</v>
      </c>
      <c r="B36" s="90" t="s">
        <v>105</v>
      </c>
      <c r="C36" s="91"/>
      <c r="D36" s="80">
        <v>2.61</v>
      </c>
      <c r="E36" s="92">
        <v>100</v>
      </c>
      <c r="F36" s="94"/>
      <c r="G36" s="94"/>
      <c r="H36" s="84">
        <f t="shared" ref="H36" si="10">F36*G36</f>
        <v>0</v>
      </c>
      <c r="I36" s="84">
        <f>ROUNDUP(H36/E36,0)</f>
        <v>0</v>
      </c>
      <c r="J36" s="95"/>
      <c r="K36" s="99">
        <f>I36*9.93</f>
        <v>0</v>
      </c>
      <c r="M36" s="4"/>
    </row>
    <row r="37" spans="1:14" s="3" customFormat="1" ht="11.9" customHeight="1" thickBot="1" x14ac:dyDescent="0.3">
      <c r="A37" s="79"/>
      <c r="B37" s="38" t="s">
        <v>94</v>
      </c>
      <c r="C37" s="11" t="s">
        <v>95</v>
      </c>
      <c r="D37" s="81"/>
      <c r="E37" s="93"/>
      <c r="F37" s="87"/>
      <c r="G37" s="87"/>
      <c r="H37" s="85"/>
      <c r="I37" s="85"/>
      <c r="J37" s="96"/>
      <c r="K37" s="89"/>
      <c r="M37" s="4"/>
    </row>
    <row r="38" spans="1:14" s="3" customFormat="1" ht="14.25" customHeight="1" thickBot="1" x14ac:dyDescent="0.3">
      <c r="A38" s="118" t="s">
        <v>101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M38" s="26"/>
      <c r="N38" s="27"/>
    </row>
    <row r="39" spans="1:14" s="3" customFormat="1" ht="11.9" customHeight="1" x14ac:dyDescent="0.25">
      <c r="A39" s="161" t="s">
        <v>16</v>
      </c>
      <c r="B39" s="184" t="s">
        <v>21</v>
      </c>
      <c r="C39" s="185"/>
      <c r="D39" s="183">
        <v>4.58</v>
      </c>
      <c r="E39" s="182">
        <v>72</v>
      </c>
      <c r="F39" s="120"/>
      <c r="G39" s="120"/>
      <c r="H39" s="155">
        <f>F39*G39</f>
        <v>0</v>
      </c>
      <c r="I39" s="155">
        <f t="shared" ref="I39:I63" si="11">ROUNDUP(H39/E39,0)</f>
        <v>0</v>
      </c>
      <c r="J39" s="159">
        <f>I39*2.25</f>
        <v>0</v>
      </c>
      <c r="K39" s="100"/>
      <c r="M39" s="4"/>
    </row>
    <row r="40" spans="1:14" s="3" customFormat="1" ht="11.9" customHeight="1" x14ac:dyDescent="0.25">
      <c r="A40" s="154"/>
      <c r="B40" s="38" t="s">
        <v>59</v>
      </c>
      <c r="C40" s="11" t="s">
        <v>60</v>
      </c>
      <c r="D40" s="108"/>
      <c r="E40" s="109"/>
      <c r="F40" s="87"/>
      <c r="G40" s="87"/>
      <c r="H40" s="85"/>
      <c r="I40" s="85"/>
      <c r="J40" s="156"/>
      <c r="K40" s="99"/>
      <c r="M40" s="4"/>
    </row>
    <row r="41" spans="1:14" s="3" customFormat="1" ht="11.9" customHeight="1" x14ac:dyDescent="0.25">
      <c r="A41" s="78" t="s">
        <v>24</v>
      </c>
      <c r="B41" s="90" t="s">
        <v>30</v>
      </c>
      <c r="C41" s="91"/>
      <c r="D41" s="80">
        <v>4.3600000000000003</v>
      </c>
      <c r="E41" s="92">
        <v>75</v>
      </c>
      <c r="F41" s="94"/>
      <c r="G41" s="94"/>
      <c r="H41" s="84">
        <f t="shared" ref="H41" si="12">F41*G41</f>
        <v>0</v>
      </c>
      <c r="I41" s="84">
        <f t="shared" si="11"/>
        <v>0</v>
      </c>
      <c r="J41" s="95"/>
      <c r="K41" s="88">
        <f>I41*10.97</f>
        <v>0</v>
      </c>
      <c r="M41" s="4"/>
    </row>
    <row r="42" spans="1:14" s="3" customFormat="1" ht="11.9" customHeight="1" x14ac:dyDescent="0.25">
      <c r="A42" s="79"/>
      <c r="B42" s="38" t="s">
        <v>76</v>
      </c>
      <c r="C42" s="11" t="s">
        <v>98</v>
      </c>
      <c r="D42" s="81"/>
      <c r="E42" s="93"/>
      <c r="F42" s="87"/>
      <c r="G42" s="87"/>
      <c r="H42" s="85"/>
      <c r="I42" s="85"/>
      <c r="J42" s="96"/>
      <c r="K42" s="89"/>
      <c r="M42" s="4"/>
    </row>
    <row r="43" spans="1:14" s="3" customFormat="1" ht="11.9" customHeight="1" x14ac:dyDescent="0.25">
      <c r="A43" s="78" t="s">
        <v>3</v>
      </c>
      <c r="B43" s="90" t="s">
        <v>27</v>
      </c>
      <c r="C43" s="91"/>
      <c r="D43" s="80">
        <v>4.25</v>
      </c>
      <c r="E43" s="92">
        <v>50</v>
      </c>
      <c r="F43" s="94"/>
      <c r="G43" s="94"/>
      <c r="H43" s="84">
        <f t="shared" ref="H43" si="13">F43*G43</f>
        <v>0</v>
      </c>
      <c r="I43" s="84">
        <f t="shared" si="11"/>
        <v>0</v>
      </c>
      <c r="J43" s="95"/>
      <c r="K43" s="88">
        <f>H43*7.71</f>
        <v>0</v>
      </c>
      <c r="M43" s="4"/>
    </row>
    <row r="44" spans="1:14" s="3" customFormat="1" ht="11.9" customHeight="1" x14ac:dyDescent="0.25">
      <c r="A44" s="79"/>
      <c r="B44" s="38" t="s">
        <v>48</v>
      </c>
      <c r="C44" s="11" t="s">
        <v>61</v>
      </c>
      <c r="D44" s="81"/>
      <c r="E44" s="93"/>
      <c r="F44" s="87"/>
      <c r="G44" s="87"/>
      <c r="H44" s="85"/>
      <c r="I44" s="85"/>
      <c r="J44" s="96"/>
      <c r="K44" s="89"/>
      <c r="M44" s="4"/>
    </row>
    <row r="45" spans="1:14" s="3" customFormat="1" ht="11.9" customHeight="1" x14ac:dyDescent="0.25">
      <c r="A45" s="78" t="s">
        <v>7</v>
      </c>
      <c r="B45" s="90" t="s">
        <v>39</v>
      </c>
      <c r="C45" s="91"/>
      <c r="D45" s="80">
        <v>4.5999999999999996</v>
      </c>
      <c r="E45" s="92">
        <v>50</v>
      </c>
      <c r="F45" s="94"/>
      <c r="G45" s="94"/>
      <c r="H45" s="84">
        <f t="shared" ref="H45" si="14">F45*G45</f>
        <v>0</v>
      </c>
      <c r="I45" s="84">
        <f t="shared" si="11"/>
        <v>0</v>
      </c>
      <c r="J45" s="95">
        <f>I45*1.09</f>
        <v>0</v>
      </c>
      <c r="K45" s="88">
        <f>I45*7.71</f>
        <v>0</v>
      </c>
      <c r="M45" s="4"/>
    </row>
    <row r="46" spans="1:14" s="3" customFormat="1" ht="11.9" customHeight="1" x14ac:dyDescent="0.25">
      <c r="A46" s="79"/>
      <c r="B46" s="38" t="s">
        <v>49</v>
      </c>
      <c r="C46" s="11" t="s">
        <v>62</v>
      </c>
      <c r="D46" s="81"/>
      <c r="E46" s="93"/>
      <c r="F46" s="87"/>
      <c r="G46" s="87"/>
      <c r="H46" s="85"/>
      <c r="I46" s="85"/>
      <c r="J46" s="96"/>
      <c r="K46" s="89"/>
      <c r="M46" s="4"/>
    </row>
    <row r="47" spans="1:14" s="3" customFormat="1" ht="11.9" customHeight="1" x14ac:dyDescent="0.25">
      <c r="A47" s="78" t="s">
        <v>23</v>
      </c>
      <c r="B47" s="90" t="s">
        <v>31</v>
      </c>
      <c r="C47" s="91"/>
      <c r="D47" s="80">
        <v>4.3499999999999996</v>
      </c>
      <c r="E47" s="92">
        <v>75</v>
      </c>
      <c r="F47" s="94"/>
      <c r="G47" s="94"/>
      <c r="H47" s="84">
        <f t="shared" ref="H47" si="15">F47*G47</f>
        <v>0</v>
      </c>
      <c r="I47" s="84">
        <f t="shared" si="11"/>
        <v>0</v>
      </c>
      <c r="J47" s="95">
        <f>I47*1.17</f>
        <v>0</v>
      </c>
      <c r="K47" s="88">
        <f>H47*10.28</f>
        <v>0</v>
      </c>
      <c r="M47" s="4"/>
    </row>
    <row r="48" spans="1:14" s="3" customFormat="1" ht="11.9" customHeight="1" x14ac:dyDescent="0.25">
      <c r="A48" s="79"/>
      <c r="B48" s="38" t="s">
        <v>63</v>
      </c>
      <c r="C48" s="11" t="s">
        <v>66</v>
      </c>
      <c r="D48" s="81"/>
      <c r="E48" s="93"/>
      <c r="F48" s="87"/>
      <c r="G48" s="87"/>
      <c r="H48" s="85"/>
      <c r="I48" s="85"/>
      <c r="J48" s="96"/>
      <c r="K48" s="89"/>
      <c r="M48" s="4"/>
    </row>
    <row r="49" spans="1:13" s="3" customFormat="1" ht="11.9" hidden="1" customHeight="1" x14ac:dyDescent="0.25">
      <c r="A49" s="78" t="s">
        <v>153</v>
      </c>
      <c r="B49" s="90" t="s">
        <v>155</v>
      </c>
      <c r="C49" s="91"/>
      <c r="D49" s="80">
        <v>4.75</v>
      </c>
      <c r="E49" s="92">
        <v>50</v>
      </c>
      <c r="F49" s="94"/>
      <c r="G49" s="94"/>
      <c r="H49" s="84">
        <f t="shared" ref="H49" si="16">F49*G49</f>
        <v>0</v>
      </c>
      <c r="I49" s="84">
        <f t="shared" ref="I49" si="17">ROUNDUP(H49/E49,0)</f>
        <v>0</v>
      </c>
      <c r="J49" s="95"/>
      <c r="K49" s="88">
        <f>H49*9.41</f>
        <v>0</v>
      </c>
      <c r="M49" s="4"/>
    </row>
    <row r="50" spans="1:13" s="3" customFormat="1" ht="11.9" hidden="1" customHeight="1" x14ac:dyDescent="0.25">
      <c r="A50" s="79"/>
      <c r="B50" s="38" t="s">
        <v>154</v>
      </c>
      <c r="C50" s="11" t="s">
        <v>159</v>
      </c>
      <c r="D50" s="81"/>
      <c r="E50" s="93"/>
      <c r="F50" s="87"/>
      <c r="G50" s="87"/>
      <c r="H50" s="85"/>
      <c r="I50" s="85"/>
      <c r="J50" s="96"/>
      <c r="K50" s="89"/>
      <c r="M50" s="4"/>
    </row>
    <row r="51" spans="1:13" s="3" customFormat="1" ht="11.9" hidden="1" customHeight="1" x14ac:dyDescent="0.25">
      <c r="A51" s="78" t="s">
        <v>157</v>
      </c>
      <c r="B51" s="90" t="s">
        <v>156</v>
      </c>
      <c r="C51" s="91"/>
      <c r="D51" s="80">
        <v>5.0999999999999996</v>
      </c>
      <c r="E51" s="92">
        <v>50</v>
      </c>
      <c r="F51" s="94"/>
      <c r="G51" s="94"/>
      <c r="H51" s="84">
        <f t="shared" ref="H51" si="18">F51*G51</f>
        <v>0</v>
      </c>
      <c r="I51" s="84">
        <f t="shared" ref="I51" si="19">ROUNDUP(H51/E51,0)</f>
        <v>0</v>
      </c>
      <c r="J51" s="95">
        <f>I51*1.09</f>
        <v>0</v>
      </c>
      <c r="K51" s="88">
        <f>H51*9.41</f>
        <v>0</v>
      </c>
      <c r="M51" s="4"/>
    </row>
    <row r="52" spans="1:13" s="3" customFormat="1" ht="11.9" hidden="1" customHeight="1" x14ac:dyDescent="0.25">
      <c r="A52" s="79"/>
      <c r="B52" s="38" t="s">
        <v>158</v>
      </c>
      <c r="C52" s="11" t="s">
        <v>160</v>
      </c>
      <c r="D52" s="81"/>
      <c r="E52" s="93"/>
      <c r="F52" s="87"/>
      <c r="G52" s="87"/>
      <c r="H52" s="85"/>
      <c r="I52" s="85"/>
      <c r="J52" s="96"/>
      <c r="K52" s="89"/>
      <c r="M52" s="4"/>
    </row>
    <row r="53" spans="1:13" s="3" customFormat="1" ht="11.9" customHeight="1" x14ac:dyDescent="0.25">
      <c r="A53" s="78" t="s">
        <v>167</v>
      </c>
      <c r="B53" s="90" t="s">
        <v>169</v>
      </c>
      <c r="C53" s="91"/>
      <c r="D53" s="80">
        <v>4.5</v>
      </c>
      <c r="E53" s="92">
        <v>75</v>
      </c>
      <c r="F53" s="94"/>
      <c r="G53" s="94"/>
      <c r="H53" s="84">
        <f t="shared" ref="H53" si="20">F53*G53</f>
        <v>0</v>
      </c>
      <c r="I53" s="84">
        <f t="shared" ref="I53" si="21">ROUNDUP(H53/E53,0)</f>
        <v>0</v>
      </c>
      <c r="J53" s="95"/>
      <c r="K53" s="88">
        <f>I53*14.24</f>
        <v>0</v>
      </c>
      <c r="M53" s="4"/>
    </row>
    <row r="54" spans="1:13" s="3" customFormat="1" ht="11.9" customHeight="1" x14ac:dyDescent="0.25">
      <c r="A54" s="79"/>
      <c r="B54" s="38" t="s">
        <v>154</v>
      </c>
      <c r="C54" s="54" t="s">
        <v>168</v>
      </c>
      <c r="D54" s="81"/>
      <c r="E54" s="93"/>
      <c r="F54" s="87"/>
      <c r="G54" s="87"/>
      <c r="H54" s="85"/>
      <c r="I54" s="85"/>
      <c r="J54" s="96"/>
      <c r="K54" s="89"/>
      <c r="M54" s="4"/>
    </row>
    <row r="55" spans="1:13" s="3" customFormat="1" ht="11.9" customHeight="1" x14ac:dyDescent="0.25">
      <c r="A55" s="67" t="s">
        <v>146</v>
      </c>
      <c r="B55" s="90" t="s">
        <v>107</v>
      </c>
      <c r="C55" s="91"/>
      <c r="D55" s="166">
        <v>4.0999999999999996</v>
      </c>
      <c r="E55" s="92">
        <v>100</v>
      </c>
      <c r="F55" s="94"/>
      <c r="G55" s="94"/>
      <c r="H55" s="84">
        <f t="shared" ref="H55" si="22">F55*G55</f>
        <v>0</v>
      </c>
      <c r="I55" s="84">
        <f t="shared" si="11"/>
        <v>0</v>
      </c>
      <c r="J55" s="95">
        <f>I55*12.5</f>
        <v>0</v>
      </c>
      <c r="K55" s="88"/>
      <c r="M55" s="4"/>
    </row>
    <row r="56" spans="1:13" s="3" customFormat="1" ht="11.9" customHeight="1" x14ac:dyDescent="0.25">
      <c r="A56" s="68" t="s">
        <v>145</v>
      </c>
      <c r="B56" s="38" t="s">
        <v>50</v>
      </c>
      <c r="C56" s="54" t="s">
        <v>109</v>
      </c>
      <c r="D56" s="167"/>
      <c r="E56" s="93"/>
      <c r="F56" s="87"/>
      <c r="G56" s="87"/>
      <c r="H56" s="85"/>
      <c r="I56" s="85"/>
      <c r="J56" s="96"/>
      <c r="K56" s="89"/>
      <c r="M56" s="4"/>
    </row>
    <row r="57" spans="1:13" s="3" customFormat="1" ht="11.9" customHeight="1" x14ac:dyDescent="0.25">
      <c r="A57" s="78" t="s">
        <v>34</v>
      </c>
      <c r="B57" s="90" t="s">
        <v>99</v>
      </c>
      <c r="C57" s="91"/>
      <c r="D57" s="80">
        <v>2.0499999999999998</v>
      </c>
      <c r="E57" s="92">
        <v>120</v>
      </c>
      <c r="F57" s="86"/>
      <c r="G57" s="86"/>
      <c r="H57" s="115">
        <f t="shared" ref="H57" si="23">F57*G57</f>
        <v>0</v>
      </c>
      <c r="I57" s="115">
        <f>ROUNDUP(H57/(E57/2),0)</f>
        <v>0</v>
      </c>
      <c r="J57" s="95">
        <f>I57*7.5</f>
        <v>0</v>
      </c>
      <c r="K57" s="88"/>
      <c r="M57" s="4"/>
    </row>
    <row r="58" spans="1:13" s="3" customFormat="1" ht="9" customHeight="1" x14ac:dyDescent="0.25">
      <c r="A58" s="79"/>
      <c r="B58" s="38" t="s">
        <v>51</v>
      </c>
      <c r="C58" s="11" t="s">
        <v>104</v>
      </c>
      <c r="D58" s="81"/>
      <c r="E58" s="93"/>
      <c r="F58" s="87"/>
      <c r="G58" s="87"/>
      <c r="H58" s="85"/>
      <c r="I58" s="85"/>
      <c r="J58" s="96"/>
      <c r="K58" s="89"/>
      <c r="M58" s="4"/>
    </row>
    <row r="59" spans="1:13" s="3" customFormat="1" ht="11.9" customHeight="1" x14ac:dyDescent="0.25">
      <c r="A59" s="44" t="s">
        <v>84</v>
      </c>
      <c r="B59" s="90" t="s">
        <v>83</v>
      </c>
      <c r="C59" s="91"/>
      <c r="D59" s="80">
        <v>4.5999999999999996</v>
      </c>
      <c r="E59" s="92">
        <v>50</v>
      </c>
      <c r="F59" s="94"/>
      <c r="G59" s="94"/>
      <c r="H59" s="84">
        <f t="shared" ref="H59" si="24">F59*G59</f>
        <v>0</v>
      </c>
      <c r="I59" s="84">
        <f t="shared" ref="I59" si="25">ROUNDUP(H59/E59,0)</f>
        <v>0</v>
      </c>
      <c r="J59" s="95">
        <f>I59*3.12</f>
        <v>0</v>
      </c>
      <c r="K59" s="88">
        <f>I59*3.71</f>
        <v>0</v>
      </c>
      <c r="M59" s="4"/>
    </row>
    <row r="60" spans="1:13" s="3" customFormat="1" ht="11.9" customHeight="1" x14ac:dyDescent="0.25">
      <c r="A60" s="46" t="s">
        <v>85</v>
      </c>
      <c r="B60" s="38" t="s">
        <v>103</v>
      </c>
      <c r="C60" s="11" t="s">
        <v>112</v>
      </c>
      <c r="D60" s="81"/>
      <c r="E60" s="93"/>
      <c r="F60" s="87"/>
      <c r="G60" s="87"/>
      <c r="H60" s="85"/>
      <c r="I60" s="85"/>
      <c r="J60" s="96"/>
      <c r="K60" s="89"/>
      <c r="M60" s="4"/>
    </row>
    <row r="61" spans="1:13" s="3" customFormat="1" ht="12.75" customHeight="1" x14ac:dyDescent="0.25">
      <c r="A61" s="44" t="s">
        <v>139</v>
      </c>
      <c r="B61" s="90" t="s">
        <v>165</v>
      </c>
      <c r="C61" s="91"/>
      <c r="D61" s="80">
        <v>4.5999999999999996</v>
      </c>
      <c r="E61" s="92">
        <v>50</v>
      </c>
      <c r="F61" s="94"/>
      <c r="G61" s="94"/>
      <c r="H61" s="84">
        <f t="shared" ref="H61" si="26">F61*G61</f>
        <v>0</v>
      </c>
      <c r="I61" s="84">
        <f t="shared" si="11"/>
        <v>0</v>
      </c>
      <c r="J61" s="95">
        <f>I61*3.12</f>
        <v>0</v>
      </c>
      <c r="K61" s="88">
        <f>I61*3.71</f>
        <v>0</v>
      </c>
      <c r="M61" s="4"/>
    </row>
    <row r="62" spans="1:13" s="3" customFormat="1" ht="13.5" customHeight="1" x14ac:dyDescent="0.25">
      <c r="A62" s="46" t="s">
        <v>140</v>
      </c>
      <c r="B62" s="38" t="s">
        <v>103</v>
      </c>
      <c r="C62" s="11" t="s">
        <v>112</v>
      </c>
      <c r="D62" s="81"/>
      <c r="E62" s="93"/>
      <c r="F62" s="87"/>
      <c r="G62" s="87"/>
      <c r="H62" s="85"/>
      <c r="I62" s="85"/>
      <c r="J62" s="96"/>
      <c r="K62" s="89"/>
      <c r="M62" s="4"/>
    </row>
    <row r="63" spans="1:13" s="3" customFormat="1" ht="11.9" customHeight="1" x14ac:dyDescent="0.25">
      <c r="A63" s="44" t="s">
        <v>86</v>
      </c>
      <c r="B63" s="90" t="s">
        <v>32</v>
      </c>
      <c r="C63" s="91"/>
      <c r="D63" s="80">
        <v>3.07</v>
      </c>
      <c r="E63" s="92">
        <v>72</v>
      </c>
      <c r="F63" s="94"/>
      <c r="G63" s="94"/>
      <c r="H63" s="84">
        <f t="shared" ref="H63" si="27">F63*G63</f>
        <v>0</v>
      </c>
      <c r="I63" s="84">
        <f t="shared" si="11"/>
        <v>0</v>
      </c>
      <c r="J63" s="95">
        <f>I63*6.76</f>
        <v>0</v>
      </c>
      <c r="K63" s="88">
        <f>I63*2.85</f>
        <v>0</v>
      </c>
      <c r="M63" s="4"/>
    </row>
    <row r="64" spans="1:13" s="3" customFormat="1" ht="13.5" customHeight="1" x14ac:dyDescent="0.25">
      <c r="A64" s="46" t="s">
        <v>87</v>
      </c>
      <c r="B64" s="38" t="s">
        <v>64</v>
      </c>
      <c r="C64" s="11" t="s">
        <v>111</v>
      </c>
      <c r="D64" s="81"/>
      <c r="E64" s="93"/>
      <c r="F64" s="87"/>
      <c r="G64" s="87"/>
      <c r="H64" s="85"/>
      <c r="I64" s="85"/>
      <c r="J64" s="96"/>
      <c r="K64" s="89"/>
      <c r="M64" s="4"/>
    </row>
    <row r="65" spans="1:14" s="3" customFormat="1" ht="13.5" customHeight="1" x14ac:dyDescent="0.25">
      <c r="A65" s="44" t="s">
        <v>88</v>
      </c>
      <c r="B65" s="90" t="s">
        <v>33</v>
      </c>
      <c r="C65" s="91"/>
      <c r="D65" s="80">
        <v>3.77</v>
      </c>
      <c r="E65" s="92">
        <v>72</v>
      </c>
      <c r="F65" s="94"/>
      <c r="G65" s="94"/>
      <c r="H65" s="84">
        <f t="shared" ref="H65" si="28">F65*G65</f>
        <v>0</v>
      </c>
      <c r="I65" s="84">
        <f t="shared" ref="I65:I67" si="29">ROUNDUP(H65/E65,0)</f>
        <v>0</v>
      </c>
      <c r="J65" s="117">
        <f>I65*4.5</f>
        <v>0</v>
      </c>
      <c r="K65" s="97"/>
      <c r="M65" s="15"/>
    </row>
    <row r="66" spans="1:14" s="3" customFormat="1" ht="13.5" customHeight="1" thickBot="1" x14ac:dyDescent="0.3">
      <c r="A66" s="46" t="s">
        <v>89</v>
      </c>
      <c r="B66" s="37" t="s">
        <v>65</v>
      </c>
      <c r="C66" s="41" t="s">
        <v>183</v>
      </c>
      <c r="D66" s="108"/>
      <c r="E66" s="109"/>
      <c r="F66" s="87"/>
      <c r="G66" s="87"/>
      <c r="H66" s="85"/>
      <c r="I66" s="85"/>
      <c r="J66" s="95"/>
      <c r="K66" s="88"/>
      <c r="M66" s="15"/>
    </row>
    <row r="67" spans="1:14" s="3" customFormat="1" ht="11.9" customHeight="1" x14ac:dyDescent="0.25">
      <c r="A67" s="106" t="s">
        <v>181</v>
      </c>
      <c r="B67" s="90" t="s">
        <v>180</v>
      </c>
      <c r="C67" s="91"/>
      <c r="D67" s="80">
        <v>4</v>
      </c>
      <c r="E67" s="92">
        <v>160</v>
      </c>
      <c r="F67" s="86"/>
      <c r="G67" s="86"/>
      <c r="H67" s="115">
        <f t="shared" ref="H67" si="30">F67*G67</f>
        <v>0</v>
      </c>
      <c r="I67" s="84">
        <f t="shared" si="29"/>
        <v>0</v>
      </c>
      <c r="J67" s="117">
        <f>I67*8</f>
        <v>0</v>
      </c>
      <c r="K67" s="88"/>
      <c r="M67" s="4"/>
    </row>
    <row r="68" spans="1:14" s="3" customFormat="1" ht="9" customHeight="1" thickBot="1" x14ac:dyDescent="0.3">
      <c r="A68" s="165"/>
      <c r="B68" s="37" t="s">
        <v>191</v>
      </c>
      <c r="C68" s="77" t="s">
        <v>192</v>
      </c>
      <c r="D68" s="163"/>
      <c r="E68" s="164"/>
      <c r="F68" s="160"/>
      <c r="G68" s="160"/>
      <c r="H68" s="116"/>
      <c r="I68" s="116"/>
      <c r="J68" s="162"/>
      <c r="K68" s="98"/>
      <c r="M68" s="4"/>
    </row>
    <row r="69" spans="1:14" s="7" customFormat="1" ht="16.5" customHeight="1" thickBot="1" x14ac:dyDescent="0.35">
      <c r="A69" s="112" t="s">
        <v>11</v>
      </c>
      <c r="B69" s="113"/>
      <c r="C69" s="113"/>
      <c r="D69" s="113"/>
      <c r="E69" s="113"/>
      <c r="F69" s="113"/>
      <c r="G69" s="113"/>
      <c r="H69" s="113"/>
      <c r="I69" s="114"/>
      <c r="J69" s="28">
        <f>SUM(J15:J68)</f>
        <v>0</v>
      </c>
      <c r="K69" s="28">
        <f>SUM(K15:K68)</f>
        <v>0</v>
      </c>
      <c r="M69" s="29"/>
      <c r="N69" s="30"/>
    </row>
    <row r="70" spans="1:14" s="3" customFormat="1" ht="20.25" customHeight="1" thickBot="1" x14ac:dyDescent="0.3">
      <c r="A70" s="118" t="s">
        <v>75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M70" s="26"/>
      <c r="N70" s="27"/>
    </row>
    <row r="71" spans="1:14" s="3" customFormat="1" ht="15" customHeight="1" x14ac:dyDescent="0.25">
      <c r="A71" s="106" t="s">
        <v>141</v>
      </c>
      <c r="B71" s="90" t="s">
        <v>123</v>
      </c>
      <c r="C71" s="91"/>
      <c r="D71" s="80">
        <v>2.25</v>
      </c>
      <c r="E71" s="92">
        <v>285</v>
      </c>
      <c r="F71" s="94"/>
      <c r="G71" s="94"/>
      <c r="H71" s="84">
        <f t="shared" ref="H71" si="31">F71*G71</f>
        <v>0</v>
      </c>
      <c r="I71" s="84">
        <f>ROUNDUP(H71/E71,0)</f>
        <v>0</v>
      </c>
      <c r="J71" s="95"/>
      <c r="K71" s="88">
        <f>I71*43.94</f>
        <v>0</v>
      </c>
      <c r="M71" s="4"/>
    </row>
    <row r="72" spans="1:14" s="3" customFormat="1" ht="11.9" customHeight="1" x14ac:dyDescent="0.25">
      <c r="A72" s="107"/>
      <c r="B72" s="38" t="s">
        <v>74</v>
      </c>
      <c r="C72" s="11" t="s">
        <v>124</v>
      </c>
      <c r="D72" s="81"/>
      <c r="E72" s="93"/>
      <c r="F72" s="87"/>
      <c r="G72" s="87"/>
      <c r="H72" s="85"/>
      <c r="I72" s="85"/>
      <c r="J72" s="96"/>
      <c r="K72" s="89"/>
      <c r="M72" s="4"/>
    </row>
    <row r="73" spans="1:14" s="3" customFormat="1" ht="11.9" customHeight="1" x14ac:dyDescent="0.25">
      <c r="A73" s="106" t="s">
        <v>142</v>
      </c>
      <c r="B73" s="90" t="s">
        <v>128</v>
      </c>
      <c r="C73" s="91"/>
      <c r="D73" s="80">
        <v>1.2</v>
      </c>
      <c r="E73" s="92">
        <v>534</v>
      </c>
      <c r="F73" s="94"/>
      <c r="G73" s="94"/>
      <c r="H73" s="84">
        <f t="shared" ref="H73" si="32">F73*G73</f>
        <v>0</v>
      </c>
      <c r="I73" s="84">
        <f>ROUNDUP(H73/E73,0)</f>
        <v>0</v>
      </c>
      <c r="J73" s="95"/>
      <c r="K73" s="88">
        <f>I73*57.13</f>
        <v>0</v>
      </c>
      <c r="M73" s="4"/>
    </row>
    <row r="74" spans="1:14" s="3" customFormat="1" ht="11.9" customHeight="1" x14ac:dyDescent="0.25">
      <c r="A74" s="107"/>
      <c r="B74" s="12" t="s">
        <v>129</v>
      </c>
      <c r="C74" s="11" t="s">
        <v>130</v>
      </c>
      <c r="D74" s="81"/>
      <c r="E74" s="93"/>
      <c r="F74" s="87"/>
      <c r="G74" s="87"/>
      <c r="H74" s="85"/>
      <c r="I74" s="85"/>
      <c r="J74" s="96"/>
      <c r="K74" s="89"/>
      <c r="M74" s="4"/>
    </row>
    <row r="75" spans="1:14" s="3" customFormat="1" ht="11.9" customHeight="1" x14ac:dyDescent="0.25">
      <c r="A75" s="106" t="s">
        <v>143</v>
      </c>
      <c r="B75" s="90" t="s">
        <v>131</v>
      </c>
      <c r="C75" s="91"/>
      <c r="D75" s="80">
        <v>1.2</v>
      </c>
      <c r="E75" s="92">
        <v>534</v>
      </c>
      <c r="F75" s="94"/>
      <c r="G75" s="94"/>
      <c r="H75" s="84">
        <f t="shared" ref="H75" si="33">F75*G75</f>
        <v>0</v>
      </c>
      <c r="I75" s="84">
        <f>ROUNDUP(H75/E75,0)</f>
        <v>0</v>
      </c>
      <c r="J75" s="95"/>
      <c r="K75" s="88">
        <f>I75*53.01</f>
        <v>0</v>
      </c>
      <c r="M75" s="4"/>
    </row>
    <row r="76" spans="1:14" s="3" customFormat="1" ht="11.9" customHeight="1" x14ac:dyDescent="0.25">
      <c r="A76" s="107"/>
      <c r="B76" s="36" t="s">
        <v>132</v>
      </c>
      <c r="C76" s="11" t="s">
        <v>133</v>
      </c>
      <c r="D76" s="81"/>
      <c r="E76" s="93"/>
      <c r="F76" s="87"/>
      <c r="G76" s="87"/>
      <c r="H76" s="85"/>
      <c r="I76" s="85"/>
      <c r="J76" s="96"/>
      <c r="K76" s="89"/>
      <c r="M76" s="4"/>
    </row>
    <row r="77" spans="1:14" s="3" customFormat="1" ht="11.9" customHeight="1" x14ac:dyDescent="0.25">
      <c r="A77" s="78" t="s">
        <v>1</v>
      </c>
      <c r="B77" s="90" t="s">
        <v>134</v>
      </c>
      <c r="C77" s="91"/>
      <c r="D77" s="80">
        <v>2.25</v>
      </c>
      <c r="E77" s="92">
        <v>140</v>
      </c>
      <c r="F77" s="94"/>
      <c r="G77" s="94"/>
      <c r="H77" s="84">
        <f t="shared" ref="H77" si="34">F77*G77</f>
        <v>0</v>
      </c>
      <c r="I77" s="84">
        <f>ROUNDUP(H77/E77,0)</f>
        <v>0</v>
      </c>
      <c r="J77" s="95"/>
      <c r="K77" s="88">
        <f>H77*26.34</f>
        <v>0</v>
      </c>
      <c r="M77" s="4"/>
    </row>
    <row r="78" spans="1:14" s="3" customFormat="1" ht="11.9" customHeight="1" x14ac:dyDescent="0.25">
      <c r="A78" s="79"/>
      <c r="B78" s="38" t="s">
        <v>74</v>
      </c>
      <c r="C78" s="11" t="s">
        <v>67</v>
      </c>
      <c r="D78" s="81"/>
      <c r="E78" s="93"/>
      <c r="F78" s="87"/>
      <c r="G78" s="87"/>
      <c r="H78" s="85"/>
      <c r="I78" s="85"/>
      <c r="J78" s="96"/>
      <c r="K78" s="89"/>
      <c r="M78" s="4"/>
    </row>
    <row r="79" spans="1:14" s="3" customFormat="1" ht="11.9" customHeight="1" x14ac:dyDescent="0.25">
      <c r="A79" s="78" t="s">
        <v>20</v>
      </c>
      <c r="B79" s="90" t="s">
        <v>135</v>
      </c>
      <c r="C79" s="91"/>
      <c r="D79" s="80">
        <v>3</v>
      </c>
      <c r="E79" s="92">
        <v>90</v>
      </c>
      <c r="F79" s="94"/>
      <c r="G79" s="94"/>
      <c r="H79" s="84">
        <f t="shared" ref="H79" si="35">F79*G79</f>
        <v>0</v>
      </c>
      <c r="I79" s="84">
        <f>ROUNDUP(H79/E79,0)</f>
        <v>0</v>
      </c>
      <c r="J79" s="95"/>
      <c r="K79" s="88">
        <f>I79*22.58</f>
        <v>0</v>
      </c>
      <c r="M79" s="4"/>
    </row>
    <row r="80" spans="1:14" s="3" customFormat="1" ht="11.9" customHeight="1" x14ac:dyDescent="0.25">
      <c r="A80" s="79"/>
      <c r="B80" s="38" t="s">
        <v>114</v>
      </c>
      <c r="C80" s="11" t="s">
        <v>69</v>
      </c>
      <c r="D80" s="81"/>
      <c r="E80" s="93"/>
      <c r="F80" s="87"/>
      <c r="G80" s="87"/>
      <c r="H80" s="85"/>
      <c r="I80" s="85"/>
      <c r="J80" s="96"/>
      <c r="K80" s="89"/>
      <c r="M80" s="4"/>
    </row>
    <row r="81" spans="1:13" s="3" customFormat="1" ht="11.9" customHeight="1" x14ac:dyDescent="0.25">
      <c r="A81" s="78" t="s">
        <v>115</v>
      </c>
      <c r="B81" s="90" t="s">
        <v>136</v>
      </c>
      <c r="C81" s="91"/>
      <c r="D81" s="80">
        <v>4</v>
      </c>
      <c r="E81" s="92">
        <v>90</v>
      </c>
      <c r="F81" s="94"/>
      <c r="G81" s="94"/>
      <c r="H81" s="84">
        <f t="shared" ref="H81:H87" si="36">F81*G81</f>
        <v>0</v>
      </c>
      <c r="I81" s="84">
        <f>ROUNDUP(H81/E81,0)</f>
        <v>0</v>
      </c>
      <c r="J81" s="95"/>
      <c r="K81" s="88">
        <f>I81*30.11</f>
        <v>0</v>
      </c>
      <c r="M81" s="4"/>
    </row>
    <row r="82" spans="1:13" s="3" customFormat="1" ht="11.9" customHeight="1" x14ac:dyDescent="0.25">
      <c r="A82" s="79"/>
      <c r="B82" s="38" t="s">
        <v>90</v>
      </c>
      <c r="C82" s="11" t="s">
        <v>68</v>
      </c>
      <c r="D82" s="81"/>
      <c r="E82" s="93"/>
      <c r="F82" s="87"/>
      <c r="G82" s="87"/>
      <c r="H82" s="85"/>
      <c r="I82" s="85"/>
      <c r="J82" s="96"/>
      <c r="K82" s="89"/>
      <c r="M82" s="4"/>
    </row>
    <row r="83" spans="1:13" s="3" customFormat="1" ht="11.9" customHeight="1" x14ac:dyDescent="0.25">
      <c r="A83" s="78" t="s">
        <v>170</v>
      </c>
      <c r="B83" s="70" t="s">
        <v>177</v>
      </c>
      <c r="C83" s="71"/>
      <c r="D83" s="80">
        <v>2.25</v>
      </c>
      <c r="E83" s="92">
        <v>140</v>
      </c>
      <c r="F83" s="86"/>
      <c r="G83" s="86"/>
      <c r="H83" s="84">
        <f t="shared" si="36"/>
        <v>0</v>
      </c>
      <c r="I83" s="84">
        <f t="shared" ref="I83" si="37">ROUNDUP(H83/E83,0)</f>
        <v>0</v>
      </c>
      <c r="J83" s="95"/>
      <c r="K83" s="88">
        <f>I83*26.25</f>
        <v>0</v>
      </c>
      <c r="M83" s="4"/>
    </row>
    <row r="84" spans="1:13" s="3" customFormat="1" ht="11.9" customHeight="1" x14ac:dyDescent="0.25">
      <c r="A84" s="79"/>
      <c r="B84" s="38"/>
      <c r="C84" s="54" t="s">
        <v>173</v>
      </c>
      <c r="D84" s="81"/>
      <c r="E84" s="93"/>
      <c r="F84" s="87"/>
      <c r="G84" s="87"/>
      <c r="H84" s="85"/>
      <c r="I84" s="85"/>
      <c r="J84" s="96"/>
      <c r="K84" s="89"/>
      <c r="M84" s="4"/>
    </row>
    <row r="85" spans="1:13" s="3" customFormat="1" ht="11.9" customHeight="1" x14ac:dyDescent="0.25">
      <c r="A85" s="78" t="s">
        <v>171</v>
      </c>
      <c r="B85" s="70" t="s">
        <v>178</v>
      </c>
      <c r="C85" s="71"/>
      <c r="D85" s="80">
        <v>3</v>
      </c>
      <c r="E85" s="92">
        <v>90</v>
      </c>
      <c r="F85" s="86"/>
      <c r="G85" s="86"/>
      <c r="H85" s="84">
        <f t="shared" si="36"/>
        <v>0</v>
      </c>
      <c r="I85" s="84">
        <f t="shared" ref="I85" si="38">ROUNDUP(H85/E85,0)</f>
        <v>0</v>
      </c>
      <c r="J85" s="95"/>
      <c r="K85" s="88">
        <f>I85*22.5</f>
        <v>0</v>
      </c>
      <c r="M85" s="4"/>
    </row>
    <row r="86" spans="1:13" s="3" customFormat="1" ht="11.9" customHeight="1" x14ac:dyDescent="0.25">
      <c r="A86" s="79"/>
      <c r="B86" s="38"/>
      <c r="C86" s="54" t="s">
        <v>174</v>
      </c>
      <c r="D86" s="81"/>
      <c r="E86" s="93"/>
      <c r="F86" s="87"/>
      <c r="G86" s="87"/>
      <c r="H86" s="85"/>
      <c r="I86" s="85"/>
      <c r="J86" s="96"/>
      <c r="K86" s="89"/>
      <c r="M86" s="4"/>
    </row>
    <row r="87" spans="1:13" s="3" customFormat="1" ht="11.9" customHeight="1" x14ac:dyDescent="0.25">
      <c r="A87" s="78" t="s">
        <v>172</v>
      </c>
      <c r="B87" s="70" t="s">
        <v>177</v>
      </c>
      <c r="C87" s="71"/>
      <c r="D87" s="80">
        <v>4</v>
      </c>
      <c r="E87" s="92">
        <v>90</v>
      </c>
      <c r="F87" s="86"/>
      <c r="G87" s="86"/>
      <c r="H87" s="84">
        <f t="shared" si="36"/>
        <v>0</v>
      </c>
      <c r="I87" s="84">
        <f t="shared" ref="I87" si="39">ROUNDUP(H87/E87,0)</f>
        <v>0</v>
      </c>
      <c r="J87" s="95"/>
      <c r="K87" s="88">
        <f>I87*30</f>
        <v>0</v>
      </c>
      <c r="M87" s="4"/>
    </row>
    <row r="88" spans="1:13" s="3" customFormat="1" ht="11.9" customHeight="1" x14ac:dyDescent="0.25">
      <c r="A88" s="79"/>
      <c r="B88" s="69"/>
      <c r="C88" s="73" t="s">
        <v>175</v>
      </c>
      <c r="D88" s="81"/>
      <c r="E88" s="93"/>
      <c r="F88" s="87"/>
      <c r="G88" s="87"/>
      <c r="H88" s="85"/>
      <c r="I88" s="85"/>
      <c r="J88" s="96"/>
      <c r="K88" s="89"/>
      <c r="M88" s="4"/>
    </row>
    <row r="89" spans="1:13" s="3" customFormat="1" ht="11.9" customHeight="1" x14ac:dyDescent="0.25">
      <c r="A89" s="106" t="s">
        <v>164</v>
      </c>
      <c r="B89" s="90" t="s">
        <v>161</v>
      </c>
      <c r="C89" s="91"/>
      <c r="D89" s="80">
        <v>2.25</v>
      </c>
      <c r="E89" s="110">
        <v>284</v>
      </c>
      <c r="F89" s="94"/>
      <c r="G89" s="94"/>
      <c r="H89" s="84">
        <f t="shared" ref="H89" si="40">F89*G89</f>
        <v>0</v>
      </c>
      <c r="I89" s="84">
        <f>ROUNDUP(H89/E89,0)</f>
        <v>0</v>
      </c>
      <c r="J89" s="95"/>
      <c r="K89" s="88">
        <f>H89*41.54</f>
        <v>0</v>
      </c>
      <c r="M89" s="4"/>
    </row>
    <row r="90" spans="1:13" s="3" customFormat="1" ht="11.9" customHeight="1" x14ac:dyDescent="0.25">
      <c r="A90" s="107"/>
      <c r="B90" s="38" t="s">
        <v>162</v>
      </c>
      <c r="C90" s="11" t="s">
        <v>163</v>
      </c>
      <c r="D90" s="81"/>
      <c r="E90" s="111"/>
      <c r="F90" s="87"/>
      <c r="G90" s="87"/>
      <c r="H90" s="85"/>
      <c r="I90" s="85"/>
      <c r="J90" s="96"/>
      <c r="K90" s="89"/>
      <c r="M90" s="4"/>
    </row>
    <row r="91" spans="1:13" s="3" customFormat="1" ht="11.9" customHeight="1" x14ac:dyDescent="0.25">
      <c r="A91" s="78" t="s">
        <v>179</v>
      </c>
      <c r="B91" s="90" t="s">
        <v>193</v>
      </c>
      <c r="C91" s="91"/>
      <c r="D91" s="80">
        <v>3</v>
      </c>
      <c r="E91" s="92">
        <v>213</v>
      </c>
      <c r="F91" s="94"/>
      <c r="G91" s="94"/>
      <c r="H91" s="84">
        <f t="shared" ref="H91" si="41">F91*G91</f>
        <v>0</v>
      </c>
      <c r="I91" s="84">
        <f>ROUNDUP(H91/E91,0)</f>
        <v>0</v>
      </c>
      <c r="J91" s="95"/>
      <c r="K91" s="88">
        <f>I91*39.44</f>
        <v>0</v>
      </c>
      <c r="M91" s="4"/>
    </row>
    <row r="92" spans="1:13" s="3" customFormat="1" ht="11.9" customHeight="1" x14ac:dyDescent="0.25">
      <c r="A92" s="79"/>
      <c r="B92" s="12" t="s">
        <v>189</v>
      </c>
      <c r="C92" s="54" t="s">
        <v>184</v>
      </c>
      <c r="D92" s="81"/>
      <c r="E92" s="93"/>
      <c r="F92" s="87"/>
      <c r="G92" s="87"/>
      <c r="H92" s="85"/>
      <c r="I92" s="85"/>
      <c r="J92" s="96"/>
      <c r="K92" s="89"/>
      <c r="M92" s="4"/>
    </row>
    <row r="93" spans="1:13" s="3" customFormat="1" ht="11.9" customHeight="1" x14ac:dyDescent="0.25">
      <c r="A93" s="78" t="s">
        <v>149</v>
      </c>
      <c r="B93" s="152" t="s">
        <v>186</v>
      </c>
      <c r="C93" s="153"/>
      <c r="D93" s="80">
        <v>2</v>
      </c>
      <c r="E93" s="110">
        <v>240</v>
      </c>
      <c r="F93" s="94"/>
      <c r="G93" s="94"/>
      <c r="H93" s="84">
        <f t="shared" ref="H93" si="42">F93*G93</f>
        <v>0</v>
      </c>
      <c r="I93" s="84">
        <f>ROUNDUP(H93/E93,0)</f>
        <v>0</v>
      </c>
      <c r="J93" s="95"/>
      <c r="K93" s="88">
        <f>I93*40.14</f>
        <v>0</v>
      </c>
      <c r="M93" s="4"/>
    </row>
    <row r="94" spans="1:13" s="3" customFormat="1" ht="11.9" customHeight="1" x14ac:dyDescent="0.25">
      <c r="A94" s="79"/>
      <c r="B94" s="38" t="s">
        <v>187</v>
      </c>
      <c r="C94" s="11" t="s">
        <v>150</v>
      </c>
      <c r="D94" s="81"/>
      <c r="E94" s="111"/>
      <c r="F94" s="87"/>
      <c r="G94" s="87"/>
      <c r="H94" s="85"/>
      <c r="I94" s="85"/>
      <c r="J94" s="96"/>
      <c r="K94" s="89"/>
      <c r="M94" s="4"/>
    </row>
    <row r="95" spans="1:13" s="3" customFormat="1" ht="11.9" customHeight="1" x14ac:dyDescent="0.25">
      <c r="A95" s="78" t="s">
        <v>185</v>
      </c>
      <c r="B95" s="76" t="s">
        <v>194</v>
      </c>
      <c r="C95" s="75"/>
      <c r="D95" s="80">
        <v>3</v>
      </c>
      <c r="E95" s="82">
        <v>213</v>
      </c>
      <c r="F95" s="86"/>
      <c r="G95" s="86"/>
      <c r="H95" s="84">
        <f t="shared" ref="H95" si="43">F95*G95</f>
        <v>0</v>
      </c>
      <c r="I95" s="84">
        <f>ROUNDUP(H95/E95,0)</f>
        <v>0</v>
      </c>
      <c r="J95" s="74"/>
      <c r="K95" s="88">
        <f>I95*19.15</f>
        <v>0</v>
      </c>
      <c r="M95" s="4"/>
    </row>
    <row r="96" spans="1:13" s="3" customFormat="1" ht="11.9" customHeight="1" x14ac:dyDescent="0.25">
      <c r="A96" s="79"/>
      <c r="B96" s="69" t="s">
        <v>190</v>
      </c>
      <c r="C96" s="75" t="s">
        <v>188</v>
      </c>
      <c r="D96" s="81"/>
      <c r="E96" s="83"/>
      <c r="F96" s="87"/>
      <c r="G96" s="87"/>
      <c r="H96" s="85"/>
      <c r="I96" s="85"/>
      <c r="J96" s="74"/>
      <c r="K96" s="89"/>
      <c r="M96" s="4"/>
    </row>
    <row r="97" spans="1:18" s="3" customFormat="1" ht="11.9" customHeight="1" x14ac:dyDescent="0.25">
      <c r="A97" s="78" t="s">
        <v>2</v>
      </c>
      <c r="B97" s="90" t="s">
        <v>91</v>
      </c>
      <c r="C97" s="91"/>
      <c r="D97" s="80">
        <v>3</v>
      </c>
      <c r="E97" s="92">
        <v>213</v>
      </c>
      <c r="F97" s="94"/>
      <c r="G97" s="94"/>
      <c r="H97" s="84">
        <f t="shared" ref="H97" si="44">F97*G97</f>
        <v>0</v>
      </c>
      <c r="I97" s="84">
        <f>ROUNDUP(H97/E97,0)</f>
        <v>0</v>
      </c>
      <c r="J97" s="95"/>
      <c r="K97" s="88">
        <f>I97*31.64</f>
        <v>0</v>
      </c>
      <c r="M97" s="4"/>
    </row>
    <row r="98" spans="1:18" s="3" customFormat="1" ht="11.9" customHeight="1" x14ac:dyDescent="0.25">
      <c r="A98" s="79"/>
      <c r="B98" s="12" t="s">
        <v>138</v>
      </c>
      <c r="C98" s="11" t="s">
        <v>17</v>
      </c>
      <c r="D98" s="81"/>
      <c r="E98" s="93"/>
      <c r="F98" s="87"/>
      <c r="G98" s="87"/>
      <c r="H98" s="85"/>
      <c r="I98" s="85"/>
      <c r="J98" s="96"/>
      <c r="K98" s="89"/>
      <c r="M98" s="4"/>
    </row>
    <row r="99" spans="1:18" s="3" customFormat="1" ht="11.9" customHeight="1" x14ac:dyDescent="0.25">
      <c r="A99" s="78" t="s">
        <v>125</v>
      </c>
      <c r="B99" s="90" t="s">
        <v>126</v>
      </c>
      <c r="C99" s="91"/>
      <c r="D99" s="80">
        <v>1.5</v>
      </c>
      <c r="E99" s="92">
        <v>426</v>
      </c>
      <c r="F99" s="94"/>
      <c r="G99" s="94"/>
      <c r="H99" s="84">
        <f t="shared" ref="H99" si="45">F99*G99</f>
        <v>0</v>
      </c>
      <c r="I99" s="84">
        <f>ROUNDUP(H99/E99,0)</f>
        <v>0</v>
      </c>
      <c r="J99" s="95"/>
      <c r="K99" s="88">
        <f>I99*31.62</f>
        <v>0</v>
      </c>
      <c r="M99" s="4"/>
    </row>
    <row r="100" spans="1:18" s="3" customFormat="1" ht="11.9" customHeight="1" x14ac:dyDescent="0.25">
      <c r="A100" s="79"/>
      <c r="B100" s="12" t="s">
        <v>137</v>
      </c>
      <c r="C100" s="11" t="s">
        <v>127</v>
      </c>
      <c r="D100" s="81"/>
      <c r="E100" s="93"/>
      <c r="F100" s="87"/>
      <c r="G100" s="87"/>
      <c r="H100" s="85"/>
      <c r="I100" s="85"/>
      <c r="J100" s="96"/>
      <c r="K100" s="89"/>
      <c r="M100" s="4"/>
    </row>
    <row r="101" spans="1:18" s="3" customFormat="1" ht="14.25" customHeight="1" x14ac:dyDescent="0.25">
      <c r="A101" s="78" t="s">
        <v>151</v>
      </c>
      <c r="B101" s="90" t="s">
        <v>176</v>
      </c>
      <c r="C101" s="91"/>
      <c r="D101" s="80">
        <v>3</v>
      </c>
      <c r="E101" s="92">
        <v>213</v>
      </c>
      <c r="F101" s="94"/>
      <c r="G101" s="94"/>
      <c r="H101" s="84">
        <f t="shared" ref="H101" si="46">F101*G101</f>
        <v>0</v>
      </c>
      <c r="I101" s="84">
        <f>ROUNDUP(H101/E101,0)</f>
        <v>0</v>
      </c>
      <c r="J101" s="95"/>
      <c r="K101" s="88">
        <f>I101*30.65</f>
        <v>0</v>
      </c>
      <c r="M101" s="4"/>
    </row>
    <row r="102" spans="1:18" s="3" customFormat="1" ht="12" customHeight="1" thickBot="1" x14ac:dyDescent="0.3">
      <c r="A102" s="79"/>
      <c r="B102" s="12" t="s">
        <v>138</v>
      </c>
      <c r="C102" s="11" t="s">
        <v>152</v>
      </c>
      <c r="D102" s="81"/>
      <c r="E102" s="93"/>
      <c r="F102" s="87"/>
      <c r="G102" s="87"/>
      <c r="H102" s="85"/>
      <c r="I102" s="85"/>
      <c r="J102" s="96"/>
      <c r="K102" s="89"/>
      <c r="M102" s="4"/>
    </row>
    <row r="103" spans="1:18" s="7" customFormat="1" ht="18" customHeight="1" thickBot="1" x14ac:dyDescent="0.35">
      <c r="A103" s="112" t="s">
        <v>12</v>
      </c>
      <c r="B103" s="113"/>
      <c r="C103" s="113"/>
      <c r="D103" s="113"/>
      <c r="E103" s="113"/>
      <c r="F103" s="113"/>
      <c r="G103" s="113"/>
      <c r="H103" s="113"/>
      <c r="I103" s="114"/>
      <c r="J103" s="28">
        <f>SUM(J73:J102)</f>
        <v>0</v>
      </c>
      <c r="K103" s="28">
        <f>SUM(K71:K102)</f>
        <v>0</v>
      </c>
      <c r="M103" s="29"/>
      <c r="N103" s="30"/>
    </row>
    <row r="104" spans="1:18" ht="11.65" customHeight="1" thickBot="1" x14ac:dyDescent="0.35">
      <c r="A104" s="141"/>
      <c r="B104" s="142"/>
      <c r="C104" s="142"/>
      <c r="D104" s="142"/>
      <c r="E104" s="142"/>
      <c r="F104" s="142"/>
      <c r="G104" s="142"/>
      <c r="H104" s="142"/>
      <c r="I104" s="142"/>
      <c r="J104" s="142"/>
      <c r="K104" s="142"/>
      <c r="L104" s="1"/>
      <c r="O104" s="1"/>
      <c r="P104" s="1"/>
      <c r="Q104" s="1"/>
      <c r="R104" s="1"/>
    </row>
    <row r="105" spans="1:18" ht="18" customHeight="1" x14ac:dyDescent="0.3">
      <c r="A105" s="146" t="s">
        <v>13</v>
      </c>
      <c r="B105" s="147"/>
      <c r="C105" s="147"/>
      <c r="D105" s="147"/>
      <c r="E105" s="147"/>
      <c r="F105" s="147"/>
      <c r="G105" s="147"/>
      <c r="H105" s="147"/>
      <c r="I105" s="147"/>
      <c r="J105" s="148"/>
      <c r="K105" s="148"/>
      <c r="L105" s="1"/>
      <c r="O105" s="1"/>
      <c r="P105" s="1"/>
      <c r="Q105" s="1"/>
      <c r="R105" s="1"/>
    </row>
    <row r="106" spans="1:18" s="3" customFormat="1" ht="16.149999999999999" customHeight="1" x14ac:dyDescent="0.3">
      <c r="A106" s="149" t="s">
        <v>8</v>
      </c>
      <c r="B106" s="150"/>
      <c r="C106" s="150"/>
      <c r="D106" s="150"/>
      <c r="E106" s="150"/>
      <c r="F106" s="150"/>
      <c r="G106" s="150"/>
      <c r="H106" s="150"/>
      <c r="I106" s="151"/>
      <c r="J106" s="24">
        <f>J69</f>
        <v>0</v>
      </c>
      <c r="K106" s="31">
        <f>K69</f>
        <v>0</v>
      </c>
      <c r="L106" s="1"/>
      <c r="M106" s="5"/>
      <c r="N106" s="6"/>
    </row>
    <row r="107" spans="1:18" s="3" customFormat="1" ht="16.149999999999999" customHeight="1" thickBot="1" x14ac:dyDescent="0.35">
      <c r="A107" s="52" t="s">
        <v>144</v>
      </c>
      <c r="B107" s="53"/>
      <c r="C107" s="150" t="s">
        <v>5</v>
      </c>
      <c r="D107" s="150"/>
      <c r="E107" s="150"/>
      <c r="F107" s="150"/>
      <c r="G107" s="150"/>
      <c r="H107" s="150"/>
      <c r="I107" s="151"/>
      <c r="J107" s="25">
        <f>J103</f>
        <v>0</v>
      </c>
      <c r="K107" s="32">
        <f>K103</f>
        <v>0</v>
      </c>
      <c r="L107" s="1"/>
      <c r="M107" s="5"/>
      <c r="N107" s="6"/>
      <c r="Q107" s="3" t="s">
        <v>82</v>
      </c>
    </row>
    <row r="108" spans="1:18" s="3" customFormat="1" ht="20.65" customHeight="1" thickBot="1" x14ac:dyDescent="0.3">
      <c r="A108" s="143" t="s">
        <v>6</v>
      </c>
      <c r="B108" s="144"/>
      <c r="C108" s="144"/>
      <c r="D108" s="144"/>
      <c r="E108" s="144"/>
      <c r="F108" s="144"/>
      <c r="G108" s="144"/>
      <c r="H108" s="144"/>
      <c r="I108" s="145"/>
      <c r="J108" s="33">
        <f>SUM(J106:J107)</f>
        <v>0</v>
      </c>
      <c r="K108" s="34">
        <f>SUM(K106:K107)</f>
        <v>0</v>
      </c>
      <c r="L108" s="27"/>
      <c r="M108" s="35"/>
      <c r="N108" s="27"/>
    </row>
    <row r="109" spans="1:18" s="3" customFormat="1" ht="20.65" customHeight="1" thickBot="1" x14ac:dyDescent="0.3">
      <c r="A109" s="66">
        <v>46006</v>
      </c>
      <c r="B109" s="55"/>
      <c r="C109" s="55"/>
      <c r="D109" s="144" t="s">
        <v>116</v>
      </c>
      <c r="E109" s="144"/>
      <c r="F109" s="144"/>
      <c r="G109" s="144"/>
      <c r="H109" s="144"/>
      <c r="I109" s="144"/>
      <c r="J109" s="58">
        <f>J108*J13</f>
        <v>0</v>
      </c>
      <c r="K109" s="34">
        <f>K108*K13</f>
        <v>0</v>
      </c>
      <c r="L109" s="27"/>
      <c r="M109" s="35"/>
      <c r="N109" s="27"/>
    </row>
    <row r="110" spans="1:18" ht="13.5" thickBot="1" x14ac:dyDescent="0.35">
      <c r="A110" s="141"/>
      <c r="B110" s="142"/>
      <c r="C110" s="142"/>
      <c r="D110" s="142"/>
      <c r="E110" s="142"/>
      <c r="F110" s="142"/>
      <c r="G110" s="142"/>
      <c r="H110" s="142"/>
      <c r="I110" s="142"/>
      <c r="J110" s="142"/>
      <c r="K110" s="142"/>
      <c r="O110" s="1"/>
      <c r="P110" s="1"/>
      <c r="Q110" s="1"/>
      <c r="R110" s="1"/>
    </row>
    <row r="111" spans="1:18" ht="19.5" customHeight="1" x14ac:dyDescent="0.3">
      <c r="A111" s="60"/>
      <c r="B111" s="59"/>
      <c r="C111" s="59"/>
      <c r="D111" s="59"/>
      <c r="E111" s="59"/>
      <c r="F111" s="59"/>
      <c r="G111" s="59"/>
      <c r="H111" s="59"/>
      <c r="I111" s="59"/>
      <c r="J111" s="59"/>
      <c r="K111" s="59"/>
    </row>
  </sheetData>
  <sheetProtection algorithmName="SHA-512" hashValue="DSsNpf1vlUuQyRmVKKPdnmc+L3L7w2EkGJxhXhhB5qpXyxzmBWCof5Qw3vWVVi2k0XuKw71d750NY5h+PL3yew==" saltValue="dZgtjfFXcAZu85Uc4xvlgg==" spinCount="100000" sheet="1" selectLockedCells="1"/>
  <mergeCells count="439">
    <mergeCell ref="K99:K100"/>
    <mergeCell ref="A101:A102"/>
    <mergeCell ref="B101:C101"/>
    <mergeCell ref="D101:D102"/>
    <mergeCell ref="E101:E102"/>
    <mergeCell ref="F101:F102"/>
    <mergeCell ref="G101:G102"/>
    <mergeCell ref="H101:H102"/>
    <mergeCell ref="I101:I102"/>
    <mergeCell ref="J101:J102"/>
    <mergeCell ref="K101:K102"/>
    <mergeCell ref="I99:I100"/>
    <mergeCell ref="J99:J100"/>
    <mergeCell ref="A97:A98"/>
    <mergeCell ref="B97:C97"/>
    <mergeCell ref="D97:D98"/>
    <mergeCell ref="E97:E98"/>
    <mergeCell ref="F97:F98"/>
    <mergeCell ref="G97:G98"/>
    <mergeCell ref="H97:H98"/>
    <mergeCell ref="I97:I98"/>
    <mergeCell ref="J97:J98"/>
    <mergeCell ref="A49:A50"/>
    <mergeCell ref="B49:C49"/>
    <mergeCell ref="A99:A100"/>
    <mergeCell ref="B99:C99"/>
    <mergeCell ref="D99:D100"/>
    <mergeCell ref="E99:E100"/>
    <mergeCell ref="F99:F100"/>
    <mergeCell ref="G99:G100"/>
    <mergeCell ref="H99:H100"/>
    <mergeCell ref="D83:D84"/>
    <mergeCell ref="E83:E84"/>
    <mergeCell ref="D85:D86"/>
    <mergeCell ref="E85:E86"/>
    <mergeCell ref="D87:D88"/>
    <mergeCell ref="E87:E88"/>
    <mergeCell ref="F87:F88"/>
    <mergeCell ref="G87:G88"/>
    <mergeCell ref="F83:F84"/>
    <mergeCell ref="F85:F86"/>
    <mergeCell ref="G83:G84"/>
    <mergeCell ref="G85:G86"/>
    <mergeCell ref="H85:H86"/>
    <mergeCell ref="H83:H84"/>
    <mergeCell ref="H87:H88"/>
    <mergeCell ref="H61:H62"/>
    <mergeCell ref="H63:H64"/>
    <mergeCell ref="E61:E62"/>
    <mergeCell ref="E47:E48"/>
    <mergeCell ref="B81:C81"/>
    <mergeCell ref="D61:D62"/>
    <mergeCell ref="D77:D78"/>
    <mergeCell ref="E39:E40"/>
    <mergeCell ref="D39:D40"/>
    <mergeCell ref="E41:E42"/>
    <mergeCell ref="B39:C39"/>
    <mergeCell ref="E81:E82"/>
    <mergeCell ref="B71:C71"/>
    <mergeCell ref="D71:D72"/>
    <mergeCell ref="E71:E72"/>
    <mergeCell ref="F71:F72"/>
    <mergeCell ref="G71:G72"/>
    <mergeCell ref="H71:H72"/>
    <mergeCell ref="B15:C15"/>
    <mergeCell ref="D15:D16"/>
    <mergeCell ref="B19:C19"/>
    <mergeCell ref="A17:A18"/>
    <mergeCell ref="E15:E16"/>
    <mergeCell ref="A8:A12"/>
    <mergeCell ref="B8:C12"/>
    <mergeCell ref="A14:K14"/>
    <mergeCell ref="J11:J12"/>
    <mergeCell ref="I8:I12"/>
    <mergeCell ref="J15:J16"/>
    <mergeCell ref="I15:I16"/>
    <mergeCell ref="J19:J20"/>
    <mergeCell ref="D17:D18"/>
    <mergeCell ref="F15:F16"/>
    <mergeCell ref="G15:G16"/>
    <mergeCell ref="H15:H16"/>
    <mergeCell ref="F17:F18"/>
    <mergeCell ref="G17:G18"/>
    <mergeCell ref="A19:A20"/>
    <mergeCell ref="D19:D20"/>
    <mergeCell ref="D57:D58"/>
    <mergeCell ref="B57:C57"/>
    <mergeCell ref="B59:C59"/>
    <mergeCell ref="D59:D60"/>
    <mergeCell ref="D63:D64"/>
    <mergeCell ref="G77:G78"/>
    <mergeCell ref="E77:E78"/>
    <mergeCell ref="B61:C61"/>
    <mergeCell ref="A51:A52"/>
    <mergeCell ref="B51:C51"/>
    <mergeCell ref="A77:A78"/>
    <mergeCell ref="B63:C63"/>
    <mergeCell ref="A71:A72"/>
    <mergeCell ref="H45:H46"/>
    <mergeCell ref="A43:A44"/>
    <mergeCell ref="A53:A54"/>
    <mergeCell ref="G67:G68"/>
    <mergeCell ref="A73:A74"/>
    <mergeCell ref="B73:C73"/>
    <mergeCell ref="D73:D74"/>
    <mergeCell ref="E73:E74"/>
    <mergeCell ref="F73:F74"/>
    <mergeCell ref="G73:G74"/>
    <mergeCell ref="F59:F60"/>
    <mergeCell ref="D45:D46"/>
    <mergeCell ref="E59:E60"/>
    <mergeCell ref="G61:G62"/>
    <mergeCell ref="A57:A58"/>
    <mergeCell ref="A67:A68"/>
    <mergeCell ref="E43:E44"/>
    <mergeCell ref="H47:H48"/>
    <mergeCell ref="D47:D48"/>
    <mergeCell ref="D55:D56"/>
    <mergeCell ref="D51:D52"/>
    <mergeCell ref="D49:D50"/>
    <mergeCell ref="F57:F58"/>
    <mergeCell ref="G57:G58"/>
    <mergeCell ref="G51:G52"/>
    <mergeCell ref="H51:H52"/>
    <mergeCell ref="I51:I52"/>
    <mergeCell ref="J51:J52"/>
    <mergeCell ref="I47:I48"/>
    <mergeCell ref="K49:K50"/>
    <mergeCell ref="K51:K52"/>
    <mergeCell ref="K53:K54"/>
    <mergeCell ref="F47:F48"/>
    <mergeCell ref="A41:A42"/>
    <mergeCell ref="A39:A40"/>
    <mergeCell ref="H34:H35"/>
    <mergeCell ref="F32:F33"/>
    <mergeCell ref="G32:G33"/>
    <mergeCell ref="G55:G56"/>
    <mergeCell ref="E55:E56"/>
    <mergeCell ref="G47:G48"/>
    <mergeCell ref="F55:F56"/>
    <mergeCell ref="B55:C55"/>
    <mergeCell ref="A47:A48"/>
    <mergeCell ref="B45:C45"/>
    <mergeCell ref="A45:A46"/>
    <mergeCell ref="B43:C43"/>
    <mergeCell ref="D43:D44"/>
    <mergeCell ref="B47:C47"/>
    <mergeCell ref="H53:H54"/>
    <mergeCell ref="F34:F35"/>
    <mergeCell ref="G34:G35"/>
    <mergeCell ref="F36:F37"/>
    <mergeCell ref="H43:H44"/>
    <mergeCell ref="G45:G46"/>
    <mergeCell ref="E45:E46"/>
    <mergeCell ref="E49:E50"/>
    <mergeCell ref="H30:H31"/>
    <mergeCell ref="B30:C30"/>
    <mergeCell ref="E30:E31"/>
    <mergeCell ref="G30:G31"/>
    <mergeCell ref="J30:J31"/>
    <mergeCell ref="I32:I33"/>
    <mergeCell ref="I61:I62"/>
    <mergeCell ref="I63:I64"/>
    <mergeCell ref="F67:F68"/>
    <mergeCell ref="I67:I68"/>
    <mergeCell ref="J67:J68"/>
    <mergeCell ref="D67:D68"/>
    <mergeCell ref="G63:G64"/>
    <mergeCell ref="J63:J64"/>
    <mergeCell ref="F63:F64"/>
    <mergeCell ref="E67:E68"/>
    <mergeCell ref="I65:I66"/>
    <mergeCell ref="I53:I54"/>
    <mergeCell ref="F49:F50"/>
    <mergeCell ref="G49:G50"/>
    <mergeCell ref="J49:J50"/>
    <mergeCell ref="J47:J48"/>
    <mergeCell ref="E51:E52"/>
    <mergeCell ref="F51:F52"/>
    <mergeCell ref="I17:I18"/>
    <mergeCell ref="J17:J18"/>
    <mergeCell ref="E24:E25"/>
    <mergeCell ref="J24:J25"/>
    <mergeCell ref="E21:E22"/>
    <mergeCell ref="F21:F22"/>
    <mergeCell ref="G21:G22"/>
    <mergeCell ref="H21:H22"/>
    <mergeCell ref="I21:I22"/>
    <mergeCell ref="J21:J22"/>
    <mergeCell ref="H17:H18"/>
    <mergeCell ref="H19:H20"/>
    <mergeCell ref="I19:I20"/>
    <mergeCell ref="E17:E18"/>
    <mergeCell ref="E19:E20"/>
    <mergeCell ref="F19:F20"/>
    <mergeCell ref="G19:G20"/>
    <mergeCell ref="B34:C34"/>
    <mergeCell ref="B36:C36"/>
    <mergeCell ref="E36:E37"/>
    <mergeCell ref="J39:J40"/>
    <mergeCell ref="J36:J37"/>
    <mergeCell ref="G36:G37"/>
    <mergeCell ref="B41:C41"/>
    <mergeCell ref="I36:I37"/>
    <mergeCell ref="B32:C32"/>
    <mergeCell ref="B21:C21"/>
    <mergeCell ref="D21:D22"/>
    <mergeCell ref="I39:I40"/>
    <mergeCell ref="H57:H58"/>
    <mergeCell ref="I57:I58"/>
    <mergeCell ref="I45:I46"/>
    <mergeCell ref="D30:D31"/>
    <mergeCell ref="D36:D37"/>
    <mergeCell ref="B26:C26"/>
    <mergeCell ref="H39:H40"/>
    <mergeCell ref="A23:K23"/>
    <mergeCell ref="E26:E27"/>
    <mergeCell ref="A28:A29"/>
    <mergeCell ref="A26:A27"/>
    <mergeCell ref="D26:D27"/>
    <mergeCell ref="A24:A25"/>
    <mergeCell ref="F30:F31"/>
    <mergeCell ref="B24:C24"/>
    <mergeCell ref="E32:E33"/>
    <mergeCell ref="E28:E29"/>
    <mergeCell ref="A36:A37"/>
    <mergeCell ref="D41:D42"/>
    <mergeCell ref="A34:A35"/>
    <mergeCell ref="A38:K38"/>
    <mergeCell ref="A93:A94"/>
    <mergeCell ref="B93:C93"/>
    <mergeCell ref="A30:A31"/>
    <mergeCell ref="J41:J42"/>
    <mergeCell ref="E57:E58"/>
    <mergeCell ref="J61:J62"/>
    <mergeCell ref="H59:H60"/>
    <mergeCell ref="I59:I60"/>
    <mergeCell ref="J59:J60"/>
    <mergeCell ref="J55:J56"/>
    <mergeCell ref="J43:J44"/>
    <mergeCell ref="H55:H56"/>
    <mergeCell ref="H41:H42"/>
    <mergeCell ref="I41:I42"/>
    <mergeCell ref="G59:G60"/>
    <mergeCell ref="F61:F62"/>
    <mergeCell ref="F41:F42"/>
    <mergeCell ref="I43:I44"/>
    <mergeCell ref="H49:H50"/>
    <mergeCell ref="I49:I50"/>
    <mergeCell ref="D32:D33"/>
    <mergeCell ref="I34:I35"/>
    <mergeCell ref="J34:J35"/>
    <mergeCell ref="H36:H37"/>
    <mergeCell ref="I24:I25"/>
    <mergeCell ref="H26:H27"/>
    <mergeCell ref="F24:F25"/>
    <mergeCell ref="G24:G25"/>
    <mergeCell ref="F26:F27"/>
    <mergeCell ref="G26:G27"/>
    <mergeCell ref="F28:F29"/>
    <mergeCell ref="J53:J54"/>
    <mergeCell ref="A110:K110"/>
    <mergeCell ref="B77:C77"/>
    <mergeCell ref="H79:H80"/>
    <mergeCell ref="J77:J78"/>
    <mergeCell ref="J79:J80"/>
    <mergeCell ref="E79:E80"/>
    <mergeCell ref="I79:I80"/>
    <mergeCell ref="A108:I108"/>
    <mergeCell ref="A105:K105"/>
    <mergeCell ref="A104:K104"/>
    <mergeCell ref="A103:I103"/>
    <mergeCell ref="D109:I109"/>
    <mergeCell ref="A106:I106"/>
    <mergeCell ref="C107:I107"/>
    <mergeCell ref="I77:I78"/>
    <mergeCell ref="F77:F78"/>
    <mergeCell ref="F4:G4"/>
    <mergeCell ref="H4:I4"/>
    <mergeCell ref="G8:G12"/>
    <mergeCell ref="F8:F12"/>
    <mergeCell ref="F13:I13"/>
    <mergeCell ref="A5:B6"/>
    <mergeCell ref="A7:B7"/>
    <mergeCell ref="C5:J5"/>
    <mergeCell ref="J8:J10"/>
    <mergeCell ref="E7:H7"/>
    <mergeCell ref="H8:H12"/>
    <mergeCell ref="D8:D12"/>
    <mergeCell ref="B17:C17"/>
    <mergeCell ref="J45:J46"/>
    <mergeCell ref="F39:F40"/>
    <mergeCell ref="G39:G40"/>
    <mergeCell ref="E8:E12"/>
    <mergeCell ref="G41:G42"/>
    <mergeCell ref="F43:F44"/>
    <mergeCell ref="G43:G44"/>
    <mergeCell ref="F45:F46"/>
    <mergeCell ref="H24:H25"/>
    <mergeCell ref="H32:H33"/>
    <mergeCell ref="J26:J27"/>
    <mergeCell ref="I30:I31"/>
    <mergeCell ref="D34:D35"/>
    <mergeCell ref="E34:E35"/>
    <mergeCell ref="B28:C28"/>
    <mergeCell ref="I28:I29"/>
    <mergeCell ref="J32:J33"/>
    <mergeCell ref="G28:G29"/>
    <mergeCell ref="D28:D29"/>
    <mergeCell ref="D24:D25"/>
    <mergeCell ref="H28:H29"/>
    <mergeCell ref="I26:I27"/>
    <mergeCell ref="J28:J29"/>
    <mergeCell ref="J57:J58"/>
    <mergeCell ref="B53:C53"/>
    <mergeCell ref="D53:D54"/>
    <mergeCell ref="E53:E54"/>
    <mergeCell ref="F53:F54"/>
    <mergeCell ref="G53:G54"/>
    <mergeCell ref="F89:F90"/>
    <mergeCell ref="G89:G90"/>
    <mergeCell ref="H89:H90"/>
    <mergeCell ref="B67:C67"/>
    <mergeCell ref="I55:I56"/>
    <mergeCell ref="D81:D82"/>
    <mergeCell ref="H81:H82"/>
    <mergeCell ref="J65:J66"/>
    <mergeCell ref="I81:I82"/>
    <mergeCell ref="J81:J82"/>
    <mergeCell ref="A70:K70"/>
    <mergeCell ref="I71:I72"/>
    <mergeCell ref="J71:J72"/>
    <mergeCell ref="K71:K72"/>
    <mergeCell ref="F79:F80"/>
    <mergeCell ref="E63:E64"/>
    <mergeCell ref="G79:G80"/>
    <mergeCell ref="H77:H78"/>
    <mergeCell ref="A89:A90"/>
    <mergeCell ref="B89:C89"/>
    <mergeCell ref="D89:D90"/>
    <mergeCell ref="E89:E90"/>
    <mergeCell ref="I89:I90"/>
    <mergeCell ref="J89:J90"/>
    <mergeCell ref="A81:A82"/>
    <mergeCell ref="A69:I69"/>
    <mergeCell ref="H67:H68"/>
    <mergeCell ref="D79:D80"/>
    <mergeCell ref="B79:C79"/>
    <mergeCell ref="F81:F82"/>
    <mergeCell ref="G81:G82"/>
    <mergeCell ref="A83:A84"/>
    <mergeCell ref="A85:A86"/>
    <mergeCell ref="A87:A88"/>
    <mergeCell ref="A79:A80"/>
    <mergeCell ref="J83:J84"/>
    <mergeCell ref="J85:J86"/>
    <mergeCell ref="J87:J88"/>
    <mergeCell ref="I83:I84"/>
    <mergeCell ref="I85:I86"/>
    <mergeCell ref="I87:I88"/>
    <mergeCell ref="H73:H74"/>
    <mergeCell ref="I73:I74"/>
    <mergeCell ref="J73:J74"/>
    <mergeCell ref="B65:C65"/>
    <mergeCell ref="D65:D66"/>
    <mergeCell ref="E65:E66"/>
    <mergeCell ref="F65:F66"/>
    <mergeCell ref="G65:G66"/>
    <mergeCell ref="H65:H66"/>
    <mergeCell ref="A75:A76"/>
    <mergeCell ref="B75:C75"/>
    <mergeCell ref="D75:D76"/>
    <mergeCell ref="E75:E76"/>
    <mergeCell ref="F75:F76"/>
    <mergeCell ref="G75:G76"/>
    <mergeCell ref="H75:H76"/>
    <mergeCell ref="I75:I76"/>
    <mergeCell ref="J75:J76"/>
    <mergeCell ref="K8:K10"/>
    <mergeCell ref="K11:K12"/>
    <mergeCell ref="K15:K16"/>
    <mergeCell ref="K17:K18"/>
    <mergeCell ref="K19:K20"/>
    <mergeCell ref="K21:K22"/>
    <mergeCell ref="K24:K25"/>
    <mergeCell ref="K26:K27"/>
    <mergeCell ref="K28:K29"/>
    <mergeCell ref="K55:K56"/>
    <mergeCell ref="K77:K78"/>
    <mergeCell ref="K79:K80"/>
    <mergeCell ref="K30:K31"/>
    <mergeCell ref="K32:K33"/>
    <mergeCell ref="K34:K35"/>
    <mergeCell ref="K36:K37"/>
    <mergeCell ref="K39:K40"/>
    <mergeCell ref="K41:K42"/>
    <mergeCell ref="K43:K44"/>
    <mergeCell ref="K45:K46"/>
    <mergeCell ref="K47:K48"/>
    <mergeCell ref="K73:K74"/>
    <mergeCell ref="K75:K76"/>
    <mergeCell ref="K81:K82"/>
    <mergeCell ref="K83:K84"/>
    <mergeCell ref="K85:K86"/>
    <mergeCell ref="K87:K88"/>
    <mergeCell ref="K89:K90"/>
    <mergeCell ref="K93:K94"/>
    <mergeCell ref="K97:K98"/>
    <mergeCell ref="K57:K58"/>
    <mergeCell ref="K59:K60"/>
    <mergeCell ref="K61:K62"/>
    <mergeCell ref="K63:K64"/>
    <mergeCell ref="K65:K66"/>
    <mergeCell ref="K67:K68"/>
    <mergeCell ref="K91:K92"/>
    <mergeCell ref="A95:A96"/>
    <mergeCell ref="D95:D96"/>
    <mergeCell ref="E95:E96"/>
    <mergeCell ref="H95:H96"/>
    <mergeCell ref="I95:I96"/>
    <mergeCell ref="F95:F96"/>
    <mergeCell ref="G95:G96"/>
    <mergeCell ref="K95:K96"/>
    <mergeCell ref="A91:A92"/>
    <mergeCell ref="B91:C91"/>
    <mergeCell ref="D91:D92"/>
    <mergeCell ref="E91:E92"/>
    <mergeCell ref="F91:F92"/>
    <mergeCell ref="G91:G92"/>
    <mergeCell ref="H91:H92"/>
    <mergeCell ref="I91:I92"/>
    <mergeCell ref="J91:J92"/>
    <mergeCell ref="D93:D94"/>
    <mergeCell ref="E93:E94"/>
    <mergeCell ref="F93:F94"/>
    <mergeCell ref="G93:G94"/>
    <mergeCell ref="H93:H94"/>
    <mergeCell ref="I93:I94"/>
    <mergeCell ref="J93:J94"/>
  </mergeCells>
  <phoneticPr fontId="0" type="noConversion"/>
  <printOptions horizontalCentered="1"/>
  <pageMargins left="0.25" right="0" top="0" bottom="0" header="0.25" footer="0"/>
  <pageSetup scale="70" orientation="landscape" verticalDpi="300" r:id="rId1"/>
  <headerFooter scaleWithDoc="0">
    <oddHeader xml:space="preserve">&amp;C
</oddHeader>
    <oddFooter xml:space="preserve">&amp;L&amp;7&amp;P of &amp;N&amp;R&amp;7 
</oddFooter>
  </headerFooter>
  <rowBreaks count="1" manualBreakCount="1">
    <brk id="69" max="16383" man="1"/>
  </rowBreaks>
  <ignoredErrors>
    <ignoredError sqref="J19 I57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2026-01-28T19:33:50+00:00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D97A36-AA75-45DD-8B2C-C293C0405418}">
  <ds:schemaRefs>
    <ds:schemaRef ds:uri="http://schemas.microsoft.com/office/2006/metadata/properties"/>
    <ds:schemaRef ds:uri="http://schemas.microsoft.com/office/infopath/2007/PartnerControls"/>
    <ds:schemaRef ds:uri="16acec50-6233-4c1a-b331-c2276ba96eab"/>
    <ds:schemaRef ds:uri="619893ae-f102-4560-a76b-5fffdd108afb"/>
  </ds:schemaRefs>
</ds:datastoreItem>
</file>

<file path=customXml/itemProps2.xml><?xml version="1.0" encoding="utf-8"?>
<ds:datastoreItem xmlns:ds="http://schemas.openxmlformats.org/officeDocument/2006/customXml" ds:itemID="{93CA0A58-ABB8-4A16-968F-F59F5E54B9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A6FD9F-70A1-4762-9028-E6C94A101E75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Integrated Food Service</vt:lpstr>
      <vt:lpstr>'Integrated Food Service'!Print_Area</vt:lpstr>
      <vt:lpstr>'Integrated Food Service'!Print_Titles</vt:lpstr>
    </vt:vector>
  </TitlesOfParts>
  <Company>Integrated Food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G. Giuliano</dc:creator>
  <cp:lastModifiedBy>CAMERON Beatrice * ODE</cp:lastModifiedBy>
  <cp:lastPrinted>2025-10-10T18:20:32Z</cp:lastPrinted>
  <dcterms:created xsi:type="dcterms:W3CDTF">2001-08-02T21:50:14Z</dcterms:created>
  <dcterms:modified xsi:type="dcterms:W3CDTF">2026-01-14T23:28:00Z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0x01010046895D7B4FD22A4A9C390F7B0E997D3F</vt:lpwstr>
  </property>
</Properties>
</file>