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oha-my.sharepoint.com/personal/melinda_a_meeds_odhs_oregon_gov/Documents/Desktop/Web updates/01-03/"/>
    </mc:Choice>
  </mc:AlternateContent>
  <xr:revisionPtr revIDLastSave="17" documentId="8_{F9EE82E1-C7CC-4D87-9E8E-510C74676ECA}" xr6:coauthVersionLast="47" xr6:coauthVersionMax="47" xr10:uidLastSave="{950BF0F8-1A25-49DF-B87D-98620931970F}"/>
  <workbookProtection workbookAlgorithmName="SHA-512" workbookHashValue="ta3jBKynotXHTwctEquiraoNUxQS+XOhRlJEQhOxg/fHBFsy0/YLsDQeoZ/rkXX1skT/HlSKoIuAWThrO0wzJw==" workbookSaltValue="CSkPvXr9aN9xpf2SdOgiNQ==" workbookSpinCount="100000" lockStructure="1"/>
  <bookViews>
    <workbookView xWindow="29880" yWindow="885" windowWidth="27645" windowHeight="12540" xr2:uid="{E872FC5A-075D-4CC5-BD80-E3B1C3A48E0D}"/>
  </bookViews>
  <sheets>
    <sheet name="Amendment 1 Summary" sheetId="1" r:id="rId1"/>
    <sheet name="21-23 Unspent Funds-Amendment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G18" i="2" l="1"/>
  <c r="F18" i="2"/>
  <c r="E18" i="2"/>
  <c r="D18" i="2"/>
  <c r="C18" i="2"/>
  <c r="B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8" i="2" l="1"/>
  <c r="H19" i="2"/>
  <c r="AF12" i="1"/>
  <c r="AD15" i="1"/>
  <c r="AD14" i="1"/>
  <c r="AD19" i="1"/>
  <c r="AD12" i="1"/>
  <c r="AD11" i="1"/>
  <c r="AF19" i="1"/>
  <c r="AE19" i="1"/>
  <c r="AC19" i="1"/>
  <c r="AB19" i="1"/>
  <c r="AA19" i="1"/>
  <c r="Z19" i="1"/>
  <c r="Y19" i="1"/>
  <c r="T19" i="1"/>
  <c r="A18" i="1"/>
  <c r="A17" i="1"/>
  <c r="A16" i="1"/>
  <c r="N15" i="1"/>
  <c r="A15" i="1"/>
  <c r="N14" i="1"/>
  <c r="A14" i="1"/>
  <c r="A13" i="1"/>
  <c r="AA12" i="1"/>
  <c r="R12" i="1"/>
  <c r="A12" i="1"/>
  <c r="R11" i="1"/>
  <c r="A11" i="1"/>
  <c r="A10" i="1"/>
  <c r="R9" i="1"/>
  <c r="N9" i="1"/>
  <c r="A9" i="1"/>
  <c r="N8" i="1"/>
  <c r="A8" i="1"/>
  <c r="R7" i="1"/>
  <c r="N7" i="1"/>
  <c r="A7" i="1"/>
  <c r="A6" i="1"/>
  <c r="R5" i="1"/>
  <c r="A5" i="1"/>
  <c r="R4" i="1"/>
  <c r="L19" i="1"/>
  <c r="A4" i="1"/>
  <c r="P3" i="1"/>
  <c r="P19" i="1" s="1"/>
  <c r="A3" i="1"/>
  <c r="R10" i="1" l="1"/>
  <c r="R15" i="1"/>
  <c r="R17" i="1"/>
  <c r="R14" i="1"/>
  <c r="R16" i="1"/>
  <c r="R18" i="1"/>
  <c r="V14" i="1"/>
  <c r="V5" i="1"/>
  <c r="V7" i="1"/>
  <c r="V9" i="1"/>
  <c r="V11" i="1"/>
  <c r="V13" i="1"/>
  <c r="V17" i="1"/>
  <c r="V18" i="1"/>
  <c r="V16" i="1"/>
  <c r="V4" i="1"/>
  <c r="V6" i="1"/>
  <c r="V10" i="1"/>
  <c r="V12" i="1"/>
  <c r="I8" i="1"/>
  <c r="AG8" i="1" s="1"/>
  <c r="I7" i="1"/>
  <c r="R6" i="1"/>
  <c r="R8" i="1"/>
  <c r="R13" i="1"/>
  <c r="N17" i="1"/>
  <c r="N5" i="1"/>
  <c r="I16" i="1"/>
  <c r="AG16" i="1" s="1"/>
  <c r="I18" i="1"/>
  <c r="AG18" i="1" s="1"/>
  <c r="I3" i="1"/>
  <c r="AG3" i="1" s="1"/>
  <c r="K20" i="1"/>
  <c r="S19" i="1"/>
  <c r="N4" i="1"/>
  <c r="G20" i="1"/>
  <c r="I6" i="1"/>
  <c r="N10" i="1"/>
  <c r="I12" i="1"/>
  <c r="AG12" i="1" s="1"/>
  <c r="N13" i="1"/>
  <c r="I15" i="1"/>
  <c r="AG15" i="1" s="1"/>
  <c r="N16" i="1"/>
  <c r="V15" i="1"/>
  <c r="N11" i="1"/>
  <c r="F20" i="1"/>
  <c r="D20" i="1"/>
  <c r="U20" i="1"/>
  <c r="H20" i="1"/>
  <c r="O19" i="1"/>
  <c r="O20" i="1"/>
  <c r="I9" i="1"/>
  <c r="AG9" i="1" s="1"/>
  <c r="I14" i="1"/>
  <c r="AG14" i="1" s="1"/>
  <c r="I17" i="1"/>
  <c r="AG17" i="1" s="1"/>
  <c r="N18" i="1"/>
  <c r="I4" i="1"/>
  <c r="I10" i="1"/>
  <c r="I13" i="1"/>
  <c r="Q20" i="1"/>
  <c r="E20" i="1"/>
  <c r="M20" i="1"/>
  <c r="W20" i="1"/>
  <c r="I5" i="1"/>
  <c r="AG5" i="1" s="1"/>
  <c r="N6" i="1"/>
  <c r="I11" i="1"/>
  <c r="AG11" i="1" s="1"/>
  <c r="N12" i="1"/>
  <c r="I21" i="1"/>
  <c r="AG4" i="1"/>
  <c r="AG10" i="1"/>
  <c r="AG13" i="1"/>
  <c r="AG7" i="1"/>
  <c r="AG6" i="1"/>
  <c r="P20" i="1"/>
  <c r="I23" i="1"/>
  <c r="N3" i="1"/>
  <c r="K19" i="1"/>
  <c r="W19" i="1"/>
  <c r="C20" i="1"/>
  <c r="S20" i="1"/>
  <c r="R3" i="1"/>
  <c r="V3" i="1"/>
  <c r="V8" i="1"/>
  <c r="I20" i="1" l="1"/>
  <c r="R19" i="1"/>
  <c r="N19" i="1"/>
  <c r="I19" i="1"/>
  <c r="X17" i="1"/>
  <c r="X10" i="1"/>
  <c r="X4" i="1"/>
  <c r="X16" i="1"/>
  <c r="X9" i="1"/>
  <c r="X3" i="1"/>
  <c r="X12" i="1"/>
  <c r="AG27" i="1"/>
  <c r="V19" i="1"/>
  <c r="X7" i="1"/>
  <c r="X8" i="1"/>
  <c r="X11" i="1"/>
  <c r="X15" i="1"/>
  <c r="AG25" i="1"/>
  <c r="X6" i="1"/>
  <c r="X18" i="1"/>
  <c r="X13" i="1"/>
  <c r="J15" i="1"/>
  <c r="AG19" i="1"/>
  <c r="AH8" i="1" s="1"/>
  <c r="X14" i="1"/>
  <c r="X5" i="1"/>
  <c r="AG21" i="1" l="1"/>
  <c r="AG20" i="1"/>
  <c r="J5" i="1"/>
  <c r="J6" i="1"/>
  <c r="J3" i="1"/>
  <c r="J10" i="1"/>
  <c r="J17" i="1"/>
  <c r="J11" i="1"/>
  <c r="J4" i="1"/>
  <c r="J9" i="1"/>
  <c r="J8" i="1"/>
  <c r="J16" i="1"/>
  <c r="J13" i="1"/>
  <c r="AH11" i="1"/>
  <c r="AH10" i="1"/>
  <c r="J12" i="1"/>
  <c r="J18" i="1"/>
  <c r="J14" i="1"/>
  <c r="J7" i="1"/>
  <c r="AH17" i="1"/>
  <c r="AH3" i="1"/>
  <c r="AH16" i="1"/>
  <c r="AH9" i="1"/>
  <c r="AH13" i="1"/>
  <c r="AH15" i="1"/>
  <c r="AH7" i="1"/>
  <c r="AH12" i="1"/>
  <c r="X19" i="1"/>
  <c r="AH14" i="1"/>
  <c r="AH6" i="1"/>
  <c r="AH5" i="1"/>
  <c r="AH18" i="1"/>
  <c r="AH4" i="1"/>
  <c r="J19" i="1" l="1"/>
  <c r="AH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Stuivenga Brenda S</author>
  </authors>
  <commentList>
    <comment ref="AE8" authorId="0" shapeId="0" xr:uid="{0A7B57DF-401B-4136-ABAD-0C0C4A2A189A}">
      <text>
        <r>
          <rPr>
            <b/>
            <sz val="9"/>
            <color indexed="81"/>
            <rFont val="Tahoma"/>
            <family val="2"/>
          </rPr>
          <t>Stuivenga Brenda S:</t>
        </r>
        <r>
          <rPr>
            <sz val="9"/>
            <color indexed="81"/>
            <rFont val="Tahoma"/>
            <family val="2"/>
          </rPr>
          <t xml:space="preserve">
Per Nate Singer</t>
        </r>
      </text>
    </comment>
    <comment ref="AD12" authorId="0" shapeId="0" xr:uid="{ACD977CB-4B31-4585-BA97-5FBBA9702F4B}">
      <text>
        <r>
          <rPr>
            <b/>
            <sz val="9"/>
            <color indexed="81"/>
            <rFont val="Tahoma"/>
            <family val="2"/>
          </rPr>
          <t>Stuivenga Brenda S:</t>
        </r>
        <r>
          <rPr>
            <sz val="9"/>
            <color indexed="81"/>
            <rFont val="Tahoma"/>
            <family val="2"/>
          </rPr>
          <t xml:space="preserve">
$3 discrepancy on amendment 1 total in contract $121,813,715; NTE $169,894,131</t>
        </r>
      </text>
    </comment>
    <comment ref="AE16" authorId="0" shapeId="0" xr:uid="{0CC3F222-8EAF-4606-987D-D6A6FB4DEDF3}">
      <text>
        <r>
          <rPr>
            <b/>
            <sz val="9"/>
            <color indexed="81"/>
            <rFont val="Tahoma"/>
            <family val="2"/>
          </rPr>
          <t>Stuivenga Brenda S:</t>
        </r>
        <r>
          <rPr>
            <sz val="9"/>
            <color indexed="81"/>
            <rFont val="Tahoma"/>
            <family val="2"/>
          </rPr>
          <t xml:space="preserve">
Per Nate Singer</t>
        </r>
      </text>
    </comment>
  </commentList>
</comments>
</file>

<file path=xl/sharedStrings.xml><?xml version="1.0" encoding="utf-8"?>
<sst xmlns="http://schemas.openxmlformats.org/spreadsheetml/2006/main" count="114" uniqueCount="70">
  <si>
    <t>AAA</t>
  </si>
  <si>
    <t xml:space="preserve">IIIB
Support
Services </t>
  </si>
  <si>
    <t>IIIC1
Congregate
Meals</t>
  </si>
  <si>
    <t>IIIC2
Home-
Delivered
Meals</t>
  </si>
  <si>
    <t>IIID
Evidence-
Based
Health
Promotion
Services</t>
  </si>
  <si>
    <t>IIIE
Caregiver
Services</t>
  </si>
  <si>
    <t>VIIB
Elder
Abuse,
Neglect &amp;
Exploitation
Prevention
Activities</t>
  </si>
  <si>
    <t>Subtotal
of 
OAA
Titles</t>
  </si>
  <si>
    <t>%
of
OAA 
Funds</t>
  </si>
  <si>
    <t>Unspent
'21-'23
Biennia
OAA
Funds</t>
  </si>
  <si>
    <t>Unspent
'21-'23
Biennia
ARP/SLFR/VAC5
Funds</t>
  </si>
  <si>
    <t>Nutrition
Services
Incentive
Program</t>
  </si>
  <si>
    <t>% 
of 
NSIP Funds</t>
  </si>
  <si>
    <t>**'21-'23
Unspent
NSIP
via
IFF
FYE 18
Meal
Count</t>
  </si>
  <si>
    <t>SUA 
admin
funds
provided
to AAAs
for IS/IT</t>
  </si>
  <si>
    <t>Continued
Seq. Mitig.
SPA
Funds</t>
  </si>
  <si>
    <t>%
of 
SPA Funds</t>
  </si>
  <si>
    <t>Continued
EB
SPA
Funds</t>
  </si>
  <si>
    <t>%
of 
EB
SPA Funds</t>
  </si>
  <si>
    <t>Total
OPI
(Services
to 60+
Alz/Dem.)
Allocation</t>
  </si>
  <si>
    <t>%
of 
OPI
Alloc.</t>
  </si>
  <si>
    <t>Total
OPI
(Services
to 19-59)
Funds</t>
  </si>
  <si>
    <t>% of 
OPI
19-59 Funds</t>
  </si>
  <si>
    <t>Total                 OPIM &amp; FCAP    Ongoing Case       Management</t>
  </si>
  <si>
    <t>%
of 
OPIM
Alloc.</t>
  </si>
  <si>
    <t>Total                 OPIM &amp; FCAP    Eligibility Case      Management</t>
  </si>
  <si>
    <t>Housing Support Services Medicaid Type B</t>
  </si>
  <si>
    <t>Waivered
XIX</t>
  </si>
  <si>
    <t>Non-Waivered
XIX</t>
  </si>
  <si>
    <t>XIX 
Local Match</t>
  </si>
  <si>
    <t>21-23
Allocation
Total</t>
  </si>
  <si>
    <t>% of 
ALL FUNDs
Allocated</t>
  </si>
  <si>
    <t>Contract Number</t>
  </si>
  <si>
    <t>Contract #</t>
  </si>
  <si>
    <t>CFDA #</t>
  </si>
  <si>
    <t>Various</t>
  </si>
  <si>
    <t>FMAP</t>
  </si>
  <si>
    <t>60/40 FF/GF</t>
  </si>
  <si>
    <t>50/50 GF/FF</t>
  </si>
  <si>
    <t>CAPECO</t>
  </si>
  <si>
    <t>P</t>
  </si>
  <si>
    <t>CAT</t>
  </si>
  <si>
    <t>CCNO</t>
  </si>
  <si>
    <t>CCSS</t>
  </si>
  <si>
    <t>DCSSD</t>
  </si>
  <si>
    <t>HCSCS</t>
  </si>
  <si>
    <t>KLCCOA</t>
  </si>
  <si>
    <t>LCOG</t>
  </si>
  <si>
    <t>MCADVDS</t>
  </si>
  <si>
    <t>MCOACS</t>
  </si>
  <si>
    <t>NWSDS</t>
  </si>
  <si>
    <t>OCWCOG</t>
  </si>
  <si>
    <t>RVCOG</t>
  </si>
  <si>
    <t>SCBEC</t>
  </si>
  <si>
    <t>WCDAVS</t>
  </si>
  <si>
    <t>Number check (Rows 3 - 19)</t>
  </si>
  <si>
    <t>Number check (C20:H20)</t>
  </si>
  <si>
    <t xml:space="preserve"> </t>
  </si>
  <si>
    <t>OAA 
Title 
III-B</t>
  </si>
  <si>
    <t>OAA 
Title 
III-C1</t>
  </si>
  <si>
    <t>OAA 
Title 
III-C2</t>
  </si>
  <si>
    <t>OAA 
Title 
III-D</t>
  </si>
  <si>
    <t>OAA 
Title 
III-E</t>
  </si>
  <si>
    <t>OAA 
Title 
VII-B</t>
  </si>
  <si>
    <t>Total</t>
  </si>
  <si>
    <t>MCADVSD</t>
  </si>
  <si>
    <t>TOTAL</t>
  </si>
  <si>
    <t>Double Check</t>
  </si>
  <si>
    <t>Allocation</t>
  </si>
  <si>
    <t>COACO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</si>
</sst>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_(* #,##0_);_(* \(#,##0\);_(* &quot;-&quot;??_);_(@_)"/>
    <numFmt numFmtId="168" formatCode="#,##0\ ;\(#,##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Wingdings 2"/>
      <family val="1"/>
      <charset val="2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Wingdings 2"/>
      <family val="1"/>
      <charset val="2"/>
    </font>
    <font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Arial Narrow"/>
      <family val="2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</cellStyleXfs>
  <cellXfs count="116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0" fillId="0" borderId="0" xfId="0" applyNumberFormat="1"/>
    <xf numFmtId="0" fontId="3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4" fillId="0" borderId="5" xfId="0" quotePrefix="1" applyFont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6" fontId="5" fillId="0" borderId="4" xfId="1" applyNumberFormat="1" applyFont="1" applyFill="1" applyBorder="1"/>
    <xf numFmtId="6" fontId="5" fillId="3" borderId="4" xfId="1" applyNumberFormat="1" applyFont="1" applyFill="1" applyBorder="1"/>
    <xf numFmtId="165" fontId="5" fillId="0" borderId="4" xfId="1" applyNumberFormat="1" applyFont="1" applyFill="1" applyBorder="1"/>
    <xf numFmtId="6" fontId="5" fillId="4" borderId="4" xfId="1" applyNumberFormat="1" applyFont="1" applyFill="1" applyBorder="1"/>
    <xf numFmtId="166" fontId="5" fillId="0" borderId="4" xfId="1" applyNumberFormat="1" applyFont="1" applyFill="1" applyBorder="1"/>
    <xf numFmtId="6" fontId="5" fillId="0" borderId="4" xfId="0" applyNumberFormat="1" applyFont="1" applyBorder="1"/>
    <xf numFmtId="38" fontId="5" fillId="0" borderId="4" xfId="1" applyNumberFormat="1" applyFont="1" applyFill="1" applyBorder="1"/>
    <xf numFmtId="9" fontId="5" fillId="0" borderId="4" xfId="1" applyNumberFormat="1" applyFont="1" applyFill="1" applyBorder="1"/>
    <xf numFmtId="165" fontId="5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6" fontId="5" fillId="0" borderId="4" xfId="2" applyNumberFormat="1" applyFont="1" applyBorder="1" applyAlignment="1">
      <alignment horizontal="right"/>
    </xf>
    <xf numFmtId="6" fontId="5" fillId="0" borderId="4" xfId="1" applyNumberFormat="1" applyFont="1" applyFill="1" applyBorder="1" applyProtection="1">
      <protection locked="0"/>
    </xf>
    <xf numFmtId="6" fontId="5" fillId="0" borderId="4" xfId="2" applyNumberFormat="1" applyFont="1" applyBorder="1" applyAlignment="1" applyProtection="1">
      <alignment horizontal="right"/>
      <protection locked="0"/>
    </xf>
    <xf numFmtId="6" fontId="5" fillId="0" borderId="7" xfId="1" applyNumberFormat="1" applyFont="1" applyFill="1" applyBorder="1"/>
    <xf numFmtId="0" fontId="5" fillId="0" borderId="7" xfId="0" applyFont="1" applyBorder="1" applyAlignment="1">
      <alignment horizontal="right"/>
    </xf>
    <xf numFmtId="6" fontId="9" fillId="0" borderId="4" xfId="1" applyNumberFormat="1" applyFont="1" applyFill="1" applyBorder="1"/>
    <xf numFmtId="165" fontId="5" fillId="0" borderId="7" xfId="1" applyNumberFormat="1" applyFont="1" applyFill="1" applyBorder="1"/>
    <xf numFmtId="6" fontId="5" fillId="4" borderId="7" xfId="1" applyNumberFormat="1" applyFont="1" applyFill="1" applyBorder="1"/>
    <xf numFmtId="38" fontId="5" fillId="0" borderId="7" xfId="1" applyNumberFormat="1" applyFont="1" applyFill="1" applyBorder="1"/>
    <xf numFmtId="9" fontId="5" fillId="0" borderId="7" xfId="1" applyNumberFormat="1" applyFont="1" applyFill="1" applyBorder="1"/>
    <xf numFmtId="6" fontId="5" fillId="0" borderId="7" xfId="2" applyNumberFormat="1" applyFont="1" applyBorder="1" applyAlignment="1">
      <alignment horizontal="right"/>
    </xf>
    <xf numFmtId="165" fontId="5" fillId="0" borderId="7" xfId="0" applyNumberFormat="1" applyFont="1" applyBorder="1" applyAlignment="1">
      <alignment horizontal="center"/>
    </xf>
    <xf numFmtId="9" fontId="10" fillId="0" borderId="4" xfId="1" applyNumberFormat="1" applyFont="1" applyFill="1" applyBorder="1"/>
    <xf numFmtId="42" fontId="5" fillId="0" borderId="4" xfId="1" applyNumberFormat="1" applyFont="1" applyFill="1" applyBorder="1"/>
    <xf numFmtId="167" fontId="5" fillId="0" borderId="4" xfId="0" applyNumberFormat="1" applyFont="1" applyBorder="1"/>
    <xf numFmtId="9" fontId="5" fillId="0" borderId="4" xfId="0" applyNumberFormat="1" applyFont="1" applyBorder="1" applyAlignment="1">
      <alignment horizontal="center"/>
    </xf>
    <xf numFmtId="167" fontId="12" fillId="0" borderId="0" xfId="1" applyNumberFormat="1" applyFont="1"/>
    <xf numFmtId="167" fontId="12" fillId="0" borderId="0" xfId="1" applyNumberFormat="1" applyFont="1" applyFill="1"/>
    <xf numFmtId="167" fontId="12" fillId="0" borderId="0" xfId="1" applyNumberFormat="1" applyFont="1" applyBorder="1"/>
    <xf numFmtId="9" fontId="12" fillId="0" borderId="0" xfId="1" applyNumberFormat="1" applyFont="1" applyBorder="1"/>
    <xf numFmtId="167" fontId="13" fillId="0" borderId="0" xfId="1" applyNumberFormat="1" applyFont="1" applyFill="1" applyBorder="1"/>
    <xf numFmtId="0" fontId="9" fillId="0" borderId="0" xfId="0" applyFont="1"/>
    <xf numFmtId="164" fontId="9" fillId="0" borderId="0" xfId="0" applyNumberFormat="1" applyFont="1"/>
    <xf numFmtId="167" fontId="9" fillId="0" borderId="0" xfId="1" applyNumberFormat="1" applyFont="1"/>
    <xf numFmtId="167" fontId="12" fillId="0" borderId="0" xfId="0" applyNumberFormat="1" applyFont="1"/>
    <xf numFmtId="0" fontId="13" fillId="0" borderId="0" xfId="0" applyFont="1" applyAlignment="1">
      <alignment horizontal="right"/>
    </xf>
    <xf numFmtId="6" fontId="9" fillId="0" borderId="0" xfId="0" applyNumberFormat="1" applyFont="1"/>
    <xf numFmtId="167" fontId="9" fillId="0" borderId="0" xfId="0" applyNumberFormat="1" applyFont="1"/>
    <xf numFmtId="0" fontId="16" fillId="0" borderId="0" xfId="0" applyFont="1"/>
    <xf numFmtId="167" fontId="9" fillId="0" borderId="0" xfId="1" applyNumberFormat="1" applyFont="1" applyFill="1" applyBorder="1"/>
    <xf numFmtId="0" fontId="14" fillId="0" borderId="0" xfId="0" applyFont="1"/>
    <xf numFmtId="168" fontId="5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center"/>
    </xf>
    <xf numFmtId="3" fontId="9" fillId="0" borderId="0" xfId="0" applyNumberFormat="1" applyFont="1"/>
    <xf numFmtId="168" fontId="9" fillId="0" borderId="0" xfId="0" applyNumberFormat="1" applyFont="1" applyAlignment="1">
      <alignment horizontal="center" wrapText="1"/>
    </xf>
    <xf numFmtId="6" fontId="9" fillId="0" borderId="0" xfId="0" applyNumberFormat="1" applyFont="1" applyAlignment="1">
      <alignment horizontal="center" wrapText="1"/>
    </xf>
    <xf numFmtId="168" fontId="14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8" fillId="0" borderId="0" xfId="0" applyFont="1"/>
    <xf numFmtId="0" fontId="2" fillId="0" borderId="0" xfId="0" applyFont="1"/>
    <xf numFmtId="0" fontId="21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7" fontId="22" fillId="0" borderId="0" xfId="1" applyNumberFormat="1" applyFont="1" applyBorder="1"/>
    <xf numFmtId="0" fontId="23" fillId="0" borderId="3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6" fontId="23" fillId="0" borderId="4" xfId="1" applyNumberFormat="1" applyFont="1" applyFill="1" applyBorder="1"/>
    <xf numFmtId="38" fontId="23" fillId="0" borderId="4" xfId="0" applyNumberFormat="1" applyFont="1" applyBorder="1"/>
    <xf numFmtId="167" fontId="24" fillId="0" borderId="0" xfId="0" applyNumberFormat="1" applyFont="1"/>
    <xf numFmtId="6" fontId="24" fillId="0" borderId="0" xfId="0" applyNumberFormat="1" applyFont="1"/>
    <xf numFmtId="0" fontId="24" fillId="0" borderId="0" xfId="0" applyFont="1"/>
    <xf numFmtId="44" fontId="24" fillId="0" borderId="0" xfId="0" applyNumberFormat="1" applyFont="1"/>
    <xf numFmtId="0" fontId="25" fillId="0" borderId="0" xfId="0" applyFont="1"/>
    <xf numFmtId="0" fontId="26" fillId="0" borderId="10" xfId="3" applyFont="1" applyBorder="1" applyAlignment="1">
      <alignment horizontal="center"/>
    </xf>
    <xf numFmtId="0" fontId="26" fillId="0" borderId="11" xfId="3" applyFont="1" applyBorder="1" applyAlignment="1">
      <alignment horizontal="center" wrapText="1"/>
    </xf>
    <xf numFmtId="0" fontId="26" fillId="0" borderId="12" xfId="3" quotePrefix="1" applyFont="1" applyBorder="1" applyAlignment="1">
      <alignment horizontal="center"/>
    </xf>
    <xf numFmtId="0" fontId="27" fillId="5" borderId="13" xfId="3" applyFont="1" applyFill="1" applyBorder="1" applyAlignment="1">
      <alignment horizontal="center"/>
    </xf>
    <xf numFmtId="166" fontId="27" fillId="5" borderId="4" xfId="4" applyNumberFormat="1" applyFont="1" applyFill="1" applyBorder="1"/>
    <xf numFmtId="166" fontId="27" fillId="5" borderId="14" xfId="3" applyNumberFormat="1" applyFont="1" applyFill="1" applyBorder="1"/>
    <xf numFmtId="0" fontId="27" fillId="0" borderId="15" xfId="3" applyFont="1" applyBorder="1" applyAlignment="1">
      <alignment horizontal="center"/>
    </xf>
    <xf numFmtId="166" fontId="27" fillId="0" borderId="4" xfId="4" applyNumberFormat="1" applyFont="1" applyBorder="1"/>
    <xf numFmtId="166" fontId="27" fillId="0" borderId="16" xfId="3" applyNumberFormat="1" applyFont="1" applyBorder="1"/>
    <xf numFmtId="0" fontId="27" fillId="5" borderId="15" xfId="3" applyFont="1" applyFill="1" applyBorder="1" applyAlignment="1">
      <alignment horizontal="center"/>
    </xf>
    <xf numFmtId="166" fontId="27" fillId="5" borderId="16" xfId="3" applyNumberFormat="1" applyFont="1" applyFill="1" applyBorder="1"/>
    <xf numFmtId="0" fontId="27" fillId="6" borderId="15" xfId="3" applyFont="1" applyFill="1" applyBorder="1" applyAlignment="1">
      <alignment horizontal="center"/>
    </xf>
    <xf numFmtId="166" fontId="27" fillId="5" borderId="6" xfId="4" applyNumberFormat="1" applyFont="1" applyFill="1" applyBorder="1"/>
    <xf numFmtId="166" fontId="27" fillId="0" borderId="4" xfId="4" applyNumberFormat="1" applyFont="1" applyFill="1" applyBorder="1"/>
    <xf numFmtId="0" fontId="27" fillId="5" borderId="17" xfId="3" applyFont="1" applyFill="1" applyBorder="1" applyAlignment="1">
      <alignment horizontal="center"/>
    </xf>
    <xf numFmtId="166" fontId="27" fillId="5" borderId="7" xfId="4" applyNumberFormat="1" applyFont="1" applyFill="1" applyBorder="1"/>
    <xf numFmtId="166" fontId="27" fillId="5" borderId="18" xfId="3" applyNumberFormat="1" applyFont="1" applyFill="1" applyBorder="1"/>
    <xf numFmtId="0" fontId="26" fillId="0" borderId="19" xfId="3" applyFont="1" applyBorder="1"/>
    <xf numFmtId="166" fontId="26" fillId="0" borderId="20" xfId="4" applyNumberFormat="1" applyFont="1" applyBorder="1"/>
    <xf numFmtId="166" fontId="26" fillId="0" borderId="21" xfId="3" applyNumberFormat="1" applyFont="1" applyBorder="1"/>
    <xf numFmtId="0" fontId="27" fillId="0" borderId="0" xfId="3" applyFont="1"/>
    <xf numFmtId="166" fontId="27" fillId="0" borderId="0" xfId="3" applyNumberFormat="1" applyFont="1"/>
    <xf numFmtId="166" fontId="28" fillId="0" borderId="0" xfId="3" applyNumberFormat="1" applyFont="1"/>
    <xf numFmtId="166" fontId="28" fillId="0" borderId="0" xfId="3" applyNumberFormat="1" applyFont="1" applyAlignment="1">
      <alignment horizontal="left"/>
    </xf>
    <xf numFmtId="0" fontId="5" fillId="0" borderId="8" xfId="0" applyFont="1" applyBorder="1" applyAlignment="1">
      <alignment horizontal="right" wrapText="1"/>
    </xf>
    <xf numFmtId="6" fontId="5" fillId="0" borderId="9" xfId="1" applyNumberFormat="1" applyFont="1" applyFill="1" applyBorder="1"/>
    <xf numFmtId="0" fontId="6" fillId="0" borderId="7" xfId="0" applyFont="1" applyBorder="1" applyAlignment="1">
      <alignment horizontal="center"/>
    </xf>
    <xf numFmtId="0" fontId="5" fillId="0" borderId="9" xfId="0" applyFont="1" applyFill="1" applyBorder="1" applyAlignment="1">
      <alignment horizontal="right"/>
    </xf>
    <xf numFmtId="167" fontId="11" fillId="0" borderId="0" xfId="1" applyNumberFormat="1" applyFont="1" applyBorder="1" applyAlignment="1"/>
    <xf numFmtId="0" fontId="15" fillId="0" borderId="0" xfId="0" applyFont="1" applyAlignment="1"/>
    <xf numFmtId="0" fontId="29" fillId="0" borderId="2" xfId="0" quotePrefix="1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6" fontId="30" fillId="0" borderId="4" xfId="1" applyNumberFormat="1" applyFont="1" applyFill="1" applyBorder="1"/>
    <xf numFmtId="0" fontId="31" fillId="0" borderId="2" xfId="0" applyFont="1" applyBorder="1" applyAlignment="1">
      <alignment horizontal="center" wrapText="1"/>
    </xf>
    <xf numFmtId="166" fontId="32" fillId="5" borderId="4" xfId="4" applyNumberFormat="1" applyFont="1" applyFill="1" applyBorder="1"/>
    <xf numFmtId="166" fontId="32" fillId="0" borderId="4" xfId="4" applyNumberFormat="1" applyFont="1" applyBorder="1"/>
  </cellXfs>
  <cellStyles count="5">
    <cellStyle name="Comma" xfId="1" builtinId="3"/>
    <cellStyle name="Comma 2" xfId="4" xr:uid="{BCF76619-2631-44FB-8324-1ACDFDE2C97B}"/>
    <cellStyle name="Normal" xfId="0" builtinId="0"/>
    <cellStyle name="Normal 2 2" xfId="3" xr:uid="{58AB7D85-DD9E-4BDE-9D42-31A59020A037}"/>
    <cellStyle name="Normal 3" xfId="2" xr:uid="{F6FED8B0-89F3-4D13-A44D-052869A3D0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6E7EA-989D-47DE-8B96-27B9EADD5D30}">
  <sheetPr>
    <pageSetUpPr fitToPage="1"/>
  </sheetPr>
  <dimension ref="A1:AJ27"/>
  <sheetViews>
    <sheetView tabSelected="1" zoomScaleNormal="100" workbookViewId="0"/>
  </sheetViews>
  <sheetFormatPr defaultRowHeight="15" x14ac:dyDescent="0.25"/>
  <cols>
    <col min="1" max="1" width="9.85546875" customWidth="1"/>
    <col min="2" max="2" width="10.85546875" customWidth="1"/>
    <col min="3" max="3" width="13.42578125" customWidth="1"/>
    <col min="4" max="4" width="12.5703125" customWidth="1"/>
    <col min="5" max="5" width="11.42578125" customWidth="1"/>
    <col min="6" max="6" width="12.5703125" customWidth="1"/>
    <col min="7" max="7" width="11.7109375" customWidth="1"/>
    <col min="8" max="8" width="11.85546875" customWidth="1"/>
    <col min="9" max="9" width="13.42578125" customWidth="1"/>
    <col min="10" max="10" width="6.42578125" customWidth="1"/>
    <col min="11" max="13" width="13.42578125" customWidth="1"/>
    <col min="14" max="14" width="7.28515625" customWidth="1"/>
    <col min="15" max="15" width="11" customWidth="1"/>
    <col min="16" max="16" width="12" customWidth="1"/>
    <col min="17" max="17" width="11.7109375" customWidth="1"/>
    <col min="18" max="18" width="6.5703125" customWidth="1"/>
    <col min="19" max="20" width="0" hidden="1" customWidth="1"/>
    <col min="21" max="21" width="12" customWidth="1"/>
    <col min="22" max="22" width="7" customWidth="1"/>
    <col min="23" max="23" width="10.5703125" customWidth="1"/>
    <col min="24" max="24" width="7.140625" customWidth="1"/>
    <col min="25" max="25" width="12" customWidth="1"/>
    <col min="26" max="26" width="6.42578125" customWidth="1"/>
    <col min="27" max="27" width="12.7109375" customWidth="1"/>
    <col min="28" max="28" width="7.140625" customWidth="1"/>
    <col min="30" max="30" width="12.7109375" customWidth="1"/>
    <col min="31" max="31" width="12.5703125" customWidth="1"/>
    <col min="32" max="32" width="12.28515625" customWidth="1"/>
    <col min="33" max="33" width="19.5703125" style="78" customWidth="1"/>
    <col min="36" max="36" width="3.140625" customWidth="1"/>
  </cols>
  <sheetData>
    <row r="1" spans="1:36" ht="120" x14ac:dyDescent="0.25">
      <c r="A1" s="67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1" t="s">
        <v>8</v>
      </c>
      <c r="K1" s="110" t="s">
        <v>9</v>
      </c>
      <c r="L1" s="113" t="s">
        <v>10</v>
      </c>
      <c r="M1" s="1" t="s">
        <v>11</v>
      </c>
      <c r="N1" s="1" t="s">
        <v>12</v>
      </c>
      <c r="O1" s="109" t="s">
        <v>13</v>
      </c>
      <c r="P1" s="3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24</v>
      </c>
      <c r="AC1" s="4" t="s">
        <v>26</v>
      </c>
      <c r="AD1" s="4" t="s">
        <v>27</v>
      </c>
      <c r="AE1" s="4" t="s">
        <v>28</v>
      </c>
      <c r="AF1" s="4" t="s">
        <v>29</v>
      </c>
      <c r="AG1" s="70" t="s">
        <v>30</v>
      </c>
      <c r="AH1" s="5" t="s">
        <v>31</v>
      </c>
      <c r="AI1" s="6" t="s">
        <v>32</v>
      </c>
      <c r="AJ1" s="7"/>
    </row>
    <row r="2" spans="1:36" ht="27.75" customHeight="1" x14ac:dyDescent="0.25">
      <c r="A2" s="68" t="s">
        <v>33</v>
      </c>
      <c r="B2" s="8" t="s">
        <v>34</v>
      </c>
      <c r="C2" s="8">
        <v>93.043999999999997</v>
      </c>
      <c r="D2" s="8">
        <v>93.045000000000002</v>
      </c>
      <c r="E2" s="8">
        <v>93.045000000000002</v>
      </c>
      <c r="F2" s="8">
        <v>93.043000000000006</v>
      </c>
      <c r="G2" s="8">
        <v>93.052000000000007</v>
      </c>
      <c r="H2" s="8">
        <v>93.042000000000002</v>
      </c>
      <c r="I2" s="9"/>
      <c r="J2" s="8"/>
      <c r="K2" s="111" t="s">
        <v>35</v>
      </c>
      <c r="L2" s="111" t="s">
        <v>35</v>
      </c>
      <c r="M2" s="8">
        <v>93.052999999999997</v>
      </c>
      <c r="N2" s="8"/>
      <c r="O2" s="10"/>
      <c r="P2" s="11">
        <v>93.045000000000002</v>
      </c>
      <c r="Q2" s="12">
        <v>99.998999999999995</v>
      </c>
      <c r="R2" s="12"/>
      <c r="S2" s="12"/>
      <c r="T2" s="12"/>
      <c r="U2" s="12">
        <v>99.998999999999995</v>
      </c>
      <c r="V2" s="12"/>
      <c r="W2" s="12">
        <v>99.998999999999995</v>
      </c>
      <c r="X2" s="12"/>
      <c r="Y2" s="12" t="s">
        <v>36</v>
      </c>
      <c r="Z2" s="12"/>
      <c r="AA2" s="12" t="s">
        <v>36</v>
      </c>
      <c r="AB2" s="12"/>
      <c r="AC2" s="12" t="s">
        <v>37</v>
      </c>
      <c r="AD2" s="12" t="s">
        <v>38</v>
      </c>
      <c r="AE2" s="12" t="s">
        <v>38</v>
      </c>
      <c r="AF2" s="12" t="s">
        <v>38</v>
      </c>
      <c r="AG2" s="71"/>
      <c r="AH2" s="13"/>
      <c r="AI2" s="6"/>
      <c r="AJ2" s="7"/>
    </row>
    <row r="3" spans="1:36" ht="17.25" customHeight="1" x14ac:dyDescent="0.25">
      <c r="A3" s="14">
        <f t="shared" ref="A3:A18" si="0">AI3</f>
        <v>181168</v>
      </c>
      <c r="B3" s="15" t="s">
        <v>39</v>
      </c>
      <c r="C3" s="16">
        <v>419175.32258982991</v>
      </c>
      <c r="D3" s="16">
        <v>477906</v>
      </c>
      <c r="E3" s="16">
        <v>318363</v>
      </c>
      <c r="F3" s="16">
        <v>25772</v>
      </c>
      <c r="G3" s="16">
        <v>195350.86412460241</v>
      </c>
      <c r="H3" s="16">
        <v>4364</v>
      </c>
      <c r="I3" s="17">
        <f t="shared" ref="I3:I18" si="1">SUM(C3:H3)</f>
        <v>1440931.1867144324</v>
      </c>
      <c r="J3" s="18">
        <f t="shared" ref="J3:J18" si="2">SUM(I3/$I$19)</f>
        <v>3.7625951424912235E-2</v>
      </c>
      <c r="K3" s="112">
        <v>159466</v>
      </c>
      <c r="L3" s="16">
        <f>443807.82+52537</f>
        <v>496344.82</v>
      </c>
      <c r="M3" s="16">
        <v>162175</v>
      </c>
      <c r="N3" s="18">
        <f t="shared" ref="N3:N18" si="3">M3/$M$19</f>
        <v>4.6701318896504057E-2</v>
      </c>
      <c r="O3" s="16">
        <v>381</v>
      </c>
      <c r="P3" s="19">
        <f>2151+2000</f>
        <v>4151</v>
      </c>
      <c r="Q3" s="16">
        <v>71670</v>
      </c>
      <c r="R3" s="18">
        <f t="shared" ref="R3:R16" si="4">SUM(Q3/$Q$19)</f>
        <v>3.5024480973550577E-2</v>
      </c>
      <c r="S3" s="20">
        <v>-3.5568576624560994E-4</v>
      </c>
      <c r="T3" s="18"/>
      <c r="U3" s="16">
        <v>823152</v>
      </c>
      <c r="V3" s="18">
        <f t="shared" ref="V3:V18" si="5">SUM(U3/$U$19)</f>
        <v>3.9158974871288048E-2</v>
      </c>
      <c r="W3" s="21">
        <v>396191.03471953911</v>
      </c>
      <c r="X3" s="18">
        <f t="shared" ref="X3:X18" si="6">SUM(W3/$W$19)</f>
        <v>6.8951963436010386E-2</v>
      </c>
      <c r="Y3" s="22">
        <v>479857</v>
      </c>
      <c r="Z3" s="23">
        <v>0.04</v>
      </c>
      <c r="AA3" s="16"/>
      <c r="AB3" s="23"/>
      <c r="AC3" s="22"/>
      <c r="AD3" s="16"/>
      <c r="AE3" s="16"/>
      <c r="AF3" s="16"/>
      <c r="AG3" s="72">
        <f t="shared" ref="AG3:AG10" si="7">SUM(I3,K3,L3,M3,O3,P3,Q3,S3,U3,W3,Y3,AA3,AD3,AE3,AF3)</f>
        <v>4034319.0410782862</v>
      </c>
      <c r="AH3" s="24">
        <f t="shared" ref="AH3:AH18" si="8">SUM(AG3/$AG$19)</f>
        <v>9.1300377707282301E-3</v>
      </c>
      <c r="AI3" s="14">
        <v>181168</v>
      </c>
      <c r="AJ3" s="25" t="s">
        <v>40</v>
      </c>
    </row>
    <row r="4" spans="1:36" ht="17.25" customHeight="1" x14ac:dyDescent="0.25">
      <c r="A4" s="14">
        <f t="shared" si="0"/>
        <v>181169</v>
      </c>
      <c r="B4" s="15" t="s">
        <v>41</v>
      </c>
      <c r="C4" s="16">
        <v>173014.38787236967</v>
      </c>
      <c r="D4" s="16">
        <v>191306</v>
      </c>
      <c r="E4" s="16">
        <v>122232</v>
      </c>
      <c r="F4" s="16">
        <v>10222</v>
      </c>
      <c r="G4" s="16">
        <v>60564.547387887316</v>
      </c>
      <c r="H4" s="16">
        <v>2090</v>
      </c>
      <c r="I4" s="17">
        <f t="shared" si="1"/>
        <v>559428.93526025699</v>
      </c>
      <c r="J4" s="18">
        <f t="shared" si="2"/>
        <v>1.4607946679111163E-2</v>
      </c>
      <c r="K4" s="112">
        <v>144357</v>
      </c>
      <c r="L4" s="16">
        <v>90637.670000000013</v>
      </c>
      <c r="M4" s="16">
        <v>84920</v>
      </c>
      <c r="N4" s="18">
        <f t="shared" si="3"/>
        <v>2.4454299372228303E-2</v>
      </c>
      <c r="O4" s="16">
        <v>199</v>
      </c>
      <c r="P4" s="19">
        <v>2000</v>
      </c>
      <c r="Q4" s="16">
        <v>26812</v>
      </c>
      <c r="R4" s="18">
        <f t="shared" si="4"/>
        <v>1.3102781971017694E-2</v>
      </c>
      <c r="S4" s="20">
        <v>-1.1281126537238784E-4</v>
      </c>
      <c r="T4" s="18"/>
      <c r="U4" s="16">
        <v>266749</v>
      </c>
      <c r="V4" s="18">
        <f t="shared" si="5"/>
        <v>1.2689779515740976E-2</v>
      </c>
      <c r="W4" s="21">
        <v>0</v>
      </c>
      <c r="X4" s="18">
        <f t="shared" si="6"/>
        <v>0</v>
      </c>
      <c r="Y4" s="22">
        <v>155502</v>
      </c>
      <c r="Z4" s="23">
        <v>0.01</v>
      </c>
      <c r="AA4" s="16"/>
      <c r="AB4" s="23"/>
      <c r="AC4" s="22"/>
      <c r="AD4" s="16"/>
      <c r="AE4" s="16"/>
      <c r="AF4" s="16"/>
      <c r="AG4" s="72">
        <f t="shared" si="7"/>
        <v>1330605.6051474458</v>
      </c>
      <c r="AH4" s="24">
        <f t="shared" si="8"/>
        <v>3.0112837654237301E-3</v>
      </c>
      <c r="AI4" s="14">
        <v>181169</v>
      </c>
      <c r="AJ4" s="25" t="s">
        <v>40</v>
      </c>
    </row>
    <row r="5" spans="1:36" ht="17.25" customHeight="1" x14ac:dyDescent="0.25">
      <c r="A5" s="14">
        <f t="shared" si="0"/>
        <v>181170</v>
      </c>
      <c r="B5" s="15" t="s">
        <v>42</v>
      </c>
      <c r="C5" s="16">
        <v>282705.5529705832</v>
      </c>
      <c r="D5" s="16">
        <v>268011</v>
      </c>
      <c r="E5" s="16">
        <v>174724</v>
      </c>
      <c r="F5" s="16">
        <v>14895</v>
      </c>
      <c r="G5" s="16">
        <v>123879.64549980889</v>
      </c>
      <c r="H5" s="16">
        <v>3104</v>
      </c>
      <c r="I5" s="17">
        <f t="shared" si="1"/>
        <v>867319.19847039203</v>
      </c>
      <c r="J5" s="18">
        <f t="shared" si="2"/>
        <v>2.2647653359457908E-2</v>
      </c>
      <c r="K5" s="112">
        <v>192617</v>
      </c>
      <c r="L5" s="16">
        <v>41904</v>
      </c>
      <c r="M5" s="16">
        <v>132660</v>
      </c>
      <c r="N5" s="18">
        <f t="shared" si="3"/>
        <v>3.8201923630708977E-2</v>
      </c>
      <c r="O5" s="16">
        <v>311</v>
      </c>
      <c r="P5" s="19">
        <v>2169</v>
      </c>
      <c r="Q5" s="16">
        <v>38818</v>
      </c>
      <c r="R5" s="18">
        <f t="shared" si="4"/>
        <v>1.8970005615059109E-2</v>
      </c>
      <c r="S5" s="20">
        <v>-1.8578738442922519E-4</v>
      </c>
      <c r="T5" s="18"/>
      <c r="U5" s="16">
        <v>514686</v>
      </c>
      <c r="V5" s="18">
        <f t="shared" si="5"/>
        <v>2.4484634843387077E-2</v>
      </c>
      <c r="W5" s="21">
        <v>0</v>
      </c>
      <c r="X5" s="18">
        <f t="shared" si="6"/>
        <v>0</v>
      </c>
      <c r="Y5" s="22">
        <v>300037</v>
      </c>
      <c r="Z5" s="23">
        <v>0.02</v>
      </c>
      <c r="AA5" s="16"/>
      <c r="AB5" s="23"/>
      <c r="AC5" s="22"/>
      <c r="AD5" s="16"/>
      <c r="AE5" s="16"/>
      <c r="AF5" s="16"/>
      <c r="AG5" s="72">
        <f t="shared" si="7"/>
        <v>2090521.1982846046</v>
      </c>
      <c r="AH5" s="24">
        <f t="shared" si="8"/>
        <v>4.7310431590817026E-3</v>
      </c>
      <c r="AI5" s="14">
        <v>181170</v>
      </c>
      <c r="AJ5" s="25" t="s">
        <v>40</v>
      </c>
    </row>
    <row r="6" spans="1:36" ht="17.25" customHeight="1" x14ac:dyDescent="0.25">
      <c r="A6" s="14">
        <f t="shared" si="0"/>
        <v>181171</v>
      </c>
      <c r="B6" s="15" t="s">
        <v>43</v>
      </c>
      <c r="C6" s="16">
        <v>982813.24480542983</v>
      </c>
      <c r="D6" s="16">
        <v>1390426</v>
      </c>
      <c r="E6" s="16">
        <v>942837</v>
      </c>
      <c r="F6" s="16">
        <v>59190</v>
      </c>
      <c r="G6" s="16">
        <v>466671.43280807463</v>
      </c>
      <c r="H6" s="16">
        <v>9572</v>
      </c>
      <c r="I6" s="17">
        <f t="shared" si="1"/>
        <v>3851509.6776135047</v>
      </c>
      <c r="J6" s="18">
        <f t="shared" si="2"/>
        <v>0.10057157300682748</v>
      </c>
      <c r="K6" s="112">
        <v>321449</v>
      </c>
      <c r="L6" s="16">
        <v>1503956.55</v>
      </c>
      <c r="M6" s="16">
        <v>333024</v>
      </c>
      <c r="N6" s="18">
        <f t="shared" si="3"/>
        <v>9.5900478027990552E-2</v>
      </c>
      <c r="O6" s="16">
        <v>781</v>
      </c>
      <c r="P6" s="19">
        <v>7293</v>
      </c>
      <c r="Q6" s="16">
        <v>214495</v>
      </c>
      <c r="R6" s="18">
        <f t="shared" si="4"/>
        <v>0.10482176707718337</v>
      </c>
      <c r="S6" s="20">
        <v>-8.7766529760989768E-4</v>
      </c>
      <c r="T6" s="18"/>
      <c r="U6" s="16">
        <v>2097152</v>
      </c>
      <c r="V6" s="18">
        <f t="shared" si="5"/>
        <v>9.9765684186239559E-2</v>
      </c>
      <c r="W6" s="21">
        <v>0</v>
      </c>
      <c r="X6" s="18">
        <f t="shared" si="6"/>
        <v>0</v>
      </c>
      <c r="Y6" s="22">
        <v>1222537</v>
      </c>
      <c r="Z6" s="23">
        <v>0.1</v>
      </c>
      <c r="AA6" s="16"/>
      <c r="AB6" s="23"/>
      <c r="AC6" s="22"/>
      <c r="AD6" s="16"/>
      <c r="AE6" s="16"/>
      <c r="AF6" s="26"/>
      <c r="AG6" s="72">
        <f t="shared" si="7"/>
        <v>9552197.2267358396</v>
      </c>
      <c r="AH6" s="24">
        <f t="shared" si="8"/>
        <v>2.1617507337801871E-2</v>
      </c>
      <c r="AI6" s="14">
        <v>181171</v>
      </c>
      <c r="AJ6" s="25" t="s">
        <v>40</v>
      </c>
    </row>
    <row r="7" spans="1:36" ht="17.25" customHeight="1" x14ac:dyDescent="0.25">
      <c r="A7" s="14">
        <f t="shared" si="0"/>
        <v>181172</v>
      </c>
      <c r="B7" s="15" t="s">
        <v>69</v>
      </c>
      <c r="C7" s="16">
        <v>627481.83100682241</v>
      </c>
      <c r="D7" s="16">
        <v>818099</v>
      </c>
      <c r="E7" s="16">
        <v>551171</v>
      </c>
      <c r="F7" s="16">
        <v>40034</v>
      </c>
      <c r="G7" s="16">
        <v>307374.05762083799</v>
      </c>
      <c r="H7" s="16">
        <v>6289</v>
      </c>
      <c r="I7" s="17">
        <f t="shared" si="1"/>
        <v>2350448.8886276605</v>
      </c>
      <c r="J7" s="18">
        <f t="shared" si="2"/>
        <v>6.1375502540059988E-2</v>
      </c>
      <c r="K7" s="112">
        <v>99664</v>
      </c>
      <c r="L7" s="16">
        <v>4171</v>
      </c>
      <c r="M7" s="16">
        <v>155790</v>
      </c>
      <c r="N7" s="18">
        <f t="shared" si="3"/>
        <v>4.4862638944882793E-2</v>
      </c>
      <c r="O7" s="16">
        <v>365</v>
      </c>
      <c r="P7" s="19">
        <v>4084</v>
      </c>
      <c r="Q7" s="16">
        <v>124916</v>
      </c>
      <c r="R7" s="18">
        <f t="shared" si="4"/>
        <v>6.1045319733389759E-2</v>
      </c>
      <c r="S7" s="20">
        <v>-5.7846103673700499E-4</v>
      </c>
      <c r="T7" s="18"/>
      <c r="U7" s="16">
        <v>1293990</v>
      </c>
      <c r="V7" s="18">
        <f t="shared" si="5"/>
        <v>6.1557673301769318E-2</v>
      </c>
      <c r="W7" s="21">
        <v>0</v>
      </c>
      <c r="X7" s="18">
        <f t="shared" si="6"/>
        <v>0</v>
      </c>
      <c r="Y7" s="22">
        <v>754333</v>
      </c>
      <c r="Z7" s="23">
        <v>0.06</v>
      </c>
      <c r="AA7" s="16"/>
      <c r="AB7" s="23"/>
      <c r="AC7" s="22"/>
      <c r="AD7" s="16"/>
      <c r="AE7" s="16"/>
      <c r="AF7" s="16"/>
      <c r="AG7" s="72">
        <f t="shared" si="7"/>
        <v>4787761.8880491992</v>
      </c>
      <c r="AH7" s="24">
        <f t="shared" si="8"/>
        <v>1.0835148740110276E-2</v>
      </c>
      <c r="AI7" s="14">
        <v>181172</v>
      </c>
      <c r="AJ7" s="25" t="s">
        <v>40</v>
      </c>
    </row>
    <row r="8" spans="1:36" ht="17.25" customHeight="1" x14ac:dyDescent="0.25">
      <c r="A8" s="14">
        <f t="shared" si="0"/>
        <v>181146</v>
      </c>
      <c r="B8" s="15" t="s">
        <v>44</v>
      </c>
      <c r="C8" s="16">
        <v>414520.77023976739</v>
      </c>
      <c r="D8" s="16">
        <v>520124</v>
      </c>
      <c r="E8" s="16">
        <v>347255</v>
      </c>
      <c r="F8" s="16">
        <v>28694</v>
      </c>
      <c r="G8" s="16">
        <v>200752.03711557665</v>
      </c>
      <c r="H8" s="16">
        <v>4321</v>
      </c>
      <c r="I8" s="17">
        <f t="shared" si="1"/>
        <v>1515666.8073553441</v>
      </c>
      <c r="J8" s="18">
        <f t="shared" si="2"/>
        <v>3.9577466429842792E-2</v>
      </c>
      <c r="K8" s="112">
        <v>791074</v>
      </c>
      <c r="L8" s="16">
        <v>27320</v>
      </c>
      <c r="M8" s="16">
        <v>97680</v>
      </c>
      <c r="N8" s="18">
        <f t="shared" si="3"/>
        <v>2.8128779588780739E-2</v>
      </c>
      <c r="O8" s="16">
        <v>229</v>
      </c>
      <c r="P8" s="19">
        <v>3572</v>
      </c>
      <c r="Q8" s="16">
        <v>78278</v>
      </c>
      <c r="R8" s="18">
        <f t="shared" si="4"/>
        <v>3.8253750825276857E-2</v>
      </c>
      <c r="S8" s="20">
        <v>-4.0132440898643738E-4</v>
      </c>
      <c r="T8" s="18"/>
      <c r="U8" s="16">
        <v>812631</v>
      </c>
      <c r="V8" s="18">
        <f t="shared" si="5"/>
        <v>3.8658470013593696E-2</v>
      </c>
      <c r="W8" s="21">
        <v>0</v>
      </c>
      <c r="X8" s="18">
        <f t="shared" si="6"/>
        <v>0</v>
      </c>
      <c r="Y8" s="22">
        <v>473724</v>
      </c>
      <c r="Z8" s="23">
        <v>0.04</v>
      </c>
      <c r="AA8" s="16"/>
      <c r="AB8" s="23"/>
      <c r="AC8" s="22"/>
      <c r="AD8" s="16"/>
      <c r="AE8" s="27">
        <v>242140</v>
      </c>
      <c r="AF8" s="26"/>
      <c r="AG8" s="72">
        <f t="shared" si="7"/>
        <v>4042314.8069540197</v>
      </c>
      <c r="AH8" s="24">
        <f t="shared" si="8"/>
        <v>9.1481329297149212E-3</v>
      </c>
      <c r="AI8" s="14">
        <v>181146</v>
      </c>
      <c r="AJ8" s="25" t="s">
        <v>40</v>
      </c>
    </row>
    <row r="9" spans="1:36" ht="17.25" customHeight="1" x14ac:dyDescent="0.25">
      <c r="A9" s="14">
        <f t="shared" si="0"/>
        <v>181174</v>
      </c>
      <c r="B9" s="15" t="s">
        <v>45</v>
      </c>
      <c r="C9" s="16">
        <v>124295.5249670215</v>
      </c>
      <c r="D9" s="16">
        <v>50714</v>
      </c>
      <c r="E9" s="16">
        <v>26019</v>
      </c>
      <c r="F9" s="16">
        <v>4494</v>
      </c>
      <c r="G9" s="16">
        <v>37470.298407283859</v>
      </c>
      <c r="H9" s="16">
        <v>1640</v>
      </c>
      <c r="I9" s="17">
        <f t="shared" si="1"/>
        <v>244632.82337430533</v>
      </c>
      <c r="J9" s="18">
        <f t="shared" si="2"/>
        <v>6.387912770635956E-3</v>
      </c>
      <c r="K9" s="112">
        <v>5988</v>
      </c>
      <c r="L9" s="16">
        <v>295</v>
      </c>
      <c r="M9" s="16">
        <v>18702</v>
      </c>
      <c r="N9" s="18">
        <f t="shared" si="3"/>
        <v>5.385590047802799E-3</v>
      </c>
      <c r="O9" s="16">
        <v>44</v>
      </c>
      <c r="P9" s="19">
        <v>2000</v>
      </c>
      <c r="Q9" s="16">
        <v>4807</v>
      </c>
      <c r="R9" s="18">
        <f t="shared" si="4"/>
        <v>2.3491374360242448E-3</v>
      </c>
      <c r="S9" s="20">
        <v>-2.3337211402252251E-5</v>
      </c>
      <c r="T9" s="18"/>
      <c r="U9" s="16">
        <v>156630</v>
      </c>
      <c r="V9" s="18">
        <f t="shared" si="5"/>
        <v>7.4512000627950208E-3</v>
      </c>
      <c r="W9" s="21">
        <v>0</v>
      </c>
      <c r="X9" s="18">
        <f t="shared" si="6"/>
        <v>0</v>
      </c>
      <c r="Y9" s="22">
        <v>91308</v>
      </c>
      <c r="Z9" s="23">
        <v>0.01</v>
      </c>
      <c r="AA9" s="16"/>
      <c r="AB9" s="23"/>
      <c r="AC9" s="22"/>
      <c r="AD9" s="16"/>
      <c r="AE9" s="16"/>
      <c r="AF9" s="16"/>
      <c r="AG9" s="72">
        <f t="shared" si="7"/>
        <v>524406.82335096807</v>
      </c>
      <c r="AH9" s="24">
        <f t="shared" si="8"/>
        <v>1.1867812276795677E-3</v>
      </c>
      <c r="AI9" s="14">
        <v>181174</v>
      </c>
      <c r="AJ9" s="25" t="s">
        <v>40</v>
      </c>
    </row>
    <row r="10" spans="1:36" ht="17.25" customHeight="1" x14ac:dyDescent="0.25">
      <c r="A10" s="14">
        <f t="shared" si="0"/>
        <v>181177</v>
      </c>
      <c r="B10" s="15" t="s">
        <v>46</v>
      </c>
      <c r="C10" s="16">
        <v>321098.91850062896</v>
      </c>
      <c r="D10" s="16">
        <v>315953</v>
      </c>
      <c r="E10" s="16">
        <v>207532</v>
      </c>
      <c r="F10" s="16">
        <v>18266</v>
      </c>
      <c r="G10" s="16">
        <v>146802.75509832235</v>
      </c>
      <c r="H10" s="16">
        <v>3458</v>
      </c>
      <c r="I10" s="17">
        <f t="shared" si="1"/>
        <v>1013110.6735989514</v>
      </c>
      <c r="J10" s="18">
        <f t="shared" si="2"/>
        <v>2.6454596405684455E-2</v>
      </c>
      <c r="K10" s="112">
        <v>98744</v>
      </c>
      <c r="L10" s="16">
        <v>238478</v>
      </c>
      <c r="M10" s="16">
        <v>132140</v>
      </c>
      <c r="N10" s="18">
        <f t="shared" si="3"/>
        <v>3.8052179922824399E-2</v>
      </c>
      <c r="O10" s="16">
        <v>311</v>
      </c>
      <c r="P10" s="19">
        <v>2383</v>
      </c>
      <c r="Q10" s="16">
        <v>46322</v>
      </c>
      <c r="R10" s="18">
        <f t="shared" si="4"/>
        <v>2.2637142565324543E-2</v>
      </c>
      <c r="S10" s="20">
        <v>-2.3844056270752467E-4</v>
      </c>
      <c r="T10" s="18"/>
      <c r="U10" s="16">
        <v>601468</v>
      </c>
      <c r="V10" s="18">
        <f t="shared" si="5"/>
        <v>2.8613026874603816E-2</v>
      </c>
      <c r="W10" s="21">
        <v>0</v>
      </c>
      <c r="X10" s="18">
        <f t="shared" si="6"/>
        <v>0</v>
      </c>
      <c r="Y10" s="22">
        <v>350626</v>
      </c>
      <c r="Z10" s="23">
        <v>0.03</v>
      </c>
      <c r="AA10" s="16"/>
      <c r="AB10" s="23"/>
      <c r="AC10" s="22"/>
      <c r="AD10" s="16"/>
      <c r="AE10" s="16"/>
      <c r="AF10" s="16"/>
      <c r="AG10" s="72">
        <f t="shared" si="7"/>
        <v>2483582.6733605107</v>
      </c>
      <c r="AH10" s="24">
        <f t="shared" si="8"/>
        <v>5.6205776944321844E-3</v>
      </c>
      <c r="AI10" s="14">
        <v>181177</v>
      </c>
      <c r="AJ10" s="25" t="s">
        <v>40</v>
      </c>
    </row>
    <row r="11" spans="1:36" ht="17.25" customHeight="1" x14ac:dyDescent="0.25">
      <c r="A11" s="14">
        <f t="shared" si="0"/>
        <v>181149</v>
      </c>
      <c r="B11" s="15" t="s">
        <v>47</v>
      </c>
      <c r="C11" s="16">
        <v>926840.97275350289</v>
      </c>
      <c r="D11" s="16">
        <v>1287711</v>
      </c>
      <c r="E11" s="16">
        <v>872545</v>
      </c>
      <c r="F11" s="16">
        <v>61999</v>
      </c>
      <c r="G11" s="16">
        <v>471039.87509188644</v>
      </c>
      <c r="H11" s="16">
        <v>9054</v>
      </c>
      <c r="I11" s="17">
        <f t="shared" si="1"/>
        <v>3629189.8478453895</v>
      </c>
      <c r="J11" s="18">
        <f t="shared" si="2"/>
        <v>9.4766302642235359E-2</v>
      </c>
      <c r="K11" s="112">
        <v>302407</v>
      </c>
      <c r="L11" s="16">
        <v>66378</v>
      </c>
      <c r="M11" s="16">
        <v>274808</v>
      </c>
      <c r="N11" s="18">
        <f t="shared" si="3"/>
        <v>7.9136093992973569E-2</v>
      </c>
      <c r="O11" s="16">
        <v>645</v>
      </c>
      <c r="P11" s="19">
        <v>8348</v>
      </c>
      <c r="Q11" s="16">
        <v>198418</v>
      </c>
      <c r="R11" s="18">
        <f t="shared" si="4"/>
        <v>9.6965082542346287E-2</v>
      </c>
      <c r="S11" s="20">
        <v>-9.2153893124952298E-4</v>
      </c>
      <c r="T11" s="18"/>
      <c r="U11" s="16">
        <v>2135637</v>
      </c>
      <c r="V11" s="18">
        <f t="shared" si="5"/>
        <v>0.1015964920418015</v>
      </c>
      <c r="W11" s="21">
        <v>657281</v>
      </c>
      <c r="X11" s="18">
        <f t="shared" si="6"/>
        <v>0.11439132011471849</v>
      </c>
      <c r="Y11" s="22">
        <v>1148784</v>
      </c>
      <c r="Z11" s="23">
        <v>0.09</v>
      </c>
      <c r="AA11" s="16">
        <v>970726</v>
      </c>
      <c r="AB11" s="23">
        <v>0.2</v>
      </c>
      <c r="AC11" s="16">
        <v>112533.2</v>
      </c>
      <c r="AD11" s="27">
        <f>10633914+3257078</f>
        <v>13890992</v>
      </c>
      <c r="AE11" s="27">
        <v>46394534</v>
      </c>
      <c r="AF11" s="28">
        <v>1749714</v>
      </c>
      <c r="AG11" s="72">
        <f>SUM(I11,K11,L11,M11,O11,P11,Q11,S11,U11,W11,Y11,AA11,AC11,AD11,AE11,AF11)</f>
        <v>71540395.046923846</v>
      </c>
      <c r="AH11" s="24">
        <f t="shared" si="8"/>
        <v>0.16190254222845404</v>
      </c>
      <c r="AI11" s="14">
        <v>181149</v>
      </c>
      <c r="AJ11" s="25" t="s">
        <v>40</v>
      </c>
    </row>
    <row r="12" spans="1:36" ht="17.25" customHeight="1" x14ac:dyDescent="0.25">
      <c r="A12" s="14">
        <f t="shared" si="0"/>
        <v>181147</v>
      </c>
      <c r="B12" s="15" t="s">
        <v>48</v>
      </c>
      <c r="C12" s="16">
        <v>1373604.3255530673</v>
      </c>
      <c r="D12" s="16">
        <v>1983608</v>
      </c>
      <c r="E12" s="16">
        <v>1348775</v>
      </c>
      <c r="F12" s="16">
        <v>104041</v>
      </c>
      <c r="G12" s="16">
        <v>710720.716443963</v>
      </c>
      <c r="H12" s="16">
        <v>13184</v>
      </c>
      <c r="I12" s="17">
        <f t="shared" si="1"/>
        <v>5533933.0419970304</v>
      </c>
      <c r="J12" s="18">
        <f t="shared" si="2"/>
        <v>0.14450342788518086</v>
      </c>
      <c r="K12" s="112">
        <v>1410364</v>
      </c>
      <c r="L12" s="16">
        <v>1562404.56</v>
      </c>
      <c r="M12" s="16">
        <v>767332</v>
      </c>
      <c r="N12" s="18">
        <f t="shared" si="3"/>
        <v>0.2209675747278696</v>
      </c>
      <c r="O12" s="16">
        <v>32847</v>
      </c>
      <c r="P12" s="19">
        <v>25000</v>
      </c>
      <c r="Q12" s="16">
        <v>307338</v>
      </c>
      <c r="R12" s="18">
        <f t="shared" si="4"/>
        <v>0.15019330170851247</v>
      </c>
      <c r="S12" s="20">
        <v>-1.5782059508518543E-3</v>
      </c>
      <c r="T12" s="18"/>
      <c r="U12" s="16">
        <v>2980460</v>
      </c>
      <c r="V12" s="18">
        <f t="shared" si="5"/>
        <v>0.14178639940725307</v>
      </c>
      <c r="W12" s="21">
        <v>1209591.1247600494</v>
      </c>
      <c r="X12" s="18">
        <f t="shared" si="6"/>
        <v>0.2105138069719788</v>
      </c>
      <c r="Y12" s="22">
        <v>1737462</v>
      </c>
      <c r="Z12" s="23">
        <v>0.15</v>
      </c>
      <c r="AA12" s="16">
        <f>1924564-1</f>
        <v>1924563</v>
      </c>
      <c r="AB12" s="23">
        <v>0.41</v>
      </c>
      <c r="AC12" s="16">
        <v>112533.2</v>
      </c>
      <c r="AD12" s="27">
        <f>25880356+7735795</f>
        <v>33616151</v>
      </c>
      <c r="AE12" s="27">
        <v>88197561</v>
      </c>
      <c r="AF12" s="28">
        <f>27287540+3189048</f>
        <v>30476588</v>
      </c>
      <c r="AG12" s="72">
        <f>SUM(I12,K12,L12,M12,O12,P12,Q12,S12,U12,W12,Y12,AA12,AC12,AD12,AE12,AF12)</f>
        <v>169894127.92517889</v>
      </c>
      <c r="AH12" s="24">
        <f t="shared" si="8"/>
        <v>0.38448615223233085</v>
      </c>
      <c r="AI12" s="14">
        <v>181147</v>
      </c>
      <c r="AJ12" s="25" t="s">
        <v>40</v>
      </c>
    </row>
    <row r="13" spans="1:36" ht="17.25" customHeight="1" x14ac:dyDescent="0.25">
      <c r="A13" s="14">
        <f t="shared" si="0"/>
        <v>181176</v>
      </c>
      <c r="B13" s="15" t="s">
        <v>49</v>
      </c>
      <c r="C13" s="16">
        <v>171825.49511163012</v>
      </c>
      <c r="D13" s="16">
        <v>123366</v>
      </c>
      <c r="E13" s="16">
        <v>75737</v>
      </c>
      <c r="F13" s="16">
        <v>8834</v>
      </c>
      <c r="G13" s="16">
        <v>64888.485088921283</v>
      </c>
      <c r="H13" s="16">
        <v>2079</v>
      </c>
      <c r="I13" s="17">
        <f t="shared" si="1"/>
        <v>446729.98020055139</v>
      </c>
      <c r="J13" s="18">
        <f t="shared" si="2"/>
        <v>1.1665123699213216E-2</v>
      </c>
      <c r="K13" s="112">
        <v>233720</v>
      </c>
      <c r="L13" s="16">
        <v>8719</v>
      </c>
      <c r="M13" s="16">
        <v>24081</v>
      </c>
      <c r="N13" s="18">
        <f t="shared" si="3"/>
        <v>6.9345735184011981E-3</v>
      </c>
      <c r="O13" s="16">
        <v>11882</v>
      </c>
      <c r="P13" s="19">
        <v>2000</v>
      </c>
      <c r="Q13" s="16">
        <v>16179</v>
      </c>
      <c r="R13" s="18">
        <f t="shared" si="4"/>
        <v>7.906531012572552E-3</v>
      </c>
      <c r="S13" s="20">
        <v>-9.1121846007663105E-5</v>
      </c>
      <c r="T13" s="18"/>
      <c r="U13" s="16">
        <v>264063</v>
      </c>
      <c r="V13" s="18">
        <f t="shared" si="5"/>
        <v>1.2562001163135042E-2</v>
      </c>
      <c r="W13" s="21">
        <v>0</v>
      </c>
      <c r="X13" s="18">
        <f t="shared" si="6"/>
        <v>0</v>
      </c>
      <c r="Y13" s="22">
        <v>153936</v>
      </c>
      <c r="Z13" s="23">
        <v>0.01</v>
      </c>
      <c r="AA13" s="16"/>
      <c r="AB13" s="23"/>
      <c r="AC13" s="22"/>
      <c r="AD13" s="16"/>
      <c r="AE13" s="16"/>
      <c r="AF13" s="16"/>
      <c r="AG13" s="72">
        <f>SUM(I13,K13,L13,M13,O13,P13,Q13,S13,U13,W13,Y13,AA13,AD13,AE13,AF13)</f>
        <v>1161309.9801094295</v>
      </c>
      <c r="AH13" s="24">
        <f t="shared" si="8"/>
        <v>2.6281520806765049E-3</v>
      </c>
      <c r="AI13" s="14">
        <v>181176</v>
      </c>
      <c r="AJ13" s="25" t="s">
        <v>40</v>
      </c>
    </row>
    <row r="14" spans="1:36" ht="17.25" customHeight="1" x14ac:dyDescent="0.25">
      <c r="A14" s="14">
        <f t="shared" si="0"/>
        <v>181150</v>
      </c>
      <c r="B14" s="15" t="s">
        <v>50</v>
      </c>
      <c r="C14" s="16">
        <v>1288266.6932342465</v>
      </c>
      <c r="D14" s="16">
        <v>1826653</v>
      </c>
      <c r="E14" s="16">
        <v>1241364</v>
      </c>
      <c r="F14" s="16">
        <v>94684</v>
      </c>
      <c r="G14" s="16">
        <v>674364.81479345728</v>
      </c>
      <c r="H14" s="16">
        <v>12393</v>
      </c>
      <c r="I14" s="17">
        <f t="shared" si="1"/>
        <v>5137725.5080277035</v>
      </c>
      <c r="J14" s="18">
        <f t="shared" si="2"/>
        <v>0.13415755879388427</v>
      </c>
      <c r="K14" s="112">
        <v>3179351</v>
      </c>
      <c r="L14" s="16">
        <v>93941</v>
      </c>
      <c r="M14" s="16">
        <v>388253</v>
      </c>
      <c r="N14" s="18">
        <f t="shared" si="3"/>
        <v>0.11180469964867823</v>
      </c>
      <c r="O14" s="16">
        <v>911</v>
      </c>
      <c r="P14" s="19">
        <v>12666</v>
      </c>
      <c r="Q14" s="16">
        <v>282772</v>
      </c>
      <c r="R14" s="18">
        <f t="shared" si="4"/>
        <v>0.13818811962959179</v>
      </c>
      <c r="S14" s="20">
        <v>-1.4320565634713734E-3</v>
      </c>
      <c r="T14" s="18"/>
      <c r="U14" s="16">
        <v>2787573</v>
      </c>
      <c r="V14" s="18">
        <f t="shared" si="5"/>
        <v>0.13261038187221927</v>
      </c>
      <c r="W14" s="21">
        <v>1153294.8242331236</v>
      </c>
      <c r="X14" s="18">
        <f t="shared" si="6"/>
        <v>0.20071615857677191</v>
      </c>
      <c r="Y14" s="22">
        <v>1625019</v>
      </c>
      <c r="Z14" s="23">
        <v>0.14000000000000001</v>
      </c>
      <c r="AA14" s="16">
        <v>1299284</v>
      </c>
      <c r="AB14" s="23">
        <v>0.27</v>
      </c>
      <c r="AC14" s="16">
        <v>225066.4</v>
      </c>
      <c r="AD14" s="27">
        <f>14814352+4528297</f>
        <v>19342649</v>
      </c>
      <c r="AE14" s="27">
        <v>62065927</v>
      </c>
      <c r="AF14" s="28">
        <v>2899415</v>
      </c>
      <c r="AG14" s="72">
        <f>SUM(I14,K14,L14,M14,O14,P14,Q14,S14,U14,W14,Y14,AA14,AC14,AD14,AE14,AF14)</f>
        <v>100493847.73082876</v>
      </c>
      <c r="AH14" s="24">
        <f t="shared" si="8"/>
        <v>0.22742688819748047</v>
      </c>
      <c r="AI14" s="14">
        <v>181150</v>
      </c>
      <c r="AJ14" s="25" t="s">
        <v>40</v>
      </c>
    </row>
    <row r="15" spans="1:36" ht="17.25" customHeight="1" x14ac:dyDescent="0.25">
      <c r="A15" s="14">
        <f t="shared" si="0"/>
        <v>181151</v>
      </c>
      <c r="B15" s="15" t="s">
        <v>51</v>
      </c>
      <c r="C15" s="16">
        <v>682749.3565878279</v>
      </c>
      <c r="D15" s="16">
        <v>928002</v>
      </c>
      <c r="E15" s="16">
        <v>626382</v>
      </c>
      <c r="F15" s="16">
        <v>46869</v>
      </c>
      <c r="G15" s="16">
        <v>343604.79150210286</v>
      </c>
      <c r="H15" s="16">
        <v>6799</v>
      </c>
      <c r="I15" s="17">
        <f t="shared" si="1"/>
        <v>2634406.1480899309</v>
      </c>
      <c r="J15" s="18">
        <f t="shared" si="2"/>
        <v>6.87902647089879E-2</v>
      </c>
      <c r="K15" s="112">
        <v>971167</v>
      </c>
      <c r="L15" s="16">
        <v>1054018.52</v>
      </c>
      <c r="M15" s="29">
        <v>223673</v>
      </c>
      <c r="N15" s="18">
        <f t="shared" si="3"/>
        <v>6.4410816103207966E-2</v>
      </c>
      <c r="O15" s="16">
        <v>525</v>
      </c>
      <c r="P15" s="19">
        <v>6112</v>
      </c>
      <c r="Q15" s="16">
        <v>142118</v>
      </c>
      <c r="R15" s="18">
        <f t="shared" si="4"/>
        <v>6.9451781596191725E-2</v>
      </c>
      <c r="S15" s="20">
        <v>-6.852085819094002E-4</v>
      </c>
      <c r="T15" s="18"/>
      <c r="U15" s="16">
        <v>1418913</v>
      </c>
      <c r="V15" s="18">
        <f t="shared" si="5"/>
        <v>6.7500508425593256E-2</v>
      </c>
      <c r="W15" s="21">
        <v>595586.19838862785</v>
      </c>
      <c r="X15" s="18">
        <f t="shared" si="6"/>
        <v>0.10365413190976426</v>
      </c>
      <c r="Y15" s="22">
        <v>827156</v>
      </c>
      <c r="Z15" s="23">
        <v>7.0000000000000007E-2</v>
      </c>
      <c r="AA15" s="16">
        <v>565427</v>
      </c>
      <c r="AB15" s="23">
        <v>0.12</v>
      </c>
      <c r="AC15" s="16">
        <v>112533.2</v>
      </c>
      <c r="AD15" s="27">
        <f>6697253+2040783</f>
        <v>8738036</v>
      </c>
      <c r="AE15" s="27">
        <v>26361522</v>
      </c>
      <c r="AF15" s="28">
        <v>900000</v>
      </c>
      <c r="AG15" s="72">
        <f>SUM(I15,K15,L15,M15,O15,P15,Q15,S15,U15,W15,Y15,AA15,AC15,AD15,AE15,AF15)</f>
        <v>44551193.06579335</v>
      </c>
      <c r="AH15" s="24">
        <f t="shared" si="8"/>
        <v>0.10082347758817367</v>
      </c>
      <c r="AI15" s="14">
        <v>181151</v>
      </c>
      <c r="AJ15" s="25" t="s">
        <v>40</v>
      </c>
    </row>
    <row r="16" spans="1:36" ht="17.25" customHeight="1" x14ac:dyDescent="0.25">
      <c r="A16" s="14">
        <f t="shared" si="0"/>
        <v>181145</v>
      </c>
      <c r="B16" s="15" t="s">
        <v>52</v>
      </c>
      <c r="C16" s="16">
        <v>913195.32500211732</v>
      </c>
      <c r="D16" s="16">
        <v>1268290</v>
      </c>
      <c r="E16" s="16">
        <v>859255</v>
      </c>
      <c r="F16" s="16">
        <v>67964</v>
      </c>
      <c r="G16" s="16">
        <v>478147.76290285122</v>
      </c>
      <c r="H16" s="16">
        <v>8928</v>
      </c>
      <c r="I16" s="17">
        <f t="shared" si="1"/>
        <v>3595780.0879049683</v>
      </c>
      <c r="J16" s="18">
        <f t="shared" si="2"/>
        <v>9.389389872994125E-2</v>
      </c>
      <c r="K16" s="112">
        <v>1377821</v>
      </c>
      <c r="L16" s="16">
        <v>829691</v>
      </c>
      <c r="M16" s="29">
        <v>290050</v>
      </c>
      <c r="N16" s="18">
        <f t="shared" si="3"/>
        <v>8.3525312446005875E-2</v>
      </c>
      <c r="O16" s="16">
        <v>680</v>
      </c>
      <c r="P16" s="19">
        <v>8452</v>
      </c>
      <c r="Q16" s="16">
        <v>195379</v>
      </c>
      <c r="R16" s="18">
        <f t="shared" si="4"/>
        <v>9.5479950720403772E-2</v>
      </c>
      <c r="S16" s="20">
        <v>-1.0147008003468854E-3</v>
      </c>
      <c r="T16" s="18"/>
      <c r="U16" s="16">
        <v>1939794</v>
      </c>
      <c r="V16" s="18">
        <f t="shared" si="5"/>
        <v>9.2279851718121711E-2</v>
      </c>
      <c r="W16" s="21">
        <v>809101.43339888554</v>
      </c>
      <c r="X16" s="18">
        <f t="shared" si="6"/>
        <v>0.14081371753208977</v>
      </c>
      <c r="Y16" s="22">
        <v>1130805</v>
      </c>
      <c r="Z16" s="23">
        <v>0.09</v>
      </c>
      <c r="AA16" s="16"/>
      <c r="AB16" s="23"/>
      <c r="AC16" s="22"/>
      <c r="AD16" s="16"/>
      <c r="AE16" s="27">
        <v>242140</v>
      </c>
      <c r="AF16" s="28"/>
      <c r="AG16" s="72">
        <f>SUM(I16,K16,L16,M16,O16,P16,Q16,S16,U16,W16,Y16,AA16,AD16,AE16,AF16)</f>
        <v>10419693.520289153</v>
      </c>
      <c r="AH16" s="24">
        <f t="shared" si="8"/>
        <v>2.3580731823883067E-2</v>
      </c>
      <c r="AI16" s="14">
        <v>181145</v>
      </c>
      <c r="AJ16" s="25" t="s">
        <v>40</v>
      </c>
    </row>
    <row r="17" spans="1:36" ht="17.25" customHeight="1" x14ac:dyDescent="0.25">
      <c r="A17" s="14">
        <f t="shared" si="0"/>
        <v>181178</v>
      </c>
      <c r="B17" s="15" t="s">
        <v>53</v>
      </c>
      <c r="C17" s="16">
        <v>344407.12325326819</v>
      </c>
      <c r="D17" s="16">
        <v>428542</v>
      </c>
      <c r="E17" s="16">
        <v>284581</v>
      </c>
      <c r="F17" s="16">
        <v>24149</v>
      </c>
      <c r="G17" s="16">
        <v>161925.39043734173</v>
      </c>
      <c r="H17" s="16">
        <v>3674</v>
      </c>
      <c r="I17" s="17">
        <f t="shared" si="1"/>
        <v>1247278.51369061</v>
      </c>
      <c r="J17" s="18">
        <f t="shared" si="2"/>
        <v>3.2569244945324607E-2</v>
      </c>
      <c r="K17" s="112">
        <v>223634</v>
      </c>
      <c r="L17" s="16">
        <v>22009</v>
      </c>
      <c r="M17" s="29">
        <v>175983</v>
      </c>
      <c r="N17" s="18">
        <f t="shared" si="3"/>
        <v>5.0677590278177732E-2</v>
      </c>
      <c r="O17" s="16">
        <v>412</v>
      </c>
      <c r="P17" s="19">
        <v>3550</v>
      </c>
      <c r="Q17" s="16">
        <v>63944</v>
      </c>
      <c r="R17" s="18">
        <f>SUM(Q17/$Q$19)</f>
        <v>3.1248854630566741E-2</v>
      </c>
      <c r="S17" s="20">
        <v>-3.3034295742656198E-4</v>
      </c>
      <c r="T17" s="18"/>
      <c r="U17" s="16">
        <v>654152</v>
      </c>
      <c r="V17" s="18">
        <f t="shared" si="5"/>
        <v>3.1119309349916927E-2</v>
      </c>
      <c r="W17" s="21">
        <v>0</v>
      </c>
      <c r="X17" s="18">
        <f t="shared" si="6"/>
        <v>0</v>
      </c>
      <c r="Y17" s="22">
        <v>381338</v>
      </c>
      <c r="Z17" s="23">
        <v>0.03</v>
      </c>
      <c r="AA17" s="16"/>
      <c r="AB17" s="23"/>
      <c r="AC17" s="22"/>
      <c r="AD17" s="16"/>
      <c r="AE17" s="16"/>
      <c r="AF17" s="16"/>
      <c r="AG17" s="72">
        <f>SUM(I17,K17,L17,M17,O17,P17,Q17,S17,U17,W17,Y17,AA17,AD17,AE17,AF17)</f>
        <v>2772300.513360267</v>
      </c>
      <c r="AH17" s="24">
        <f t="shared" si="8"/>
        <v>6.2739729161388688E-3</v>
      </c>
      <c r="AI17" s="14">
        <v>181178</v>
      </c>
      <c r="AJ17" s="25" t="s">
        <v>40</v>
      </c>
    </row>
    <row r="18" spans="1:36" ht="17.25" customHeight="1" x14ac:dyDescent="0.25">
      <c r="A18" s="105">
        <f t="shared" si="0"/>
        <v>181180</v>
      </c>
      <c r="B18" s="30" t="s">
        <v>54</v>
      </c>
      <c r="C18" s="31">
        <v>1060932.1555518876</v>
      </c>
      <c r="D18" s="31">
        <v>1515156</v>
      </c>
      <c r="E18" s="31">
        <v>1028195</v>
      </c>
      <c r="F18" s="16">
        <v>78118</v>
      </c>
      <c r="G18" s="16">
        <v>535420.52567708213</v>
      </c>
      <c r="H18" s="16">
        <v>10293</v>
      </c>
      <c r="I18" s="17">
        <f t="shared" si="1"/>
        <v>4228114.6812289692</v>
      </c>
      <c r="J18" s="18">
        <f t="shared" si="2"/>
        <v>0.11040557597870058</v>
      </c>
      <c r="K18" s="112">
        <v>1376051</v>
      </c>
      <c r="L18" s="16">
        <v>1612896.5</v>
      </c>
      <c r="M18" s="29">
        <v>211329</v>
      </c>
      <c r="N18" s="32">
        <f t="shared" si="3"/>
        <v>6.0856130852963194E-2</v>
      </c>
      <c r="O18" s="16">
        <v>496</v>
      </c>
      <c r="P18" s="33">
        <v>7673</v>
      </c>
      <c r="Q18" s="16">
        <v>234017</v>
      </c>
      <c r="R18" s="32">
        <f>SUM(Q18/$Q$19)</f>
        <v>0.1143619919629885</v>
      </c>
      <c r="S18" s="20">
        <v>-1.1733114352463999E-3</v>
      </c>
      <c r="T18" s="32"/>
      <c r="U18" s="16">
        <v>2273725</v>
      </c>
      <c r="V18" s="32">
        <f t="shared" si="5"/>
        <v>0.10816561235254171</v>
      </c>
      <c r="W18" s="21">
        <v>924853.6305338199</v>
      </c>
      <c r="X18" s="32">
        <f t="shared" si="6"/>
        <v>0.16095890145866648</v>
      </c>
      <c r="Y18" s="34">
        <v>1325471</v>
      </c>
      <c r="Z18" s="35">
        <v>0.11</v>
      </c>
      <c r="AA18" s="29"/>
      <c r="AB18" s="35"/>
      <c r="AC18" s="34"/>
      <c r="AD18" s="29"/>
      <c r="AE18" s="29"/>
      <c r="AF18" s="36"/>
      <c r="AG18" s="72">
        <f>SUM(I18,K18,L18,M18,O18,P18,Q18,S18,U18,W18,Y18,AA18,AD18,AE18,AF18)</f>
        <v>12194626.810589477</v>
      </c>
      <c r="AH18" s="37">
        <f t="shared" si="8"/>
        <v>2.7597570307889924E-2</v>
      </c>
      <c r="AI18" s="14">
        <v>181180</v>
      </c>
      <c r="AJ18" s="25" t="s">
        <v>40</v>
      </c>
    </row>
    <row r="19" spans="1:36" ht="17.25" customHeight="1" x14ac:dyDescent="0.25">
      <c r="A19" s="103" t="s">
        <v>64</v>
      </c>
      <c r="B19" s="106" t="s">
        <v>68</v>
      </c>
      <c r="C19" s="104">
        <v>10106927</v>
      </c>
      <c r="D19" s="16">
        <v>13393867</v>
      </c>
      <c r="E19" s="16">
        <v>9026967</v>
      </c>
      <c r="F19" s="16">
        <v>688225</v>
      </c>
      <c r="G19" s="16">
        <v>4978978</v>
      </c>
      <c r="H19" s="16">
        <v>101242</v>
      </c>
      <c r="I19" s="17">
        <f>SUM(I3:I18)</f>
        <v>38296206</v>
      </c>
      <c r="J19" s="23">
        <f>SUM(J3:J18)</f>
        <v>1</v>
      </c>
      <c r="K19" s="112">
        <f>SUM(K3:K18)</f>
        <v>10887874</v>
      </c>
      <c r="L19" s="16">
        <f>SUM(L3:L18)</f>
        <v>7653164.6200000001</v>
      </c>
      <c r="M19" s="16">
        <v>3472600</v>
      </c>
      <c r="N19" s="38">
        <f>SUM(N3:N18)</f>
        <v>1</v>
      </c>
      <c r="O19" s="16">
        <f>SUM(O3:O18)</f>
        <v>51019</v>
      </c>
      <c r="P19" s="19">
        <f>SUM(P3:P18)</f>
        <v>101453</v>
      </c>
      <c r="Q19" s="16">
        <v>2046283</v>
      </c>
      <c r="R19" s="23">
        <f>SUM(R3:R18)</f>
        <v>0.99999999999999989</v>
      </c>
      <c r="S19" s="39">
        <f>SUM(S3:S18)</f>
        <v>-0.01</v>
      </c>
      <c r="T19" s="23">
        <f>SUM(T3:T18)</f>
        <v>0</v>
      </c>
      <c r="U19" s="16">
        <v>21020775</v>
      </c>
      <c r="V19" s="23">
        <f t="shared" ref="V19:AH19" si="9">SUM(V3:V18)</f>
        <v>1</v>
      </c>
      <c r="W19" s="16">
        <f t="shared" si="9"/>
        <v>5745899.2460340448</v>
      </c>
      <c r="X19" s="23">
        <f t="shared" si="9"/>
        <v>1.0000000000000002</v>
      </c>
      <c r="Y19" s="16">
        <f t="shared" si="9"/>
        <v>12157895</v>
      </c>
      <c r="Z19" s="23">
        <f t="shared" si="9"/>
        <v>1</v>
      </c>
      <c r="AA19" s="16">
        <f t="shared" si="9"/>
        <v>4760000</v>
      </c>
      <c r="AB19" s="23">
        <f t="shared" si="9"/>
        <v>1</v>
      </c>
      <c r="AC19" s="22">
        <f>SUM(AC3:AC18)</f>
        <v>562666</v>
      </c>
      <c r="AD19" s="16">
        <f t="shared" si="9"/>
        <v>75587828</v>
      </c>
      <c r="AE19" s="16">
        <f t="shared" si="9"/>
        <v>223503824</v>
      </c>
      <c r="AF19" s="40">
        <f t="shared" si="9"/>
        <v>36025717</v>
      </c>
      <c r="AG19" s="73">
        <f t="shared" si="9"/>
        <v>441873203.8560341</v>
      </c>
      <c r="AH19" s="41">
        <f t="shared" si="9"/>
        <v>0.99999999999999978</v>
      </c>
      <c r="AI19" s="21"/>
      <c r="AJ19" s="25" t="s">
        <v>40</v>
      </c>
    </row>
    <row r="20" spans="1:36" ht="18.75" x14ac:dyDescent="0.3">
      <c r="A20" s="107" t="s">
        <v>55</v>
      </c>
      <c r="B20" s="107"/>
      <c r="C20" s="42">
        <f t="shared" ref="C20:I20" si="10">SUM(C3:C18)</f>
        <v>10106927</v>
      </c>
      <c r="D20" s="43">
        <f t="shared" si="10"/>
        <v>13393867</v>
      </c>
      <c r="E20" s="42">
        <f t="shared" si="10"/>
        <v>9026967</v>
      </c>
      <c r="F20" s="42">
        <f t="shared" si="10"/>
        <v>688225</v>
      </c>
      <c r="G20" s="44">
        <f t="shared" si="10"/>
        <v>4978978</v>
      </c>
      <c r="H20" s="44">
        <f t="shared" si="10"/>
        <v>101242</v>
      </c>
      <c r="I20" s="44">
        <f t="shared" si="10"/>
        <v>38296206</v>
      </c>
      <c r="J20" s="45"/>
      <c r="K20" s="69">
        <f>SUM(K3:K18)</f>
        <v>10887874</v>
      </c>
      <c r="L20" s="46"/>
      <c r="M20" s="42">
        <f>SUM(M3:M18)</f>
        <v>3472600</v>
      </c>
      <c r="N20" s="47"/>
      <c r="O20" s="44">
        <f>SUM(O3:O18)</f>
        <v>51019</v>
      </c>
      <c r="P20" s="43">
        <f>SUM(P3:P18)</f>
        <v>101453</v>
      </c>
      <c r="Q20" s="43">
        <f>SUM(Q3:Q18)</f>
        <v>2046283</v>
      </c>
      <c r="R20" s="42"/>
      <c r="S20" s="43">
        <f>SUM(S3:S18)</f>
        <v>-0.01</v>
      </c>
      <c r="T20" s="42"/>
      <c r="U20" s="43">
        <f>SUM(U3:U18)</f>
        <v>21020775</v>
      </c>
      <c r="V20" s="42"/>
      <c r="W20" s="43">
        <f>SUM(W3:W18)</f>
        <v>5745899.2460340448</v>
      </c>
      <c r="X20" s="42"/>
      <c r="Y20" s="42"/>
      <c r="Z20" s="42"/>
      <c r="AA20" s="42"/>
      <c r="AB20" s="42"/>
      <c r="AC20" s="42"/>
      <c r="AD20" s="42"/>
      <c r="AE20" s="42"/>
      <c r="AF20" s="47"/>
      <c r="AG20" s="74">
        <f>SUM(I19,K19,L19,M19,O19,P19,Q19,U19,W19,Y19,AA19, AC19,AD19,AE19,AF19)</f>
        <v>441873203.86603403</v>
      </c>
      <c r="AH20" s="47"/>
      <c r="AI20" s="47"/>
      <c r="AJ20" s="48"/>
    </row>
    <row r="21" spans="1:36" ht="18.75" x14ac:dyDescent="0.3">
      <c r="A21" s="47"/>
      <c r="B21" s="49"/>
      <c r="C21" s="49"/>
      <c r="D21" s="49"/>
      <c r="E21" s="49"/>
      <c r="F21" s="49"/>
      <c r="G21" s="108" t="s">
        <v>56</v>
      </c>
      <c r="H21" s="108"/>
      <c r="I21" s="50">
        <f>SUM(C19:H19)</f>
        <v>38296206</v>
      </c>
      <c r="J21" s="50" t="s">
        <v>57</v>
      </c>
      <c r="K21" s="51" t="s">
        <v>57</v>
      </c>
      <c r="L21" s="51"/>
      <c r="M21" s="52" t="s">
        <v>57</v>
      </c>
      <c r="N21" s="50"/>
      <c r="O21" s="50"/>
      <c r="P21" s="47"/>
      <c r="Q21" s="47"/>
      <c r="R21" s="47"/>
      <c r="S21" s="47"/>
      <c r="T21" s="47"/>
      <c r="U21" s="53"/>
      <c r="V21" s="47"/>
      <c r="W21" s="47"/>
      <c r="X21" s="47"/>
      <c r="Y21" s="47"/>
      <c r="Z21" s="47"/>
      <c r="AA21" s="47"/>
      <c r="AB21" s="47"/>
      <c r="AC21" s="47"/>
      <c r="AD21" s="47"/>
      <c r="AE21" s="52" t="s">
        <v>57</v>
      </c>
      <c r="AF21" s="47"/>
      <c r="AG21" s="75">
        <f>I19+K19+L19+M19+O19+P19+Q19+U19+W19+Y19+AA19+AC19+AD19+AE19+AF19</f>
        <v>441873203.86603403</v>
      </c>
      <c r="AH21" s="47"/>
      <c r="AI21" s="47"/>
      <c r="AJ21" s="48"/>
    </row>
    <row r="22" spans="1:36" ht="18.75" x14ac:dyDescent="0.3">
      <c r="A22" s="54"/>
      <c r="B22" s="55"/>
      <c r="C22" s="55"/>
      <c r="D22" s="55"/>
      <c r="E22" s="55"/>
      <c r="F22" s="55"/>
      <c r="G22" s="47"/>
      <c r="H22" s="47"/>
      <c r="I22" s="47"/>
      <c r="J22" s="47"/>
      <c r="K22" s="56"/>
      <c r="L22" s="56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76"/>
      <c r="AH22" s="47"/>
      <c r="AI22" s="47"/>
      <c r="AJ22" s="48"/>
    </row>
    <row r="23" spans="1:36" ht="18.75" x14ac:dyDescent="0.3">
      <c r="A23" s="57"/>
      <c r="B23" s="58"/>
      <c r="C23" s="58"/>
      <c r="D23" s="58"/>
      <c r="E23" s="58"/>
      <c r="F23" s="58"/>
      <c r="G23" s="58"/>
      <c r="H23" s="47"/>
      <c r="I23" s="52">
        <f>SUM(C19:H19)</f>
        <v>38296206</v>
      </c>
      <c r="J23" s="47"/>
      <c r="K23" s="56"/>
      <c r="L23" s="56"/>
      <c r="M23" s="47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47"/>
      <c r="AF23" s="47"/>
      <c r="AH23" s="47"/>
      <c r="AI23" s="47"/>
      <c r="AJ23" s="48"/>
    </row>
    <row r="24" spans="1:36" ht="18.75" x14ac:dyDescent="0.3">
      <c r="A24" s="59"/>
      <c r="B24" s="60"/>
      <c r="C24" s="60"/>
      <c r="D24" s="60"/>
      <c r="E24" s="60"/>
      <c r="F24" s="60"/>
      <c r="G24" s="60"/>
      <c r="H24" s="60"/>
      <c r="I24" s="61"/>
      <c r="J24" s="58"/>
      <c r="K24" s="62"/>
      <c r="L24" s="62"/>
      <c r="M24" s="47"/>
      <c r="N24" s="58"/>
      <c r="O24" s="58"/>
      <c r="P24" s="47"/>
      <c r="Q24" s="60"/>
      <c r="R24" s="60"/>
      <c r="S24" s="60"/>
      <c r="T24" s="60"/>
      <c r="U24" s="58"/>
      <c r="V24" s="60"/>
      <c r="W24" s="60"/>
      <c r="X24" s="60"/>
      <c r="Y24" s="60"/>
      <c r="Z24" s="60"/>
      <c r="AA24" s="60"/>
      <c r="AB24" s="60"/>
      <c r="AC24" s="60"/>
      <c r="AD24" s="60"/>
      <c r="AE24" s="52"/>
      <c r="AF24" s="52"/>
      <c r="AG24" s="77"/>
      <c r="AH24" s="47"/>
      <c r="AI24" s="47"/>
      <c r="AJ24" s="48"/>
    </row>
    <row r="25" spans="1:36" ht="18.75" x14ac:dyDescent="0.3">
      <c r="A25" s="47"/>
      <c r="B25" s="47"/>
      <c r="C25" s="47"/>
      <c r="D25" s="47"/>
      <c r="E25" s="47"/>
      <c r="F25" s="47"/>
      <c r="G25" s="47"/>
      <c r="H25" s="47"/>
      <c r="I25" s="63" t="s">
        <v>40</v>
      </c>
      <c r="J25" s="47"/>
      <c r="K25" s="56"/>
      <c r="L25" s="56"/>
      <c r="M25" s="63" t="s">
        <v>40</v>
      </c>
      <c r="N25" s="47"/>
      <c r="O25" s="47"/>
      <c r="P25" s="47"/>
      <c r="Q25" s="47"/>
      <c r="R25" s="47"/>
      <c r="S25" s="47"/>
      <c r="T25" s="47"/>
      <c r="U25" s="52"/>
      <c r="V25" s="47"/>
      <c r="W25" s="52"/>
      <c r="X25" s="47"/>
      <c r="Y25" s="47"/>
      <c r="Z25" s="47"/>
      <c r="AA25" s="47"/>
      <c r="AB25" s="47"/>
      <c r="AC25" s="47"/>
      <c r="AD25" s="47"/>
      <c r="AE25" s="47"/>
      <c r="AF25" s="47"/>
      <c r="AG25" s="75">
        <f>I23+K19+L19+M19+O19+P19+Q19+U19+W19+Y19+AA19+AC19+AD19+AE19+AF19</f>
        <v>441873203.86603403</v>
      </c>
      <c r="AH25" s="47"/>
      <c r="AI25" s="47"/>
      <c r="AJ25" s="25" t="s">
        <v>40</v>
      </c>
    </row>
    <row r="26" spans="1:36" ht="18.75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56"/>
      <c r="L26" s="56"/>
      <c r="M26" s="47"/>
      <c r="N26" s="47"/>
      <c r="O26" s="47"/>
      <c r="P26" s="47"/>
      <c r="Q26" s="47"/>
      <c r="R26" s="47"/>
      <c r="S26" s="47"/>
      <c r="T26" s="47"/>
      <c r="U26" s="64"/>
      <c r="V26" s="47"/>
      <c r="W26" s="64"/>
      <c r="X26" s="47"/>
      <c r="Y26" s="47"/>
      <c r="Z26" s="47"/>
      <c r="AA26" s="47"/>
      <c r="AB26" s="47"/>
      <c r="AC26" s="47"/>
      <c r="AD26" s="47"/>
      <c r="AE26" s="47"/>
      <c r="AF26" s="47"/>
      <c r="AG26" s="76"/>
      <c r="AH26" s="47"/>
      <c r="AI26" s="47"/>
      <c r="AJ26" s="48"/>
    </row>
    <row r="27" spans="1:36" ht="18.75" x14ac:dyDescent="0.3">
      <c r="K27" s="65"/>
      <c r="L27" s="65"/>
      <c r="O27" s="66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75">
        <f>I19+K19+L19+M19+O19+P19+Q19+U19+W19+Y19+AA19+AC19+AD19+AE19+AF19</f>
        <v>441873203.86603403</v>
      </c>
      <c r="AJ27" s="7"/>
    </row>
  </sheetData>
  <sheetProtection algorithmName="SHA-512" hashValue="emI4lwEbvOC3mS+LhnjIYITNGKx/TBX0EUU8MzFVChkAbnxKAW+liAnqSD+lFh5ELnql2oKFTUOAptdT16IHmw==" saltValue="cGEGN5hhqLPWB+VyexpYxA==" spinCount="100000" sheet="1" objects="1" scenarios="1"/>
  <pageMargins left="0.5" right="0.5" top="1.5" bottom="0.75" header="0.8" footer="0.3"/>
  <pageSetup paperSize="3" scale="56" orientation="landscape" horizontalDpi="1200" verticalDpi="1200" r:id="rId1"/>
  <headerFooter>
    <oddHeader>&amp;C&amp;"Arial Black,Regular"&amp;14 2023-2025 OAA Planning Allocation
Amendment 1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21068-4C7B-4C17-8083-F698EDA69773}">
  <sheetPr>
    <pageSetUpPr fitToPage="1"/>
  </sheetPr>
  <dimension ref="A1:H19"/>
  <sheetViews>
    <sheetView zoomScaleNormal="100" workbookViewId="0">
      <selection activeCell="K10" sqref="K10"/>
    </sheetView>
  </sheetViews>
  <sheetFormatPr defaultRowHeight="15" x14ac:dyDescent="0.25"/>
  <cols>
    <col min="1" max="1" width="11.28515625" bestFit="1" customWidth="1"/>
    <col min="2" max="2" width="11.7109375" customWidth="1"/>
    <col min="3" max="3" width="13.140625" customWidth="1"/>
    <col min="4" max="4" width="11.140625" customWidth="1"/>
    <col min="5" max="5" width="11.28515625" customWidth="1"/>
    <col min="6" max="6" width="11.7109375" customWidth="1"/>
    <col min="8" max="8" width="15.42578125" customWidth="1"/>
  </cols>
  <sheetData>
    <row r="1" spans="1:8" ht="46.5" thickTop="1" thickBot="1" x14ac:dyDescent="0.3">
      <c r="A1" s="79" t="s">
        <v>0</v>
      </c>
      <c r="B1" s="80" t="s">
        <v>58</v>
      </c>
      <c r="C1" s="80" t="s">
        <v>59</v>
      </c>
      <c r="D1" s="80" t="s">
        <v>60</v>
      </c>
      <c r="E1" s="80" t="s">
        <v>61</v>
      </c>
      <c r="F1" s="80" t="s">
        <v>62</v>
      </c>
      <c r="G1" s="80" t="s">
        <v>63</v>
      </c>
      <c r="H1" s="81" t="s">
        <v>64</v>
      </c>
    </row>
    <row r="2" spans="1:8" ht="20.25" customHeight="1" thickTop="1" x14ac:dyDescent="0.25">
      <c r="A2" s="82" t="s">
        <v>39</v>
      </c>
      <c r="B2" s="83">
        <v>11955</v>
      </c>
      <c r="C2" s="83">
        <v>18401</v>
      </c>
      <c r="D2" s="83">
        <v>42314</v>
      </c>
      <c r="E2" s="83">
        <v>373</v>
      </c>
      <c r="F2" s="83">
        <v>86429</v>
      </c>
      <c r="G2" s="114">
        <v>-6</v>
      </c>
      <c r="H2" s="84">
        <f>SUM(B2:G2)</f>
        <v>159466</v>
      </c>
    </row>
    <row r="3" spans="1:8" ht="20.25" customHeight="1" x14ac:dyDescent="0.25">
      <c r="A3" s="85" t="s">
        <v>41</v>
      </c>
      <c r="B3" s="86">
        <v>28681</v>
      </c>
      <c r="C3" s="86">
        <v>56548</v>
      </c>
      <c r="D3" s="86">
        <v>22180</v>
      </c>
      <c r="E3" s="86">
        <v>3947</v>
      </c>
      <c r="F3" s="86">
        <v>31922</v>
      </c>
      <c r="G3" s="86">
        <v>1079</v>
      </c>
      <c r="H3" s="87">
        <f t="shared" ref="H3:H18" si="0">SUM(B3:G3)</f>
        <v>144357</v>
      </c>
    </row>
    <row r="4" spans="1:8" ht="20.25" customHeight="1" x14ac:dyDescent="0.25">
      <c r="A4" s="88" t="s">
        <v>42</v>
      </c>
      <c r="B4" s="83">
        <v>138169</v>
      </c>
      <c r="C4" s="83">
        <v>4130</v>
      </c>
      <c r="D4" s="83">
        <v>18583</v>
      </c>
      <c r="E4" s="83">
        <v>27203</v>
      </c>
      <c r="F4" s="83">
        <v>4535</v>
      </c>
      <c r="G4" s="114">
        <v>-3</v>
      </c>
      <c r="H4" s="89">
        <f t="shared" si="0"/>
        <v>192617</v>
      </c>
    </row>
    <row r="5" spans="1:8" ht="20.25" customHeight="1" x14ac:dyDescent="0.25">
      <c r="A5" s="85" t="s">
        <v>43</v>
      </c>
      <c r="B5" s="86">
        <v>150726</v>
      </c>
      <c r="C5" s="86">
        <v>22818</v>
      </c>
      <c r="D5" s="86">
        <v>102684</v>
      </c>
      <c r="E5" s="86">
        <v>920</v>
      </c>
      <c r="F5" s="86">
        <v>17086</v>
      </c>
      <c r="G5" s="86">
        <v>27215</v>
      </c>
      <c r="H5" s="87">
        <f t="shared" si="0"/>
        <v>321449</v>
      </c>
    </row>
    <row r="6" spans="1:8" ht="20.25" customHeight="1" x14ac:dyDescent="0.25">
      <c r="A6" s="88" t="s">
        <v>69</v>
      </c>
      <c r="B6" s="83">
        <v>14723</v>
      </c>
      <c r="C6" s="83">
        <v>13289</v>
      </c>
      <c r="D6" s="83">
        <v>59800</v>
      </c>
      <c r="E6" s="83">
        <v>607</v>
      </c>
      <c r="F6" s="83">
        <v>11254</v>
      </c>
      <c r="G6" s="114">
        <v>-9</v>
      </c>
      <c r="H6" s="89">
        <f t="shared" si="0"/>
        <v>99664</v>
      </c>
    </row>
    <row r="7" spans="1:8" ht="20.25" customHeight="1" x14ac:dyDescent="0.25">
      <c r="A7" s="85" t="s">
        <v>44</v>
      </c>
      <c r="B7" s="86">
        <v>239917</v>
      </c>
      <c r="C7" s="86">
        <v>135358</v>
      </c>
      <c r="D7" s="86">
        <v>71653</v>
      </c>
      <c r="E7" s="86">
        <v>58288</v>
      </c>
      <c r="F7" s="86">
        <v>277737</v>
      </c>
      <c r="G7" s="86">
        <v>8121</v>
      </c>
      <c r="H7" s="87">
        <f t="shared" si="0"/>
        <v>791074</v>
      </c>
    </row>
    <row r="8" spans="1:8" ht="20.25" customHeight="1" x14ac:dyDescent="0.25">
      <c r="A8" s="88" t="s">
        <v>45</v>
      </c>
      <c r="B8" s="83">
        <v>1782</v>
      </c>
      <c r="C8" s="83">
        <v>511</v>
      </c>
      <c r="D8" s="83">
        <v>2301</v>
      </c>
      <c r="E8" s="83">
        <v>24</v>
      </c>
      <c r="F8" s="83">
        <v>1371</v>
      </c>
      <c r="G8" s="114">
        <v>-1</v>
      </c>
      <c r="H8" s="89">
        <f t="shared" si="0"/>
        <v>5988</v>
      </c>
    </row>
    <row r="9" spans="1:8" ht="20.25" customHeight="1" x14ac:dyDescent="0.25">
      <c r="A9" s="90" t="s">
        <v>46</v>
      </c>
      <c r="B9" s="86">
        <v>6844</v>
      </c>
      <c r="C9" s="86">
        <v>4928</v>
      </c>
      <c r="D9" s="86">
        <v>22175</v>
      </c>
      <c r="E9" s="86">
        <v>1422</v>
      </c>
      <c r="F9" s="86">
        <v>63380</v>
      </c>
      <c r="G9" s="115">
        <v>-5</v>
      </c>
      <c r="H9" s="87">
        <f t="shared" si="0"/>
        <v>98744</v>
      </c>
    </row>
    <row r="10" spans="1:8" ht="20.25" customHeight="1" x14ac:dyDescent="0.25">
      <c r="A10" s="88" t="s">
        <v>47</v>
      </c>
      <c r="B10" s="83">
        <v>22422</v>
      </c>
      <c r="C10" s="83">
        <v>21107</v>
      </c>
      <c r="D10" s="83">
        <v>94989</v>
      </c>
      <c r="E10" s="83">
        <v>70719</v>
      </c>
      <c r="F10" s="83">
        <v>87070</v>
      </c>
      <c r="G10" s="83">
        <v>6100</v>
      </c>
      <c r="H10" s="89">
        <f t="shared" si="0"/>
        <v>302407</v>
      </c>
    </row>
    <row r="11" spans="1:8" ht="20.25" customHeight="1" x14ac:dyDescent="0.25">
      <c r="A11" s="85" t="s">
        <v>65</v>
      </c>
      <c r="B11" s="86">
        <v>443180</v>
      </c>
      <c r="C11" s="86">
        <v>624424</v>
      </c>
      <c r="D11" s="86">
        <v>255252</v>
      </c>
      <c r="E11" s="86">
        <v>32155</v>
      </c>
      <c r="F11" s="86">
        <v>44870</v>
      </c>
      <c r="G11" s="86">
        <v>10483</v>
      </c>
      <c r="H11" s="87">
        <f t="shared" si="0"/>
        <v>1410364</v>
      </c>
    </row>
    <row r="12" spans="1:8" ht="20.25" customHeight="1" x14ac:dyDescent="0.25">
      <c r="A12" s="85" t="s">
        <v>49</v>
      </c>
      <c r="B12" s="86">
        <v>114823</v>
      </c>
      <c r="C12" s="86">
        <v>26629</v>
      </c>
      <c r="D12" s="86">
        <v>27910</v>
      </c>
      <c r="E12" s="86">
        <v>20399</v>
      </c>
      <c r="F12" s="86">
        <v>41031</v>
      </c>
      <c r="G12" s="86">
        <v>2928</v>
      </c>
      <c r="H12" s="87">
        <f t="shared" si="0"/>
        <v>233720</v>
      </c>
    </row>
    <row r="13" spans="1:8" ht="20.25" customHeight="1" x14ac:dyDescent="0.25">
      <c r="A13" s="88" t="s">
        <v>50</v>
      </c>
      <c r="B13" s="91">
        <v>817682</v>
      </c>
      <c r="C13" s="91">
        <v>1152415</v>
      </c>
      <c r="D13" s="91">
        <v>632464</v>
      </c>
      <c r="E13" s="91">
        <v>28003</v>
      </c>
      <c r="F13" s="91">
        <v>513211</v>
      </c>
      <c r="G13" s="91">
        <v>35576</v>
      </c>
      <c r="H13" s="84">
        <f>SUM(B13:G13)</f>
        <v>3179351</v>
      </c>
    </row>
    <row r="14" spans="1:8" ht="20.25" customHeight="1" x14ac:dyDescent="0.25">
      <c r="A14" s="85" t="s">
        <v>51</v>
      </c>
      <c r="B14" s="86">
        <v>389802</v>
      </c>
      <c r="C14" s="86">
        <v>193502</v>
      </c>
      <c r="D14" s="86">
        <v>258324</v>
      </c>
      <c r="E14" s="86">
        <v>17637</v>
      </c>
      <c r="F14" s="86">
        <v>107415</v>
      </c>
      <c r="G14" s="86">
        <v>4487</v>
      </c>
      <c r="H14" s="87">
        <f t="shared" si="0"/>
        <v>971167</v>
      </c>
    </row>
    <row r="15" spans="1:8" ht="20.25" customHeight="1" x14ac:dyDescent="0.25">
      <c r="A15" s="88" t="s">
        <v>52</v>
      </c>
      <c r="B15" s="83">
        <v>24645</v>
      </c>
      <c r="C15" s="83">
        <v>20784</v>
      </c>
      <c r="D15" s="83">
        <v>1111988</v>
      </c>
      <c r="E15" s="83">
        <v>17588</v>
      </c>
      <c r="F15" s="83">
        <v>202830</v>
      </c>
      <c r="G15" s="114">
        <v>-14</v>
      </c>
      <c r="H15" s="89">
        <f t="shared" si="0"/>
        <v>1377821</v>
      </c>
    </row>
    <row r="16" spans="1:8" ht="20.25" customHeight="1" x14ac:dyDescent="0.25">
      <c r="A16" s="85" t="s">
        <v>53</v>
      </c>
      <c r="B16" s="92">
        <v>25700</v>
      </c>
      <c r="C16" s="92">
        <v>142556</v>
      </c>
      <c r="D16" s="92">
        <v>32220</v>
      </c>
      <c r="E16" s="92">
        <v>11913</v>
      </c>
      <c r="F16" s="92">
        <v>11250</v>
      </c>
      <c r="G16" s="114">
        <v>-5</v>
      </c>
      <c r="H16" s="87">
        <f t="shared" si="0"/>
        <v>223634</v>
      </c>
    </row>
    <row r="17" spans="1:8" ht="20.25" customHeight="1" thickBot="1" x14ac:dyDescent="0.3">
      <c r="A17" s="93" t="s">
        <v>54</v>
      </c>
      <c r="B17" s="94">
        <v>708395</v>
      </c>
      <c r="C17" s="94">
        <v>138961</v>
      </c>
      <c r="D17" s="94">
        <v>294796</v>
      </c>
      <c r="E17" s="94">
        <v>23799</v>
      </c>
      <c r="F17" s="94">
        <v>209939</v>
      </c>
      <c r="G17" s="94">
        <v>161</v>
      </c>
      <c r="H17" s="95">
        <f t="shared" si="0"/>
        <v>1376051</v>
      </c>
    </row>
    <row r="18" spans="1:8" ht="20.25" customHeight="1" thickTop="1" thickBot="1" x14ac:dyDescent="0.3">
      <c r="A18" s="96" t="s">
        <v>66</v>
      </c>
      <c r="B18" s="97">
        <f t="shared" ref="B18:G18" si="1">SUM(B2:B17)</f>
        <v>3139446</v>
      </c>
      <c r="C18" s="97">
        <f t="shared" si="1"/>
        <v>2576361</v>
      </c>
      <c r="D18" s="97">
        <f t="shared" si="1"/>
        <v>3049633</v>
      </c>
      <c r="E18" s="97">
        <f t="shared" si="1"/>
        <v>314997</v>
      </c>
      <c r="F18" s="97">
        <f t="shared" si="1"/>
        <v>1711330</v>
      </c>
      <c r="G18" s="97">
        <f t="shared" si="1"/>
        <v>96107</v>
      </c>
      <c r="H18" s="98">
        <f t="shared" si="0"/>
        <v>10887874</v>
      </c>
    </row>
    <row r="19" spans="1:8" ht="17.25" thickTop="1" x14ac:dyDescent="0.3">
      <c r="A19" s="99"/>
      <c r="B19" s="100"/>
      <c r="C19" s="100"/>
      <c r="D19" s="100"/>
      <c r="E19" s="100"/>
      <c r="F19" s="100"/>
      <c r="G19" s="101" t="s">
        <v>67</v>
      </c>
      <c r="H19" s="102">
        <f>SUM(H2:H17)</f>
        <v>10887874</v>
      </c>
    </row>
  </sheetData>
  <sheetProtection algorithmName="SHA-512" hashValue="f6jSWkKXX72nOykub7ogV4E8od3XIboVXNym0nkb4AuTCAc+/vRSWsR/P9bcoV/CipPSiIOpn0zlV2vDxg0Zjg==" saltValue="LhlWmyq/d03pDyi4PikbEg==" spinCount="100000" sheet="1" objects="1" scenarios="1"/>
  <printOptions horizontalCentered="1" verticalCentered="1"/>
  <pageMargins left="0.7" right="0.7" top="1.5" bottom="0.75" header="0.55000000000000004" footer="0.3"/>
  <pageSetup orientation="landscape" horizontalDpi="1200" verticalDpi="1200" r:id="rId1"/>
  <headerFooter>
    <oddHeader>&amp;C&amp;"Arial Narrow,Bold"&amp;14 2021-2023 Unspent funds
Amendment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7793A573FA24A999BFD6F01BF9242" ma:contentTypeVersion="6" ma:contentTypeDescription="Create a new document." ma:contentTypeScope="" ma:versionID="84d7fe15d6bed1339d345968622690f7">
  <xsd:schema xmlns:xsd="http://www.w3.org/2001/XMLSchema" xmlns:xs="http://www.w3.org/2001/XMLSchema" xmlns:p="http://schemas.microsoft.com/office/2006/metadata/properties" xmlns:ns1="http://schemas.microsoft.com/sharepoint/v3" xmlns:ns2="b5921b60-9b2e-4daa-8c80-faaf819f1b87" xmlns:ns3="49e1b1f5-4598-4f10-9cb7-32cc96214367" targetNamespace="http://schemas.microsoft.com/office/2006/metadata/properties" ma:root="true" ma:fieldsID="ab3bd5f389ba078ba416d2722464ee67" ns1:_="" ns2:_="" ns3:_="">
    <xsd:import namespace="http://schemas.microsoft.com/sharepoint/v3"/>
    <xsd:import namespace="b5921b60-9b2e-4daa-8c80-faaf819f1b87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 minOccurs="0"/>
                <xsd:element ref="ns2:Subcategory" minOccurs="0"/>
                <xsd:element ref="ns3:SharedWithUser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21b60-9b2e-4daa-8c80-faaf819f1b87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format="Dropdown" ma:internalName="Category">
      <xsd:simpleType>
        <xsd:restriction base="dms:Choice">
          <xsd:enumeration value="Area Plans"/>
          <xsd:enumeration value="Family Caregiver"/>
          <xsd:enumeration value="Gatekeeper"/>
          <xsd:enumeration value="Grant Award Letters"/>
          <xsd:enumeration value="Healthy Aging"/>
          <xsd:enumeration value="Legal"/>
          <xsd:enumeration value="Nutrition"/>
          <xsd:enumeration value="OPI"/>
          <xsd:enumeration value="Power Hour"/>
        </xsd:restriction>
      </xsd:simpleType>
    </xsd:element>
    <xsd:element name="Subcategory" ma:index="12" nillable="true" ma:displayName="Subcategory" ma:description="Use only with Category=Grant Awards" ma:format="Dropdown" ma:internalName="Subcategory">
      <xsd:simpleType>
        <xsd:restriction base="dms:Choice">
          <xsd:enumeration value="NSIP"/>
          <xsd:enumeration value="Special/Disaster"/>
          <xsd:enumeration value="Title III"/>
          <xsd:enumeration value="Title VII"/>
        </xsd:restriction>
      </xsd:simpleType>
    </xsd:element>
    <xsd:element name="Date" ma:index="14" nillable="true" ma:displayName="Date" ma:description="Use when Category=Grant Award Letter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b5921b60-9b2e-4daa-8c80-faaf819f1b87" xsi:nil="true"/>
    <PublishingExpirationDate xmlns="http://schemas.microsoft.com/sharepoint/v3" xsi:nil="true"/>
    <PublishingStartDate xmlns="http://schemas.microsoft.com/sharepoint/v3" xsi:nil="true"/>
    <Category xmlns="b5921b60-9b2e-4daa-8c80-faaf819f1b87" xsi:nil="true"/>
    <Date xmlns="b5921b60-9b2e-4daa-8c80-faaf819f1b87" xsi:nil="true"/>
  </documentManagement>
</p:properties>
</file>

<file path=customXml/itemProps1.xml><?xml version="1.0" encoding="utf-8"?>
<ds:datastoreItem xmlns:ds="http://schemas.openxmlformats.org/officeDocument/2006/customXml" ds:itemID="{AE0A2882-BD09-495B-A9C3-D20045555BB2}"/>
</file>

<file path=customXml/itemProps2.xml><?xml version="1.0" encoding="utf-8"?>
<ds:datastoreItem xmlns:ds="http://schemas.openxmlformats.org/officeDocument/2006/customXml" ds:itemID="{45C2215F-9D67-4D2D-9C4D-F6D59E272F8F}"/>
</file>

<file path=customXml/itemProps3.xml><?xml version="1.0" encoding="utf-8"?>
<ds:datastoreItem xmlns:ds="http://schemas.openxmlformats.org/officeDocument/2006/customXml" ds:itemID="{0B9735C0-59D6-497F-A65D-2D0ADCA680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Amendment 1 Summary</vt:lpstr>
      <vt:lpstr>21-23 Unspent Funds-Amendment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23-25 OAA Planning Allocation - Amendment 1</dc:title>
  <dc:creator>Stuivenga Brenda S</dc:creator>
  <cp:lastModifiedBy>Melinda Meeds (she/her/ella)</cp:lastModifiedBy>
  <cp:lastPrinted>2025-01-06T23:46:27Z</cp:lastPrinted>
  <dcterms:created xsi:type="dcterms:W3CDTF">2024-04-15T16:11:15Z</dcterms:created>
  <dcterms:modified xsi:type="dcterms:W3CDTF">2025-01-07T00:04:08Z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2024-04-15T16:24:17Z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e2a5c635-1949-402c-92d4-fce4cb90c057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0x0101003C57793A573FA24A999BFD6F01BF9242</vt:lpwstr>
  </property>
</Properties>
</file>