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0111221\Downloads\"/>
    </mc:Choice>
  </mc:AlternateContent>
  <xr:revisionPtr revIDLastSave="0" documentId="8_{52A59C86-C188-4542-88C8-DFC515801DEB}" xr6:coauthVersionLast="47" xr6:coauthVersionMax="47" xr10:uidLastSave="{00000000-0000-0000-0000-000000000000}"/>
  <bookViews>
    <workbookView xWindow="19090" yWindow="-110" windowWidth="19420" windowHeight="10420" xr2:uid="{9EC61252-76E6-45A0-85A9-F18BEF770711}"/>
  </bookViews>
  <sheets>
    <sheet name="Amendment 2 Summary" sheetId="1" r:id="rId1"/>
    <sheet name="Unspent ARP, SLFR, Vac5 #2" sheetId="2" r:id="rId2"/>
    <sheet name="21-23 Unspent Funds Amendment 1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3" l="1"/>
  <c r="F18" i="3"/>
  <c r="E18" i="3"/>
  <c r="D18" i="3"/>
  <c r="C18" i="3"/>
  <c r="B18" i="3"/>
  <c r="H18" i="3" s="1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19" i="3" s="1"/>
  <c r="H4" i="3"/>
  <c r="H3" i="3"/>
  <c r="H2" i="3"/>
  <c r="J18" i="2"/>
  <c r="H18" i="2"/>
  <c r="G18" i="2"/>
  <c r="F18" i="2"/>
  <c r="E18" i="2"/>
  <c r="D18" i="2"/>
  <c r="J19" i="2" s="1"/>
  <c r="C18" i="2"/>
  <c r="B18" i="2"/>
  <c r="I18" i="2" s="1"/>
  <c r="J17" i="2"/>
  <c r="I17" i="2"/>
  <c r="J16" i="2"/>
  <c r="I16" i="2"/>
  <c r="J15" i="2"/>
  <c r="I15" i="2"/>
  <c r="J14" i="2"/>
  <c r="I14" i="2"/>
  <c r="J13" i="2"/>
  <c r="I13" i="2"/>
  <c r="J12" i="2"/>
  <c r="I12" i="2"/>
  <c r="J11" i="2"/>
  <c r="I11" i="2"/>
  <c r="J10" i="2"/>
  <c r="I10" i="2"/>
  <c r="J9" i="2"/>
  <c r="I9" i="2"/>
  <c r="J8" i="2"/>
  <c r="I8" i="2"/>
  <c r="J7" i="2"/>
  <c r="I7" i="2"/>
  <c r="J6" i="2"/>
  <c r="I6" i="2"/>
  <c r="J5" i="2"/>
  <c r="I5" i="2"/>
  <c r="J4" i="2"/>
  <c r="I4" i="2"/>
  <c r="J3" i="2"/>
  <c r="I3" i="2"/>
  <c r="J2" i="2"/>
  <c r="I2" i="2"/>
  <c r="I19" i="2" s="1"/>
  <c r="AE19" i="1" l="1"/>
  <c r="AC19" i="1"/>
  <c r="AB19" i="1"/>
  <c r="Z19" i="1"/>
  <c r="Y19" i="1"/>
  <c r="U19" i="1"/>
  <c r="T19" i="1"/>
  <c r="Q19" i="1"/>
  <c r="P19" i="1"/>
  <c r="M19" i="1"/>
  <c r="L19" i="1"/>
  <c r="H19" i="1"/>
  <c r="G19" i="1"/>
  <c r="F19" i="1"/>
  <c r="E19" i="1"/>
  <c r="D19" i="1"/>
  <c r="C19" i="1"/>
  <c r="W18" i="1"/>
  <c r="U18" i="1"/>
  <c r="S18" i="1"/>
  <c r="Q18" i="1"/>
  <c r="R18" i="1" s="1"/>
  <c r="O18" i="1"/>
  <c r="M18" i="1"/>
  <c r="N18" i="1" s="1"/>
  <c r="L18" i="1"/>
  <c r="K18" i="1"/>
  <c r="H18" i="1"/>
  <c r="G18" i="1"/>
  <c r="F18" i="1"/>
  <c r="E18" i="1"/>
  <c r="D18" i="1"/>
  <c r="C18" i="1"/>
  <c r="A18" i="1"/>
  <c r="W17" i="1"/>
  <c r="U17" i="1"/>
  <c r="S17" i="1"/>
  <c r="Q17" i="1"/>
  <c r="O17" i="1"/>
  <c r="M17" i="1"/>
  <c r="N17" i="1" s="1"/>
  <c r="L17" i="1"/>
  <c r="K17" i="1"/>
  <c r="H17" i="1"/>
  <c r="G17" i="1"/>
  <c r="F17" i="1"/>
  <c r="E17" i="1"/>
  <c r="D17" i="1"/>
  <c r="C17" i="1"/>
  <c r="A17" i="1"/>
  <c r="W16" i="1"/>
  <c r="U16" i="1"/>
  <c r="S16" i="1"/>
  <c r="Q16" i="1"/>
  <c r="O16" i="1"/>
  <c r="M16" i="1"/>
  <c r="L16" i="1"/>
  <c r="K16" i="1"/>
  <c r="H16" i="1"/>
  <c r="G16" i="1"/>
  <c r="F16" i="1"/>
  <c r="E16" i="1"/>
  <c r="D16" i="1"/>
  <c r="C16" i="1"/>
  <c r="A16" i="1"/>
  <c r="AD15" i="1"/>
  <c r="W15" i="1"/>
  <c r="U15" i="1"/>
  <c r="S15" i="1"/>
  <c r="Q15" i="1"/>
  <c r="O15" i="1"/>
  <c r="M15" i="1"/>
  <c r="N15" i="1" s="1"/>
  <c r="L15" i="1"/>
  <c r="K15" i="1"/>
  <c r="H15" i="1"/>
  <c r="G15" i="1"/>
  <c r="F15" i="1"/>
  <c r="E15" i="1"/>
  <c r="D15" i="1"/>
  <c r="C15" i="1"/>
  <c r="A15" i="1"/>
  <c r="AD14" i="1"/>
  <c r="W14" i="1"/>
  <c r="U14" i="1"/>
  <c r="S14" i="1"/>
  <c r="Q14" i="1"/>
  <c r="O14" i="1"/>
  <c r="M14" i="1"/>
  <c r="N14" i="1" s="1"/>
  <c r="L14" i="1"/>
  <c r="K14" i="1"/>
  <c r="H14" i="1"/>
  <c r="G14" i="1"/>
  <c r="F14" i="1"/>
  <c r="E14" i="1"/>
  <c r="D14" i="1"/>
  <c r="C14" i="1"/>
  <c r="A14" i="1"/>
  <c r="W13" i="1"/>
  <c r="U13" i="1"/>
  <c r="S13" i="1"/>
  <c r="Q13" i="1"/>
  <c r="R13" i="1" s="1"/>
  <c r="O13" i="1"/>
  <c r="M13" i="1"/>
  <c r="N13" i="1" s="1"/>
  <c r="L13" i="1"/>
  <c r="K13" i="1"/>
  <c r="H13" i="1"/>
  <c r="G13" i="1"/>
  <c r="F13" i="1"/>
  <c r="E13" i="1"/>
  <c r="D13" i="1"/>
  <c r="C13" i="1"/>
  <c r="A13" i="1"/>
  <c r="AF12" i="1"/>
  <c r="AF19" i="1" s="1"/>
  <c r="AD12" i="1"/>
  <c r="AA12" i="1"/>
  <c r="AA19" i="1" s="1"/>
  <c r="W12" i="1"/>
  <c r="U12" i="1"/>
  <c r="S12" i="1"/>
  <c r="Q12" i="1"/>
  <c r="R12" i="1" s="1"/>
  <c r="O12" i="1"/>
  <c r="M12" i="1"/>
  <c r="N12" i="1" s="1"/>
  <c r="L12" i="1"/>
  <c r="K12" i="1"/>
  <c r="H12" i="1"/>
  <c r="G12" i="1"/>
  <c r="F12" i="1"/>
  <c r="E12" i="1"/>
  <c r="D12" i="1"/>
  <c r="C12" i="1"/>
  <c r="A12" i="1"/>
  <c r="AD11" i="1"/>
  <c r="AD19" i="1" s="1"/>
  <c r="W11" i="1"/>
  <c r="U11" i="1"/>
  <c r="S11" i="1"/>
  <c r="Q11" i="1"/>
  <c r="R11" i="1" s="1"/>
  <c r="O11" i="1"/>
  <c r="M11" i="1"/>
  <c r="N11" i="1" s="1"/>
  <c r="L11" i="1"/>
  <c r="K11" i="1"/>
  <c r="H11" i="1"/>
  <c r="G11" i="1"/>
  <c r="F11" i="1"/>
  <c r="E11" i="1"/>
  <c r="D11" i="1"/>
  <c r="C11" i="1"/>
  <c r="A11" i="1"/>
  <c r="W10" i="1"/>
  <c r="U10" i="1"/>
  <c r="S10" i="1"/>
  <c r="Q10" i="1"/>
  <c r="O10" i="1"/>
  <c r="M10" i="1"/>
  <c r="L10" i="1"/>
  <c r="K10" i="1"/>
  <c r="H10" i="1"/>
  <c r="G10" i="1"/>
  <c r="F10" i="1"/>
  <c r="E10" i="1"/>
  <c r="D10" i="1"/>
  <c r="C10" i="1"/>
  <c r="A10" i="1"/>
  <c r="W9" i="1"/>
  <c r="U9" i="1"/>
  <c r="S9" i="1"/>
  <c r="Q9" i="1"/>
  <c r="R9" i="1" s="1"/>
  <c r="O9" i="1"/>
  <c r="M9" i="1"/>
  <c r="N9" i="1" s="1"/>
  <c r="L9" i="1"/>
  <c r="K9" i="1"/>
  <c r="H9" i="1"/>
  <c r="G9" i="1"/>
  <c r="F9" i="1"/>
  <c r="E9" i="1"/>
  <c r="D9" i="1"/>
  <c r="C9" i="1"/>
  <c r="A9" i="1"/>
  <c r="W8" i="1"/>
  <c r="U8" i="1"/>
  <c r="S8" i="1"/>
  <c r="Q8" i="1"/>
  <c r="R8" i="1" s="1"/>
  <c r="O8" i="1"/>
  <c r="M8" i="1"/>
  <c r="N8" i="1" s="1"/>
  <c r="L8" i="1"/>
  <c r="K8" i="1"/>
  <c r="H8" i="1"/>
  <c r="G8" i="1"/>
  <c r="F8" i="1"/>
  <c r="E8" i="1"/>
  <c r="D8" i="1"/>
  <c r="C8" i="1"/>
  <c r="A8" i="1"/>
  <c r="W7" i="1"/>
  <c r="U7" i="1"/>
  <c r="S7" i="1"/>
  <c r="Q7" i="1"/>
  <c r="R7" i="1" s="1"/>
  <c r="O7" i="1"/>
  <c r="M7" i="1"/>
  <c r="N7" i="1" s="1"/>
  <c r="L7" i="1"/>
  <c r="K7" i="1"/>
  <c r="H7" i="1"/>
  <c r="G7" i="1"/>
  <c r="F7" i="1"/>
  <c r="E7" i="1"/>
  <c r="D7" i="1"/>
  <c r="C7" i="1"/>
  <c r="A7" i="1"/>
  <c r="W6" i="1"/>
  <c r="U6" i="1"/>
  <c r="S6" i="1"/>
  <c r="Q6" i="1"/>
  <c r="R6" i="1" s="1"/>
  <c r="O6" i="1"/>
  <c r="M6" i="1"/>
  <c r="N6" i="1" s="1"/>
  <c r="L6" i="1"/>
  <c r="K6" i="1"/>
  <c r="H6" i="1"/>
  <c r="G6" i="1"/>
  <c r="F6" i="1"/>
  <c r="E6" i="1"/>
  <c r="D6" i="1"/>
  <c r="C6" i="1"/>
  <c r="A6" i="1"/>
  <c r="W5" i="1"/>
  <c r="U5" i="1"/>
  <c r="S5" i="1"/>
  <c r="Q5" i="1"/>
  <c r="R5" i="1" s="1"/>
  <c r="O5" i="1"/>
  <c r="M5" i="1"/>
  <c r="N5" i="1" s="1"/>
  <c r="L5" i="1"/>
  <c r="K5" i="1"/>
  <c r="H5" i="1"/>
  <c r="G5" i="1"/>
  <c r="F5" i="1"/>
  <c r="E5" i="1"/>
  <c r="D5" i="1"/>
  <c r="C5" i="1"/>
  <c r="A5" i="1"/>
  <c r="W4" i="1"/>
  <c r="U4" i="1"/>
  <c r="S4" i="1"/>
  <c r="Q4" i="1"/>
  <c r="O4" i="1"/>
  <c r="M4" i="1"/>
  <c r="N4" i="1" s="1"/>
  <c r="L4" i="1"/>
  <c r="K4" i="1"/>
  <c r="H4" i="1"/>
  <c r="G4" i="1"/>
  <c r="F4" i="1"/>
  <c r="E4" i="1"/>
  <c r="D4" i="1"/>
  <c r="C4" i="1"/>
  <c r="A4" i="1"/>
  <c r="W3" i="1"/>
  <c r="U3" i="1"/>
  <c r="S3" i="1"/>
  <c r="Q3" i="1"/>
  <c r="R3" i="1" s="1"/>
  <c r="P3" i="1"/>
  <c r="P20" i="1" s="1"/>
  <c r="O3" i="1"/>
  <c r="M3" i="1"/>
  <c r="N3" i="1" s="1"/>
  <c r="L3" i="1"/>
  <c r="K3" i="1"/>
  <c r="H3" i="1"/>
  <c r="G3" i="1"/>
  <c r="F3" i="1"/>
  <c r="E3" i="1"/>
  <c r="D3" i="1"/>
  <c r="C3" i="1"/>
  <c r="A3" i="1"/>
  <c r="E20" i="1" l="1"/>
  <c r="V6" i="1"/>
  <c r="V7" i="1"/>
  <c r="I17" i="1"/>
  <c r="AG17" i="1" s="1"/>
  <c r="V17" i="1"/>
  <c r="V3" i="1"/>
  <c r="I5" i="1"/>
  <c r="V5" i="1"/>
  <c r="V18" i="1"/>
  <c r="W20" i="1"/>
  <c r="I8" i="1"/>
  <c r="AG8" i="1" s="1"/>
  <c r="K19" i="1"/>
  <c r="V8" i="1"/>
  <c r="I14" i="1"/>
  <c r="AG14" i="1" s="1"/>
  <c r="V14" i="1"/>
  <c r="I21" i="1"/>
  <c r="O19" i="1"/>
  <c r="H20" i="1"/>
  <c r="I7" i="1"/>
  <c r="AG7" i="1" s="1"/>
  <c r="I10" i="1"/>
  <c r="V10" i="1"/>
  <c r="I23" i="1"/>
  <c r="G20" i="1"/>
  <c r="I4" i="1"/>
  <c r="AG4" i="1" s="1"/>
  <c r="I12" i="1"/>
  <c r="AG12" i="1" s="1"/>
  <c r="V12" i="1"/>
  <c r="I13" i="1"/>
  <c r="AG13" i="1" s="1"/>
  <c r="I16" i="1"/>
  <c r="AG16" i="1" s="1"/>
  <c r="V16" i="1"/>
  <c r="I18" i="1"/>
  <c r="AG18" i="1" s="1"/>
  <c r="F20" i="1"/>
  <c r="V4" i="1"/>
  <c r="I6" i="1"/>
  <c r="I3" i="1"/>
  <c r="AG3" i="1" s="1"/>
  <c r="K20" i="1"/>
  <c r="I9" i="1"/>
  <c r="N10" i="1"/>
  <c r="V13" i="1"/>
  <c r="R16" i="1"/>
  <c r="D20" i="1"/>
  <c r="S20" i="1"/>
  <c r="V9" i="1"/>
  <c r="I11" i="1"/>
  <c r="AG11" i="1" s="1"/>
  <c r="V11" i="1"/>
  <c r="I15" i="1"/>
  <c r="AG15" i="1" s="1"/>
  <c r="V15" i="1"/>
  <c r="N16" i="1"/>
  <c r="AG9" i="1"/>
  <c r="AG5" i="1"/>
  <c r="AG10" i="1"/>
  <c r="W19" i="1"/>
  <c r="X12" i="1" s="1"/>
  <c r="U20" i="1"/>
  <c r="Q20" i="1"/>
  <c r="S19" i="1"/>
  <c r="M20" i="1"/>
  <c r="C20" i="1"/>
  <c r="R17" i="1"/>
  <c r="O20" i="1"/>
  <c r="R4" i="1"/>
  <c r="R10" i="1"/>
  <c r="R14" i="1"/>
  <c r="R15" i="1"/>
  <c r="R19" i="1" l="1"/>
  <c r="N19" i="1"/>
  <c r="X15" i="1"/>
  <c r="I19" i="1"/>
  <c r="J13" i="1" s="1"/>
  <c r="V19" i="1"/>
  <c r="AG20" i="1"/>
  <c r="I20" i="1"/>
  <c r="AG6" i="1"/>
  <c r="AG19" i="1" s="1"/>
  <c r="X11" i="1"/>
  <c r="X13" i="1"/>
  <c r="X9" i="1"/>
  <c r="X3" i="1"/>
  <c r="X16" i="1"/>
  <c r="X8" i="1"/>
  <c r="X5" i="1"/>
  <c r="X6" i="1"/>
  <c r="J18" i="1"/>
  <c r="X17" i="1"/>
  <c r="X18" i="1"/>
  <c r="X4" i="1"/>
  <c r="J12" i="1"/>
  <c r="X14" i="1"/>
  <c r="X10" i="1"/>
  <c r="X7" i="1"/>
  <c r="AG23" i="1" l="1"/>
  <c r="J9" i="1"/>
  <c r="J11" i="1"/>
  <c r="J6" i="1"/>
  <c r="J4" i="1"/>
  <c r="J10" i="1"/>
  <c r="J3" i="1"/>
  <c r="J16" i="1"/>
  <c r="J5" i="1"/>
  <c r="J17" i="1"/>
  <c r="J7" i="1"/>
  <c r="J14" i="1"/>
  <c r="J8" i="1"/>
  <c r="J15" i="1"/>
  <c r="AH6" i="1"/>
  <c r="AH9" i="1"/>
  <c r="AH12" i="1"/>
  <c r="AH10" i="1"/>
  <c r="AH4" i="1"/>
  <c r="AH18" i="1"/>
  <c r="AH11" i="1"/>
  <c r="AH3" i="1"/>
  <c r="AH15" i="1"/>
  <c r="AH14" i="1"/>
  <c r="AH13" i="1"/>
  <c r="AH16" i="1"/>
  <c r="AH5" i="1"/>
  <c r="AH7" i="1"/>
  <c r="AH8" i="1"/>
  <c r="AH17" i="1"/>
  <c r="X19" i="1"/>
  <c r="J19" i="1" l="1"/>
  <c r="AH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Stuivenga Brenda S</author>
  </authors>
  <commentList>
    <comment ref="AE8" authorId="0" shapeId="0" xr:uid="{F350F1B9-72B5-4BF5-987B-45638899C09D}">
      <text>
        <r>
          <rPr>
            <b/>
            <sz val="9"/>
            <color indexed="81"/>
            <rFont val="Tahoma"/>
            <family val="2"/>
          </rPr>
          <t>Stuivenga Brenda S:</t>
        </r>
        <r>
          <rPr>
            <sz val="9"/>
            <color indexed="81"/>
            <rFont val="Tahoma"/>
            <family val="2"/>
          </rPr>
          <t xml:space="preserve">
Per Nate Singer</t>
        </r>
      </text>
    </comment>
    <comment ref="AE16" authorId="0" shapeId="0" xr:uid="{3042E2A2-1A35-4EBC-BCA7-3CDF00D897EF}">
      <text>
        <r>
          <rPr>
            <b/>
            <sz val="9"/>
            <color indexed="81"/>
            <rFont val="Tahoma"/>
            <family val="2"/>
          </rPr>
          <t>Stuivenga Brenda S:</t>
        </r>
        <r>
          <rPr>
            <sz val="9"/>
            <color indexed="81"/>
            <rFont val="Tahoma"/>
            <family val="2"/>
          </rPr>
          <t xml:space="preserve">
Per Nate Singer</t>
        </r>
      </text>
    </comment>
  </commentList>
</comments>
</file>

<file path=xl/sharedStrings.xml><?xml version="1.0" encoding="utf-8"?>
<sst xmlns="http://schemas.openxmlformats.org/spreadsheetml/2006/main" count="156" uniqueCount="83">
  <si>
    <t>Allocation Total</t>
  </si>
  <si>
    <t>AAA</t>
  </si>
  <si>
    <t xml:space="preserve">IIIB
Support
Services </t>
  </si>
  <si>
    <t>IIIC1
Congregate
Meals</t>
  </si>
  <si>
    <t>IIIC2
Home-
Delivered
Meals</t>
  </si>
  <si>
    <t>IIID
Evidence-
Based
Health
Promotion
Services</t>
  </si>
  <si>
    <t>IIIE
Caregiver
Services</t>
  </si>
  <si>
    <t>VIIB
Elder
Abuse,
Neglect &amp;
Exploitation
Prevention
Activities</t>
  </si>
  <si>
    <t>Subtotal
of 
OAA
Titles</t>
  </si>
  <si>
    <t>%
of
OAA 
Funds</t>
  </si>
  <si>
    <t>Unspent
'21-'23
Biennia
OAA
Funds</t>
  </si>
  <si>
    <t>Unspent
'21-'23
Biennia
ARP/SLFR/VAC5
Funds</t>
  </si>
  <si>
    <t>Nutrition
Services
Incentive
Program</t>
  </si>
  <si>
    <t>% 
of 
NSIP Funds</t>
  </si>
  <si>
    <t>**'21-'23
Unspent
NSIP
via
IFF
FYE 18
Meal
Count</t>
  </si>
  <si>
    <t>SUA 
admin
funds
provided
to AAAs
for IS/IT</t>
  </si>
  <si>
    <t>Continued
Seq. Mitig.
SPA
Funds</t>
  </si>
  <si>
    <t>%
of 
SPA Funds</t>
  </si>
  <si>
    <t>Continued
EB
SPA
Funds</t>
  </si>
  <si>
    <t>%
of 
EB
SPA Funds</t>
  </si>
  <si>
    <t>Total
OPI
(Services
to 60+
Alz/Dem.)
Allocation</t>
  </si>
  <si>
    <t>%
of 
OPI
Alloc.</t>
  </si>
  <si>
    <t>Total
OPI
(Services
to 19-59)
Funds</t>
  </si>
  <si>
    <t>% of 
OPI
19-59 Funds</t>
  </si>
  <si>
    <t>Total                 OPIM  Ongoing Case       Management</t>
  </si>
  <si>
    <t>%
of 
OPIM
Alloc.</t>
  </si>
  <si>
    <t>Total                 OPIM    Eligibility Case      Management</t>
  </si>
  <si>
    <t>Housing Support Services Medicaid Type B</t>
  </si>
  <si>
    <t>Waivered
XIX</t>
  </si>
  <si>
    <t>Non-Waivered
XIX</t>
  </si>
  <si>
    <t>XIX 
Local Match</t>
  </si>
  <si>
    <t>21-23
Allocation
Total</t>
  </si>
  <si>
    <t>% of 
ALL FUNDs
Allocated</t>
  </si>
  <si>
    <t>Contract Number</t>
  </si>
  <si>
    <t>Contract #</t>
  </si>
  <si>
    <t>CFDA #</t>
  </si>
  <si>
    <t>Various</t>
  </si>
  <si>
    <t>Medicaid-Adm 1115-50/50 FF/GF 93.778</t>
  </si>
  <si>
    <t>Medicaid FMAP 59/41 FF/GF 93.778</t>
  </si>
  <si>
    <t>50/50 GF/FF    93.778</t>
  </si>
  <si>
    <t>50/50 GF/FF   93.778</t>
  </si>
  <si>
    <t>50/50 GF/FF 93.778</t>
  </si>
  <si>
    <t>CAPECO</t>
  </si>
  <si>
    <t>P</t>
  </si>
  <si>
    <t>CAT</t>
  </si>
  <si>
    <t>CCNO</t>
  </si>
  <si>
    <t>CCSS</t>
  </si>
  <si>
    <t>COCOA</t>
  </si>
  <si>
    <t>DCSSD</t>
  </si>
  <si>
    <t>HCSCS</t>
  </si>
  <si>
    <t>KLCCOA</t>
  </si>
  <si>
    <t>LCOG</t>
  </si>
  <si>
    <t>MCADVDS</t>
  </si>
  <si>
    <t>MCOACS</t>
  </si>
  <si>
    <t>NWSDS</t>
  </si>
  <si>
    <t>OCWCOG</t>
  </si>
  <si>
    <t>RVCOG</t>
  </si>
  <si>
    <t>SCBEC</t>
  </si>
  <si>
    <t>WCDAVS</t>
  </si>
  <si>
    <t xml:space="preserve">  Total Allocation</t>
  </si>
  <si>
    <t>Number check (Rows 3 - 19)</t>
  </si>
  <si>
    <t>Number check (C20:H20)</t>
  </si>
  <si>
    <t xml:space="preserve"> </t>
  </si>
  <si>
    <t>ARP
Title 
III-B</t>
  </si>
  <si>
    <t>ARP
Title 
III-C1</t>
  </si>
  <si>
    <t>ARP
Title 
III-C2</t>
  </si>
  <si>
    <t>ARP
Title 
III-D</t>
  </si>
  <si>
    <t>ARP
Title 
III-E</t>
  </si>
  <si>
    <t>SLFR-HDM
Title 
IIIC2</t>
  </si>
  <si>
    <t>CAA-VAC5</t>
  </si>
  <si>
    <t>Total</t>
  </si>
  <si>
    <t>ARP Combined Total</t>
  </si>
  <si>
    <t>AAA Response</t>
  </si>
  <si>
    <t>OFS Actual</t>
  </si>
  <si>
    <t>MCADVSD</t>
  </si>
  <si>
    <t>TOTAL</t>
  </si>
  <si>
    <t>Double Check</t>
  </si>
  <si>
    <t>OAA 
Title 
III-B</t>
  </si>
  <si>
    <t>OAA 
Title 
III-C1</t>
  </si>
  <si>
    <t>OAA 
Title 
III-C2</t>
  </si>
  <si>
    <t>OAA 
Title 
III-D</t>
  </si>
  <si>
    <t>OAA 
Title 
III-E</t>
  </si>
  <si>
    <t>OAA 
Title 
VII-B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</si>
</sst>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&quot;$&quot;#,##0"/>
    <numFmt numFmtId="167" formatCode="_(* #,##0_);_(* \(#,##0\);_(* &quot;-&quot;??_);_(@_)"/>
    <numFmt numFmtId="168" formatCode="#,##0\ ;\(#,##0\)"/>
    <numFmt numFmtId="169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Wingdings 2"/>
      <family val="1"/>
      <charset val="2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0"/>
      <color rgb="FFC00000"/>
      <name val="Calibri"/>
      <family val="2"/>
      <scheme val="minor"/>
    </font>
    <font>
      <sz val="11"/>
      <color rgb="FFC0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128">
    <xf numFmtId="0" fontId="0" fillId="0" borderId="0" xfId="0"/>
    <xf numFmtId="0" fontId="2" fillId="0" borderId="4" xfId="0" applyFont="1" applyBorder="1" applyAlignment="1">
      <alignment horizontal="center" wrapText="1"/>
    </xf>
    <xf numFmtId="164" fontId="0" fillId="0" borderId="0" xfId="0" applyNumberFormat="1" applyFont="1"/>
    <xf numFmtId="0" fontId="0" fillId="0" borderId="0" xfId="0" applyFont="1"/>
    <xf numFmtId="0" fontId="6" fillId="2" borderId="1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8" fillId="4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9" fillId="0" borderId="0" xfId="0" applyFont="1"/>
    <xf numFmtId="0" fontId="6" fillId="2" borderId="0" xfId="0" applyFont="1" applyFill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7" fillId="0" borderId="5" xfId="0" quotePrefix="1" applyFont="1" applyBorder="1" applyAlignment="1">
      <alignment horizontal="center" wrapText="1"/>
    </xf>
    <xf numFmtId="0" fontId="8" fillId="4" borderId="5" xfId="0" applyFont="1" applyFill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8" fillId="0" borderId="4" xfId="0" applyFont="1" applyBorder="1" applyAlignment="1">
      <alignment horizontal="right"/>
    </xf>
    <xf numFmtId="6" fontId="8" fillId="0" borderId="4" xfId="1" applyNumberFormat="1" applyFont="1" applyFill="1" applyBorder="1"/>
    <xf numFmtId="6" fontId="8" fillId="3" borderId="4" xfId="1" applyNumberFormat="1" applyFont="1" applyFill="1" applyBorder="1"/>
    <xf numFmtId="165" fontId="8" fillId="0" borderId="4" xfId="1" applyNumberFormat="1" applyFont="1" applyFill="1" applyBorder="1"/>
    <xf numFmtId="6" fontId="8" fillId="4" borderId="4" xfId="1" applyNumberFormat="1" applyFont="1" applyFill="1" applyBorder="1"/>
    <xf numFmtId="166" fontId="8" fillId="0" borderId="4" xfId="1" applyNumberFormat="1" applyFont="1" applyFill="1" applyBorder="1"/>
    <xf numFmtId="6" fontId="8" fillId="0" borderId="4" xfId="0" applyNumberFormat="1" applyFont="1" applyBorder="1"/>
    <xf numFmtId="38" fontId="8" fillId="0" borderId="4" xfId="1" applyNumberFormat="1" applyFont="1" applyFill="1" applyBorder="1"/>
    <xf numFmtId="9" fontId="8" fillId="0" borderId="4" xfId="1" applyNumberFormat="1" applyFont="1" applyFill="1" applyBorder="1"/>
    <xf numFmtId="165" fontId="8" fillId="0" borderId="4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6" fontId="8" fillId="0" borderId="4" xfId="2" applyNumberFormat="1" applyFont="1" applyBorder="1" applyAlignment="1">
      <alignment horizontal="right"/>
    </xf>
    <xf numFmtId="6" fontId="8" fillId="0" borderId="4" xfId="1" applyNumberFormat="1" applyFont="1" applyFill="1" applyBorder="1" applyProtection="1">
      <protection locked="0"/>
    </xf>
    <xf numFmtId="6" fontId="8" fillId="0" borderId="4" xfId="2" applyNumberFormat="1" applyFont="1" applyBorder="1" applyAlignment="1" applyProtection="1">
      <alignment horizontal="right"/>
      <protection locked="0"/>
    </xf>
    <xf numFmtId="6" fontId="8" fillId="0" borderId="7" xfId="1" applyNumberFormat="1" applyFont="1" applyFill="1" applyBorder="1"/>
    <xf numFmtId="0" fontId="8" fillId="0" borderId="7" xfId="0" applyFont="1" applyBorder="1" applyAlignment="1">
      <alignment horizontal="right"/>
    </xf>
    <xf numFmtId="165" fontId="8" fillId="0" borderId="7" xfId="1" applyNumberFormat="1" applyFont="1" applyFill="1" applyBorder="1"/>
    <xf numFmtId="6" fontId="8" fillId="4" borderId="7" xfId="1" applyNumberFormat="1" applyFont="1" applyFill="1" applyBorder="1"/>
    <xf numFmtId="38" fontId="8" fillId="0" borderId="7" xfId="1" applyNumberFormat="1" applyFont="1" applyFill="1" applyBorder="1"/>
    <xf numFmtId="9" fontId="8" fillId="0" borderId="7" xfId="1" applyNumberFormat="1" applyFont="1" applyFill="1" applyBorder="1"/>
    <xf numFmtId="6" fontId="8" fillId="0" borderId="7" xfId="2" applyNumberFormat="1" applyFont="1" applyBorder="1" applyAlignment="1">
      <alignment horizontal="right"/>
    </xf>
    <xf numFmtId="165" fontId="8" fillId="0" borderId="7" xfId="0" applyNumberFormat="1" applyFont="1" applyBorder="1" applyAlignment="1">
      <alignment horizontal="center"/>
    </xf>
    <xf numFmtId="9" fontId="12" fillId="0" borderId="4" xfId="1" applyNumberFormat="1" applyFont="1" applyFill="1" applyBorder="1"/>
    <xf numFmtId="42" fontId="8" fillId="0" borderId="4" xfId="1" applyNumberFormat="1" applyFont="1" applyFill="1" applyBorder="1"/>
    <xf numFmtId="167" fontId="8" fillId="0" borderId="4" xfId="0" applyNumberFormat="1" applyFont="1" applyBorder="1"/>
    <xf numFmtId="38" fontId="8" fillId="0" borderId="4" xfId="0" applyNumberFormat="1" applyFont="1" applyBorder="1"/>
    <xf numFmtId="9" fontId="8" fillId="0" borderId="4" xfId="0" applyNumberFormat="1" applyFont="1" applyBorder="1" applyAlignment="1">
      <alignment horizontal="center"/>
    </xf>
    <xf numFmtId="0" fontId="11" fillId="0" borderId="0" xfId="0" applyFont="1"/>
    <xf numFmtId="167" fontId="11" fillId="0" borderId="0" xfId="1" applyNumberFormat="1" applyFont="1"/>
    <xf numFmtId="0" fontId="8" fillId="0" borderId="0" xfId="0" applyFont="1"/>
    <xf numFmtId="167" fontId="11" fillId="0" borderId="0" xfId="1" applyNumberFormat="1" applyFont="1" applyFill="1" applyBorder="1"/>
    <xf numFmtId="168" fontId="8" fillId="0" borderId="0" xfId="0" applyNumberFormat="1" applyFont="1" applyAlignment="1">
      <alignment horizontal="center"/>
    </xf>
    <xf numFmtId="168" fontId="11" fillId="0" borderId="0" xfId="0" applyNumberFormat="1" applyFont="1" applyAlignment="1">
      <alignment horizontal="center"/>
    </xf>
    <xf numFmtId="0" fontId="13" fillId="0" borderId="4" xfId="0" applyFont="1" applyBorder="1" applyAlignment="1">
      <alignment horizontal="center"/>
    </xf>
    <xf numFmtId="167" fontId="12" fillId="0" borderId="0" xfId="1" applyNumberFormat="1" applyFont="1"/>
    <xf numFmtId="167" fontId="12" fillId="0" borderId="0" xfId="1" applyNumberFormat="1" applyFont="1" applyFill="1"/>
    <xf numFmtId="167" fontId="12" fillId="0" borderId="0" xfId="1" applyNumberFormat="1" applyFont="1" applyBorder="1"/>
    <xf numFmtId="9" fontId="12" fillId="0" borderId="0" xfId="1" applyNumberFormat="1" applyFont="1" applyBorder="1"/>
    <xf numFmtId="167" fontId="12" fillId="0" borderId="0" xfId="1" applyNumberFormat="1" applyFont="1" applyFill="1" applyBorder="1"/>
    <xf numFmtId="167" fontId="8" fillId="0" borderId="0" xfId="0" applyNumberFormat="1" applyFont="1"/>
    <xf numFmtId="164" fontId="8" fillId="0" borderId="0" xfId="0" applyNumberFormat="1" applyFont="1"/>
    <xf numFmtId="167" fontId="8" fillId="0" borderId="0" xfId="1" applyNumberFormat="1" applyFont="1"/>
    <xf numFmtId="167" fontId="12" fillId="0" borderId="0" xfId="0" applyNumberFormat="1" applyFont="1"/>
    <xf numFmtId="0" fontId="12" fillId="0" borderId="0" xfId="0" applyFont="1" applyAlignment="1">
      <alignment horizontal="right"/>
    </xf>
    <xf numFmtId="6" fontId="8" fillId="0" borderId="0" xfId="0" applyNumberFormat="1" applyFont="1"/>
    <xf numFmtId="167" fontId="8" fillId="0" borderId="0" xfId="1" applyNumberFormat="1" applyFont="1" applyFill="1" applyBorder="1"/>
    <xf numFmtId="0" fontId="14" fillId="0" borderId="11" xfId="3" applyFont="1" applyBorder="1" applyAlignment="1">
      <alignment horizontal="center"/>
    </xf>
    <xf numFmtId="0" fontId="14" fillId="5" borderId="12" xfId="3" applyFont="1" applyFill="1" applyBorder="1" applyAlignment="1">
      <alignment horizontal="center" wrapText="1"/>
    </xf>
    <xf numFmtId="0" fontId="14" fillId="0" borderId="12" xfId="3" applyFont="1" applyBorder="1" applyAlignment="1">
      <alignment horizontal="center" wrapText="1"/>
    </xf>
    <xf numFmtId="0" fontId="14" fillId="0" borderId="13" xfId="3" quotePrefix="1" applyFont="1" applyBorder="1" applyAlignment="1">
      <alignment horizontal="center"/>
    </xf>
    <xf numFmtId="0" fontId="14" fillId="5" borderId="0" xfId="3" applyFont="1" applyFill="1" applyAlignment="1">
      <alignment horizontal="center" wrapText="1"/>
    </xf>
    <xf numFmtId="0" fontId="14" fillId="0" borderId="14" xfId="3" applyFont="1" applyBorder="1" applyAlignment="1">
      <alignment horizontal="center" wrapText="1"/>
    </xf>
    <xf numFmtId="0" fontId="15" fillId="6" borderId="15" xfId="3" applyFont="1" applyFill="1" applyBorder="1" applyAlignment="1">
      <alignment horizontal="center"/>
    </xf>
    <xf numFmtId="4" fontId="15" fillId="6" borderId="6" xfId="4" applyNumberFormat="1" applyFont="1" applyFill="1" applyBorder="1"/>
    <xf numFmtId="4" fontId="15" fillId="6" borderId="16" xfId="4" applyNumberFormat="1" applyFont="1" applyFill="1" applyBorder="1"/>
    <xf numFmtId="4" fontId="15" fillId="6" borderId="17" xfId="3" applyNumberFormat="1" applyFont="1" applyFill="1" applyBorder="1"/>
    <xf numFmtId="4" fontId="15" fillId="5" borderId="4" xfId="3" applyNumberFormat="1" applyFont="1" applyFill="1" applyBorder="1"/>
    <xf numFmtId="0" fontId="15" fillId="0" borderId="11" xfId="3" applyFont="1" applyBorder="1" applyAlignment="1">
      <alignment horizontal="center"/>
    </xf>
    <xf numFmtId="0" fontId="15" fillId="0" borderId="18" xfId="3" applyFont="1" applyBorder="1" applyAlignment="1">
      <alignment horizontal="center"/>
    </xf>
    <xf numFmtId="4" fontId="15" fillId="0" borderId="4" xfId="4" applyNumberFormat="1" applyFont="1" applyFill="1" applyBorder="1"/>
    <xf numFmtId="4" fontId="15" fillId="0" borderId="4" xfId="4" applyNumberFormat="1" applyFont="1" applyBorder="1"/>
    <xf numFmtId="4" fontId="15" fillId="0" borderId="8" xfId="4" applyNumberFormat="1" applyFont="1" applyBorder="1"/>
    <xf numFmtId="0" fontId="15" fillId="6" borderId="18" xfId="3" applyFont="1" applyFill="1" applyBorder="1" applyAlignment="1">
      <alignment horizontal="center"/>
    </xf>
    <xf numFmtId="4" fontId="15" fillId="6" borderId="4" xfId="4" applyNumberFormat="1" applyFont="1" applyFill="1" applyBorder="1"/>
    <xf numFmtId="4" fontId="15" fillId="6" borderId="8" xfId="4" applyNumberFormat="1" applyFont="1" applyFill="1" applyBorder="1"/>
    <xf numFmtId="4" fontId="15" fillId="0" borderId="8" xfId="4" applyNumberFormat="1" applyFont="1" applyFill="1" applyBorder="1"/>
    <xf numFmtId="0" fontId="15" fillId="7" borderId="18" xfId="3" applyFont="1" applyFill="1" applyBorder="1" applyAlignment="1">
      <alignment horizontal="center"/>
    </xf>
    <xf numFmtId="0" fontId="15" fillId="0" borderId="19" xfId="3" applyFont="1" applyBorder="1" applyAlignment="1">
      <alignment horizontal="center"/>
    </xf>
    <xf numFmtId="4" fontId="15" fillId="0" borderId="7" xfId="4" applyNumberFormat="1" applyFont="1" applyFill="1" applyBorder="1"/>
    <xf numFmtId="4" fontId="15" fillId="0" borderId="20" xfId="4" applyNumberFormat="1" applyFont="1" applyFill="1" applyBorder="1"/>
    <xf numFmtId="0" fontId="14" fillId="0" borderId="21" xfId="3" applyFont="1" applyBorder="1"/>
    <xf numFmtId="4" fontId="14" fillId="0" borderId="22" xfId="4" applyNumberFormat="1" applyFont="1" applyBorder="1"/>
    <xf numFmtId="4" fontId="14" fillId="0" borderId="23" xfId="4" applyNumberFormat="1" applyFont="1" applyBorder="1"/>
    <xf numFmtId="4" fontId="14" fillId="0" borderId="24" xfId="3" applyNumberFormat="1" applyFont="1" applyBorder="1"/>
    <xf numFmtId="4" fontId="14" fillId="5" borderId="24" xfId="3" applyNumberFormat="1" applyFont="1" applyFill="1" applyBorder="1"/>
    <xf numFmtId="0" fontId="15" fillId="0" borderId="11" xfId="3" applyFont="1" applyBorder="1"/>
    <xf numFmtId="0" fontId="15" fillId="0" borderId="0" xfId="3" applyFont="1"/>
    <xf numFmtId="166" fontId="15" fillId="0" borderId="0" xfId="3" applyNumberFormat="1" applyFont="1"/>
    <xf numFmtId="169" fontId="15" fillId="0" borderId="0" xfId="3" applyNumberFormat="1" applyFont="1" applyAlignment="1">
      <alignment horizontal="center"/>
    </xf>
    <xf numFmtId="4" fontId="14" fillId="0" borderId="0" xfId="3" applyNumberFormat="1" applyFont="1"/>
    <xf numFmtId="0" fontId="16" fillId="0" borderId="0" xfId="0" applyFont="1"/>
    <xf numFmtId="166" fontId="15" fillId="0" borderId="0" xfId="3" applyNumberFormat="1" applyFont="1" applyAlignment="1">
      <alignment horizontal="left"/>
    </xf>
    <xf numFmtId="166" fontId="15" fillId="6" borderId="4" xfId="4" applyNumberFormat="1" applyFont="1" applyFill="1" applyBorder="1"/>
    <xf numFmtId="166" fontId="15" fillId="6" borderId="17" xfId="3" applyNumberFormat="1" applyFont="1" applyFill="1" applyBorder="1"/>
    <xf numFmtId="166" fontId="15" fillId="0" borderId="4" xfId="4" applyNumberFormat="1" applyFont="1" applyBorder="1"/>
    <xf numFmtId="166" fontId="15" fillId="0" borderId="25" xfId="3" applyNumberFormat="1" applyFont="1" applyBorder="1"/>
    <xf numFmtId="166" fontId="15" fillId="6" borderId="25" xfId="3" applyNumberFormat="1" applyFont="1" applyFill="1" applyBorder="1"/>
    <xf numFmtId="166" fontId="15" fillId="6" borderId="6" xfId="4" applyNumberFormat="1" applyFont="1" applyFill="1" applyBorder="1"/>
    <xf numFmtId="166" fontId="15" fillId="0" borderId="4" xfId="4" applyNumberFormat="1" applyFont="1" applyFill="1" applyBorder="1"/>
    <xf numFmtId="0" fontId="15" fillId="6" borderId="19" xfId="3" applyFont="1" applyFill="1" applyBorder="1" applyAlignment="1">
      <alignment horizontal="center"/>
    </xf>
    <xf numFmtId="166" fontId="15" fillId="6" borderId="7" xfId="4" applyNumberFormat="1" applyFont="1" applyFill="1" applyBorder="1"/>
    <xf numFmtId="166" fontId="15" fillId="6" borderId="26" xfId="3" applyNumberFormat="1" applyFont="1" applyFill="1" applyBorder="1"/>
    <xf numFmtId="166" fontId="14" fillId="0" borderId="22" xfId="4" applyNumberFormat="1" applyFont="1" applyBorder="1"/>
    <xf numFmtId="166" fontId="14" fillId="0" borderId="24" xfId="3" applyNumberFormat="1" applyFont="1" applyBorder="1"/>
    <xf numFmtId="0" fontId="8" fillId="0" borderId="9" xfId="0" applyFont="1" applyBorder="1" applyAlignment="1">
      <alignment horizontal="right" wrapText="1"/>
    </xf>
    <xf numFmtId="167" fontId="11" fillId="0" borderId="10" xfId="1" applyNumberFormat="1" applyFont="1" applyBorder="1" applyAlignment="1">
      <alignment horizontal="right"/>
    </xf>
    <xf numFmtId="0" fontId="12" fillId="0" borderId="0" xfId="0" applyFont="1" applyAlignment="1">
      <alignment horizontal="right"/>
    </xf>
    <xf numFmtId="0" fontId="8" fillId="0" borderId="8" xfId="0" applyFont="1" applyBorder="1" applyAlignment="1">
      <alignment horizontal="left"/>
    </xf>
    <xf numFmtId="0" fontId="0" fillId="0" borderId="0" xfId="0" applyFont="1" applyAlignment="1">
      <alignment horizontal="left"/>
    </xf>
    <xf numFmtId="167" fontId="11" fillId="0" borderId="10" xfId="1" applyNumberFormat="1" applyFont="1" applyBorder="1" applyAlignment="1">
      <alignment horizontal="left"/>
    </xf>
    <xf numFmtId="0" fontId="17" fillId="0" borderId="2" xfId="0" quotePrefix="1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6" fontId="17" fillId="0" borderId="4" xfId="1" applyNumberFormat="1" applyFont="1" applyFill="1" applyBorder="1"/>
    <xf numFmtId="166" fontId="18" fillId="6" borderId="4" xfId="4" applyNumberFormat="1" applyFont="1" applyFill="1" applyBorder="1"/>
    <xf numFmtId="166" fontId="18" fillId="0" borderId="4" xfId="4" applyNumberFormat="1" applyFont="1" applyBorder="1"/>
    <xf numFmtId="166" fontId="18" fillId="0" borderId="4" xfId="4" applyNumberFormat="1" applyFont="1" applyFill="1" applyBorder="1"/>
  </cellXfs>
  <cellStyles count="5">
    <cellStyle name="Comma" xfId="1" builtinId="3"/>
    <cellStyle name="Comma 2" xfId="4" xr:uid="{5B7D1FCF-F062-4611-BDD4-AAF1466C166F}"/>
    <cellStyle name="Normal" xfId="0" builtinId="0"/>
    <cellStyle name="Normal 2 2" xfId="3" xr:uid="{1DCB1FD8-ED55-4675-A30C-D31E8A7E2403}"/>
    <cellStyle name="Normal 3" xfId="2" xr:uid="{36F1A8CD-95E2-4107-AD94-D146D7E7CE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I:\FPA-SPD\AAA%20Accounting\AAA%20OAA%20Allocations%20AY%2003-05-23-25\23-25%20OAA%20Planning%20Allocation\Amendment%202\23-25%20AAA%20Budget%20WIPT%2012.16.24%20Website\Copy%20of%2023-25%20AAA%20Budget%20WIPt-OFSt%2012.16.24-Amendment%202-OFS-NSIP%202023%20-FFY%202024%20NOAs%20.xlsx" TargetMode="External"/><Relationship Id="rId2" Type="http://schemas.microsoft.com/office/2019/04/relationships/externalLinkLongPath" Target="file:///I:\FPA-SPD\AAA%20Accounting\AAA%20OAA%20Allocations%20AY%2003-05-23-25\23-25%20OAA%20Planning%20Allocation\Amendment%202\23-25%20AAA%20Budget%20WIPT%2012.16.24%20Website\Copy%20of%2023-25%20AAA%20Budget%20WIPt-OFSt%2012.16.24-Amendment%202-OFS-NSIP%202023%20-FFY%202024%20NOAs%20.xlsx?DA4AC902" TargetMode="External"/><Relationship Id="rId1" Type="http://schemas.openxmlformats.org/officeDocument/2006/relationships/externalLinkPath" Target="file:///\\DA4AC902\Copy%20of%2023-25%20AAA%20Budget%20WIPt-OFSt%2012.16.24-Amendment%202-OFS-NSIP%202023%20-FFY%202024%20NOAs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Instructions"/>
      <sheetName val="3. Population-NSIP#"/>
      <sheetName val="4. Award History&amp;Projections "/>
      <sheetName val="5. Alloc Summary"/>
      <sheetName val="6. III B"/>
      <sheetName val="7. III C-1"/>
      <sheetName val="8. III C-2"/>
      <sheetName val="9. III D"/>
      <sheetName val="10. III E"/>
      <sheetName val="VII A"/>
      <sheetName val="VII A-LTCO"/>
      <sheetName val="11. VII B"/>
      <sheetName val="12. 21-23 Unspent"/>
      <sheetName val="21-23 Unspent-COVID"/>
      <sheetName val="13. NSIP"/>
      <sheetName val="NSIP-21-23 Unspent"/>
      <sheetName val="15. SPA - EB"/>
      <sheetName val="No wrong door"/>
      <sheetName val="14. SPA-Seq Mit."/>
      <sheetName val="16. OPI 60+"/>
      <sheetName val="17. OPI 19-59"/>
      <sheetName val="18. OPIM-1115 Expansion "/>
      <sheetName val="PopulationData"/>
      <sheetName val="Popul-ADRC sorted"/>
      <sheetName val="Source Information"/>
      <sheetName val="District AAA crosswalk"/>
      <sheetName val="ORAD agreement-Appendix L"/>
      <sheetName val="O4AD agreement-Appendix J-Old "/>
      <sheetName val="O4AD agreement-Old"/>
      <sheetName val="Land per square"/>
    </sheetNames>
    <sheetDataSet>
      <sheetData sheetId="0"/>
      <sheetData sheetId="1"/>
      <sheetData sheetId="2"/>
      <sheetData sheetId="3"/>
      <sheetData sheetId="4">
        <row r="23">
          <cell r="E23">
            <v>409501.17963007651</v>
          </cell>
        </row>
        <row r="24">
          <cell r="E24">
            <v>169879.37499861876</v>
          </cell>
        </row>
        <row r="25">
          <cell r="E25">
            <v>276656.69280611235</v>
          </cell>
        </row>
        <row r="26">
          <cell r="E26">
            <v>958166.17749776843</v>
          </cell>
        </row>
        <row r="27">
          <cell r="E27">
            <v>612274.06669843022</v>
          </cell>
        </row>
        <row r="28">
          <cell r="E28">
            <v>404970.23714828677</v>
          </cell>
        </row>
        <row r="29">
          <cell r="E29">
            <v>122454.76489724958</v>
          </cell>
        </row>
        <row r="30">
          <cell r="E30">
            <v>314030.15722577716</v>
          </cell>
        </row>
        <row r="31">
          <cell r="E31">
            <v>903680.80630889372</v>
          </cell>
        </row>
        <row r="32">
          <cell r="E32">
            <v>1338576.0039982721</v>
          </cell>
        </row>
        <row r="33">
          <cell r="E33">
            <v>168722.11448257597</v>
          </cell>
        </row>
        <row r="34">
          <cell r="E34">
            <v>1255505.3622669943</v>
          </cell>
        </row>
        <row r="35">
          <cell r="E35">
            <v>666073.40660729283</v>
          </cell>
        </row>
        <row r="36">
          <cell r="E36">
            <v>890397.65035124961</v>
          </cell>
        </row>
        <row r="37">
          <cell r="E37">
            <v>336719.12817008502</v>
          </cell>
        </row>
        <row r="38">
          <cell r="E38">
            <v>1034209.8769123177</v>
          </cell>
        </row>
        <row r="39">
          <cell r="E39">
            <v>9861817</v>
          </cell>
        </row>
      </sheetData>
      <sheetData sheetId="5">
        <row r="19">
          <cell r="D19">
            <v>488574</v>
          </cell>
        </row>
        <row r="20">
          <cell r="D20">
            <v>195297</v>
          </cell>
        </row>
        <row r="21">
          <cell r="D21">
            <v>273789</v>
          </cell>
        </row>
        <row r="22">
          <cell r="D22">
            <v>1422353</v>
          </cell>
        </row>
        <row r="23">
          <cell r="D23">
            <v>836693</v>
          </cell>
        </row>
        <row r="24">
          <cell r="D24">
            <v>531775</v>
          </cell>
        </row>
        <row r="25">
          <cell r="D25">
            <v>51429</v>
          </cell>
        </row>
        <row r="26">
          <cell r="D26">
            <v>322848</v>
          </cell>
        </row>
        <row r="27">
          <cell r="D27">
            <v>1317246</v>
          </cell>
        </row>
        <row r="28">
          <cell r="D28">
            <v>2029352</v>
          </cell>
        </row>
        <row r="29">
          <cell r="D29">
            <v>125774</v>
          </cell>
        </row>
        <row r="30">
          <cell r="D30">
            <v>1868743</v>
          </cell>
        </row>
        <row r="31">
          <cell r="D31">
            <v>949156</v>
          </cell>
        </row>
        <row r="32">
          <cell r="D32">
            <v>1297372</v>
          </cell>
        </row>
        <row r="33">
          <cell r="D33">
            <v>438060</v>
          </cell>
        </row>
        <row r="34">
          <cell r="D34">
            <v>1549989</v>
          </cell>
        </row>
        <row r="35">
          <cell r="D35">
            <v>13698450</v>
          </cell>
        </row>
      </sheetData>
      <sheetData sheetId="6">
        <row r="18">
          <cell r="D18">
            <v>327737</v>
          </cell>
        </row>
        <row r="19">
          <cell r="D19">
            <v>125738</v>
          </cell>
        </row>
        <row r="20">
          <cell r="D20">
            <v>179801</v>
          </cell>
        </row>
        <row r="21">
          <cell r="D21">
            <v>970892</v>
          </cell>
        </row>
        <row r="22">
          <cell r="D22">
            <v>567509</v>
          </cell>
        </row>
        <row r="23">
          <cell r="D23">
            <v>357493</v>
          </cell>
        </row>
        <row r="24">
          <cell r="D24">
            <v>26647</v>
          </cell>
        </row>
        <row r="25">
          <cell r="D25">
            <v>213591</v>
          </cell>
        </row>
        <row r="26">
          <cell r="D26">
            <v>898497</v>
          </cell>
        </row>
        <row r="27">
          <cell r="D27">
            <v>1388972</v>
          </cell>
        </row>
        <row r="28">
          <cell r="D28">
            <v>77853</v>
          </cell>
        </row>
        <row r="29">
          <cell r="D29">
            <v>1278349</v>
          </cell>
        </row>
        <row r="30">
          <cell r="D30">
            <v>644970</v>
          </cell>
        </row>
        <row r="31">
          <cell r="D31">
            <v>884809</v>
          </cell>
        </row>
        <row r="32">
          <cell r="D32">
            <v>292945</v>
          </cell>
        </row>
        <row r="33">
          <cell r="D33">
            <v>1058803</v>
          </cell>
        </row>
        <row r="34">
          <cell r="D34">
            <v>9294606</v>
          </cell>
        </row>
      </sheetData>
      <sheetData sheetId="7">
        <row r="18">
          <cell r="D18">
            <v>25664</v>
          </cell>
        </row>
        <row r="19">
          <cell r="D19">
            <v>10188</v>
          </cell>
        </row>
        <row r="20">
          <cell r="D20">
            <v>14838</v>
          </cell>
        </row>
        <row r="21">
          <cell r="D21">
            <v>58924</v>
          </cell>
        </row>
        <row r="22">
          <cell r="D22">
            <v>39859</v>
          </cell>
        </row>
        <row r="23">
          <cell r="D23">
            <v>28572</v>
          </cell>
        </row>
        <row r="24">
          <cell r="D24">
            <v>4487</v>
          </cell>
        </row>
        <row r="25">
          <cell r="D25">
            <v>18193</v>
          </cell>
        </row>
        <row r="26">
          <cell r="D26">
            <v>61719</v>
          </cell>
        </row>
        <row r="27">
          <cell r="D27">
            <v>103561</v>
          </cell>
        </row>
        <row r="28">
          <cell r="D28">
            <v>8806</v>
          </cell>
        </row>
        <row r="29">
          <cell r="D29">
            <v>94249</v>
          </cell>
        </row>
        <row r="30">
          <cell r="D30">
            <v>46661</v>
          </cell>
        </row>
        <row r="31">
          <cell r="D31">
            <v>67656</v>
          </cell>
        </row>
        <row r="32">
          <cell r="D32">
            <v>24049</v>
          </cell>
        </row>
        <row r="33">
          <cell r="D33">
            <v>77762</v>
          </cell>
        </row>
        <row r="34">
          <cell r="D34">
            <v>685188</v>
          </cell>
        </row>
      </sheetData>
      <sheetData sheetId="8">
        <row r="18">
          <cell r="D18">
            <v>196519.2515539926</v>
          </cell>
        </row>
        <row r="19">
          <cell r="D19">
            <v>60926.780416500762</v>
          </cell>
        </row>
        <row r="20">
          <cell r="D20">
            <v>124620.56863566849</v>
          </cell>
        </row>
        <row r="21">
          <cell r="D21">
            <v>469462.56572224217</v>
          </cell>
        </row>
        <row r="22">
          <cell r="D22">
            <v>309212.44635408453</v>
          </cell>
        </row>
        <row r="23">
          <cell r="D23">
            <v>201952.72489889464</v>
          </cell>
        </row>
        <row r="24">
          <cell r="D24">
            <v>37694.411347894034</v>
          </cell>
        </row>
        <row r="25">
          <cell r="D25">
            <v>147680.78058654797</v>
          </cell>
        </row>
        <row r="26">
          <cell r="D26">
            <v>473857.136832522</v>
          </cell>
        </row>
        <row r="27">
          <cell r="D27">
            <v>714971.49168728886</v>
          </cell>
        </row>
        <row r="28">
          <cell r="D28">
            <v>65276.584312018706</v>
          </cell>
        </row>
        <row r="29">
          <cell r="D29">
            <v>678398.14996387006</v>
          </cell>
        </row>
        <row r="30">
          <cell r="D30">
            <v>345659.87185422675</v>
          </cell>
        </row>
        <row r="31">
          <cell r="D31">
            <v>481007.53639411269</v>
          </cell>
        </row>
        <row r="32">
          <cell r="D32">
            <v>162893.8575558475</v>
          </cell>
        </row>
        <row r="33">
          <cell r="D33">
            <v>538622.84188428847</v>
          </cell>
        </row>
        <row r="34">
          <cell r="D34">
            <v>5008757</v>
          </cell>
        </row>
      </sheetData>
      <sheetData sheetId="9"/>
      <sheetData sheetId="10"/>
      <sheetData sheetId="11">
        <row r="23">
          <cell r="E23">
            <v>4372</v>
          </cell>
        </row>
        <row r="24">
          <cell r="E24">
            <v>2093</v>
          </cell>
        </row>
        <row r="25">
          <cell r="E25">
            <v>3109</v>
          </cell>
        </row>
        <row r="26">
          <cell r="E26">
            <v>9592</v>
          </cell>
        </row>
        <row r="27">
          <cell r="E27">
            <v>6301</v>
          </cell>
        </row>
        <row r="28">
          <cell r="E28">
            <v>4329</v>
          </cell>
        </row>
        <row r="29">
          <cell r="E29">
            <v>1642</v>
          </cell>
        </row>
        <row r="30">
          <cell r="E30">
            <v>3464</v>
          </cell>
        </row>
        <row r="31">
          <cell r="E31">
            <v>9073</v>
          </cell>
        </row>
        <row r="32">
          <cell r="E32">
            <v>13212</v>
          </cell>
        </row>
        <row r="33">
          <cell r="E33">
            <v>2082</v>
          </cell>
        </row>
        <row r="34">
          <cell r="E34">
            <v>12420</v>
          </cell>
        </row>
        <row r="35">
          <cell r="E35">
            <v>6813</v>
          </cell>
        </row>
        <row r="36">
          <cell r="E36">
            <v>8947</v>
          </cell>
        </row>
        <row r="37">
          <cell r="E37">
            <v>3680</v>
          </cell>
        </row>
        <row r="38">
          <cell r="E38">
            <v>10315</v>
          </cell>
        </row>
        <row r="39">
          <cell r="E39">
            <v>101444</v>
          </cell>
        </row>
      </sheetData>
      <sheetData sheetId="12">
        <row r="2">
          <cell r="I2">
            <v>159466</v>
          </cell>
        </row>
        <row r="3">
          <cell r="I3">
            <v>144357</v>
          </cell>
        </row>
        <row r="4">
          <cell r="I4">
            <v>192617</v>
          </cell>
        </row>
        <row r="5">
          <cell r="I5">
            <v>321449</v>
          </cell>
        </row>
        <row r="6">
          <cell r="I6">
            <v>99664</v>
          </cell>
        </row>
        <row r="7">
          <cell r="I7">
            <v>791074</v>
          </cell>
        </row>
        <row r="8">
          <cell r="I8">
            <v>5988</v>
          </cell>
        </row>
        <row r="9">
          <cell r="I9">
            <v>98744</v>
          </cell>
        </row>
        <row r="10">
          <cell r="I10">
            <v>302407</v>
          </cell>
        </row>
        <row r="11">
          <cell r="I11">
            <v>1410364</v>
          </cell>
        </row>
        <row r="12">
          <cell r="I12">
            <v>233720</v>
          </cell>
        </row>
        <row r="13">
          <cell r="I13">
            <v>3179351</v>
          </cell>
        </row>
        <row r="14">
          <cell r="I14">
            <v>971167</v>
          </cell>
        </row>
        <row r="15">
          <cell r="I15">
            <v>1377821</v>
          </cell>
        </row>
        <row r="16">
          <cell r="I16">
            <v>223634</v>
          </cell>
        </row>
        <row r="17">
          <cell r="I17">
            <v>1376051</v>
          </cell>
        </row>
      </sheetData>
      <sheetData sheetId="13">
        <row r="2">
          <cell r="J2">
            <v>496345</v>
          </cell>
        </row>
        <row r="3">
          <cell r="J3">
            <v>80789.34</v>
          </cell>
        </row>
        <row r="4">
          <cell r="J4">
            <v>22316</v>
          </cell>
        </row>
        <row r="5">
          <cell r="J5">
            <v>1394235.8399999999</v>
          </cell>
        </row>
        <row r="6">
          <cell r="J6">
            <v>4171</v>
          </cell>
        </row>
        <row r="7">
          <cell r="J7">
            <v>27320</v>
          </cell>
        </row>
        <row r="8">
          <cell r="J8">
            <v>295</v>
          </cell>
        </row>
        <row r="9">
          <cell r="J9">
            <v>220429</v>
          </cell>
        </row>
        <row r="10">
          <cell r="J10">
            <v>66378</v>
          </cell>
        </row>
        <row r="11">
          <cell r="J11">
            <v>1377531</v>
          </cell>
        </row>
        <row r="12">
          <cell r="J12">
            <v>8719</v>
          </cell>
        </row>
        <row r="13">
          <cell r="J13">
            <v>93941</v>
          </cell>
        </row>
        <row r="14">
          <cell r="J14">
            <v>980861.35999999987</v>
          </cell>
        </row>
        <row r="15">
          <cell r="J15">
            <v>601641</v>
          </cell>
        </row>
        <row r="16">
          <cell r="J16">
            <v>22009</v>
          </cell>
        </row>
        <row r="17">
          <cell r="J17">
            <v>1508044</v>
          </cell>
        </row>
        <row r="18">
          <cell r="J18">
            <v>6905025.54</v>
          </cell>
        </row>
      </sheetData>
      <sheetData sheetId="14">
        <row r="18">
          <cell r="E18">
            <v>113657</v>
          </cell>
        </row>
        <row r="19">
          <cell r="E19">
            <v>65057</v>
          </cell>
        </row>
        <row r="20">
          <cell r="E20">
            <v>97319</v>
          </cell>
        </row>
        <row r="21">
          <cell r="E21">
            <v>279957</v>
          </cell>
        </row>
        <row r="22">
          <cell r="E22">
            <v>133383</v>
          </cell>
        </row>
        <row r="23">
          <cell r="E23">
            <v>66908</v>
          </cell>
        </row>
        <row r="24">
          <cell r="E24">
            <v>14163</v>
          </cell>
        </row>
        <row r="25">
          <cell r="E25">
            <v>61698</v>
          </cell>
        </row>
        <row r="26">
          <cell r="E26">
            <v>213948</v>
          </cell>
        </row>
        <row r="27">
          <cell r="E27">
            <v>467882</v>
          </cell>
        </row>
        <row r="28">
          <cell r="E28">
            <v>19443</v>
          </cell>
        </row>
        <row r="29">
          <cell r="E29">
            <v>351973</v>
          </cell>
        </row>
        <row r="30">
          <cell r="E30">
            <v>172391</v>
          </cell>
        </row>
        <row r="31">
          <cell r="E31">
            <v>189663</v>
          </cell>
        </row>
        <row r="32">
          <cell r="E32">
            <v>127494</v>
          </cell>
        </row>
        <row r="33">
          <cell r="E33">
            <v>178302</v>
          </cell>
        </row>
        <row r="34">
          <cell r="E34">
            <v>2553238</v>
          </cell>
        </row>
      </sheetData>
      <sheetData sheetId="15">
        <row r="23">
          <cell r="E23">
            <v>381</v>
          </cell>
        </row>
        <row r="24">
          <cell r="E24">
            <v>199</v>
          </cell>
        </row>
        <row r="25">
          <cell r="E25">
            <v>311</v>
          </cell>
        </row>
        <row r="26">
          <cell r="E26">
            <v>781</v>
          </cell>
        </row>
        <row r="27">
          <cell r="E27">
            <v>365</v>
          </cell>
        </row>
        <row r="28">
          <cell r="E28">
            <v>229</v>
          </cell>
        </row>
        <row r="29">
          <cell r="E29">
            <v>44</v>
          </cell>
        </row>
        <row r="30">
          <cell r="E30">
            <v>311</v>
          </cell>
        </row>
        <row r="31">
          <cell r="E31">
            <v>645</v>
          </cell>
        </row>
        <row r="32">
          <cell r="E32">
            <v>32847</v>
          </cell>
        </row>
        <row r="33">
          <cell r="E33">
            <v>11882</v>
          </cell>
        </row>
        <row r="34">
          <cell r="E34">
            <v>911</v>
          </cell>
        </row>
        <row r="35">
          <cell r="E35">
            <v>525</v>
          </cell>
        </row>
        <row r="36">
          <cell r="E36">
            <v>680</v>
          </cell>
        </row>
        <row r="37">
          <cell r="E37">
            <v>412</v>
          </cell>
        </row>
        <row r="38">
          <cell r="E38">
            <v>496</v>
          </cell>
        </row>
      </sheetData>
      <sheetData sheetId="16">
        <row r="20">
          <cell r="D20">
            <v>-3.5568576624560994E-4</v>
          </cell>
        </row>
        <row r="21">
          <cell r="D21">
            <v>-1.1281126537238784E-4</v>
          </cell>
        </row>
        <row r="22">
          <cell r="D22">
            <v>-1.8578738442922519E-4</v>
          </cell>
        </row>
        <row r="23">
          <cell r="D23">
            <v>-8.7766529760989768E-4</v>
          </cell>
        </row>
        <row r="24">
          <cell r="D24">
            <v>-5.7846103673700499E-4</v>
          </cell>
        </row>
        <row r="25">
          <cell r="D25">
            <v>-4.0132440898643738E-4</v>
          </cell>
        </row>
        <row r="26">
          <cell r="D26">
            <v>-2.3337211402252251E-5</v>
          </cell>
        </row>
        <row r="27">
          <cell r="D27">
            <v>-2.3844056270752467E-4</v>
          </cell>
        </row>
        <row r="28">
          <cell r="D28">
            <v>-9.2153893124952298E-4</v>
          </cell>
        </row>
        <row r="29">
          <cell r="D29">
            <v>-1.5782059508518543E-3</v>
          </cell>
        </row>
        <row r="30">
          <cell r="D30">
            <v>-9.1121846007663105E-5</v>
          </cell>
        </row>
        <row r="31">
          <cell r="D31">
            <v>-1.4320565634713734E-3</v>
          </cell>
        </row>
        <row r="32">
          <cell r="D32">
            <v>-6.852085819094002E-4</v>
          </cell>
        </row>
        <row r="33">
          <cell r="D33">
            <v>-1.0147008003468854E-3</v>
          </cell>
        </row>
        <row r="34">
          <cell r="D34">
            <v>-3.3034295742656198E-4</v>
          </cell>
        </row>
        <row r="35">
          <cell r="D35">
            <v>-1.1733114352463999E-3</v>
          </cell>
        </row>
      </sheetData>
      <sheetData sheetId="17"/>
      <sheetData sheetId="18">
        <row r="18">
          <cell r="B18">
            <v>71670</v>
          </cell>
        </row>
        <row r="19">
          <cell r="B19">
            <v>26812</v>
          </cell>
        </row>
        <row r="20">
          <cell r="B20">
            <v>38818</v>
          </cell>
        </row>
        <row r="21">
          <cell r="B21">
            <v>214495</v>
          </cell>
        </row>
        <row r="22">
          <cell r="B22">
            <v>124916</v>
          </cell>
        </row>
        <row r="23">
          <cell r="B23">
            <v>78278</v>
          </cell>
        </row>
        <row r="24">
          <cell r="B24">
            <v>4807</v>
          </cell>
        </row>
        <row r="25">
          <cell r="B25">
            <v>46322</v>
          </cell>
        </row>
        <row r="26">
          <cell r="B26">
            <v>198418</v>
          </cell>
        </row>
        <row r="27">
          <cell r="B27">
            <v>307338</v>
          </cell>
        </row>
        <row r="28">
          <cell r="B28">
            <v>16179</v>
          </cell>
        </row>
        <row r="29">
          <cell r="B29">
            <v>282772</v>
          </cell>
        </row>
        <row r="30">
          <cell r="B30">
            <v>142118</v>
          </cell>
        </row>
        <row r="31">
          <cell r="B31">
            <v>195379</v>
          </cell>
        </row>
        <row r="32">
          <cell r="B32">
            <v>63944</v>
          </cell>
        </row>
        <row r="33">
          <cell r="B33">
            <v>234017</v>
          </cell>
        </row>
        <row r="34">
          <cell r="B34">
            <v>2046283</v>
          </cell>
        </row>
      </sheetData>
      <sheetData sheetId="19">
        <row r="18">
          <cell r="D18">
            <v>823152</v>
          </cell>
        </row>
        <row r="19">
          <cell r="D19">
            <v>266749</v>
          </cell>
        </row>
        <row r="20">
          <cell r="D20">
            <v>514686</v>
          </cell>
        </row>
        <row r="21">
          <cell r="D21">
            <v>2097152</v>
          </cell>
        </row>
        <row r="22">
          <cell r="D22">
            <v>1293990</v>
          </cell>
        </row>
        <row r="23">
          <cell r="D23">
            <v>812631</v>
          </cell>
        </row>
        <row r="24">
          <cell r="D24">
            <v>156630</v>
          </cell>
        </row>
        <row r="25">
          <cell r="D25">
            <v>601468</v>
          </cell>
        </row>
        <row r="26">
          <cell r="D26">
            <v>1970637</v>
          </cell>
        </row>
        <row r="27">
          <cell r="D27">
            <v>2980460</v>
          </cell>
        </row>
        <row r="28">
          <cell r="D28">
            <v>264063</v>
          </cell>
        </row>
        <row r="29">
          <cell r="D29">
            <v>2787573</v>
          </cell>
        </row>
        <row r="30">
          <cell r="D30">
            <v>1418913</v>
          </cell>
        </row>
        <row r="31">
          <cell r="D31">
            <v>1939794</v>
          </cell>
        </row>
        <row r="32">
          <cell r="D32">
            <v>654152</v>
          </cell>
        </row>
        <row r="33">
          <cell r="D33">
            <v>2273725</v>
          </cell>
        </row>
        <row r="34">
          <cell r="D34">
            <v>20855775</v>
          </cell>
        </row>
        <row r="36">
          <cell r="D36">
            <v>165000</v>
          </cell>
        </row>
      </sheetData>
      <sheetData sheetId="20">
        <row r="18">
          <cell r="D18">
            <v>396191.03471953911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822280.75396595465</v>
          </cell>
        </row>
        <row r="27">
          <cell r="D27">
            <v>1209591.1247600494</v>
          </cell>
        </row>
        <row r="28">
          <cell r="D28">
            <v>0</v>
          </cell>
        </row>
        <row r="29">
          <cell r="D29">
            <v>1153294.8242331236</v>
          </cell>
        </row>
        <row r="30">
          <cell r="D30">
            <v>595586.19838862785</v>
          </cell>
        </row>
        <row r="31">
          <cell r="D31">
            <v>809101.43339888554</v>
          </cell>
        </row>
        <row r="32">
          <cell r="D32">
            <v>0</v>
          </cell>
        </row>
        <row r="33">
          <cell r="D33">
            <v>924853.6305338199</v>
          </cell>
        </row>
        <row r="36">
          <cell r="D36">
            <v>-165000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2B62E-51DA-4492-B2D0-1A63E20EFA62}">
  <sheetPr>
    <pageSetUpPr fitToPage="1"/>
  </sheetPr>
  <dimension ref="A1:AJ24"/>
  <sheetViews>
    <sheetView tabSelected="1" zoomScaleNormal="100" zoomScalePageLayoutView="85" workbookViewId="0">
      <selection activeCell="N25" sqref="N25"/>
    </sheetView>
  </sheetViews>
  <sheetFormatPr defaultColWidth="9.109375" defaultRowHeight="14.4" x14ac:dyDescent="0.3"/>
  <cols>
    <col min="1" max="1" width="15" style="3" customWidth="1"/>
    <col min="2" max="3" width="10.88671875" style="3" customWidth="1"/>
    <col min="4" max="4" width="12.109375" style="3" customWidth="1"/>
    <col min="5" max="5" width="10.6640625" style="3" customWidth="1"/>
    <col min="6" max="6" width="10.6640625" style="3" bestFit="1" customWidth="1"/>
    <col min="7" max="7" width="11" style="3" customWidth="1"/>
    <col min="8" max="8" width="10.6640625" style="3" bestFit="1" customWidth="1"/>
    <col min="9" max="9" width="12.44140625" style="3" customWidth="1"/>
    <col min="10" max="10" width="7.44140625" style="3" customWidth="1"/>
    <col min="11" max="11" width="14.109375" style="3" customWidth="1"/>
    <col min="12" max="12" width="12.44140625" style="3" customWidth="1"/>
    <col min="13" max="13" width="11.5546875" style="3" customWidth="1"/>
    <col min="14" max="14" width="7.109375" style="3" customWidth="1"/>
    <col min="15" max="15" width="9.5546875" style="3" bestFit="1" customWidth="1"/>
    <col min="16" max="16" width="10.6640625" style="3" bestFit="1" customWidth="1"/>
    <col min="17" max="17" width="10.5546875" style="3" customWidth="1"/>
    <col min="18" max="18" width="7.44140625" style="3" customWidth="1"/>
    <col min="19" max="20" width="0" style="3" hidden="1" customWidth="1"/>
    <col min="21" max="21" width="12.109375" style="3" customWidth="1"/>
    <col min="22" max="22" width="9.33203125" style="3" bestFit="1" customWidth="1"/>
    <col min="23" max="23" width="11" style="3" customWidth="1"/>
    <col min="24" max="24" width="6.44140625" style="3" customWidth="1"/>
    <col min="25" max="25" width="12.33203125" style="3" customWidth="1"/>
    <col min="26" max="26" width="6" style="3" customWidth="1"/>
    <col min="27" max="27" width="12" style="3" customWidth="1"/>
    <col min="28" max="28" width="5.33203125" style="3" customWidth="1"/>
    <col min="29" max="29" width="10.33203125" style="3" bestFit="1" customWidth="1"/>
    <col min="30" max="30" width="13.5546875" style="3" customWidth="1"/>
    <col min="31" max="31" width="13.109375" style="3" customWidth="1"/>
    <col min="32" max="32" width="11.5546875" style="3" customWidth="1"/>
    <col min="33" max="33" width="18.109375" style="3" customWidth="1"/>
    <col min="34" max="34" width="8" style="3" customWidth="1"/>
    <col min="35" max="35" width="9.33203125" style="3" bestFit="1" customWidth="1"/>
    <col min="36" max="16384" width="9.109375" style="3"/>
  </cols>
  <sheetData>
    <row r="1" spans="1:36" ht="110.4" x14ac:dyDescent="0.3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  <c r="J1" s="5" t="s">
        <v>9</v>
      </c>
      <c r="K1" s="122" t="s">
        <v>10</v>
      </c>
      <c r="L1" s="122" t="s">
        <v>11</v>
      </c>
      <c r="M1" s="5" t="s">
        <v>12</v>
      </c>
      <c r="N1" s="5" t="s">
        <v>13</v>
      </c>
      <c r="O1" s="121" t="s">
        <v>14</v>
      </c>
      <c r="P1" s="7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8" t="s">
        <v>25</v>
      </c>
      <c r="AA1" s="8" t="s">
        <v>26</v>
      </c>
      <c r="AB1" s="8" t="s">
        <v>25</v>
      </c>
      <c r="AC1" s="8" t="s">
        <v>27</v>
      </c>
      <c r="AD1" s="8" t="s">
        <v>28</v>
      </c>
      <c r="AE1" s="8" t="s">
        <v>29</v>
      </c>
      <c r="AF1" s="8" t="s">
        <v>30</v>
      </c>
      <c r="AG1" s="9" t="s">
        <v>31</v>
      </c>
      <c r="AH1" s="10" t="s">
        <v>32</v>
      </c>
      <c r="AI1" s="11" t="s">
        <v>33</v>
      </c>
      <c r="AJ1" s="2"/>
    </row>
    <row r="2" spans="1:36" ht="39" customHeight="1" x14ac:dyDescent="0.3">
      <c r="A2" s="13" t="s">
        <v>34</v>
      </c>
      <c r="B2" s="14" t="s">
        <v>35</v>
      </c>
      <c r="C2" s="14">
        <v>93.043999999999997</v>
      </c>
      <c r="D2" s="14">
        <v>93.045000000000002</v>
      </c>
      <c r="E2" s="14">
        <v>93.045000000000002</v>
      </c>
      <c r="F2" s="14">
        <v>93.043000000000006</v>
      </c>
      <c r="G2" s="14">
        <v>93.052000000000007</v>
      </c>
      <c r="H2" s="14">
        <v>93.042000000000002</v>
      </c>
      <c r="I2" s="15"/>
      <c r="J2" s="14"/>
      <c r="K2" s="123" t="s">
        <v>36</v>
      </c>
      <c r="L2" s="123" t="s">
        <v>36</v>
      </c>
      <c r="M2" s="14">
        <v>93.052999999999997</v>
      </c>
      <c r="N2" s="14"/>
      <c r="O2" s="16"/>
      <c r="P2" s="17">
        <v>93.045000000000002</v>
      </c>
      <c r="Q2" s="18">
        <v>99.998999999999995</v>
      </c>
      <c r="R2" s="18"/>
      <c r="S2" s="18"/>
      <c r="T2" s="18"/>
      <c r="U2" s="18">
        <v>99.998999999999995</v>
      </c>
      <c r="V2" s="18"/>
      <c r="W2" s="18">
        <v>99.998999999999995</v>
      </c>
      <c r="X2" s="18"/>
      <c r="Y2" s="18" t="s">
        <v>37</v>
      </c>
      <c r="Z2" s="18"/>
      <c r="AA2" s="18" t="s">
        <v>37</v>
      </c>
      <c r="AB2" s="18"/>
      <c r="AC2" s="18" t="s">
        <v>38</v>
      </c>
      <c r="AD2" s="18" t="s">
        <v>39</v>
      </c>
      <c r="AE2" s="18" t="s">
        <v>40</v>
      </c>
      <c r="AF2" s="18" t="s">
        <v>41</v>
      </c>
      <c r="AG2" s="19"/>
      <c r="AH2" s="20"/>
      <c r="AI2" s="1"/>
      <c r="AJ2" s="2"/>
    </row>
    <row r="3" spans="1:36" s="12" customFormat="1" ht="13.8" x14ac:dyDescent="0.3">
      <c r="A3" s="54">
        <f t="shared" ref="A3:A18" si="0">AI3</f>
        <v>181168</v>
      </c>
      <c r="B3" s="21" t="s">
        <v>42</v>
      </c>
      <c r="C3" s="22">
        <f>'[1]6. III B'!E23</f>
        <v>409501.17963007651</v>
      </c>
      <c r="D3" s="22">
        <f>'[1]7. III C-1'!D19</f>
        <v>488574</v>
      </c>
      <c r="E3" s="22">
        <f>'[1]8. III C-2'!D18</f>
        <v>327737</v>
      </c>
      <c r="F3" s="22">
        <f>'[1]9. III D'!D18</f>
        <v>25664</v>
      </c>
      <c r="G3" s="22">
        <f>'[1]10. III E'!D18</f>
        <v>196519.2515539926</v>
      </c>
      <c r="H3" s="22">
        <f>'[1]11. VII B'!E23</f>
        <v>4372</v>
      </c>
      <c r="I3" s="23">
        <f t="shared" ref="I3:I18" si="1">SUM(C3:H3)</f>
        <v>1452367.431184069</v>
      </c>
      <c r="J3" s="24">
        <f t="shared" ref="J3:J18" si="2">SUM(I3/$I$19)</f>
        <v>3.7577169106488048E-2</v>
      </c>
      <c r="K3" s="124">
        <f>'[1]12. 21-23 Unspent'!I2</f>
        <v>159466</v>
      </c>
      <c r="L3" s="22">
        <f>'[1]21-23 Unspent-COVID'!J2</f>
        <v>496345</v>
      </c>
      <c r="M3" s="22">
        <f>'[1]13. NSIP'!E18</f>
        <v>113657</v>
      </c>
      <c r="N3" s="24">
        <f t="shared" ref="N3:N18" si="3">M3/$M$19</f>
        <v>4.4514847421196144E-2</v>
      </c>
      <c r="O3" s="22">
        <f>'[1]NSIP-21-23 Unspent'!E23</f>
        <v>381</v>
      </c>
      <c r="P3" s="25">
        <f>2151+2000</f>
        <v>4151</v>
      </c>
      <c r="Q3" s="22">
        <f>'[1]14. SPA-Seq Mit.'!B18</f>
        <v>71670</v>
      </c>
      <c r="R3" s="24">
        <f t="shared" ref="R3:R16" si="4">SUM(Q3/$Q$19)</f>
        <v>3.5024480973550577E-2</v>
      </c>
      <c r="S3" s="26">
        <f>'[1]15. SPA - EB'!D20</f>
        <v>-3.5568576624560994E-4</v>
      </c>
      <c r="T3" s="24"/>
      <c r="U3" s="22">
        <f>'[1]16. OPI 60+'!D18</f>
        <v>823152</v>
      </c>
      <c r="V3" s="24">
        <f t="shared" ref="V3:V18" si="5">SUM(U3/$U$19)</f>
        <v>3.9158974871288048E-2</v>
      </c>
      <c r="W3" s="27">
        <f>'[1]17. OPI 19-59'!D18</f>
        <v>396191.03471953911</v>
      </c>
      <c r="X3" s="24">
        <f t="shared" ref="X3:X18" si="6">SUM(W3/$W$19)</f>
        <v>6.895196638846926E-2</v>
      </c>
      <c r="Y3" s="28">
        <v>479857</v>
      </c>
      <c r="Z3" s="29">
        <v>0.04</v>
      </c>
      <c r="AA3" s="22"/>
      <c r="AB3" s="29"/>
      <c r="AC3" s="28"/>
      <c r="AD3" s="22"/>
      <c r="AE3" s="22"/>
      <c r="AF3" s="22"/>
      <c r="AG3" s="22">
        <f t="shared" ref="AG3:AG10" si="7">SUM(I3,K3,L3,M3,O3,P3,Q3,S3,U3,W3,Y3,AA3,AD3,AE3,AF3)</f>
        <v>3997237.465547923</v>
      </c>
      <c r="AH3" s="30">
        <f t="shared" ref="AH3:AH18" si="8">SUM(AG3/$AG$19)</f>
        <v>9.073088016221368E-3</v>
      </c>
      <c r="AI3" s="54">
        <v>181168</v>
      </c>
      <c r="AJ3" s="31" t="s">
        <v>43</v>
      </c>
    </row>
    <row r="4" spans="1:36" s="12" customFormat="1" ht="13.8" x14ac:dyDescent="0.3">
      <c r="A4" s="54">
        <f t="shared" si="0"/>
        <v>181169</v>
      </c>
      <c r="B4" s="21" t="s">
        <v>44</v>
      </c>
      <c r="C4" s="22">
        <f>'[1]6. III B'!E24</f>
        <v>169879.37499861876</v>
      </c>
      <c r="D4" s="22">
        <f>'[1]7. III C-1'!D20</f>
        <v>195297</v>
      </c>
      <c r="E4" s="22">
        <f>'[1]8. III C-2'!D19</f>
        <v>125738</v>
      </c>
      <c r="F4" s="22">
        <f>'[1]9. III D'!D19</f>
        <v>10188</v>
      </c>
      <c r="G4" s="22">
        <f>'[1]10. III E'!D19</f>
        <v>60926.780416500762</v>
      </c>
      <c r="H4" s="22">
        <f>'[1]11. VII B'!E24</f>
        <v>2093</v>
      </c>
      <c r="I4" s="23">
        <f t="shared" si="1"/>
        <v>564122.15541511949</v>
      </c>
      <c r="J4" s="24">
        <f t="shared" si="2"/>
        <v>1.4595558379788461E-2</v>
      </c>
      <c r="K4" s="124">
        <f>'[1]12. 21-23 Unspent'!I3</f>
        <v>144357</v>
      </c>
      <c r="L4" s="22">
        <f>'[1]21-23 Unspent-COVID'!J3</f>
        <v>80789.34</v>
      </c>
      <c r="M4" s="22">
        <f>'[1]13. NSIP'!E19</f>
        <v>65057</v>
      </c>
      <c r="N4" s="24">
        <f t="shared" si="3"/>
        <v>2.5480194169129552E-2</v>
      </c>
      <c r="O4" s="22">
        <f>'[1]NSIP-21-23 Unspent'!E24</f>
        <v>199</v>
      </c>
      <c r="P4" s="25">
        <v>2000</v>
      </c>
      <c r="Q4" s="22">
        <f>'[1]14. SPA-Seq Mit.'!B19</f>
        <v>26812</v>
      </c>
      <c r="R4" s="24">
        <f t="shared" si="4"/>
        <v>1.3102781971017694E-2</v>
      </c>
      <c r="S4" s="26">
        <f>'[1]15. SPA - EB'!D21</f>
        <v>-1.1281126537238784E-4</v>
      </c>
      <c r="T4" s="24"/>
      <c r="U4" s="22">
        <f>'[1]16. OPI 60+'!D19</f>
        <v>266749</v>
      </c>
      <c r="V4" s="24">
        <f t="shared" si="5"/>
        <v>1.2689779515740976E-2</v>
      </c>
      <c r="W4" s="27">
        <f>'[1]17. OPI 19-59'!D19</f>
        <v>0</v>
      </c>
      <c r="X4" s="24">
        <f t="shared" si="6"/>
        <v>0</v>
      </c>
      <c r="Y4" s="28">
        <v>155502</v>
      </c>
      <c r="Z4" s="29">
        <v>0.01</v>
      </c>
      <c r="AA4" s="22"/>
      <c r="AB4" s="29"/>
      <c r="AC4" s="28"/>
      <c r="AD4" s="22"/>
      <c r="AE4" s="22"/>
      <c r="AF4" s="22"/>
      <c r="AG4" s="22">
        <f t="shared" si="7"/>
        <v>1305587.4953023084</v>
      </c>
      <c r="AH4" s="30">
        <f t="shared" si="8"/>
        <v>2.96347423935998E-3</v>
      </c>
      <c r="AI4" s="54">
        <v>181169</v>
      </c>
      <c r="AJ4" s="31" t="s">
        <v>43</v>
      </c>
    </row>
    <row r="5" spans="1:36" s="12" customFormat="1" ht="13.8" x14ac:dyDescent="0.3">
      <c r="A5" s="54">
        <f t="shared" si="0"/>
        <v>181170</v>
      </c>
      <c r="B5" s="21" t="s">
        <v>45</v>
      </c>
      <c r="C5" s="22">
        <f>'[1]6. III B'!E25</f>
        <v>276656.69280611235</v>
      </c>
      <c r="D5" s="22">
        <f>'[1]7. III C-1'!D21</f>
        <v>273789</v>
      </c>
      <c r="E5" s="22">
        <f>'[1]8. III C-2'!D20</f>
        <v>179801</v>
      </c>
      <c r="F5" s="22">
        <f>'[1]9. III D'!D20</f>
        <v>14838</v>
      </c>
      <c r="G5" s="22">
        <f>'[1]10. III E'!D20</f>
        <v>124620.56863566849</v>
      </c>
      <c r="H5" s="22">
        <f>'[1]11. VII B'!E25</f>
        <v>3109</v>
      </c>
      <c r="I5" s="23">
        <f t="shared" si="1"/>
        <v>872814.26144178084</v>
      </c>
      <c r="J5" s="24">
        <f t="shared" si="2"/>
        <v>2.2582363385836319E-2</v>
      </c>
      <c r="K5" s="124">
        <f>'[1]12. 21-23 Unspent'!I4</f>
        <v>192617</v>
      </c>
      <c r="L5" s="22">
        <f>'[1]21-23 Unspent-COVID'!J4</f>
        <v>22316</v>
      </c>
      <c r="M5" s="22">
        <f>'[1]13. NSIP'!E20</f>
        <v>97319</v>
      </c>
      <c r="N5" s="24">
        <f t="shared" si="3"/>
        <v>3.811591398843351E-2</v>
      </c>
      <c r="O5" s="22">
        <f>'[1]NSIP-21-23 Unspent'!E25</f>
        <v>311</v>
      </c>
      <c r="P5" s="25">
        <v>2169</v>
      </c>
      <c r="Q5" s="22">
        <f>'[1]14. SPA-Seq Mit.'!B20</f>
        <v>38818</v>
      </c>
      <c r="R5" s="24">
        <f t="shared" si="4"/>
        <v>1.8970005615059109E-2</v>
      </c>
      <c r="S5" s="26">
        <f>'[1]15. SPA - EB'!D22</f>
        <v>-1.8578738442922519E-4</v>
      </c>
      <c r="T5" s="24"/>
      <c r="U5" s="22">
        <f>'[1]16. OPI 60+'!D20</f>
        <v>514686</v>
      </c>
      <c r="V5" s="24">
        <f t="shared" si="5"/>
        <v>2.4484634843387077E-2</v>
      </c>
      <c r="W5" s="27">
        <f>'[1]17. OPI 19-59'!D20</f>
        <v>0</v>
      </c>
      <c r="X5" s="24">
        <f t="shared" si="6"/>
        <v>0</v>
      </c>
      <c r="Y5" s="28">
        <v>300037</v>
      </c>
      <c r="Z5" s="29">
        <v>0.02</v>
      </c>
      <c r="AA5" s="22"/>
      <c r="AB5" s="29"/>
      <c r="AC5" s="28"/>
      <c r="AD5" s="22"/>
      <c r="AE5" s="22"/>
      <c r="AF5" s="22"/>
      <c r="AG5" s="22">
        <f t="shared" si="7"/>
        <v>2041087.2612559933</v>
      </c>
      <c r="AH5" s="30">
        <f t="shared" si="8"/>
        <v>4.6329407571549797E-3</v>
      </c>
      <c r="AI5" s="54">
        <v>181170</v>
      </c>
      <c r="AJ5" s="31" t="s">
        <v>43</v>
      </c>
    </row>
    <row r="6" spans="1:36" s="12" customFormat="1" ht="13.8" x14ac:dyDescent="0.3">
      <c r="A6" s="54">
        <f t="shared" si="0"/>
        <v>181171</v>
      </c>
      <c r="B6" s="21" t="s">
        <v>46</v>
      </c>
      <c r="C6" s="22">
        <f>'[1]6. III B'!E26</f>
        <v>958166.17749776843</v>
      </c>
      <c r="D6" s="22">
        <f>'[1]7. III C-1'!D22</f>
        <v>1422353</v>
      </c>
      <c r="E6" s="22">
        <f>'[1]8. III C-2'!D21</f>
        <v>970892</v>
      </c>
      <c r="F6" s="22">
        <f>'[1]9. III D'!D21</f>
        <v>58924</v>
      </c>
      <c r="G6" s="22">
        <f>'[1]10. III E'!D21</f>
        <v>469462.56572224217</v>
      </c>
      <c r="H6" s="22">
        <f>'[1]11. VII B'!E26</f>
        <v>9592</v>
      </c>
      <c r="I6" s="23">
        <f t="shared" si="1"/>
        <v>3889389.7432200103</v>
      </c>
      <c r="J6" s="24">
        <f t="shared" si="2"/>
        <v>0.10063035907026996</v>
      </c>
      <c r="K6" s="124">
        <f>'[1]12. 21-23 Unspent'!I5</f>
        <v>321449</v>
      </c>
      <c r="L6" s="22">
        <f>'[1]21-23 Unspent-COVID'!J5</f>
        <v>1394235.8399999999</v>
      </c>
      <c r="M6" s="22">
        <f>'[1]13. NSIP'!E21</f>
        <v>279957</v>
      </c>
      <c r="N6" s="24">
        <f t="shared" si="3"/>
        <v>0.10964782758207421</v>
      </c>
      <c r="O6" s="22">
        <f>'[1]NSIP-21-23 Unspent'!E26</f>
        <v>781</v>
      </c>
      <c r="P6" s="25">
        <v>7293</v>
      </c>
      <c r="Q6" s="22">
        <f>'[1]14. SPA-Seq Mit.'!B21</f>
        <v>214495</v>
      </c>
      <c r="R6" s="24">
        <f t="shared" si="4"/>
        <v>0.10482176707718337</v>
      </c>
      <c r="S6" s="26">
        <f>'[1]15. SPA - EB'!D23</f>
        <v>-8.7766529760989768E-4</v>
      </c>
      <c r="T6" s="24"/>
      <c r="U6" s="22">
        <f>'[1]16. OPI 60+'!D21</f>
        <v>2097152</v>
      </c>
      <c r="V6" s="24">
        <f t="shared" si="5"/>
        <v>9.9765684186239559E-2</v>
      </c>
      <c r="W6" s="27">
        <f>'[1]17. OPI 19-59'!D21</f>
        <v>0</v>
      </c>
      <c r="X6" s="24">
        <f t="shared" si="6"/>
        <v>0</v>
      </c>
      <c r="Y6" s="28">
        <v>1222537</v>
      </c>
      <c r="Z6" s="29">
        <v>0.1</v>
      </c>
      <c r="AA6" s="22"/>
      <c r="AB6" s="29"/>
      <c r="AC6" s="28"/>
      <c r="AD6" s="22"/>
      <c r="AE6" s="22"/>
      <c r="AF6" s="32"/>
      <c r="AG6" s="22">
        <f t="shared" si="7"/>
        <v>9427289.5823423453</v>
      </c>
      <c r="AH6" s="30">
        <f t="shared" si="8"/>
        <v>2.1398435512580732E-2</v>
      </c>
      <c r="AI6" s="54">
        <v>181171</v>
      </c>
      <c r="AJ6" s="31" t="s">
        <v>43</v>
      </c>
    </row>
    <row r="7" spans="1:36" s="12" customFormat="1" ht="13.8" x14ac:dyDescent="0.3">
      <c r="A7" s="54">
        <f t="shared" si="0"/>
        <v>181172</v>
      </c>
      <c r="B7" s="21" t="s">
        <v>47</v>
      </c>
      <c r="C7" s="22">
        <f>'[1]6. III B'!E27</f>
        <v>612274.06669843022</v>
      </c>
      <c r="D7" s="22">
        <f>'[1]7. III C-1'!D23</f>
        <v>836693</v>
      </c>
      <c r="E7" s="22">
        <f>'[1]8. III C-2'!D22</f>
        <v>567509</v>
      </c>
      <c r="F7" s="22">
        <f>'[1]9. III D'!D22</f>
        <v>39859</v>
      </c>
      <c r="G7" s="22">
        <f>'[1]10. III E'!D22</f>
        <v>309212.44635408453</v>
      </c>
      <c r="H7" s="22">
        <f>'[1]11. VII B'!E27</f>
        <v>6301</v>
      </c>
      <c r="I7" s="23">
        <f t="shared" si="1"/>
        <v>2371848.5130525148</v>
      </c>
      <c r="J7" s="24">
        <f t="shared" si="2"/>
        <v>6.1366945275882344E-2</v>
      </c>
      <c r="K7" s="124">
        <f>'[1]12. 21-23 Unspent'!I6</f>
        <v>99664</v>
      </c>
      <c r="L7" s="22">
        <f>'[1]21-23 Unspent-COVID'!J6</f>
        <v>4171</v>
      </c>
      <c r="M7" s="22">
        <f>'[1]13. NSIP'!E22</f>
        <v>133383</v>
      </c>
      <c r="N7" s="24">
        <f t="shared" si="3"/>
        <v>5.224072334815634E-2</v>
      </c>
      <c r="O7" s="22">
        <f>'[1]NSIP-21-23 Unspent'!E27</f>
        <v>365</v>
      </c>
      <c r="P7" s="25">
        <v>4084</v>
      </c>
      <c r="Q7" s="22">
        <f>'[1]14. SPA-Seq Mit.'!B22</f>
        <v>124916</v>
      </c>
      <c r="R7" s="24">
        <f t="shared" si="4"/>
        <v>6.1045319733389759E-2</v>
      </c>
      <c r="S7" s="26">
        <f>'[1]15. SPA - EB'!D24</f>
        <v>-5.7846103673700499E-4</v>
      </c>
      <c r="T7" s="24"/>
      <c r="U7" s="22">
        <f>'[1]16. OPI 60+'!D22</f>
        <v>1293990</v>
      </c>
      <c r="V7" s="24">
        <f t="shared" si="5"/>
        <v>6.1557673301769318E-2</v>
      </c>
      <c r="W7" s="27">
        <f>'[1]17. OPI 19-59'!D22</f>
        <v>0</v>
      </c>
      <c r="X7" s="24">
        <f t="shared" si="6"/>
        <v>0</v>
      </c>
      <c r="Y7" s="28">
        <v>754333</v>
      </c>
      <c r="Z7" s="29">
        <v>0.06</v>
      </c>
      <c r="AA7" s="22"/>
      <c r="AB7" s="29"/>
      <c r="AC7" s="28"/>
      <c r="AD7" s="22"/>
      <c r="AE7" s="22"/>
      <c r="AF7" s="22"/>
      <c r="AG7" s="22">
        <f t="shared" si="7"/>
        <v>4786754.5124740535</v>
      </c>
      <c r="AH7" s="30">
        <f t="shared" si="8"/>
        <v>1.0865165099158957E-2</v>
      </c>
      <c r="AI7" s="54">
        <v>181172</v>
      </c>
      <c r="AJ7" s="31" t="s">
        <v>43</v>
      </c>
    </row>
    <row r="8" spans="1:36" s="12" customFormat="1" ht="13.8" x14ac:dyDescent="0.3">
      <c r="A8" s="54">
        <f t="shared" si="0"/>
        <v>181146</v>
      </c>
      <c r="B8" s="21" t="s">
        <v>48</v>
      </c>
      <c r="C8" s="22">
        <f>'[1]6. III B'!E28</f>
        <v>404970.23714828677</v>
      </c>
      <c r="D8" s="22">
        <f>'[1]7. III C-1'!D24</f>
        <v>531775</v>
      </c>
      <c r="E8" s="22">
        <f>'[1]8. III C-2'!D23</f>
        <v>357493</v>
      </c>
      <c r="F8" s="22">
        <f>'[1]9. III D'!D23</f>
        <v>28572</v>
      </c>
      <c r="G8" s="22">
        <f>'[1]10. III E'!D23</f>
        <v>201952.72489889464</v>
      </c>
      <c r="H8" s="22">
        <f>'[1]11. VII B'!E28</f>
        <v>4329</v>
      </c>
      <c r="I8" s="23">
        <f t="shared" si="1"/>
        <v>1529091.9620471813</v>
      </c>
      <c r="J8" s="24">
        <f t="shared" si="2"/>
        <v>3.9562266409660596E-2</v>
      </c>
      <c r="K8" s="124">
        <f>'[1]12. 21-23 Unspent'!I7</f>
        <v>791074</v>
      </c>
      <c r="L8" s="22">
        <f>'[1]21-23 Unspent-COVID'!J7</f>
        <v>27320</v>
      </c>
      <c r="M8" s="22">
        <f>'[1]13. NSIP'!E23</f>
        <v>66908</v>
      </c>
      <c r="N8" s="24">
        <f t="shared" si="3"/>
        <v>2.6205155962742213E-2</v>
      </c>
      <c r="O8" s="22">
        <f>'[1]NSIP-21-23 Unspent'!E28</f>
        <v>229</v>
      </c>
      <c r="P8" s="25">
        <v>3572</v>
      </c>
      <c r="Q8" s="22">
        <f>'[1]14. SPA-Seq Mit.'!B23</f>
        <v>78278</v>
      </c>
      <c r="R8" s="24">
        <f t="shared" si="4"/>
        <v>3.8253750825276857E-2</v>
      </c>
      <c r="S8" s="26">
        <f>'[1]15. SPA - EB'!D25</f>
        <v>-4.0132440898643738E-4</v>
      </c>
      <c r="T8" s="24"/>
      <c r="U8" s="22">
        <f>'[1]16. OPI 60+'!D23</f>
        <v>812631</v>
      </c>
      <c r="V8" s="24">
        <f t="shared" si="5"/>
        <v>3.8658470013593696E-2</v>
      </c>
      <c r="W8" s="27">
        <f>'[1]17. OPI 19-59'!D23</f>
        <v>0</v>
      </c>
      <c r="X8" s="24">
        <f t="shared" si="6"/>
        <v>0</v>
      </c>
      <c r="Y8" s="28">
        <v>473724</v>
      </c>
      <c r="Z8" s="29">
        <v>0.04</v>
      </c>
      <c r="AA8" s="22"/>
      <c r="AB8" s="29"/>
      <c r="AC8" s="28"/>
      <c r="AD8" s="22"/>
      <c r="AE8" s="33">
        <v>242140</v>
      </c>
      <c r="AF8" s="32"/>
      <c r="AG8" s="22">
        <f t="shared" si="7"/>
        <v>4024967.9616458565</v>
      </c>
      <c r="AH8" s="30">
        <f t="shared" si="8"/>
        <v>9.1360317952684164E-3</v>
      </c>
      <c r="AI8" s="54">
        <v>181146</v>
      </c>
      <c r="AJ8" s="31" t="s">
        <v>43</v>
      </c>
    </row>
    <row r="9" spans="1:36" s="12" customFormat="1" ht="13.8" x14ac:dyDescent="0.3">
      <c r="A9" s="54">
        <f t="shared" si="0"/>
        <v>181174</v>
      </c>
      <c r="B9" s="21" t="s">
        <v>49</v>
      </c>
      <c r="C9" s="22">
        <f>'[1]6. III B'!E29</f>
        <v>122454.76489724958</v>
      </c>
      <c r="D9" s="22">
        <f>'[1]7. III C-1'!D25</f>
        <v>51429</v>
      </c>
      <c r="E9" s="22">
        <f>'[1]8. III C-2'!D24</f>
        <v>26647</v>
      </c>
      <c r="F9" s="22">
        <f>'[1]9. III D'!D24</f>
        <v>4487</v>
      </c>
      <c r="G9" s="22">
        <f>'[1]10. III E'!D24</f>
        <v>37694.411347894034</v>
      </c>
      <c r="H9" s="22">
        <f>'[1]11. VII B'!E29</f>
        <v>1642</v>
      </c>
      <c r="I9" s="23">
        <f t="shared" si="1"/>
        <v>244354.17624514361</v>
      </c>
      <c r="J9" s="24">
        <f t="shared" si="2"/>
        <v>6.3221868003157031E-3</v>
      </c>
      <c r="K9" s="124">
        <f>'[1]12. 21-23 Unspent'!I8</f>
        <v>5988</v>
      </c>
      <c r="L9" s="22">
        <f>'[1]21-23 Unspent-COVID'!J8</f>
        <v>295</v>
      </c>
      <c r="M9" s="22">
        <f>'[1]13. NSIP'!E24</f>
        <v>14163</v>
      </c>
      <c r="N9" s="24">
        <f t="shared" si="3"/>
        <v>5.5470739508028631E-3</v>
      </c>
      <c r="O9" s="22">
        <f>'[1]NSIP-21-23 Unspent'!E29</f>
        <v>44</v>
      </c>
      <c r="P9" s="25">
        <v>2000</v>
      </c>
      <c r="Q9" s="22">
        <f>'[1]14. SPA-Seq Mit.'!B24</f>
        <v>4807</v>
      </c>
      <c r="R9" s="24">
        <f t="shared" si="4"/>
        <v>2.3491374360242448E-3</v>
      </c>
      <c r="S9" s="26">
        <f>'[1]15. SPA - EB'!D26</f>
        <v>-2.3337211402252251E-5</v>
      </c>
      <c r="T9" s="24"/>
      <c r="U9" s="22">
        <f>'[1]16. OPI 60+'!D24</f>
        <v>156630</v>
      </c>
      <c r="V9" s="24">
        <f t="shared" si="5"/>
        <v>7.4512000627950208E-3</v>
      </c>
      <c r="W9" s="27">
        <f>'[1]17. OPI 19-59'!D24</f>
        <v>0</v>
      </c>
      <c r="X9" s="24">
        <f t="shared" si="6"/>
        <v>0</v>
      </c>
      <c r="Y9" s="28">
        <v>91308</v>
      </c>
      <c r="Z9" s="29">
        <v>0.01</v>
      </c>
      <c r="AA9" s="22"/>
      <c r="AB9" s="29"/>
      <c r="AC9" s="28"/>
      <c r="AD9" s="22"/>
      <c r="AE9" s="22"/>
      <c r="AF9" s="22"/>
      <c r="AG9" s="22">
        <f t="shared" si="7"/>
        <v>519589.17622180644</v>
      </c>
      <c r="AH9" s="30">
        <f t="shared" si="8"/>
        <v>1.1793841043392184E-3</v>
      </c>
      <c r="AI9" s="54">
        <v>181174</v>
      </c>
      <c r="AJ9" s="31" t="s">
        <v>43</v>
      </c>
    </row>
    <row r="10" spans="1:36" s="12" customFormat="1" ht="13.8" x14ac:dyDescent="0.3">
      <c r="A10" s="54">
        <f t="shared" si="0"/>
        <v>181177</v>
      </c>
      <c r="B10" s="21" t="s">
        <v>50</v>
      </c>
      <c r="C10" s="22">
        <f>'[1]6. III B'!E30</f>
        <v>314030.15722577716</v>
      </c>
      <c r="D10" s="22">
        <f>'[1]7. III C-1'!D26</f>
        <v>322848</v>
      </c>
      <c r="E10" s="22">
        <f>'[1]8. III C-2'!D25</f>
        <v>213591</v>
      </c>
      <c r="F10" s="22">
        <f>'[1]9. III D'!D25</f>
        <v>18193</v>
      </c>
      <c r="G10" s="22">
        <f>'[1]10. III E'!D25</f>
        <v>147680.78058654797</v>
      </c>
      <c r="H10" s="22">
        <f>'[1]11. VII B'!E30</f>
        <v>3464</v>
      </c>
      <c r="I10" s="23">
        <f t="shared" si="1"/>
        <v>1019806.9378123251</v>
      </c>
      <c r="J10" s="24">
        <f t="shared" si="2"/>
        <v>2.6385511637989027E-2</v>
      </c>
      <c r="K10" s="124">
        <f>'[1]12. 21-23 Unspent'!I9</f>
        <v>98744</v>
      </c>
      <c r="L10" s="22">
        <f>'[1]21-23 Unspent-COVID'!J9</f>
        <v>220429</v>
      </c>
      <c r="M10" s="22">
        <f>'[1]13. NSIP'!E25</f>
        <v>61698</v>
      </c>
      <c r="N10" s="24">
        <f t="shared" si="3"/>
        <v>2.4164609801358119E-2</v>
      </c>
      <c r="O10" s="22">
        <f>'[1]NSIP-21-23 Unspent'!E30</f>
        <v>311</v>
      </c>
      <c r="P10" s="25">
        <v>2383</v>
      </c>
      <c r="Q10" s="22">
        <f>'[1]14. SPA-Seq Mit.'!B25</f>
        <v>46322</v>
      </c>
      <c r="R10" s="24">
        <f t="shared" si="4"/>
        <v>2.2637142565324543E-2</v>
      </c>
      <c r="S10" s="26">
        <f>'[1]15. SPA - EB'!D27</f>
        <v>-2.3844056270752467E-4</v>
      </c>
      <c r="T10" s="24"/>
      <c r="U10" s="22">
        <f>'[1]16. OPI 60+'!D25</f>
        <v>601468</v>
      </c>
      <c r="V10" s="24">
        <f t="shared" si="5"/>
        <v>2.8613026874603816E-2</v>
      </c>
      <c r="W10" s="27">
        <f>'[1]17. OPI 19-59'!D25</f>
        <v>0</v>
      </c>
      <c r="X10" s="24">
        <f t="shared" si="6"/>
        <v>0</v>
      </c>
      <c r="Y10" s="28">
        <v>350626</v>
      </c>
      <c r="Z10" s="29">
        <v>0.03</v>
      </c>
      <c r="AA10" s="22"/>
      <c r="AB10" s="29"/>
      <c r="AC10" s="28"/>
      <c r="AD10" s="22"/>
      <c r="AE10" s="22"/>
      <c r="AF10" s="22"/>
      <c r="AG10" s="22">
        <f t="shared" si="7"/>
        <v>2401787.9375738846</v>
      </c>
      <c r="AH10" s="30">
        <f t="shared" si="8"/>
        <v>5.4516734474066453E-3</v>
      </c>
      <c r="AI10" s="54">
        <v>181177</v>
      </c>
      <c r="AJ10" s="31" t="s">
        <v>43</v>
      </c>
    </row>
    <row r="11" spans="1:36" s="12" customFormat="1" ht="13.8" x14ac:dyDescent="0.3">
      <c r="A11" s="54">
        <f t="shared" si="0"/>
        <v>181149</v>
      </c>
      <c r="B11" s="21" t="s">
        <v>51</v>
      </c>
      <c r="C11" s="22">
        <f>'[1]6. III B'!E31</f>
        <v>903680.80630889372</v>
      </c>
      <c r="D11" s="22">
        <f>'[1]7. III C-1'!D27</f>
        <v>1317246</v>
      </c>
      <c r="E11" s="22">
        <f>'[1]8. III C-2'!D26</f>
        <v>898497</v>
      </c>
      <c r="F11" s="22">
        <f>'[1]9. III D'!D26</f>
        <v>61719</v>
      </c>
      <c r="G11" s="22">
        <f>'[1]10. III E'!D26</f>
        <v>473857.136832522</v>
      </c>
      <c r="H11" s="22">
        <f>'[1]11. VII B'!E31</f>
        <v>9073</v>
      </c>
      <c r="I11" s="23">
        <f t="shared" si="1"/>
        <v>3664072.9431414157</v>
      </c>
      <c r="J11" s="24">
        <f t="shared" si="2"/>
        <v>9.480072717596108E-2</v>
      </c>
      <c r="K11" s="124">
        <f>'[1]12. 21-23 Unspent'!I10</f>
        <v>302407</v>
      </c>
      <c r="L11" s="22">
        <f>'[1]21-23 Unspent-COVID'!J10</f>
        <v>66378</v>
      </c>
      <c r="M11" s="22">
        <f>'[1]13. NSIP'!E26</f>
        <v>213948</v>
      </c>
      <c r="N11" s="24">
        <f t="shared" si="3"/>
        <v>8.3794773538542033E-2</v>
      </c>
      <c r="O11" s="22">
        <f>'[1]NSIP-21-23 Unspent'!E31</f>
        <v>645</v>
      </c>
      <c r="P11" s="25">
        <v>8348</v>
      </c>
      <c r="Q11" s="22">
        <f>'[1]14. SPA-Seq Mit.'!B26</f>
        <v>198418</v>
      </c>
      <c r="R11" s="24">
        <f t="shared" si="4"/>
        <v>9.6965082542346287E-2</v>
      </c>
      <c r="S11" s="26">
        <f>'[1]15. SPA - EB'!D28</f>
        <v>-9.2153893124952298E-4</v>
      </c>
      <c r="T11" s="24"/>
      <c r="U11" s="22">
        <f>'[1]16. OPI 60+'!D26+'[1]16. OPI 60+'!D36</f>
        <v>2135637</v>
      </c>
      <c r="V11" s="24">
        <f t="shared" si="5"/>
        <v>0.1015964920418015</v>
      </c>
      <c r="W11" s="27">
        <f>'[1]17. OPI 19-59'!D26+'[1]17. OPI 19-59'!D36</f>
        <v>657280.75396595465</v>
      </c>
      <c r="X11" s="24">
        <f t="shared" si="6"/>
        <v>0.11439128219377936</v>
      </c>
      <c r="Y11" s="28">
        <v>1148784</v>
      </c>
      <c r="Z11" s="29">
        <v>0.09</v>
      </c>
      <c r="AA11" s="22">
        <v>970726</v>
      </c>
      <c r="AB11" s="29">
        <v>0.2</v>
      </c>
      <c r="AC11" s="22">
        <v>112533.2</v>
      </c>
      <c r="AD11" s="33">
        <f>10633914+3257078</f>
        <v>13890992</v>
      </c>
      <c r="AE11" s="33">
        <v>46394534</v>
      </c>
      <c r="AF11" s="34">
        <v>1749714</v>
      </c>
      <c r="AG11" s="22">
        <f>SUM(I11,K11,L11,M11,O11,P11,Q11,S11,U11,W11,Y11,AA11,AC11,AD11,AE11,AF11)</f>
        <v>71514417.89618583</v>
      </c>
      <c r="AH11" s="30">
        <f t="shared" si="8"/>
        <v>0.16232625997164477</v>
      </c>
      <c r="AI11" s="54">
        <v>181149</v>
      </c>
      <c r="AJ11" s="31" t="s">
        <v>43</v>
      </c>
    </row>
    <row r="12" spans="1:36" s="12" customFormat="1" ht="13.8" x14ac:dyDescent="0.3">
      <c r="A12" s="54">
        <f t="shared" si="0"/>
        <v>181147</v>
      </c>
      <c r="B12" s="21" t="s">
        <v>52</v>
      </c>
      <c r="C12" s="22">
        <f>'[1]6. III B'!E32</f>
        <v>1338576.0039982721</v>
      </c>
      <c r="D12" s="22">
        <f>'[1]7. III C-1'!D28</f>
        <v>2029352</v>
      </c>
      <c r="E12" s="22">
        <f>'[1]8. III C-2'!D27</f>
        <v>1388972</v>
      </c>
      <c r="F12" s="22">
        <f>'[1]9. III D'!D27</f>
        <v>103561</v>
      </c>
      <c r="G12" s="22">
        <f>'[1]10. III E'!D27</f>
        <v>714971.49168728886</v>
      </c>
      <c r="H12" s="22">
        <f>'[1]11. VII B'!E32</f>
        <v>13212</v>
      </c>
      <c r="I12" s="23">
        <f t="shared" si="1"/>
        <v>5588644.4956855606</v>
      </c>
      <c r="J12" s="24">
        <f t="shared" si="2"/>
        <v>0.14459525515468849</v>
      </c>
      <c r="K12" s="124">
        <f>'[1]12. 21-23 Unspent'!I11</f>
        <v>1410364</v>
      </c>
      <c r="L12" s="22">
        <f>'[1]21-23 Unspent-COVID'!J11</f>
        <v>1377531</v>
      </c>
      <c r="M12" s="22">
        <f>'[1]13. NSIP'!E27</f>
        <v>467882</v>
      </c>
      <c r="N12" s="24">
        <f t="shared" si="3"/>
        <v>0.18325044512105804</v>
      </c>
      <c r="O12" s="22">
        <f>'[1]NSIP-21-23 Unspent'!E32</f>
        <v>32847</v>
      </c>
      <c r="P12" s="25">
        <v>25000</v>
      </c>
      <c r="Q12" s="22">
        <f>'[1]14. SPA-Seq Mit.'!B27</f>
        <v>307338</v>
      </c>
      <c r="R12" s="24">
        <f t="shared" si="4"/>
        <v>0.15019330170851247</v>
      </c>
      <c r="S12" s="26">
        <f>'[1]15. SPA - EB'!D29</f>
        <v>-1.5782059508518543E-3</v>
      </c>
      <c r="T12" s="24"/>
      <c r="U12" s="22">
        <f>'[1]16. OPI 60+'!D27</f>
        <v>2980460</v>
      </c>
      <c r="V12" s="24">
        <f t="shared" si="5"/>
        <v>0.14178639940725307</v>
      </c>
      <c r="W12" s="27">
        <f>'[1]17. OPI 19-59'!D27</f>
        <v>1209591.1247600494</v>
      </c>
      <c r="X12" s="24">
        <f t="shared" si="6"/>
        <v>0.21051381598598398</v>
      </c>
      <c r="Y12" s="28">
        <v>1737462</v>
      </c>
      <c r="Z12" s="29">
        <v>0.15</v>
      </c>
      <c r="AA12" s="22">
        <f>1924564-1</f>
        <v>1924563</v>
      </c>
      <c r="AB12" s="29">
        <v>0.41</v>
      </c>
      <c r="AC12" s="22">
        <v>112533.2</v>
      </c>
      <c r="AD12" s="33">
        <f>25880356+7735795</f>
        <v>33616151</v>
      </c>
      <c r="AE12" s="33">
        <v>88197561</v>
      </c>
      <c r="AF12" s="34">
        <f>27287540+3189048</f>
        <v>30476588</v>
      </c>
      <c r="AG12" s="22">
        <f>SUM(I12,K12,L12,M12,O12,P12,Q12,S12,U12,W12,Y12,AA12,AC12,AD12,AE12,AF12)</f>
        <v>169464515.81886739</v>
      </c>
      <c r="AH12" s="30">
        <f t="shared" si="8"/>
        <v>0.38465727415575485</v>
      </c>
      <c r="AI12" s="54">
        <v>181147</v>
      </c>
      <c r="AJ12" s="31" t="s">
        <v>43</v>
      </c>
    </row>
    <row r="13" spans="1:36" s="12" customFormat="1" ht="13.8" x14ac:dyDescent="0.3">
      <c r="A13" s="54">
        <f t="shared" si="0"/>
        <v>181176</v>
      </c>
      <c r="B13" s="21" t="s">
        <v>53</v>
      </c>
      <c r="C13" s="22">
        <f>'[1]6. III B'!E33</f>
        <v>168722.11448257597</v>
      </c>
      <c r="D13" s="22">
        <f>'[1]7. III C-1'!D29</f>
        <v>125774</v>
      </c>
      <c r="E13" s="22">
        <f>'[1]8. III C-2'!D28</f>
        <v>77853</v>
      </c>
      <c r="F13" s="22">
        <f>'[1]9. III D'!D28</f>
        <v>8806</v>
      </c>
      <c r="G13" s="22">
        <f>'[1]10. III E'!D28</f>
        <v>65276.584312018706</v>
      </c>
      <c r="H13" s="22">
        <f>'[1]11. VII B'!E33</f>
        <v>2082</v>
      </c>
      <c r="I13" s="23">
        <f t="shared" si="1"/>
        <v>448513.69879459467</v>
      </c>
      <c r="J13" s="24">
        <f t="shared" si="2"/>
        <v>1.1604415483511979E-2</v>
      </c>
      <c r="K13" s="124">
        <f>'[1]12. 21-23 Unspent'!I12</f>
        <v>233720</v>
      </c>
      <c r="L13" s="22">
        <f>'[1]21-23 Unspent-COVID'!J12</f>
        <v>8719</v>
      </c>
      <c r="M13" s="22">
        <f>'[1]13. NSIP'!E28</f>
        <v>19443</v>
      </c>
      <c r="N13" s="24">
        <f t="shared" si="3"/>
        <v>7.615036279422443E-3</v>
      </c>
      <c r="O13" s="22">
        <f>'[1]NSIP-21-23 Unspent'!E33</f>
        <v>11882</v>
      </c>
      <c r="P13" s="25">
        <v>2000</v>
      </c>
      <c r="Q13" s="22">
        <f>'[1]14. SPA-Seq Mit.'!B28</f>
        <v>16179</v>
      </c>
      <c r="R13" s="24">
        <f t="shared" si="4"/>
        <v>7.906531012572552E-3</v>
      </c>
      <c r="S13" s="26">
        <f>'[1]15. SPA - EB'!D30</f>
        <v>-9.1121846007663105E-5</v>
      </c>
      <c r="T13" s="24"/>
      <c r="U13" s="22">
        <f>'[1]16. OPI 60+'!D28</f>
        <v>264063</v>
      </c>
      <c r="V13" s="24">
        <f t="shared" si="5"/>
        <v>1.2562001163135042E-2</v>
      </c>
      <c r="W13" s="27">
        <f>'[1]17. OPI 19-59'!D28</f>
        <v>0</v>
      </c>
      <c r="X13" s="24">
        <f t="shared" si="6"/>
        <v>0</v>
      </c>
      <c r="Y13" s="28">
        <v>153936</v>
      </c>
      <c r="Z13" s="29">
        <v>0.01</v>
      </c>
      <c r="AA13" s="22"/>
      <c r="AB13" s="29"/>
      <c r="AC13" s="28"/>
      <c r="AD13" s="22"/>
      <c r="AE13" s="22"/>
      <c r="AF13" s="22"/>
      <c r="AG13" s="22">
        <f>SUM(I13,K13,L13,M13,O13,P13,Q13,S13,U13,W13,Y13,AA13,AD13,AE13,AF13)</f>
        <v>1158455.698703473</v>
      </c>
      <c r="AH13" s="30">
        <f t="shared" si="8"/>
        <v>2.6295086563712733E-3</v>
      </c>
      <c r="AI13" s="54">
        <v>181176</v>
      </c>
      <c r="AJ13" s="31" t="s">
        <v>43</v>
      </c>
    </row>
    <row r="14" spans="1:36" s="12" customFormat="1" ht="13.8" x14ac:dyDescent="0.3">
      <c r="A14" s="54">
        <f t="shared" si="0"/>
        <v>181150</v>
      </c>
      <c r="B14" s="21" t="s">
        <v>54</v>
      </c>
      <c r="C14" s="22">
        <f>'[1]6. III B'!E34</f>
        <v>1255505.3622669943</v>
      </c>
      <c r="D14" s="22">
        <f>'[1]7. III C-1'!D30</f>
        <v>1868743</v>
      </c>
      <c r="E14" s="22">
        <f>'[1]8. III C-2'!D29</f>
        <v>1278349</v>
      </c>
      <c r="F14" s="22">
        <f>'[1]9. III D'!D29</f>
        <v>94249</v>
      </c>
      <c r="G14" s="22">
        <f>'[1]10. III E'!D29</f>
        <v>678398.14996387006</v>
      </c>
      <c r="H14" s="22">
        <f>'[1]11. VII B'!E34</f>
        <v>12420</v>
      </c>
      <c r="I14" s="23">
        <f t="shared" si="1"/>
        <v>5187664.5122308638</v>
      </c>
      <c r="J14" s="24">
        <f t="shared" si="2"/>
        <v>0.13422068166655285</v>
      </c>
      <c r="K14" s="124">
        <f>'[1]12. 21-23 Unspent'!I13</f>
        <v>3179351</v>
      </c>
      <c r="L14" s="22">
        <f>'[1]21-23 Unspent-COVID'!J13</f>
        <v>93941</v>
      </c>
      <c r="M14" s="22">
        <f>'[1]13. NSIP'!E29</f>
        <v>351973</v>
      </c>
      <c r="N14" s="24">
        <f t="shared" si="3"/>
        <v>0.13785358043394311</v>
      </c>
      <c r="O14" s="22">
        <f>'[1]NSIP-21-23 Unspent'!E34</f>
        <v>911</v>
      </c>
      <c r="P14" s="25">
        <v>12666</v>
      </c>
      <c r="Q14" s="22">
        <f>'[1]14. SPA-Seq Mit.'!B29</f>
        <v>282772</v>
      </c>
      <c r="R14" s="24">
        <f t="shared" si="4"/>
        <v>0.13818811962959179</v>
      </c>
      <c r="S14" s="26">
        <f>'[1]15. SPA - EB'!D31</f>
        <v>-1.4320565634713734E-3</v>
      </c>
      <c r="T14" s="24"/>
      <c r="U14" s="22">
        <f>'[1]16. OPI 60+'!D29</f>
        <v>2787573</v>
      </c>
      <c r="V14" s="24">
        <f t="shared" si="5"/>
        <v>0.13261038187221927</v>
      </c>
      <c r="W14" s="27">
        <f>'[1]17. OPI 19-59'!D29</f>
        <v>1153294.8242331236</v>
      </c>
      <c r="X14" s="24">
        <f t="shared" si="6"/>
        <v>0.20071616717125093</v>
      </c>
      <c r="Y14" s="28">
        <v>1625019</v>
      </c>
      <c r="Z14" s="29">
        <v>0.14000000000000001</v>
      </c>
      <c r="AA14" s="22">
        <v>1299284</v>
      </c>
      <c r="AB14" s="29">
        <v>0.27</v>
      </c>
      <c r="AC14" s="22">
        <v>225066.4</v>
      </c>
      <c r="AD14" s="33">
        <f>14814352+4528297</f>
        <v>19342649</v>
      </c>
      <c r="AE14" s="33">
        <v>62065927</v>
      </c>
      <c r="AF14" s="34">
        <v>2899415</v>
      </c>
      <c r="AG14" s="22">
        <f>SUM(I14,K14,L14,M14,O14,P14,Q14,S14,U14,W14,Y14,AA14,AC14,AD14,AE14,AF14)</f>
        <v>100507506.73503193</v>
      </c>
      <c r="AH14" s="30">
        <f t="shared" si="8"/>
        <v>0.22813592206058886</v>
      </c>
      <c r="AI14" s="54">
        <v>181150</v>
      </c>
      <c r="AJ14" s="31" t="s">
        <v>43</v>
      </c>
    </row>
    <row r="15" spans="1:36" s="12" customFormat="1" ht="13.8" x14ac:dyDescent="0.3">
      <c r="A15" s="54">
        <f t="shared" si="0"/>
        <v>181151</v>
      </c>
      <c r="B15" s="21" t="s">
        <v>55</v>
      </c>
      <c r="C15" s="22">
        <f>'[1]6. III B'!E35</f>
        <v>666073.40660729283</v>
      </c>
      <c r="D15" s="22">
        <f>'[1]7. III C-1'!D31</f>
        <v>949156</v>
      </c>
      <c r="E15" s="22">
        <f>'[1]8. III C-2'!D30</f>
        <v>644970</v>
      </c>
      <c r="F15" s="22">
        <f>'[1]9. III D'!D30</f>
        <v>46661</v>
      </c>
      <c r="G15" s="22">
        <f>'[1]10. III E'!D30</f>
        <v>345659.87185422675</v>
      </c>
      <c r="H15" s="22">
        <f>'[1]11. VII B'!E35</f>
        <v>6813</v>
      </c>
      <c r="I15" s="23">
        <f t="shared" si="1"/>
        <v>2659333.2784615192</v>
      </c>
      <c r="J15" s="24">
        <f t="shared" si="2"/>
        <v>6.8805051786234181E-2</v>
      </c>
      <c r="K15" s="124">
        <f>'[1]12. 21-23 Unspent'!I14</f>
        <v>971167</v>
      </c>
      <c r="L15" s="22">
        <f>'[1]21-23 Unspent-COVID'!J14</f>
        <v>980861.35999999987</v>
      </c>
      <c r="M15" s="35">
        <f>'[1]13. NSIP'!E30</f>
        <v>172391</v>
      </c>
      <c r="N15" s="24">
        <f t="shared" si="3"/>
        <v>6.7518578369897359E-2</v>
      </c>
      <c r="O15" s="22">
        <f>'[1]NSIP-21-23 Unspent'!E35</f>
        <v>525</v>
      </c>
      <c r="P15" s="25">
        <v>6112</v>
      </c>
      <c r="Q15" s="22">
        <f>'[1]14. SPA-Seq Mit.'!B30</f>
        <v>142118</v>
      </c>
      <c r="R15" s="24">
        <f t="shared" si="4"/>
        <v>6.9451781596191725E-2</v>
      </c>
      <c r="S15" s="26">
        <f>'[1]15. SPA - EB'!D32</f>
        <v>-6.852085819094002E-4</v>
      </c>
      <c r="T15" s="24"/>
      <c r="U15" s="22">
        <f>'[1]16. OPI 60+'!D30</f>
        <v>1418913</v>
      </c>
      <c r="V15" s="24">
        <f t="shared" si="5"/>
        <v>6.7500508425593256E-2</v>
      </c>
      <c r="W15" s="27">
        <f>'[1]17. OPI 19-59'!D30</f>
        <v>595586.19838862785</v>
      </c>
      <c r="X15" s="24">
        <f t="shared" si="6"/>
        <v>0.10365413634813767</v>
      </c>
      <c r="Y15" s="28">
        <v>827156</v>
      </c>
      <c r="Z15" s="29">
        <v>7.0000000000000007E-2</v>
      </c>
      <c r="AA15" s="22">
        <v>565427</v>
      </c>
      <c r="AB15" s="29">
        <v>0.12</v>
      </c>
      <c r="AC15" s="22">
        <v>112533.2</v>
      </c>
      <c r="AD15" s="33">
        <f>6697253+2040783</f>
        <v>8738036</v>
      </c>
      <c r="AE15" s="33">
        <v>26361522</v>
      </c>
      <c r="AF15" s="34">
        <v>900000</v>
      </c>
      <c r="AG15" s="22">
        <f>SUM(I15,K15,L15,M15,O15,P15,Q15,S15,U15,W15,Y15,AA15,AC15,AD15,AE15,AF15)</f>
        <v>44451681.036164939</v>
      </c>
      <c r="AH15" s="30">
        <f t="shared" si="8"/>
        <v>0.10089818730717774</v>
      </c>
      <c r="AI15" s="54">
        <v>181151</v>
      </c>
      <c r="AJ15" s="31" t="s">
        <v>43</v>
      </c>
    </row>
    <row r="16" spans="1:36" s="12" customFormat="1" ht="13.8" x14ac:dyDescent="0.3">
      <c r="A16" s="54">
        <f t="shared" si="0"/>
        <v>181145</v>
      </c>
      <c r="B16" s="21" t="s">
        <v>56</v>
      </c>
      <c r="C16" s="22">
        <f>'[1]6. III B'!E36</f>
        <v>890397.65035124961</v>
      </c>
      <c r="D16" s="22">
        <f>'[1]7. III C-1'!D32</f>
        <v>1297372</v>
      </c>
      <c r="E16" s="22">
        <f>'[1]8. III C-2'!D31</f>
        <v>884809</v>
      </c>
      <c r="F16" s="22">
        <f>'[1]9. III D'!D31</f>
        <v>67656</v>
      </c>
      <c r="G16" s="22">
        <f>'[1]10. III E'!D31</f>
        <v>481007.53639411269</v>
      </c>
      <c r="H16" s="22">
        <f>'[1]11. VII B'!E36</f>
        <v>8947</v>
      </c>
      <c r="I16" s="23">
        <f t="shared" si="1"/>
        <v>3630189.1867453624</v>
      </c>
      <c r="J16" s="24">
        <f t="shared" si="2"/>
        <v>9.3924051193892619E-2</v>
      </c>
      <c r="K16" s="124">
        <f>'[1]12. 21-23 Unspent'!I15</f>
        <v>1377821</v>
      </c>
      <c r="L16" s="22">
        <f>'[1]21-23 Unspent-COVID'!J15</f>
        <v>601641</v>
      </c>
      <c r="M16" s="35">
        <f>'[1]13. NSIP'!E31</f>
        <v>189663</v>
      </c>
      <c r="N16" s="24">
        <f t="shared" si="3"/>
        <v>7.4283321805487773E-2</v>
      </c>
      <c r="O16" s="22">
        <f>'[1]NSIP-21-23 Unspent'!E36</f>
        <v>680</v>
      </c>
      <c r="P16" s="25">
        <v>8452</v>
      </c>
      <c r="Q16" s="22">
        <f>'[1]14. SPA-Seq Mit.'!B31</f>
        <v>195379</v>
      </c>
      <c r="R16" s="24">
        <f t="shared" si="4"/>
        <v>9.5479950720403772E-2</v>
      </c>
      <c r="S16" s="26">
        <f>'[1]15. SPA - EB'!D33</f>
        <v>-1.0147008003468854E-3</v>
      </c>
      <c r="T16" s="24"/>
      <c r="U16" s="22">
        <f>'[1]16. OPI 60+'!D31</f>
        <v>1939794</v>
      </c>
      <c r="V16" s="24">
        <f t="shared" si="5"/>
        <v>9.2279851718121711E-2</v>
      </c>
      <c r="W16" s="27">
        <f>'[1]17. OPI 19-59'!D31</f>
        <v>809101.43339888554</v>
      </c>
      <c r="X16" s="24">
        <f t="shared" si="6"/>
        <v>0.14081372356160202</v>
      </c>
      <c r="Y16" s="28">
        <v>1130805</v>
      </c>
      <c r="Z16" s="29">
        <v>0.09</v>
      </c>
      <c r="AA16" s="22"/>
      <c r="AB16" s="29"/>
      <c r="AC16" s="28"/>
      <c r="AD16" s="22"/>
      <c r="AE16" s="33">
        <v>242140</v>
      </c>
      <c r="AF16" s="34"/>
      <c r="AG16" s="22">
        <f>SUM(I16,K16,L16,M16,O16,P16,Q16,S16,U16,W16,Y16,AA16,AD16,AE16,AF16)</f>
        <v>10125665.619129546</v>
      </c>
      <c r="AH16" s="30">
        <f t="shared" si="8"/>
        <v>2.2983637118640821E-2</v>
      </c>
      <c r="AI16" s="54">
        <v>181145</v>
      </c>
      <c r="AJ16" s="31" t="s">
        <v>43</v>
      </c>
    </row>
    <row r="17" spans="1:36" s="12" customFormat="1" ht="13.8" x14ac:dyDescent="0.3">
      <c r="A17" s="54">
        <f t="shared" si="0"/>
        <v>181178</v>
      </c>
      <c r="B17" s="21" t="s">
        <v>57</v>
      </c>
      <c r="C17" s="22">
        <f>'[1]6. III B'!E37</f>
        <v>336719.12817008502</v>
      </c>
      <c r="D17" s="22">
        <f>'[1]7. III C-1'!D33</f>
        <v>438060</v>
      </c>
      <c r="E17" s="22">
        <f>'[1]8. III C-2'!D32</f>
        <v>292945</v>
      </c>
      <c r="F17" s="22">
        <f>'[1]9. III D'!D32</f>
        <v>24049</v>
      </c>
      <c r="G17" s="22">
        <f>'[1]10. III E'!D32</f>
        <v>162893.8575558475</v>
      </c>
      <c r="H17" s="22">
        <f>'[1]11. VII B'!E37</f>
        <v>3680</v>
      </c>
      <c r="I17" s="23">
        <f t="shared" si="1"/>
        <v>1258346.9857259328</v>
      </c>
      <c r="J17" s="24">
        <f t="shared" si="2"/>
        <v>3.2557269229531553E-2</v>
      </c>
      <c r="K17" s="124">
        <f>'[1]12. 21-23 Unspent'!I16</f>
        <v>223634</v>
      </c>
      <c r="L17" s="22">
        <f>'[1]21-23 Unspent-COVID'!J16</f>
        <v>22009</v>
      </c>
      <c r="M17" s="35">
        <f>'[1]13. NSIP'!E32</f>
        <v>127494</v>
      </c>
      <c r="N17" s="24">
        <f t="shared" si="3"/>
        <v>4.9934240364588024E-2</v>
      </c>
      <c r="O17" s="22">
        <f>'[1]NSIP-21-23 Unspent'!E37</f>
        <v>412</v>
      </c>
      <c r="P17" s="25">
        <v>3550</v>
      </c>
      <c r="Q17" s="22">
        <f>'[1]14. SPA-Seq Mit.'!B32</f>
        <v>63944</v>
      </c>
      <c r="R17" s="24">
        <f>SUM(Q17/$Q$19)</f>
        <v>3.1248854630566741E-2</v>
      </c>
      <c r="S17" s="26">
        <f>'[1]15. SPA - EB'!D34</f>
        <v>-3.3034295742656198E-4</v>
      </c>
      <c r="T17" s="24"/>
      <c r="U17" s="22">
        <f>'[1]16. OPI 60+'!D32</f>
        <v>654152</v>
      </c>
      <c r="V17" s="24">
        <f t="shared" si="5"/>
        <v>3.1119309349916927E-2</v>
      </c>
      <c r="W17" s="27">
        <f>'[1]17. OPI 19-59'!D32</f>
        <v>0</v>
      </c>
      <c r="X17" s="24">
        <f t="shared" si="6"/>
        <v>0</v>
      </c>
      <c r="Y17" s="28">
        <v>381338</v>
      </c>
      <c r="Z17" s="29">
        <v>0.03</v>
      </c>
      <c r="AA17" s="22"/>
      <c r="AB17" s="29"/>
      <c r="AC17" s="28"/>
      <c r="AD17" s="22"/>
      <c r="AE17" s="22"/>
      <c r="AF17" s="22"/>
      <c r="AG17" s="22">
        <f>SUM(I17,K17,L17,M17,O17,P17,Q17,S17,U17,W17,Y17,AA17,AD17,AE17,AF17)</f>
        <v>2734879.9853955898</v>
      </c>
      <c r="AH17" s="30">
        <f t="shared" si="8"/>
        <v>6.2077389785235174E-3</v>
      </c>
      <c r="AI17" s="54">
        <v>181178</v>
      </c>
      <c r="AJ17" s="31" t="s">
        <v>43</v>
      </c>
    </row>
    <row r="18" spans="1:36" s="12" customFormat="1" ht="13.8" x14ac:dyDescent="0.3">
      <c r="A18" s="54">
        <f t="shared" si="0"/>
        <v>181180</v>
      </c>
      <c r="B18" s="36" t="s">
        <v>58</v>
      </c>
      <c r="C18" s="22">
        <f>'[1]6. III B'!E38</f>
        <v>1034209.8769123177</v>
      </c>
      <c r="D18" s="22">
        <f>'[1]7. III C-1'!D34</f>
        <v>1549989</v>
      </c>
      <c r="E18" s="22">
        <f>'[1]8. III C-2'!D33</f>
        <v>1058803</v>
      </c>
      <c r="F18" s="22">
        <f>'[1]9. III D'!D33</f>
        <v>77762</v>
      </c>
      <c r="G18" s="22">
        <f>'[1]10. III E'!D33</f>
        <v>538622.84188428847</v>
      </c>
      <c r="H18" s="22">
        <f>'[1]11. VII B'!E38</f>
        <v>10315</v>
      </c>
      <c r="I18" s="23">
        <f t="shared" si="1"/>
        <v>4269701.7187966062</v>
      </c>
      <c r="J18" s="24">
        <f t="shared" si="2"/>
        <v>0.1104701882433968</v>
      </c>
      <c r="K18" s="124">
        <f>'[1]12. 21-23 Unspent'!I17</f>
        <v>1376051</v>
      </c>
      <c r="L18" s="22">
        <f>'[1]21-23 Unspent-COVID'!J17</f>
        <v>1508044</v>
      </c>
      <c r="M18" s="35">
        <f>'[1]13. NSIP'!E33</f>
        <v>178302</v>
      </c>
      <c r="N18" s="37">
        <f t="shared" si="3"/>
        <v>6.9833677863168256E-2</v>
      </c>
      <c r="O18" s="22">
        <f>'[1]NSIP-21-23 Unspent'!E38</f>
        <v>496</v>
      </c>
      <c r="P18" s="38">
        <v>7673</v>
      </c>
      <c r="Q18" s="22">
        <f>'[1]14. SPA-Seq Mit.'!B33</f>
        <v>234017</v>
      </c>
      <c r="R18" s="37">
        <f>SUM(Q18/$Q$19)</f>
        <v>0.1143619919629885</v>
      </c>
      <c r="S18" s="26">
        <f>'[1]15. SPA - EB'!D35</f>
        <v>-1.1733114352463999E-3</v>
      </c>
      <c r="T18" s="37"/>
      <c r="U18" s="22">
        <f>'[1]16. OPI 60+'!D33</f>
        <v>2273725</v>
      </c>
      <c r="V18" s="37">
        <f t="shared" si="5"/>
        <v>0.10816561235254171</v>
      </c>
      <c r="W18" s="27">
        <f>'[1]17. OPI 19-59'!D33</f>
        <v>924853.6305338199</v>
      </c>
      <c r="X18" s="37">
        <f t="shared" si="6"/>
        <v>0.16095890835077678</v>
      </c>
      <c r="Y18" s="39">
        <v>1325471</v>
      </c>
      <c r="Z18" s="40">
        <v>0.11</v>
      </c>
      <c r="AA18" s="35"/>
      <c r="AB18" s="40"/>
      <c r="AC18" s="39"/>
      <c r="AD18" s="35"/>
      <c r="AE18" s="35"/>
      <c r="AF18" s="41"/>
      <c r="AG18" s="22">
        <f>SUM(I18,K18,L18,M18,O18,P18,Q18,S18,U18,W18,Y18,AA18,AD18,AE18,AF18)</f>
        <v>12098334.348157113</v>
      </c>
      <c r="AH18" s="42">
        <f t="shared" si="8"/>
        <v>2.7461278779807745E-2</v>
      </c>
      <c r="AI18" s="54">
        <v>181180</v>
      </c>
      <c r="AJ18" s="31" t="s">
        <v>43</v>
      </c>
    </row>
    <row r="19" spans="1:36" s="12" customFormat="1" ht="12.75" customHeight="1" x14ac:dyDescent="0.3">
      <c r="A19" s="118" t="s">
        <v>59</v>
      </c>
      <c r="B19" s="115"/>
      <c r="C19" s="22">
        <f>'[1]6. III B'!E39</f>
        <v>9861817</v>
      </c>
      <c r="D19" s="22">
        <f>'[1]7. III C-1'!D35</f>
        <v>13698450</v>
      </c>
      <c r="E19" s="22">
        <f>'[1]8. III C-2'!D34</f>
        <v>9294606</v>
      </c>
      <c r="F19" s="22">
        <f>'[1]9. III D'!D34</f>
        <v>685188</v>
      </c>
      <c r="G19" s="22">
        <f>'[1]10. III E'!D34</f>
        <v>5008757</v>
      </c>
      <c r="H19" s="22">
        <f>'[1]11. VII B'!E39</f>
        <v>101444</v>
      </c>
      <c r="I19" s="23">
        <f>SUM(I3:I18)</f>
        <v>38650262</v>
      </c>
      <c r="J19" s="29">
        <f>SUM(J3:J18)</f>
        <v>1</v>
      </c>
      <c r="K19" s="124">
        <f>SUM(K3:K18)</f>
        <v>10887874</v>
      </c>
      <c r="L19" s="22">
        <f>'[1]21-23 Unspent-COVID'!J18</f>
        <v>6905025.54</v>
      </c>
      <c r="M19" s="22">
        <f>'[1]13. NSIP'!E34</f>
        <v>2553238</v>
      </c>
      <c r="N19" s="43">
        <f>SUM(N3:N18)</f>
        <v>1</v>
      </c>
      <c r="O19" s="22">
        <f>SUM(O3:O18)</f>
        <v>51019</v>
      </c>
      <c r="P19" s="25">
        <f>SUM(P3:P18)</f>
        <v>101453</v>
      </c>
      <c r="Q19" s="22">
        <f>'[1]14. SPA-Seq Mit.'!B34</f>
        <v>2046283</v>
      </c>
      <c r="R19" s="29">
        <f>SUM(R3:R18)</f>
        <v>0.99999999999999989</v>
      </c>
      <c r="S19" s="44">
        <f>SUM(S3:S18)</f>
        <v>-0.01</v>
      </c>
      <c r="T19" s="29">
        <f>SUM(T3:T18)</f>
        <v>0</v>
      </c>
      <c r="U19" s="22">
        <f>'[1]16. OPI 60+'!D34+'[1]16. OPI 60+'!D36</f>
        <v>21020775</v>
      </c>
      <c r="V19" s="29">
        <f t="shared" ref="V19:AH19" si="9">SUM(V3:V18)</f>
        <v>1</v>
      </c>
      <c r="W19" s="22">
        <f>SUM(W3:W18)</f>
        <v>5745899</v>
      </c>
      <c r="X19" s="29">
        <f t="shared" si="9"/>
        <v>1</v>
      </c>
      <c r="Y19" s="22">
        <f t="shared" si="9"/>
        <v>12157895</v>
      </c>
      <c r="Z19" s="29">
        <f t="shared" si="9"/>
        <v>1</v>
      </c>
      <c r="AA19" s="22">
        <f t="shared" si="9"/>
        <v>4760000</v>
      </c>
      <c r="AB19" s="29">
        <f t="shared" si="9"/>
        <v>1</v>
      </c>
      <c r="AC19" s="28">
        <f>SUM(AC3:AC18)</f>
        <v>562666</v>
      </c>
      <c r="AD19" s="22">
        <f t="shared" si="9"/>
        <v>75587828</v>
      </c>
      <c r="AE19" s="22">
        <f t="shared" si="9"/>
        <v>223503824</v>
      </c>
      <c r="AF19" s="45">
        <f t="shared" si="9"/>
        <v>36025717</v>
      </c>
      <c r="AG19" s="46">
        <f t="shared" si="9"/>
        <v>440559758.53000003</v>
      </c>
      <c r="AH19" s="47">
        <f t="shared" si="9"/>
        <v>0.99999999999999989</v>
      </c>
      <c r="AI19" s="27"/>
      <c r="AJ19" s="31" t="s">
        <v>43</v>
      </c>
    </row>
    <row r="20" spans="1:36" s="12" customFormat="1" ht="13.8" x14ac:dyDescent="0.3">
      <c r="A20" s="120"/>
      <c r="B20" s="116" t="s">
        <v>60</v>
      </c>
      <c r="C20" s="55">
        <f t="shared" ref="C20:I20" si="10">SUM(C3:C18)</f>
        <v>9861817</v>
      </c>
      <c r="D20" s="56">
        <f t="shared" si="10"/>
        <v>13698450</v>
      </c>
      <c r="E20" s="55">
        <f t="shared" si="10"/>
        <v>9294606</v>
      </c>
      <c r="F20" s="55">
        <f t="shared" si="10"/>
        <v>685188</v>
      </c>
      <c r="G20" s="57">
        <f t="shared" si="10"/>
        <v>5008757</v>
      </c>
      <c r="H20" s="57">
        <f t="shared" si="10"/>
        <v>101444</v>
      </c>
      <c r="I20" s="57">
        <f t="shared" si="10"/>
        <v>38650262</v>
      </c>
      <c r="J20" s="58"/>
      <c r="K20" s="57">
        <f>SUM(K3:K18)</f>
        <v>10887874</v>
      </c>
      <c r="L20" s="59"/>
      <c r="M20" s="55">
        <f>SUM(M3:M18)</f>
        <v>2553238</v>
      </c>
      <c r="N20" s="50"/>
      <c r="O20" s="57">
        <f>SUM(O3:O18)</f>
        <v>51019</v>
      </c>
      <c r="P20" s="56">
        <f>SUM(P3:P18)</f>
        <v>101453</v>
      </c>
      <c r="Q20" s="56">
        <f>SUM(Q3:Q18)</f>
        <v>2046283</v>
      </c>
      <c r="R20" s="55"/>
      <c r="S20" s="56">
        <f>SUM(S3:S18)</f>
        <v>-0.01</v>
      </c>
      <c r="T20" s="55"/>
      <c r="U20" s="56">
        <f>SUM(U3:U18)</f>
        <v>21020775</v>
      </c>
      <c r="V20" s="55"/>
      <c r="W20" s="56">
        <f>SUM(W3:W18)</f>
        <v>5745899</v>
      </c>
      <c r="X20" s="55"/>
      <c r="Y20" s="55"/>
      <c r="Z20" s="55"/>
      <c r="AA20" s="55"/>
      <c r="AB20" s="55"/>
      <c r="AC20" s="55"/>
      <c r="AD20" s="55"/>
      <c r="AE20" s="55"/>
      <c r="AF20" s="50"/>
      <c r="AG20" s="60">
        <f>SUM(I19,K19,L19,M19,O19,P19,Q19,S19,U19,W19,Y19,AA19,AC19,AD19,AE19,AF19)</f>
        <v>440559758.52999997</v>
      </c>
      <c r="AH20" s="50"/>
      <c r="AI20" s="50"/>
      <c r="AJ20" s="61"/>
    </row>
    <row r="21" spans="1:36" s="12" customFormat="1" ht="13.8" x14ac:dyDescent="0.3">
      <c r="A21" s="48"/>
      <c r="B21" s="49"/>
      <c r="C21" s="62"/>
      <c r="D21" s="62"/>
      <c r="E21" s="62"/>
      <c r="F21" s="62"/>
      <c r="G21" s="117"/>
      <c r="H21" s="117" t="s">
        <v>61</v>
      </c>
      <c r="I21" s="63">
        <f>SUM(C19:H19)</f>
        <v>38650262</v>
      </c>
      <c r="J21" s="63" t="s">
        <v>62</v>
      </c>
      <c r="K21" s="64" t="s">
        <v>62</v>
      </c>
      <c r="L21" s="64"/>
      <c r="M21" s="65" t="s">
        <v>62</v>
      </c>
      <c r="N21" s="63"/>
      <c r="O21" s="63"/>
      <c r="P21" s="50"/>
      <c r="Q21" s="50"/>
      <c r="R21" s="50"/>
      <c r="S21" s="50"/>
      <c r="T21" s="50"/>
      <c r="U21" s="60"/>
      <c r="V21" s="50"/>
      <c r="W21" s="50"/>
      <c r="X21" s="50"/>
      <c r="Y21" s="50"/>
      <c r="Z21" s="50"/>
      <c r="AA21" s="50"/>
      <c r="AB21" s="50"/>
      <c r="AC21" s="50"/>
      <c r="AD21" s="50"/>
      <c r="AE21" s="65" t="s">
        <v>62</v>
      </c>
      <c r="AF21" s="50"/>
      <c r="AG21" s="65"/>
      <c r="AH21" s="50"/>
      <c r="AI21" s="50"/>
      <c r="AJ21" s="61"/>
    </row>
    <row r="22" spans="1:36" s="12" customFormat="1" ht="13.8" x14ac:dyDescent="0.3">
      <c r="A22" s="50"/>
      <c r="B22" s="51"/>
      <c r="C22" s="66"/>
      <c r="D22" s="66"/>
      <c r="E22" s="66"/>
      <c r="F22" s="66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61"/>
    </row>
    <row r="23" spans="1:36" s="12" customFormat="1" ht="13.8" x14ac:dyDescent="0.3">
      <c r="A23" s="52"/>
      <c r="B23" s="53"/>
      <c r="C23" s="52"/>
      <c r="D23" s="52"/>
      <c r="E23" s="52"/>
      <c r="F23" s="52"/>
      <c r="G23" s="52"/>
      <c r="H23" s="50"/>
      <c r="I23" s="65">
        <f>SUM(C19:H19)</f>
        <v>38650262</v>
      </c>
      <c r="J23" s="50"/>
      <c r="K23" s="50"/>
      <c r="L23" s="50"/>
      <c r="M23" s="50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0"/>
      <c r="AF23" s="50"/>
      <c r="AG23" s="65">
        <f>I19+K19+L19+M19+O19+P19+Q19+U19+W19+Y19+AA19+AC19+AD19+AE19+AF19</f>
        <v>440559758.53999996</v>
      </c>
      <c r="AH23" s="50"/>
      <c r="AI23" s="50"/>
      <c r="AJ23" s="61"/>
    </row>
    <row r="24" spans="1:36" x14ac:dyDescent="0.3">
      <c r="D24" s="119"/>
    </row>
  </sheetData>
  <sheetProtection algorithmName="SHA-512" hashValue="3hgCbbaW/hcN8s5qFS9J3gnLSJ+EoVuLaz86nP/Ozw5bYcOlffo+cFHoSztx/jnW1XagpWVSax2o968xqnc78w==" saltValue="6LMNEZplKCTgw3ISwrr67Q==" spinCount="100000" sheet="1" objects="1" scenarios="1"/>
  <pageMargins left="0.7" right="0.7" top="0.75" bottom="0.75" header="0.3" footer="0.3"/>
  <pageSetup scale="34" orientation="landscape" horizontalDpi="1200" verticalDpi="1200" r:id="rId1"/>
  <headerFooter>
    <oddHeader>&amp;C23-25 AAA Planning Allocation
Amendment 2
December 2024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621A4-38F4-4FBC-B34C-2250E46FFE4B}">
  <dimension ref="A1:K19"/>
  <sheetViews>
    <sheetView zoomScale="115" zoomScaleNormal="115" workbookViewId="0">
      <selection activeCell="D21" sqref="D21:D22"/>
    </sheetView>
  </sheetViews>
  <sheetFormatPr defaultRowHeight="14.4" x14ac:dyDescent="0.3"/>
  <cols>
    <col min="2" max="2" width="11.5546875" customWidth="1"/>
    <col min="3" max="4" width="11.6640625" bestFit="1" customWidth="1"/>
    <col min="5" max="8" width="10.109375" bestFit="1" customWidth="1"/>
    <col min="9" max="9" width="12.6640625" bestFit="1" customWidth="1"/>
    <col min="10" max="10" width="14.6640625" bestFit="1" customWidth="1"/>
    <col min="11" max="11" width="13" customWidth="1"/>
  </cols>
  <sheetData>
    <row r="1" spans="1:11" ht="43.2" thickTop="1" thickBot="1" x14ac:dyDescent="0.35">
      <c r="A1" s="67" t="s">
        <v>1</v>
      </c>
      <c r="B1" s="68" t="s">
        <v>63</v>
      </c>
      <c r="C1" s="68" t="s">
        <v>64</v>
      </c>
      <c r="D1" s="68" t="s">
        <v>65</v>
      </c>
      <c r="E1" s="68" t="s">
        <v>66</v>
      </c>
      <c r="F1" s="68" t="s">
        <v>67</v>
      </c>
      <c r="G1" s="69" t="s">
        <v>68</v>
      </c>
      <c r="H1" s="69" t="s">
        <v>69</v>
      </c>
      <c r="I1" s="70" t="s">
        <v>70</v>
      </c>
      <c r="J1" s="71" t="s">
        <v>71</v>
      </c>
      <c r="K1" s="72" t="s">
        <v>72</v>
      </c>
    </row>
    <row r="2" spans="1:11" ht="15.6" thickTop="1" thickBot="1" x14ac:dyDescent="0.35">
      <c r="A2" s="73" t="s">
        <v>42</v>
      </c>
      <c r="B2" s="74">
        <v>250275</v>
      </c>
      <c r="C2" s="74">
        <v>34049.58</v>
      </c>
      <c r="D2" s="74">
        <v>65793.42</v>
      </c>
      <c r="E2" s="74">
        <v>22069</v>
      </c>
      <c r="F2" s="74">
        <v>71621</v>
      </c>
      <c r="G2" s="74">
        <v>52537</v>
      </c>
      <c r="H2" s="75">
        <v>0</v>
      </c>
      <c r="I2" s="76">
        <f>SUM(B2:H2)</f>
        <v>496345</v>
      </c>
      <c r="J2" s="77">
        <f t="shared" ref="J2:J17" si="0">SUM(B2:F2)</f>
        <v>443808</v>
      </c>
      <c r="K2" s="78" t="s">
        <v>73</v>
      </c>
    </row>
    <row r="3" spans="1:11" ht="15.6" thickTop="1" thickBot="1" x14ac:dyDescent="0.35">
      <c r="A3" s="79" t="s">
        <v>44</v>
      </c>
      <c r="B3" s="80">
        <v>43401.7</v>
      </c>
      <c r="C3" s="80">
        <v>189</v>
      </c>
      <c r="D3" s="80">
        <v>268.32</v>
      </c>
      <c r="E3" s="80">
        <v>8874.7999999999993</v>
      </c>
      <c r="F3" s="80">
        <v>295.52</v>
      </c>
      <c r="G3" s="81">
        <v>19654</v>
      </c>
      <c r="H3" s="82">
        <v>8106</v>
      </c>
      <c r="I3" s="76">
        <f t="shared" ref="I3:I17" si="1">SUM(B3:H3)</f>
        <v>80789.34</v>
      </c>
      <c r="J3" s="77">
        <f t="shared" si="0"/>
        <v>53029.339999999989</v>
      </c>
      <c r="K3" s="78" t="s">
        <v>73</v>
      </c>
    </row>
    <row r="4" spans="1:11" ht="15.6" thickTop="1" thickBot="1" x14ac:dyDescent="0.35">
      <c r="A4" s="83" t="s">
        <v>45</v>
      </c>
      <c r="B4" s="84">
        <v>646</v>
      </c>
      <c r="C4" s="84">
        <v>274</v>
      </c>
      <c r="D4" s="84">
        <v>388</v>
      </c>
      <c r="E4" s="84">
        <v>5200</v>
      </c>
      <c r="F4" s="84">
        <v>168</v>
      </c>
      <c r="G4" s="84">
        <v>0</v>
      </c>
      <c r="H4" s="85">
        <v>15640</v>
      </c>
      <c r="I4" s="76">
        <f t="shared" si="1"/>
        <v>22316</v>
      </c>
      <c r="J4" s="77">
        <f t="shared" si="0"/>
        <v>6676</v>
      </c>
      <c r="K4" s="78" t="s">
        <v>73</v>
      </c>
    </row>
    <row r="5" spans="1:11" ht="15.6" thickTop="1" thickBot="1" x14ac:dyDescent="0.35">
      <c r="A5" s="79" t="s">
        <v>46</v>
      </c>
      <c r="B5" s="80">
        <v>552505</v>
      </c>
      <c r="C5" s="80">
        <v>366340.88</v>
      </c>
      <c r="D5" s="81">
        <v>340263.02</v>
      </c>
      <c r="E5" s="81">
        <v>39049.519999999997</v>
      </c>
      <c r="F5" s="81">
        <v>96077.42</v>
      </c>
      <c r="G5" s="81">
        <v>0</v>
      </c>
      <c r="H5" s="82">
        <v>0</v>
      </c>
      <c r="I5" s="76">
        <f t="shared" si="1"/>
        <v>1394235.8399999999</v>
      </c>
      <c r="J5" s="77">
        <f t="shared" si="0"/>
        <v>1394235.8399999999</v>
      </c>
      <c r="K5" s="78" t="s">
        <v>73</v>
      </c>
    </row>
    <row r="6" spans="1:11" ht="15.6" thickTop="1" thickBot="1" x14ac:dyDescent="0.35">
      <c r="A6" s="83" t="s">
        <v>47</v>
      </c>
      <c r="B6" s="84">
        <v>1622</v>
      </c>
      <c r="C6" s="84">
        <v>882</v>
      </c>
      <c r="D6" s="84">
        <v>1250</v>
      </c>
      <c r="E6" s="84">
        <v>0</v>
      </c>
      <c r="F6" s="84">
        <v>417</v>
      </c>
      <c r="G6" s="84"/>
      <c r="H6" s="85"/>
      <c r="I6" s="76">
        <f t="shared" si="1"/>
        <v>4171</v>
      </c>
      <c r="J6" s="77">
        <f t="shared" si="0"/>
        <v>4171</v>
      </c>
      <c r="K6" s="78" t="s">
        <v>73</v>
      </c>
    </row>
    <row r="7" spans="1:11" ht="15.6" thickTop="1" thickBot="1" x14ac:dyDescent="0.35">
      <c r="A7" s="79" t="s">
        <v>48</v>
      </c>
      <c r="B7" s="80">
        <v>1018</v>
      </c>
      <c r="C7" s="80">
        <v>552</v>
      </c>
      <c r="D7" s="80">
        <v>784</v>
      </c>
      <c r="E7" s="80">
        <v>0</v>
      </c>
      <c r="F7" s="80">
        <v>272</v>
      </c>
      <c r="G7" s="80">
        <v>0</v>
      </c>
      <c r="H7" s="86">
        <v>24694</v>
      </c>
      <c r="I7" s="76">
        <f t="shared" si="1"/>
        <v>27320</v>
      </c>
      <c r="J7" s="77">
        <f t="shared" si="0"/>
        <v>2626</v>
      </c>
      <c r="K7" s="78" t="s">
        <v>73</v>
      </c>
    </row>
    <row r="8" spans="1:11" ht="15.6" thickTop="1" thickBot="1" x14ac:dyDescent="0.35">
      <c r="A8" s="83" t="s">
        <v>49</v>
      </c>
      <c r="B8" s="84">
        <v>196</v>
      </c>
      <c r="C8" s="84">
        <v>0</v>
      </c>
      <c r="D8" s="84">
        <v>48</v>
      </c>
      <c r="E8" s="84">
        <v>0</v>
      </c>
      <c r="F8" s="84">
        <v>51</v>
      </c>
      <c r="G8" s="84">
        <v>0</v>
      </c>
      <c r="H8" s="85"/>
      <c r="I8" s="76">
        <f t="shared" si="1"/>
        <v>295</v>
      </c>
      <c r="J8" s="77">
        <f t="shared" si="0"/>
        <v>295</v>
      </c>
      <c r="K8" s="78" t="s">
        <v>73</v>
      </c>
    </row>
    <row r="9" spans="1:11" ht="15.6" thickTop="1" thickBot="1" x14ac:dyDescent="0.35">
      <c r="A9" s="87" t="s">
        <v>50</v>
      </c>
      <c r="B9" s="80">
        <v>58571</v>
      </c>
      <c r="C9" s="80">
        <v>37061</v>
      </c>
      <c r="D9" s="80">
        <v>54188</v>
      </c>
      <c r="E9" s="80">
        <v>9994</v>
      </c>
      <c r="F9" s="80">
        <v>32122</v>
      </c>
      <c r="G9" s="80">
        <v>10591</v>
      </c>
      <c r="H9" s="86">
        <v>17902</v>
      </c>
      <c r="I9" s="76">
        <f t="shared" si="1"/>
        <v>220429</v>
      </c>
      <c r="J9" s="77">
        <f t="shared" si="0"/>
        <v>191936</v>
      </c>
      <c r="K9" s="78" t="s">
        <v>73</v>
      </c>
    </row>
    <row r="10" spans="1:11" ht="15.6" thickTop="1" thickBot="1" x14ac:dyDescent="0.35">
      <c r="A10" s="83" t="s">
        <v>51</v>
      </c>
      <c r="B10" s="84">
        <v>2470</v>
      </c>
      <c r="C10" s="84">
        <v>1400</v>
      </c>
      <c r="D10" s="84">
        <v>1987</v>
      </c>
      <c r="E10" s="84">
        <v>0</v>
      </c>
      <c r="F10" s="84">
        <v>638</v>
      </c>
      <c r="G10" s="84"/>
      <c r="H10" s="85">
        <v>59883</v>
      </c>
      <c r="I10" s="76">
        <f t="shared" si="1"/>
        <v>66378</v>
      </c>
      <c r="J10" s="77">
        <f t="shared" si="0"/>
        <v>6495</v>
      </c>
      <c r="K10" s="78" t="s">
        <v>73</v>
      </c>
    </row>
    <row r="11" spans="1:11" ht="15.6" thickTop="1" thickBot="1" x14ac:dyDescent="0.35">
      <c r="A11" s="79" t="s">
        <v>74</v>
      </c>
      <c r="B11" s="80">
        <v>594915</v>
      </c>
      <c r="C11" s="80">
        <v>127789</v>
      </c>
      <c r="D11" s="81">
        <v>78992</v>
      </c>
      <c r="E11" s="81">
        <v>87612</v>
      </c>
      <c r="F11" s="81">
        <v>260570</v>
      </c>
      <c r="G11" s="81">
        <v>137083</v>
      </c>
      <c r="H11" s="82">
        <v>90570</v>
      </c>
      <c r="I11" s="76">
        <f t="shared" si="1"/>
        <v>1377531</v>
      </c>
      <c r="J11" s="77">
        <f t="shared" si="0"/>
        <v>1149878</v>
      </c>
      <c r="K11" s="78" t="s">
        <v>73</v>
      </c>
    </row>
    <row r="12" spans="1:11" ht="15.6" thickTop="1" thickBot="1" x14ac:dyDescent="0.35">
      <c r="A12" s="83" t="s">
        <v>53</v>
      </c>
      <c r="B12" s="84">
        <v>331</v>
      </c>
      <c r="C12" s="84">
        <v>114</v>
      </c>
      <c r="D12" s="84">
        <v>162</v>
      </c>
      <c r="E12" s="84">
        <v>0</v>
      </c>
      <c r="F12" s="84">
        <v>88</v>
      </c>
      <c r="G12" s="84">
        <v>0</v>
      </c>
      <c r="H12" s="85">
        <v>8024</v>
      </c>
      <c r="I12" s="76">
        <f t="shared" si="1"/>
        <v>8719</v>
      </c>
      <c r="J12" s="77">
        <f t="shared" si="0"/>
        <v>695</v>
      </c>
      <c r="K12" s="78" t="s">
        <v>73</v>
      </c>
    </row>
    <row r="13" spans="1:11" ht="15.6" thickTop="1" thickBot="1" x14ac:dyDescent="0.35">
      <c r="A13" s="79" t="s">
        <v>54</v>
      </c>
      <c r="B13" s="80">
        <v>3493</v>
      </c>
      <c r="C13" s="80">
        <v>1995</v>
      </c>
      <c r="D13" s="80">
        <v>2831</v>
      </c>
      <c r="E13" s="80">
        <v>0</v>
      </c>
      <c r="F13" s="80">
        <v>914</v>
      </c>
      <c r="G13" s="80">
        <v>0</v>
      </c>
      <c r="H13" s="86">
        <v>84708</v>
      </c>
      <c r="I13" s="76">
        <f t="shared" si="1"/>
        <v>93941</v>
      </c>
      <c r="J13" s="77">
        <f t="shared" si="0"/>
        <v>9233</v>
      </c>
      <c r="K13" s="78" t="s">
        <v>73</v>
      </c>
    </row>
    <row r="14" spans="1:11" ht="15.6" thickTop="1" thickBot="1" x14ac:dyDescent="0.35">
      <c r="A14" s="83" t="s">
        <v>55</v>
      </c>
      <c r="B14" s="84">
        <v>330511.52</v>
      </c>
      <c r="C14" s="84">
        <v>157491.84</v>
      </c>
      <c r="D14" s="84">
        <v>284708.32</v>
      </c>
      <c r="E14" s="84">
        <v>23584</v>
      </c>
      <c r="F14" s="84">
        <v>80387.679999999993</v>
      </c>
      <c r="G14" s="84">
        <v>104178</v>
      </c>
      <c r="H14" s="85">
        <v>0</v>
      </c>
      <c r="I14" s="76">
        <f t="shared" si="1"/>
        <v>980861.35999999987</v>
      </c>
      <c r="J14" s="77">
        <f t="shared" si="0"/>
        <v>876683.35999999987</v>
      </c>
      <c r="K14" s="78" t="s">
        <v>73</v>
      </c>
    </row>
    <row r="15" spans="1:11" ht="15.6" thickTop="1" thickBot="1" x14ac:dyDescent="0.35">
      <c r="A15" s="79" t="s">
        <v>56</v>
      </c>
      <c r="B15" s="80">
        <v>318051</v>
      </c>
      <c r="C15" s="80">
        <v>0</v>
      </c>
      <c r="D15" s="80">
        <v>82321</v>
      </c>
      <c r="E15" s="80">
        <v>57401</v>
      </c>
      <c r="F15" s="80">
        <v>648</v>
      </c>
      <c r="G15" s="80">
        <v>143220</v>
      </c>
      <c r="H15" s="86">
        <v>0</v>
      </c>
      <c r="I15" s="76">
        <f t="shared" si="1"/>
        <v>601641</v>
      </c>
      <c r="J15" s="77">
        <f t="shared" si="0"/>
        <v>458421</v>
      </c>
      <c r="K15" s="78" t="s">
        <v>73</v>
      </c>
    </row>
    <row r="16" spans="1:11" ht="15.6" thickTop="1" thickBot="1" x14ac:dyDescent="0.35">
      <c r="A16" s="83" t="s">
        <v>57</v>
      </c>
      <c r="B16" s="84">
        <v>820</v>
      </c>
      <c r="C16" s="84">
        <v>452</v>
      </c>
      <c r="D16" s="84">
        <v>640</v>
      </c>
      <c r="E16" s="84">
        <v>0</v>
      </c>
      <c r="F16" s="84">
        <v>219</v>
      </c>
      <c r="G16" s="84"/>
      <c r="H16" s="85">
        <v>19878</v>
      </c>
      <c r="I16" s="76">
        <f t="shared" si="1"/>
        <v>22009</v>
      </c>
      <c r="J16" s="77">
        <f t="shared" si="0"/>
        <v>2131</v>
      </c>
      <c r="K16" s="78" t="s">
        <v>73</v>
      </c>
    </row>
    <row r="17" spans="1:11" ht="15.6" thickTop="1" thickBot="1" x14ac:dyDescent="0.35">
      <c r="A17" s="88" t="s">
        <v>58</v>
      </c>
      <c r="B17" s="89">
        <v>295553</v>
      </c>
      <c r="C17" s="89">
        <v>331630</v>
      </c>
      <c r="D17" s="80">
        <v>651386</v>
      </c>
      <c r="E17" s="89">
        <v>65905</v>
      </c>
      <c r="F17" s="80">
        <v>119010</v>
      </c>
      <c r="G17" s="89">
        <v>44560</v>
      </c>
      <c r="H17" s="90">
        <v>0</v>
      </c>
      <c r="I17" s="76">
        <f t="shared" si="1"/>
        <v>1508044</v>
      </c>
      <c r="J17" s="77">
        <f t="shared" si="0"/>
        <v>1463484</v>
      </c>
      <c r="K17" s="78" t="s">
        <v>73</v>
      </c>
    </row>
    <row r="18" spans="1:11" ht="15.6" thickTop="1" thickBot="1" x14ac:dyDescent="0.35">
      <c r="A18" s="91" t="s">
        <v>75</v>
      </c>
      <c r="B18" s="92">
        <f t="shared" ref="B18:H18" si="2">SUM(B2:B17)</f>
        <v>2454379.2199999997</v>
      </c>
      <c r="C18" s="92">
        <f t="shared" si="2"/>
        <v>1060220.2999999998</v>
      </c>
      <c r="D18" s="92">
        <f t="shared" si="2"/>
        <v>1566010.08</v>
      </c>
      <c r="E18" s="93">
        <f t="shared" si="2"/>
        <v>319689.32</v>
      </c>
      <c r="F18" s="93">
        <f t="shared" si="2"/>
        <v>663498.62</v>
      </c>
      <c r="G18" s="92">
        <f t="shared" si="2"/>
        <v>511823</v>
      </c>
      <c r="H18" s="92">
        <f t="shared" si="2"/>
        <v>329405</v>
      </c>
      <c r="I18" s="94">
        <f>SUM(B18:H18)</f>
        <v>6905025.54</v>
      </c>
      <c r="J18" s="95">
        <f>SUM(J2:J17)</f>
        <v>6063797.5399999991</v>
      </c>
      <c r="K18" s="96"/>
    </row>
    <row r="19" spans="1:11" ht="15" thickTop="1" x14ac:dyDescent="0.3">
      <c r="A19" s="97"/>
      <c r="B19" s="98"/>
      <c r="C19" s="98"/>
      <c r="D19" s="98"/>
      <c r="E19" s="98"/>
      <c r="F19" s="98"/>
      <c r="G19" s="98" t="s">
        <v>76</v>
      </c>
      <c r="H19" s="98"/>
      <c r="I19" s="99">
        <f>SUM(I2:I17)</f>
        <v>6905025.5399999991</v>
      </c>
      <c r="J19" s="100">
        <f>SUM(B18:F18)</f>
        <v>6063797.54</v>
      </c>
      <c r="K19" s="101"/>
    </row>
  </sheetData>
  <sheetProtection algorithmName="SHA-512" hashValue="UtPoHyNAOvpCds1X8ajHLnAdZ1EGgnq5uLM9O/wY+ykkOOlqD8+0CUqSXYxdB388CkWJdjf5dXC43tiXVUpXAw==" saltValue="FsbiX0h5FkGJv0+cto+SUg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4735F-DF7B-431C-9346-4A0EFDC7E7E5}">
  <dimension ref="A1:H19"/>
  <sheetViews>
    <sheetView zoomScale="120" zoomScaleNormal="120" workbookViewId="0">
      <selection activeCell="G16" sqref="G16"/>
    </sheetView>
  </sheetViews>
  <sheetFormatPr defaultRowHeight="14.4" x14ac:dyDescent="0.3"/>
  <cols>
    <col min="2" max="4" width="9.88671875" bestFit="1" customWidth="1"/>
    <col min="5" max="5" width="9.33203125" bestFit="1" customWidth="1"/>
    <col min="6" max="6" width="9.88671875" bestFit="1" customWidth="1"/>
    <col min="7" max="7" width="9.33203125" bestFit="1" customWidth="1"/>
    <col min="8" max="8" width="10.88671875" bestFit="1" customWidth="1"/>
  </cols>
  <sheetData>
    <row r="1" spans="1:8" ht="43.2" thickTop="1" thickBot="1" x14ac:dyDescent="0.35">
      <c r="A1" s="67" t="s">
        <v>1</v>
      </c>
      <c r="B1" s="69" t="s">
        <v>77</v>
      </c>
      <c r="C1" s="69" t="s">
        <v>78</v>
      </c>
      <c r="D1" s="69" t="s">
        <v>79</v>
      </c>
      <c r="E1" s="69" t="s">
        <v>80</v>
      </c>
      <c r="F1" s="69" t="s">
        <v>81</v>
      </c>
      <c r="G1" s="69" t="s">
        <v>82</v>
      </c>
      <c r="H1" s="70" t="s">
        <v>70</v>
      </c>
    </row>
    <row r="2" spans="1:8" ht="15" thickTop="1" x14ac:dyDescent="0.3">
      <c r="A2" s="73" t="s">
        <v>42</v>
      </c>
      <c r="B2" s="103">
        <v>11955</v>
      </c>
      <c r="C2" s="103">
        <v>18401</v>
      </c>
      <c r="D2" s="103">
        <v>42314</v>
      </c>
      <c r="E2" s="103">
        <v>373</v>
      </c>
      <c r="F2" s="103">
        <v>86429</v>
      </c>
      <c r="G2" s="125">
        <v>-6</v>
      </c>
      <c r="H2" s="104">
        <f>SUM(B2:G2)</f>
        <v>159466</v>
      </c>
    </row>
    <row r="3" spans="1:8" x14ac:dyDescent="0.3">
      <c r="A3" s="79" t="s">
        <v>44</v>
      </c>
      <c r="B3" s="105">
        <v>28681</v>
      </c>
      <c r="C3" s="105">
        <v>56548</v>
      </c>
      <c r="D3" s="105">
        <v>22180</v>
      </c>
      <c r="E3" s="105">
        <v>3947</v>
      </c>
      <c r="F3" s="105">
        <v>31922</v>
      </c>
      <c r="G3" s="105">
        <v>1079</v>
      </c>
      <c r="H3" s="106">
        <f t="shared" ref="H3:H18" si="0">SUM(B3:G3)</f>
        <v>144357</v>
      </c>
    </row>
    <row r="4" spans="1:8" x14ac:dyDescent="0.3">
      <c r="A4" s="83" t="s">
        <v>45</v>
      </c>
      <c r="B4" s="103">
        <v>138169</v>
      </c>
      <c r="C4" s="103">
        <v>4130</v>
      </c>
      <c r="D4" s="103">
        <v>18583</v>
      </c>
      <c r="E4" s="103">
        <v>27203</v>
      </c>
      <c r="F4" s="103">
        <v>4535</v>
      </c>
      <c r="G4" s="125">
        <v>-3</v>
      </c>
      <c r="H4" s="107">
        <f t="shared" si="0"/>
        <v>192617</v>
      </c>
    </row>
    <row r="5" spans="1:8" x14ac:dyDescent="0.3">
      <c r="A5" s="79" t="s">
        <v>46</v>
      </c>
      <c r="B5" s="105">
        <v>150726</v>
      </c>
      <c r="C5" s="105">
        <v>22818</v>
      </c>
      <c r="D5" s="105">
        <v>102684</v>
      </c>
      <c r="E5" s="105">
        <v>920</v>
      </c>
      <c r="F5" s="105">
        <v>17086</v>
      </c>
      <c r="G5" s="105">
        <v>27215</v>
      </c>
      <c r="H5" s="106">
        <f t="shared" si="0"/>
        <v>321449</v>
      </c>
    </row>
    <row r="6" spans="1:8" x14ac:dyDescent="0.3">
      <c r="A6" s="83" t="s">
        <v>47</v>
      </c>
      <c r="B6" s="103">
        <v>14723</v>
      </c>
      <c r="C6" s="103">
        <v>13289</v>
      </c>
      <c r="D6" s="103">
        <v>59800</v>
      </c>
      <c r="E6" s="103">
        <v>607</v>
      </c>
      <c r="F6" s="103">
        <v>11254</v>
      </c>
      <c r="G6" s="125">
        <v>-9</v>
      </c>
      <c r="H6" s="107">
        <f t="shared" si="0"/>
        <v>99664</v>
      </c>
    </row>
    <row r="7" spans="1:8" x14ac:dyDescent="0.3">
      <c r="A7" s="79" t="s">
        <v>48</v>
      </c>
      <c r="B7" s="105">
        <v>239917</v>
      </c>
      <c r="C7" s="105">
        <v>135358</v>
      </c>
      <c r="D7" s="105">
        <v>71653</v>
      </c>
      <c r="E7" s="105">
        <v>58288</v>
      </c>
      <c r="F7" s="105">
        <v>277737</v>
      </c>
      <c r="G7" s="105">
        <v>8121</v>
      </c>
      <c r="H7" s="106">
        <f t="shared" si="0"/>
        <v>791074</v>
      </c>
    </row>
    <row r="8" spans="1:8" x14ac:dyDescent="0.3">
      <c r="A8" s="83" t="s">
        <v>49</v>
      </c>
      <c r="B8" s="103">
        <v>1782</v>
      </c>
      <c r="C8" s="103">
        <v>511</v>
      </c>
      <c r="D8" s="103">
        <v>2301</v>
      </c>
      <c r="E8" s="103">
        <v>24</v>
      </c>
      <c r="F8" s="103">
        <v>1371</v>
      </c>
      <c r="G8" s="125">
        <v>-1</v>
      </c>
      <c r="H8" s="107">
        <f t="shared" si="0"/>
        <v>5988</v>
      </c>
    </row>
    <row r="9" spans="1:8" x14ac:dyDescent="0.3">
      <c r="A9" s="87" t="s">
        <v>50</v>
      </c>
      <c r="B9" s="105">
        <v>6844</v>
      </c>
      <c r="C9" s="105">
        <v>4928</v>
      </c>
      <c r="D9" s="105">
        <v>22175</v>
      </c>
      <c r="E9" s="105">
        <v>1422</v>
      </c>
      <c r="F9" s="105">
        <v>63380</v>
      </c>
      <c r="G9" s="126">
        <v>-5</v>
      </c>
      <c r="H9" s="106">
        <f t="shared" si="0"/>
        <v>98744</v>
      </c>
    </row>
    <row r="10" spans="1:8" x14ac:dyDescent="0.3">
      <c r="A10" s="83" t="s">
        <v>51</v>
      </c>
      <c r="B10" s="103">
        <v>22422</v>
      </c>
      <c r="C10" s="103">
        <v>21107</v>
      </c>
      <c r="D10" s="103">
        <v>94989</v>
      </c>
      <c r="E10" s="103">
        <v>70719</v>
      </c>
      <c r="F10" s="103">
        <v>87070</v>
      </c>
      <c r="G10" s="103">
        <v>6100</v>
      </c>
      <c r="H10" s="107">
        <f t="shared" si="0"/>
        <v>302407</v>
      </c>
    </row>
    <row r="11" spans="1:8" x14ac:dyDescent="0.3">
      <c r="A11" s="79" t="s">
        <v>74</v>
      </c>
      <c r="B11" s="105">
        <v>443180</v>
      </c>
      <c r="C11" s="105">
        <v>624424</v>
      </c>
      <c r="D11" s="105">
        <v>255252</v>
      </c>
      <c r="E11" s="105">
        <v>32155</v>
      </c>
      <c r="F11" s="105">
        <v>44870</v>
      </c>
      <c r="G11" s="105">
        <v>10483</v>
      </c>
      <c r="H11" s="106">
        <f t="shared" si="0"/>
        <v>1410364</v>
      </c>
    </row>
    <row r="12" spans="1:8" x14ac:dyDescent="0.3">
      <c r="A12" s="79" t="s">
        <v>53</v>
      </c>
      <c r="B12" s="105">
        <v>114823</v>
      </c>
      <c r="C12" s="105">
        <v>26629</v>
      </c>
      <c r="D12" s="105">
        <v>27910</v>
      </c>
      <c r="E12" s="105">
        <v>20399</v>
      </c>
      <c r="F12" s="105">
        <v>41031</v>
      </c>
      <c r="G12" s="105">
        <v>2928</v>
      </c>
      <c r="H12" s="106">
        <f t="shared" si="0"/>
        <v>233720</v>
      </c>
    </row>
    <row r="13" spans="1:8" x14ac:dyDescent="0.3">
      <c r="A13" s="83" t="s">
        <v>54</v>
      </c>
      <c r="B13" s="108">
        <v>817682</v>
      </c>
      <c r="C13" s="108">
        <v>1152415</v>
      </c>
      <c r="D13" s="108">
        <v>632464</v>
      </c>
      <c r="E13" s="108">
        <v>28003</v>
      </c>
      <c r="F13" s="108">
        <v>513211</v>
      </c>
      <c r="G13" s="108">
        <v>35576</v>
      </c>
      <c r="H13" s="104">
        <f>SUM(B13:G13)</f>
        <v>3179351</v>
      </c>
    </row>
    <row r="14" spans="1:8" x14ac:dyDescent="0.3">
      <c r="A14" s="79" t="s">
        <v>55</v>
      </c>
      <c r="B14" s="105">
        <v>389802</v>
      </c>
      <c r="C14" s="105">
        <v>193502</v>
      </c>
      <c r="D14" s="105">
        <v>258324</v>
      </c>
      <c r="E14" s="105">
        <v>17637</v>
      </c>
      <c r="F14" s="105">
        <v>107415</v>
      </c>
      <c r="G14" s="105">
        <v>4487</v>
      </c>
      <c r="H14" s="106">
        <f t="shared" si="0"/>
        <v>971167</v>
      </c>
    </row>
    <row r="15" spans="1:8" x14ac:dyDescent="0.3">
      <c r="A15" s="83" t="s">
        <v>56</v>
      </c>
      <c r="B15" s="103">
        <v>24645</v>
      </c>
      <c r="C15" s="103">
        <v>20784</v>
      </c>
      <c r="D15" s="103">
        <v>1111988</v>
      </c>
      <c r="E15" s="103">
        <v>17588</v>
      </c>
      <c r="F15" s="103">
        <v>202830</v>
      </c>
      <c r="G15" s="125">
        <v>-14</v>
      </c>
      <c r="H15" s="107">
        <f t="shared" si="0"/>
        <v>1377821</v>
      </c>
    </row>
    <row r="16" spans="1:8" x14ac:dyDescent="0.3">
      <c r="A16" s="79" t="s">
        <v>57</v>
      </c>
      <c r="B16" s="109">
        <v>25700</v>
      </c>
      <c r="C16" s="109">
        <v>142556</v>
      </c>
      <c r="D16" s="109">
        <v>32220</v>
      </c>
      <c r="E16" s="109">
        <v>11913</v>
      </c>
      <c r="F16" s="109">
        <v>11250</v>
      </c>
      <c r="G16" s="127">
        <v>-5</v>
      </c>
      <c r="H16" s="106">
        <f t="shared" si="0"/>
        <v>223634</v>
      </c>
    </row>
    <row r="17" spans="1:8" ht="15" thickBot="1" x14ac:dyDescent="0.35">
      <c r="A17" s="110" t="s">
        <v>58</v>
      </c>
      <c r="B17" s="111">
        <v>708395</v>
      </c>
      <c r="C17" s="111">
        <v>138961</v>
      </c>
      <c r="D17" s="111">
        <v>294796</v>
      </c>
      <c r="E17" s="111">
        <v>23799</v>
      </c>
      <c r="F17" s="111">
        <v>209939</v>
      </c>
      <c r="G17" s="111">
        <v>161</v>
      </c>
      <c r="H17" s="112">
        <f t="shared" si="0"/>
        <v>1376051</v>
      </c>
    </row>
    <row r="18" spans="1:8" ht="15.6" thickTop="1" thickBot="1" x14ac:dyDescent="0.35">
      <c r="A18" s="91" t="s">
        <v>75</v>
      </c>
      <c r="B18" s="113">
        <f t="shared" ref="B18:G18" si="1">SUM(B2:B17)</f>
        <v>3139446</v>
      </c>
      <c r="C18" s="113">
        <f t="shared" si="1"/>
        <v>2576361</v>
      </c>
      <c r="D18" s="113">
        <f t="shared" si="1"/>
        <v>3049633</v>
      </c>
      <c r="E18" s="113">
        <f t="shared" si="1"/>
        <v>314997</v>
      </c>
      <c r="F18" s="113">
        <f t="shared" si="1"/>
        <v>1711330</v>
      </c>
      <c r="G18" s="113">
        <f t="shared" si="1"/>
        <v>96107</v>
      </c>
      <c r="H18" s="114">
        <f t="shared" si="0"/>
        <v>10887874</v>
      </c>
    </row>
    <row r="19" spans="1:8" ht="15" thickTop="1" x14ac:dyDescent="0.3">
      <c r="A19" s="97"/>
      <c r="B19" s="98"/>
      <c r="C19" s="98"/>
      <c r="D19" s="98"/>
      <c r="E19" s="98"/>
      <c r="F19" s="98"/>
      <c r="G19" s="98" t="s">
        <v>76</v>
      </c>
      <c r="H19" s="102">
        <f>SUM(H2:H17)</f>
        <v>10887874</v>
      </c>
    </row>
  </sheetData>
  <sheetProtection algorithmName="SHA-512" hashValue="J3m5/T/52sGHAz3eVHuY4ByIgFoZHOEhqIsL0z+MPXK8za50zZaD3Ib1yevTNAqE61FjI+VbFN/kxYMsgNepxw==" saltValue="1V0/xbycMWnLN0Xo0q3Gew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57793A573FA24A999BFD6F01BF9242" ma:contentTypeVersion="6" ma:contentTypeDescription="Create a new document." ma:contentTypeScope="" ma:versionID="84d7fe15d6bed1339d345968622690f7">
  <xsd:schema xmlns:xsd="http://www.w3.org/2001/XMLSchema" xmlns:xs="http://www.w3.org/2001/XMLSchema" xmlns:p="http://schemas.microsoft.com/office/2006/metadata/properties" xmlns:ns1="http://schemas.microsoft.com/sharepoint/v3" xmlns:ns2="b5921b60-9b2e-4daa-8c80-faaf819f1b87" xmlns:ns3="49e1b1f5-4598-4f10-9cb7-32cc96214367" targetNamespace="http://schemas.microsoft.com/office/2006/metadata/properties" ma:root="true" ma:fieldsID="ab3bd5f389ba078ba416d2722464ee67" ns1:_="" ns2:_="" ns3:_="">
    <xsd:import namespace="http://schemas.microsoft.com/sharepoint/v3"/>
    <xsd:import namespace="b5921b60-9b2e-4daa-8c80-faaf819f1b87"/>
    <xsd:import namespace="49e1b1f5-4598-4f10-9cb7-32cc9621436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Category" minOccurs="0"/>
                <xsd:element ref="ns2:Subcategory" minOccurs="0"/>
                <xsd:element ref="ns3:SharedWithUsers" minOccurs="0"/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921b60-9b2e-4daa-8c80-faaf819f1b87" elementFormDefault="qualified">
    <xsd:import namespace="http://schemas.microsoft.com/office/2006/documentManagement/types"/>
    <xsd:import namespace="http://schemas.microsoft.com/office/infopath/2007/PartnerControls"/>
    <xsd:element name="Category" ma:index="11" nillable="true" ma:displayName="Category" ma:format="Dropdown" ma:internalName="Category">
      <xsd:simpleType>
        <xsd:restriction base="dms:Choice">
          <xsd:enumeration value="Area Plans"/>
          <xsd:enumeration value="Family Caregiver"/>
          <xsd:enumeration value="Gatekeeper"/>
          <xsd:enumeration value="Grant Award Letters"/>
          <xsd:enumeration value="Healthy Aging"/>
          <xsd:enumeration value="Legal"/>
          <xsd:enumeration value="Nutrition"/>
          <xsd:enumeration value="OPI"/>
          <xsd:enumeration value="Power Hour"/>
        </xsd:restriction>
      </xsd:simpleType>
    </xsd:element>
    <xsd:element name="Subcategory" ma:index="12" nillable="true" ma:displayName="Subcategory" ma:description="Use only with Category=Grant Awards" ma:format="Dropdown" ma:internalName="Subcategory">
      <xsd:simpleType>
        <xsd:restriction base="dms:Choice">
          <xsd:enumeration value="NSIP"/>
          <xsd:enumeration value="Special/Disaster"/>
          <xsd:enumeration value="Title III"/>
          <xsd:enumeration value="Title VII"/>
        </xsd:restriction>
      </xsd:simpleType>
    </xsd:element>
    <xsd:element name="Date" ma:index="14" nillable="true" ma:displayName="Date" ma:description="Use when Category=Grant Award Letter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1b1f5-4598-4f10-9cb7-32cc9621436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category xmlns="b5921b60-9b2e-4daa-8c80-faaf819f1b87" xsi:nil="true"/>
    <PublishingExpirationDate xmlns="http://schemas.microsoft.com/sharepoint/v3" xsi:nil="true"/>
    <PublishingStartDate xmlns="http://schemas.microsoft.com/sharepoint/v3" xsi:nil="true"/>
    <Category xmlns="b5921b60-9b2e-4daa-8c80-faaf819f1b87" xsi:nil="true"/>
    <Date xmlns="b5921b60-9b2e-4daa-8c80-faaf819f1b87" xsi:nil="true"/>
  </documentManagement>
</p:properties>
</file>

<file path=customXml/itemProps1.xml><?xml version="1.0" encoding="utf-8"?>
<ds:datastoreItem xmlns:ds="http://schemas.openxmlformats.org/officeDocument/2006/customXml" ds:itemID="{1A7B46D0-ECAC-4941-882B-9678DD0458C4}"/>
</file>

<file path=customXml/itemProps2.xml><?xml version="1.0" encoding="utf-8"?>
<ds:datastoreItem xmlns:ds="http://schemas.openxmlformats.org/officeDocument/2006/customXml" ds:itemID="{F5292174-E288-4C3C-83B5-82CC19A7459C}"/>
</file>

<file path=customXml/itemProps3.xml><?xml version="1.0" encoding="utf-8"?>
<ds:datastoreItem xmlns:ds="http://schemas.openxmlformats.org/officeDocument/2006/customXml" ds:itemID="{4FD5F7BA-CC5A-4517-B162-747FA95C15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Amendment 2 Summary</vt:lpstr>
      <vt:lpstr>Unspent ARP, SLFR, Vac5 #2</vt:lpstr>
      <vt:lpstr>21-23 Unspent Funds Amendment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23-25 OAA Planning Allocation - Amendment 2</dc:title>
  <dc:creator>Stuivenga Brenda S</dc:creator>
  <cp:lastModifiedBy>Newton Suzanne H</cp:lastModifiedBy>
  <cp:lastPrinted>2025-02-06T15:40:17Z</cp:lastPrinted>
  <dcterms:created xsi:type="dcterms:W3CDTF">2025-01-07T19:27:02Z</dcterms:created>
  <dcterms:modified xsi:type="dcterms:W3CDTF">2025-02-12T22:21:33Z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dd6eeb-0dd0-4927-947e-a759f08fcf55_Enabled">
    <vt:lpwstr>true</vt:lpwstr>
  </property>
  <property fmtid="{D5CDD505-2E9C-101B-9397-08002B2CF9AE}" pid="3" name="MSIP_Label_ebdd6eeb-0dd0-4927-947e-a759f08fcf55_SetDate">
    <vt:lpwstr>2025-01-07T19:37:29Z</vt:lpwstr>
  </property>
  <property fmtid="{D5CDD505-2E9C-101B-9397-08002B2CF9AE}" pid="4" name="MSIP_Label_ebdd6eeb-0dd0-4927-947e-a759f08fcf55_Method">
    <vt:lpwstr>Privileged</vt:lpwstr>
  </property>
  <property fmtid="{D5CDD505-2E9C-101B-9397-08002B2CF9AE}" pid="5" name="MSIP_Label_ebdd6eeb-0dd0-4927-947e-a759f08fcf55_Name">
    <vt:lpwstr>Level 1 - Published (Items)</vt:lpwstr>
  </property>
  <property fmtid="{D5CDD505-2E9C-101B-9397-08002B2CF9AE}" pid="6" name="MSIP_Label_ebdd6eeb-0dd0-4927-947e-a759f08fcf55_SiteId">
    <vt:lpwstr>658e63e8-8d39-499c-8f48-13adc9452f4c</vt:lpwstr>
  </property>
  <property fmtid="{D5CDD505-2E9C-101B-9397-08002B2CF9AE}" pid="7" name="MSIP_Label_ebdd6eeb-0dd0-4927-947e-a759f08fcf55_ActionId">
    <vt:lpwstr>50143e14-7301-4e49-9032-6a103aa63212</vt:lpwstr>
  </property>
  <property fmtid="{D5CDD505-2E9C-101B-9397-08002B2CF9AE}" pid="8" name="MSIP_Label_ebdd6eeb-0dd0-4927-947e-a759f08fcf55_ContentBits">
    <vt:lpwstr>0</vt:lpwstr>
  </property>
  <property fmtid="{D5CDD505-2E9C-101B-9397-08002B2CF9AE}" pid="9" name="ContentTypeId">
    <vt:lpwstr>0x0101003C57793A573FA24A999BFD6F01BF9242</vt:lpwstr>
  </property>
</Properties>
</file>