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emf" ContentType="image/x-emf"/>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activeX/activeX5.xml" ContentType="application/vnd.ms-office.activeX+xml"/>
  <Override PartName="/xl/activeX/activeX5.bin" ContentType="application/vnd.ms-office.activeX"/>
  <Override PartName="/xl/activeX/activeX2.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1.bin" ContentType="application/vnd.ms-office.activeX"/>
  <Override PartName="/xl/activeX/activeX9.xml" ContentType="application/vnd.ms-office.activeX+xml"/>
  <Override PartName="/xl/activeX/activeX9.bin" ContentType="application/vnd.ms-office.activeX"/>
  <Override PartName="/xl/activeX/activeX3.xml" ContentType="application/vnd.ms-office.activeX+xml"/>
  <Override PartName="/xl/activeX/activeX10.xml" ContentType="application/vnd.ms-office.activeX+xml"/>
  <Override PartName="/xl/activeX/activeX10.bin" ContentType="application/vnd.ms-office.activeX"/>
  <Override PartName="/xl/activeX/activeX3.bin" ContentType="application/vnd.ms-office.activeX"/>
  <Override PartName="/xl/activeX/activeX11.xml" ContentType="application/vnd.ms-office.activeX+xml"/>
  <Override PartName="/xl/activeX/activeX11.bin" ContentType="application/vnd.ms-office.activeX"/>
  <Override PartName="/xl/activeX/activeX1.xml" ContentType="application/vnd.ms-office.activeX+xml"/>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Metadata/LabelInfo.xml" ContentType="application/vnd.ms-office.classificationlabels+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or0134349\OneDrive - Oregon DHSOHA\Drop\"/>
    </mc:Choice>
  </mc:AlternateContent>
  <xr:revisionPtr revIDLastSave="0" documentId="8_{7C1CE58A-C50E-4F41-B619-2A3BA0DC240A}" xr6:coauthVersionLast="47" xr6:coauthVersionMax="47" xr10:uidLastSave="{00000000-0000-0000-0000-000000000000}"/>
  <bookViews>
    <workbookView xWindow="28680" yWindow="1785" windowWidth="29040" windowHeight="15840" tabRatio="854" firstSheet="1" activeTab="3" xr2:uid="{00000000-000D-0000-FFFF-FFFF00000000}"/>
  </bookViews>
  <sheets>
    <sheet name="Instructions" sheetId="22" state="hidden" r:id="rId1"/>
    <sheet name="Index" sheetId="67" r:id="rId2"/>
    <sheet name="3. Population-NSIP#" sheetId="5" r:id="rId3"/>
    <sheet name="4. Award History&amp;Projections " sheetId="40" r:id="rId4"/>
    <sheet name="5. Alloc Summary" sheetId="42" r:id="rId5"/>
    <sheet name="6. III B" sheetId="7" r:id="rId6"/>
    <sheet name="7. III C-1" sheetId="9" r:id="rId7"/>
    <sheet name="8. III C-2" sheetId="10" r:id="rId8"/>
    <sheet name="9. III D" sheetId="11" r:id="rId9"/>
    <sheet name="10. III E" sheetId="12" r:id="rId10"/>
    <sheet name="VII A" sheetId="16" state="hidden" r:id="rId11"/>
    <sheet name="VII A-LTCO" sheetId="56" r:id="rId12"/>
    <sheet name="11. VII B" sheetId="13" r:id="rId13"/>
    <sheet name="12. 23-25 Unspent" sheetId="45" r:id="rId14"/>
    <sheet name="23-25 Unspent-COVID" sheetId="64" r:id="rId15"/>
    <sheet name="13. NSIP" sheetId="19" r:id="rId16"/>
    <sheet name="NSIP-21-23 Unspent" sheetId="43" state="hidden" r:id="rId17"/>
    <sheet name="15. SPA - EB" sheetId="31" state="hidden" r:id="rId18"/>
    <sheet name="No wrong door" sheetId="50" state="hidden" r:id="rId19"/>
    <sheet name="14. SPA-Seq Mit." sheetId="39" r:id="rId20"/>
    <sheet name="16. OPI 60+" sheetId="14" r:id="rId21"/>
    <sheet name="17. OPI 19-59" sheetId="32" state="hidden" r:id="rId22"/>
    <sheet name="18. OPIM-1115 Expansion " sheetId="66" state="hidden" r:id="rId23"/>
    <sheet name="19. OPIM-CM" sheetId="68" r:id="rId24"/>
    <sheet name="19. OPIM-Elig" sheetId="69" r:id="rId25"/>
    <sheet name="PopulationData" sheetId="21" r:id="rId26"/>
    <sheet name="Popul-ADRC sorted" sheetId="28" r:id="rId27"/>
    <sheet name="Source Information" sheetId="23" r:id="rId28"/>
    <sheet name="District AAA crosswalk" sheetId="18" state="hidden" r:id="rId29"/>
    <sheet name="ORAD agreement-Appendix L" sheetId="65" r:id="rId30"/>
    <sheet name="O4AD agreement-Appendix J-Old " sheetId="57" r:id="rId31"/>
    <sheet name="O4AD agreement-Old" sheetId="26" r:id="rId32"/>
    <sheet name="Land per square" sheetId="47" state="hidden" r:id="rId33"/>
  </sheets>
  <externalReferences>
    <externalReference r:id="rId34"/>
    <externalReference r:id="rId35"/>
    <externalReference r:id="rId36"/>
  </externalReferences>
  <definedNames>
    <definedName name="_xlnm._FilterDatabase" localSheetId="26">'Popul-ADRC sorted'!$A$2:$Q$54</definedName>
    <definedName name="_xlnm._FilterDatabase" localSheetId="25" hidden="1">PopulationData!$A$3:$Q$62</definedName>
    <definedName name="AAA_Train" localSheetId="27">[1]Assumptions!$J$271</definedName>
    <definedName name="AAA_Train">[2]Assumptions!$J$271</definedName>
    <definedName name="Admin_B" localSheetId="27">[1]Assumptions!$E$3</definedName>
    <definedName name="Admin_B">[2]Assumptions!$E$3</definedName>
    <definedName name="Admin_C1" localSheetId="27">[1]Assumptions!$E$4</definedName>
    <definedName name="Admin_C1">[2]Assumptions!$E$4</definedName>
    <definedName name="Admin_C2" localSheetId="27">[1]Assumptions!$E$5</definedName>
    <definedName name="Admin_C2">[2]Assumptions!$E$5</definedName>
    <definedName name="Alloc_Chg" localSheetId="19">'[2]OAA Allocations'!#REF!</definedName>
    <definedName name="Alloc_Chg" localSheetId="17">'[2]OAA Allocations'!#REF!</definedName>
    <definedName name="Alloc_Chg" localSheetId="21">'[2]OAA Allocations'!#REF!</definedName>
    <definedName name="Alloc_Chg" localSheetId="16">'[2]OAA Allocations'!#REF!</definedName>
    <definedName name="Alloc_Chg" localSheetId="26">'[2]OAA Allocations'!#REF!</definedName>
    <definedName name="Alloc_Chg" localSheetId="27">'[1]OAA Allocations'!#REF!</definedName>
    <definedName name="Alloc_Chg">'[2]OAA Allocations'!#REF!</definedName>
    <definedName name="Alloc_Prev" localSheetId="19">'[2]OAA Allocations'!#REF!</definedName>
    <definedName name="Alloc_Prev" localSheetId="17">'[2]OAA Allocations'!#REF!</definedName>
    <definedName name="Alloc_Prev" localSheetId="21">'[2]OAA Allocations'!#REF!</definedName>
    <definedName name="Alloc_Prev" localSheetId="16">'[2]OAA Allocations'!#REF!</definedName>
    <definedName name="Alloc_Prev" localSheetId="26">'[2]OAA Allocations'!#REF!</definedName>
    <definedName name="Alloc_Prev" localSheetId="27">'[1]OAA Allocations'!#REF!</definedName>
    <definedName name="Alloc_Prev">'[2]OAA Allocations'!#REF!</definedName>
    <definedName name="Bi_Years" localSheetId="26">[2]Assumptions!$C$209</definedName>
    <definedName name="Bi_Years" localSheetId="25">[2]Assumptions!$C$209</definedName>
    <definedName name="Bi_Years" localSheetId="27">[1]Assumptions!$C$209</definedName>
    <definedName name="Bi_Years">[3]Assumptions!$C$209</definedName>
    <definedName name="C_1Amt" localSheetId="27">[1]Assumptions!$C$218</definedName>
    <definedName name="C_1Amt">[2]Assumptions!$C$218</definedName>
    <definedName name="C_2Amt" localSheetId="27">[1]Assumptions!$C$220</definedName>
    <definedName name="C_2Amt">[2]Assumptions!$C$220</definedName>
    <definedName name="K_Falls" localSheetId="26">[2]Assumptions!$E$210</definedName>
    <definedName name="K_Falls" localSheetId="25">[2]Assumptions!$E$210</definedName>
    <definedName name="K_Falls" localSheetId="27">[1]Assumptions!$E$210</definedName>
    <definedName name="K_Falls">[3]Assumptions!$E$210</definedName>
    <definedName name="Lake_Seniors" localSheetId="26">[2]Assumptions!$C$210</definedName>
    <definedName name="Lake_Seniors" localSheetId="25">[2]Assumptions!$C$210</definedName>
    <definedName name="Lake_Seniors" localSheetId="27">[1]Assumptions!$C$210</definedName>
    <definedName name="Lake_Seniors">[3]Assumptions!$C$210</definedName>
    <definedName name="Monthly_Meal_Count">#REF!</definedName>
    <definedName name="Notes">#REF!</definedName>
    <definedName name="_xlnm.Print_Area" localSheetId="9">'10. III E'!$A$1:$G$34</definedName>
    <definedName name="_xlnm.Print_Area" localSheetId="12">'11. VII B'!$A$1:$G$35</definedName>
    <definedName name="_xlnm.Print_Area" localSheetId="13">'12. 23-25 Unspent'!$A$1:$J$18</definedName>
    <definedName name="_xlnm.Print_Area" localSheetId="15">'13. NSIP'!$A$1:$G$34</definedName>
    <definedName name="_xlnm.Print_Area" localSheetId="19">'14. SPA-Seq Mit.'!$A$1:$G$34</definedName>
    <definedName name="_xlnm.Print_Area" localSheetId="17">'15. SPA - EB'!$A$1:$H$36</definedName>
    <definedName name="_xlnm.Print_Area" localSheetId="20">'16. OPI 60+'!$A$1:$I$38</definedName>
    <definedName name="_xlnm.Print_Area" localSheetId="21">'17. OPI 19-59'!$A$1:$H$40</definedName>
    <definedName name="_xlnm.Print_Area" localSheetId="22">'18. OPIM-1115 Expansion '!$A$1:$I$38</definedName>
    <definedName name="_xlnm.Print_Area" localSheetId="23">'19. OPIM-CM'!$A$1:$I$38</definedName>
    <definedName name="_xlnm.Print_Area" localSheetId="24">'19. OPIM-Elig'!$A$1:$I$38</definedName>
    <definedName name="_xlnm.Print_Area" localSheetId="14">'23-25 Unspent-COVID'!$B$1:$L$19</definedName>
    <definedName name="_xlnm.Print_Area" localSheetId="2">'3. Population-NSIP#'!$A$1:$K$30</definedName>
    <definedName name="_xlnm.Print_Area" localSheetId="3">'4. Award History&amp;Projections '!$A$1:$N$48</definedName>
    <definedName name="_xlnm.Print_Area" localSheetId="4">'5. Alloc Summary'!$A$1:$AJ$24</definedName>
    <definedName name="_xlnm.Print_Area" localSheetId="5">'6. III B'!$A$1:$G$39</definedName>
    <definedName name="_xlnm.Print_Area" localSheetId="6">'7. III C-1'!$A$1:$G$35</definedName>
    <definedName name="_xlnm.Print_Area" localSheetId="7">'8. III C-2'!$A$1:$G$34</definedName>
    <definedName name="_xlnm.Print_Area" localSheetId="8">'9. III D'!$A$1:$G$34</definedName>
    <definedName name="_xlnm.Print_Area" localSheetId="28">'District AAA crosswalk'!$A$1:$B$18</definedName>
    <definedName name="_xlnm.Print_Area" localSheetId="1">Index!$A$1:$B$23</definedName>
    <definedName name="_xlnm.Print_Area" localSheetId="0">Instructions!$A$1:$A$12</definedName>
    <definedName name="_xlnm.Print_Area" localSheetId="16">'NSIP-21-23 Unspent'!$A$1:$G$39</definedName>
    <definedName name="_xlnm.Print_Area" localSheetId="26">'Popul-ADRC sorted'!$A$1:$Q$55</definedName>
    <definedName name="_xlnm.Print_Area" localSheetId="25">PopulationData!$A$1:$R$65</definedName>
    <definedName name="_xlnm.Print_Area" localSheetId="27">'Source Information'!$A$1:$B$29</definedName>
    <definedName name="_xlnm.Print_Area" localSheetId="10">'VII A'!$A$1:$H$19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0" i="42" l="1"/>
  <c r="AB16" i="42"/>
  <c r="AB15" i="42"/>
  <c r="AB13" i="42"/>
  <c r="AB12" i="42"/>
  <c r="C27" i="69"/>
  <c r="AA16" i="42"/>
  <c r="AA15" i="42"/>
  <c r="AA12" i="42"/>
  <c r="B4" i="69"/>
  <c r="F4" i="69" s="1"/>
  <c r="B3" i="69"/>
  <c r="E3" i="69" s="1"/>
  <c r="B2" i="69"/>
  <c r="D2" i="69" s="1"/>
  <c r="I36" i="69"/>
  <c r="G36" i="69"/>
  <c r="F36" i="69"/>
  <c r="I34" i="69"/>
  <c r="G34" i="69"/>
  <c r="F34" i="69"/>
  <c r="F37" i="69" s="1"/>
  <c r="G12" i="69"/>
  <c r="B4" i="68"/>
  <c r="B3" i="68"/>
  <c r="B2" i="68"/>
  <c r="D2" i="68" s="1"/>
  <c r="I36" i="68"/>
  <c r="F36" i="68"/>
  <c r="G36" i="68" s="1"/>
  <c r="I34" i="68"/>
  <c r="G34" i="68"/>
  <c r="F34" i="68"/>
  <c r="F37" i="68" s="1"/>
  <c r="G12" i="68"/>
  <c r="F4" i="68"/>
  <c r="E3" i="68"/>
  <c r="G3" i="68" s="1"/>
  <c r="G2" i="69" l="1"/>
  <c r="G5" i="69" s="1"/>
  <c r="D5" i="69"/>
  <c r="E5" i="69"/>
  <c r="G3" i="69"/>
  <c r="F5" i="69"/>
  <c r="G4" i="69"/>
  <c r="F5" i="68"/>
  <c r="G4" i="68"/>
  <c r="D5" i="68"/>
  <c r="G2" i="68"/>
  <c r="E5" i="68"/>
  <c r="D6" i="69" l="1"/>
  <c r="D7" i="69"/>
  <c r="F6" i="69"/>
  <c r="F7" i="69" s="1"/>
  <c r="E6" i="69"/>
  <c r="E7" i="69" s="1"/>
  <c r="G5" i="68"/>
  <c r="F6" i="68"/>
  <c r="F7" i="68" s="1"/>
  <c r="E6" i="68"/>
  <c r="E7" i="68" s="1"/>
  <c r="D6" i="68"/>
  <c r="G6" i="69" l="1"/>
  <c r="G7" i="69" s="1"/>
  <c r="G9" i="69" s="1"/>
  <c r="G6" i="68"/>
  <c r="G7" i="68" s="1"/>
  <c r="G9" i="68" s="1"/>
  <c r="D7" i="68"/>
  <c r="G14" i="69" l="1"/>
  <c r="G13" i="68"/>
  <c r="G14" i="68" s="1"/>
  <c r="D22" i="69" l="1"/>
  <c r="D26" i="69"/>
  <c r="D20" i="69"/>
  <c r="D30" i="69"/>
  <c r="D27" i="69"/>
  <c r="AA13" i="42" s="1"/>
  <c r="D24" i="69"/>
  <c r="D21" i="69"/>
  <c r="G15" i="69"/>
  <c r="G15" i="68"/>
  <c r="D33" i="69" l="1"/>
  <c r="D25" i="69"/>
  <c r="D28" i="69"/>
  <c r="D29" i="69"/>
  <c r="D31" i="69"/>
  <c r="D32" i="69"/>
  <c r="D19" i="69"/>
  <c r="B34" i="69"/>
  <c r="D18" i="69"/>
  <c r="C34" i="69"/>
  <c r="D23" i="69"/>
  <c r="D34" i="69" l="1"/>
  <c r="E19" i="69" s="1"/>
  <c r="E23" i="69" l="1"/>
  <c r="E18" i="69"/>
  <c r="D37" i="69"/>
  <c r="E31" i="69"/>
  <c r="E28" i="69"/>
  <c r="E30" i="69"/>
  <c r="E29" i="69"/>
  <c r="E21" i="69"/>
  <c r="E32" i="69"/>
  <c r="E33" i="69"/>
  <c r="E25" i="69"/>
  <c r="E26" i="69"/>
  <c r="E20" i="69"/>
  <c r="E27" i="69"/>
  <c r="E24" i="69"/>
  <c r="E22" i="69"/>
  <c r="E34" i="69" l="1"/>
  <c r="G38" i="69"/>
  <c r="G37" i="69"/>
  <c r="B4" i="32" l="1"/>
  <c r="B3" i="32"/>
  <c r="B2" i="32"/>
  <c r="B4" i="14"/>
  <c r="B3" i="14"/>
  <c r="B2" i="14"/>
  <c r="B4" i="19"/>
  <c r="B3" i="19"/>
  <c r="B2" i="19"/>
  <c r="B4" i="13"/>
  <c r="B3" i="13"/>
  <c r="B2" i="13"/>
  <c r="B4" i="12"/>
  <c r="B3" i="12"/>
  <c r="B2" i="12"/>
  <c r="B4" i="11"/>
  <c r="B3" i="11"/>
  <c r="B2" i="11"/>
  <c r="B4" i="10"/>
  <c r="B3" i="10"/>
  <c r="B2" i="10"/>
  <c r="B4" i="9"/>
  <c r="B3" i="9"/>
  <c r="B2" i="9"/>
  <c r="B10" i="7"/>
  <c r="B9" i="7"/>
  <c r="B8" i="7"/>
  <c r="B4" i="7"/>
  <c r="B3" i="7"/>
  <c r="B2" i="7"/>
  <c r="M53" i="40"/>
  <c r="L53" i="40"/>
  <c r="K53" i="40"/>
  <c r="K42" i="40"/>
  <c r="B42" i="40" s="1"/>
  <c r="H42" i="40" s="1"/>
  <c r="N42" i="40" s="1"/>
  <c r="J42" i="40"/>
  <c r="I42" i="40"/>
  <c r="G42" i="40"/>
  <c r="F42" i="40"/>
  <c r="E42" i="40"/>
  <c r="D42" i="40"/>
  <c r="C42" i="40"/>
  <c r="K41" i="40"/>
  <c r="B41" i="40" s="1"/>
  <c r="J41" i="40"/>
  <c r="I41" i="40"/>
  <c r="G41" i="40"/>
  <c r="F41" i="40"/>
  <c r="E41" i="40"/>
  <c r="D41" i="40"/>
  <c r="C41" i="40"/>
  <c r="I20" i="40"/>
  <c r="M20" i="40" s="1"/>
  <c r="M19" i="40"/>
  <c r="I19" i="40"/>
  <c r="H41" i="40" l="1"/>
  <c r="N41" i="40" s="1"/>
  <c r="F36" i="14"/>
  <c r="G36" i="14" s="1"/>
  <c r="F34" i="14"/>
  <c r="I34" i="14"/>
  <c r="F36" i="32"/>
  <c r="G36" i="32"/>
  <c r="I36" i="14" s="1"/>
  <c r="F37" i="14" l="1"/>
  <c r="F34" i="32"/>
  <c r="D38" i="32" l="1"/>
  <c r="F38" i="32" s="1"/>
  <c r="F39" i="32" s="1"/>
  <c r="J18" i="5" l="1"/>
  <c r="J17" i="5"/>
  <c r="J16" i="5"/>
  <c r="J15" i="5"/>
  <c r="J14" i="5"/>
  <c r="J13" i="5"/>
  <c r="J12" i="5"/>
  <c r="J11" i="5"/>
  <c r="J10" i="5"/>
  <c r="J9" i="5"/>
  <c r="J8" i="5"/>
  <c r="J7" i="5"/>
  <c r="J6" i="5"/>
  <c r="J5" i="5"/>
  <c r="J4" i="5"/>
  <c r="J3" i="5"/>
  <c r="B4" i="66" l="1"/>
  <c r="B3" i="66"/>
  <c r="B2" i="66"/>
  <c r="H18" i="45" l="1"/>
  <c r="G18" i="45"/>
  <c r="F18" i="45"/>
  <c r="E18" i="45"/>
  <c r="D18" i="45"/>
  <c r="C18" i="45"/>
  <c r="I2" i="45"/>
  <c r="I13" i="45"/>
  <c r="F4" i="66" l="1"/>
  <c r="E3" i="66"/>
  <c r="D2" i="66"/>
  <c r="G12" i="66"/>
  <c r="E5" i="66" l="1"/>
  <c r="G3" i="66"/>
  <c r="D5" i="66"/>
  <c r="G2" i="66"/>
  <c r="G4" i="66"/>
  <c r="F5" i="66"/>
  <c r="D6" i="66" l="1"/>
  <c r="D7" i="66" s="1"/>
  <c r="F6" i="66"/>
  <c r="F7" i="66" s="1"/>
  <c r="G5" i="66"/>
  <c r="E6" i="66"/>
  <c r="E7" i="66" s="1"/>
  <c r="G6" i="66" l="1"/>
  <c r="G7" i="66" s="1"/>
  <c r="G9" i="66" s="1"/>
  <c r="G13" i="66" l="1"/>
  <c r="G14" i="66" s="1"/>
  <c r="G15" i="66" l="1"/>
  <c r="A19" i="42" l="1"/>
  <c r="A18" i="42"/>
  <c r="A17" i="42"/>
  <c r="A16" i="42"/>
  <c r="A15" i="42"/>
  <c r="A14" i="42"/>
  <c r="A13" i="42"/>
  <c r="A12" i="42"/>
  <c r="A11" i="42"/>
  <c r="A10" i="42"/>
  <c r="A9" i="42"/>
  <c r="A8" i="42"/>
  <c r="A7" i="42"/>
  <c r="A6" i="42"/>
  <c r="A5" i="42"/>
  <c r="A4" i="42"/>
  <c r="L12" i="64" l="1"/>
  <c r="L8" i="64"/>
  <c r="L4" i="64"/>
  <c r="L2" i="64"/>
  <c r="L9" i="64"/>
  <c r="L6" i="64"/>
  <c r="L15" i="64"/>
  <c r="L16" i="64"/>
  <c r="L7" i="64"/>
  <c r="L10" i="64"/>
  <c r="L14" i="64"/>
  <c r="L17" i="64"/>
  <c r="L5" i="64"/>
  <c r="L11" i="64"/>
  <c r="L3" i="64"/>
  <c r="L13" i="64"/>
  <c r="L18" i="64" l="1"/>
  <c r="I18" i="64"/>
  <c r="J17" i="64" l="1"/>
  <c r="J16" i="64"/>
  <c r="J15" i="64"/>
  <c r="J14" i="64"/>
  <c r="J13" i="64"/>
  <c r="J12" i="64"/>
  <c r="J11" i="64"/>
  <c r="J10" i="64"/>
  <c r="J9" i="64"/>
  <c r="J8" i="64"/>
  <c r="J7" i="64"/>
  <c r="J6" i="64"/>
  <c r="J5" i="64"/>
  <c r="J4" i="64"/>
  <c r="J3" i="64"/>
  <c r="J2" i="64"/>
  <c r="M52" i="40"/>
  <c r="L52" i="40"/>
  <c r="K40" i="40"/>
  <c r="K39" i="40"/>
  <c r="G39" i="40"/>
  <c r="D40" i="40"/>
  <c r="D53" i="40" s="1"/>
  <c r="I39" i="40"/>
  <c r="G40" i="40"/>
  <c r="G53" i="40" s="1"/>
  <c r="D39" i="40"/>
  <c r="C39" i="40" l="1"/>
  <c r="C40" i="40"/>
  <c r="C53" i="40" s="1"/>
  <c r="F39" i="40"/>
  <c r="J39" i="40"/>
  <c r="E40" i="40"/>
  <c r="E53" i="40" s="1"/>
  <c r="E39" i="40"/>
  <c r="B39" i="40"/>
  <c r="B40" i="40"/>
  <c r="B53" i="40" s="1"/>
  <c r="F40" i="40" l="1"/>
  <c r="H39" i="40"/>
  <c r="N39" i="40" s="1"/>
  <c r="J40" i="40"/>
  <c r="J53" i="40" s="1"/>
  <c r="I40" i="40"/>
  <c r="I53" i="40" s="1"/>
  <c r="H40" i="40" l="1"/>
  <c r="H53" i="40" s="1"/>
  <c r="F53" i="40"/>
  <c r="N40" i="40"/>
  <c r="N53" i="40" s="1"/>
  <c r="B34" i="10"/>
  <c r="B33" i="10"/>
  <c r="B32" i="10"/>
  <c r="B31" i="10"/>
  <c r="B30" i="10"/>
  <c r="B29" i="10"/>
  <c r="B28" i="10"/>
  <c r="B27" i="10"/>
  <c r="B26" i="10"/>
  <c r="B25" i="10"/>
  <c r="B24" i="10"/>
  <c r="B23" i="10"/>
  <c r="B22" i="10"/>
  <c r="B21" i="10"/>
  <c r="B20" i="10"/>
  <c r="B19" i="10"/>
  <c r="B18" i="10"/>
  <c r="B34" i="9"/>
  <c r="B33" i="9"/>
  <c r="B32" i="9"/>
  <c r="B31" i="9"/>
  <c r="B30" i="9"/>
  <c r="B29" i="9"/>
  <c r="B28" i="9"/>
  <c r="B27" i="9"/>
  <c r="B26" i="9"/>
  <c r="B25" i="9"/>
  <c r="B24" i="9"/>
  <c r="B23" i="9"/>
  <c r="B22" i="9"/>
  <c r="B21" i="9"/>
  <c r="B20" i="9"/>
  <c r="B19" i="9"/>
  <c r="B35" i="9" l="1"/>
  <c r="AC20" i="42"/>
  <c r="AB20" i="42" l="1"/>
  <c r="AA20" i="42"/>
  <c r="L16" i="42"/>
  <c r="L17" i="42"/>
  <c r="H18" i="64"/>
  <c r="G18" i="64"/>
  <c r="F18" i="64"/>
  <c r="E18" i="64"/>
  <c r="D18" i="64"/>
  <c r="C18" i="64"/>
  <c r="L19" i="42"/>
  <c r="L18" i="42"/>
  <c r="L15" i="42"/>
  <c r="L14" i="42"/>
  <c r="L13" i="42"/>
  <c r="L12" i="42"/>
  <c r="L11" i="42"/>
  <c r="L10" i="42"/>
  <c r="L9" i="42"/>
  <c r="L8" i="42"/>
  <c r="L7" i="42"/>
  <c r="L6" i="42"/>
  <c r="L5" i="42"/>
  <c r="L4" i="42"/>
  <c r="G6" i="39"/>
  <c r="B4" i="39"/>
  <c r="B3" i="39"/>
  <c r="B2" i="39"/>
  <c r="E33" i="50"/>
  <c r="B4" i="50"/>
  <c r="B3" i="50"/>
  <c r="B2" i="50"/>
  <c r="D2" i="50"/>
  <c r="D33" i="50"/>
  <c r="P4" i="21"/>
  <c r="L4" i="21"/>
  <c r="L54" i="21"/>
  <c r="K54" i="21"/>
  <c r="D2" i="12"/>
  <c r="D2" i="11"/>
  <c r="D2" i="9"/>
  <c r="D5" i="9" s="1"/>
  <c r="M51" i="40"/>
  <c r="K38" i="40"/>
  <c r="K52" i="40" s="1"/>
  <c r="K37" i="40"/>
  <c r="L51" i="40"/>
  <c r="L45" i="40"/>
  <c r="M45" i="40"/>
  <c r="L46" i="40"/>
  <c r="M46" i="40"/>
  <c r="L47" i="40"/>
  <c r="M47" i="40"/>
  <c r="J16" i="40"/>
  <c r="J17" i="40" s="1"/>
  <c r="J18" i="40" s="1"/>
  <c r="J19" i="40" s="1"/>
  <c r="J20" i="40" s="1"/>
  <c r="L15" i="40"/>
  <c r="L16" i="40" s="1"/>
  <c r="L17" i="40" s="1"/>
  <c r="K15" i="40"/>
  <c r="K16" i="40" s="1"/>
  <c r="K17" i="40" s="1"/>
  <c r="K42" i="21"/>
  <c r="O42" i="21" s="1"/>
  <c r="K36" i="21"/>
  <c r="M52" i="21"/>
  <c r="M64" i="21" s="1"/>
  <c r="I13" i="40"/>
  <c r="I15" i="40"/>
  <c r="I16" i="40" s="1"/>
  <c r="I17" i="40" s="1"/>
  <c r="F16" i="56"/>
  <c r="G16" i="56" s="1"/>
  <c r="H16" i="56" s="1"/>
  <c r="E15" i="56"/>
  <c r="E17" i="56" s="1"/>
  <c r="D14" i="56"/>
  <c r="D17" i="56" s="1"/>
  <c r="F5" i="56"/>
  <c r="F8" i="56" s="1"/>
  <c r="E4" i="56"/>
  <c r="D3" i="56"/>
  <c r="D8" i="56" s="1"/>
  <c r="F17" i="56"/>
  <c r="G14" i="56"/>
  <c r="H14" i="56" s="1"/>
  <c r="G15" i="56"/>
  <c r="H15" i="56" s="1"/>
  <c r="P33" i="16"/>
  <c r="P34" i="16"/>
  <c r="O32" i="16"/>
  <c r="Q32" i="16"/>
  <c r="R32" i="16"/>
  <c r="N31" i="16"/>
  <c r="N34" i="16"/>
  <c r="P24" i="16"/>
  <c r="O23" i="16"/>
  <c r="N22" i="16"/>
  <c r="Q31" i="16"/>
  <c r="O34" i="16"/>
  <c r="Q24" i="16"/>
  <c r="P25" i="16"/>
  <c r="Q23" i="16"/>
  <c r="O25" i="16"/>
  <c r="Q22" i="16"/>
  <c r="N25" i="16"/>
  <c r="R31" i="16"/>
  <c r="Q33" i="16"/>
  <c r="R33" i="16"/>
  <c r="Q34" i="16"/>
  <c r="R35" i="16"/>
  <c r="O26" i="16"/>
  <c r="O27" i="16"/>
  <c r="O35" i="16"/>
  <c r="N26" i="16"/>
  <c r="P26" i="16"/>
  <c r="P27" i="16"/>
  <c r="P35" i="16"/>
  <c r="Q25" i="16"/>
  <c r="Q26" i="16"/>
  <c r="Q27" i="16"/>
  <c r="Q35" i="16"/>
  <c r="Q37" i="16"/>
  <c r="N27" i="16"/>
  <c r="N35" i="16"/>
  <c r="M50" i="40"/>
  <c r="L50" i="40"/>
  <c r="F34" i="40"/>
  <c r="E34" i="40"/>
  <c r="D34" i="40"/>
  <c r="C34" i="40"/>
  <c r="G12" i="40"/>
  <c r="G34" i="40" s="1"/>
  <c r="M11" i="40"/>
  <c r="M10" i="40"/>
  <c r="P5" i="16"/>
  <c r="Q5" i="16"/>
  <c r="O4" i="16"/>
  <c r="N15" i="16"/>
  <c r="P14" i="16"/>
  <c r="P15" i="16"/>
  <c r="O13" i="16"/>
  <c r="Q13" i="16"/>
  <c r="R13" i="16"/>
  <c r="N12" i="16"/>
  <c r="Q12" i="16"/>
  <c r="R12" i="16"/>
  <c r="N3" i="16"/>
  <c r="O15" i="16"/>
  <c r="Q3" i="16"/>
  <c r="N6" i="16"/>
  <c r="O6" i="16"/>
  <c r="Q4" i="16"/>
  <c r="P6" i="16"/>
  <c r="Q14" i="16"/>
  <c r="R14" i="16"/>
  <c r="R16" i="16"/>
  <c r="Q15" i="16"/>
  <c r="P7" i="16"/>
  <c r="P8" i="16"/>
  <c r="P16" i="16"/>
  <c r="N7" i="16"/>
  <c r="N8" i="16"/>
  <c r="N16" i="16"/>
  <c r="O7" i="16"/>
  <c r="O8" i="16"/>
  <c r="O16" i="16"/>
  <c r="Q6" i="16"/>
  <c r="Q7" i="16"/>
  <c r="Q8" i="16"/>
  <c r="Q16" i="16"/>
  <c r="Q18" i="16"/>
  <c r="H14" i="31"/>
  <c r="K36" i="40"/>
  <c r="B36" i="40" s="1"/>
  <c r="K35" i="40"/>
  <c r="B35" i="40" s="1"/>
  <c r="K32" i="40"/>
  <c r="B32" i="40" s="1"/>
  <c r="K33" i="40"/>
  <c r="B33" i="40" s="1"/>
  <c r="J33" i="40"/>
  <c r="I33" i="40"/>
  <c r="G33" i="40"/>
  <c r="F33" i="40"/>
  <c r="E33" i="40"/>
  <c r="D33" i="40"/>
  <c r="C33" i="40"/>
  <c r="M49" i="40"/>
  <c r="L49" i="40"/>
  <c r="B29" i="5"/>
  <c r="B25" i="5"/>
  <c r="B24" i="5"/>
  <c r="P4" i="42"/>
  <c r="P20" i="42" s="1"/>
  <c r="Q52" i="21"/>
  <c r="J52" i="21"/>
  <c r="I52" i="21"/>
  <c r="H52" i="21"/>
  <c r="G52" i="21"/>
  <c r="F52" i="21"/>
  <c r="E52" i="21"/>
  <c r="K52" i="21" s="1"/>
  <c r="B3" i="5"/>
  <c r="B23" i="5"/>
  <c r="K4" i="42"/>
  <c r="H6" i="31"/>
  <c r="F4" i="39"/>
  <c r="F5" i="39"/>
  <c r="E3" i="39"/>
  <c r="E5" i="39"/>
  <c r="D2" i="39"/>
  <c r="D5" i="39"/>
  <c r="D6" i="39"/>
  <c r="E6" i="39"/>
  <c r="E7" i="39"/>
  <c r="F6" i="39"/>
  <c r="F7" i="39"/>
  <c r="D7" i="39"/>
  <c r="G4" i="31"/>
  <c r="F3" i="31"/>
  <c r="E2" i="31"/>
  <c r="G5" i="39"/>
  <c r="G7" i="39"/>
  <c r="G9" i="39"/>
  <c r="AD20" i="42"/>
  <c r="G17" i="50"/>
  <c r="F10" i="50"/>
  <c r="F11" i="50"/>
  <c r="E9" i="50"/>
  <c r="D8" i="50"/>
  <c r="G8" i="50"/>
  <c r="F4" i="50"/>
  <c r="F5" i="50"/>
  <c r="F6" i="50"/>
  <c r="E3" i="50"/>
  <c r="K19" i="21"/>
  <c r="O19" i="21" s="1"/>
  <c r="G4" i="50"/>
  <c r="F7" i="50"/>
  <c r="F12" i="50"/>
  <c r="G10" i="50"/>
  <c r="D11" i="50"/>
  <c r="G2" i="50"/>
  <c r="D5" i="50"/>
  <c r="E5" i="50"/>
  <c r="G3" i="50"/>
  <c r="E11" i="50"/>
  <c r="G9" i="50"/>
  <c r="G5" i="50"/>
  <c r="G11" i="50"/>
  <c r="E6" i="50"/>
  <c r="E7" i="50"/>
  <c r="E12" i="50"/>
  <c r="D6" i="50"/>
  <c r="G6" i="50"/>
  <c r="G7" i="50"/>
  <c r="G12" i="50"/>
  <c r="G14" i="50"/>
  <c r="G18" i="50"/>
  <c r="D7" i="50"/>
  <c r="D12" i="50"/>
  <c r="K34" i="40"/>
  <c r="B34" i="40" s="1"/>
  <c r="G19" i="50"/>
  <c r="G13" i="40"/>
  <c r="G35" i="40" s="1"/>
  <c r="I34" i="40"/>
  <c r="G20" i="50"/>
  <c r="J34" i="40"/>
  <c r="E3" i="19"/>
  <c r="E35" i="40"/>
  <c r="F35" i="40"/>
  <c r="J35" i="40"/>
  <c r="I36" i="40"/>
  <c r="E3" i="10"/>
  <c r="D35" i="40"/>
  <c r="C35" i="40"/>
  <c r="C37" i="40"/>
  <c r="I35" i="40"/>
  <c r="E3" i="7"/>
  <c r="E5" i="7" s="1"/>
  <c r="E6" i="7" s="1"/>
  <c r="E7" i="7" s="1"/>
  <c r="M30" i="21"/>
  <c r="M22" i="21"/>
  <c r="E58" i="21"/>
  <c r="Q22" i="21"/>
  <c r="B27" i="5"/>
  <c r="B18" i="19"/>
  <c r="B23" i="43"/>
  <c r="I38" i="40"/>
  <c r="I52" i="40" s="1"/>
  <c r="I37" i="40"/>
  <c r="E36" i="40"/>
  <c r="F36" i="40"/>
  <c r="I50" i="40"/>
  <c r="J36" i="40"/>
  <c r="C36" i="40"/>
  <c r="D36" i="40"/>
  <c r="K54" i="28"/>
  <c r="J54" i="28"/>
  <c r="I54" i="28"/>
  <c r="H54" i="28"/>
  <c r="Q54" i="28" s="1"/>
  <c r="G54" i="28"/>
  <c r="K53" i="28"/>
  <c r="Q53" i="28" s="1"/>
  <c r="J53" i="28"/>
  <c r="I53" i="28"/>
  <c r="H53" i="28"/>
  <c r="G53" i="28"/>
  <c r="F54" i="28"/>
  <c r="F53" i="28"/>
  <c r="K52" i="28"/>
  <c r="J52" i="28"/>
  <c r="I52" i="28"/>
  <c r="H52" i="28"/>
  <c r="G52" i="28"/>
  <c r="K51" i="28"/>
  <c r="Q51" i="28" s="1"/>
  <c r="J51" i="28"/>
  <c r="I51" i="28"/>
  <c r="H51" i="28"/>
  <c r="G51" i="28"/>
  <c r="K50" i="28"/>
  <c r="J50" i="28"/>
  <c r="I50" i="28"/>
  <c r="H50" i="28"/>
  <c r="G50" i="28"/>
  <c r="K49" i="28"/>
  <c r="J49" i="28"/>
  <c r="I49" i="28"/>
  <c r="Q49" i="28" s="1"/>
  <c r="H49" i="28"/>
  <c r="G49" i="28"/>
  <c r="F52" i="28"/>
  <c r="F51" i="28"/>
  <c r="F50" i="28"/>
  <c r="F49" i="28"/>
  <c r="K48" i="28"/>
  <c r="J48" i="28"/>
  <c r="I48" i="28"/>
  <c r="H48" i="28"/>
  <c r="G48" i="28"/>
  <c r="K47" i="28"/>
  <c r="K55" i="28" s="1"/>
  <c r="J47" i="28"/>
  <c r="I47" i="28"/>
  <c r="H47" i="28"/>
  <c r="G47" i="28"/>
  <c r="F48" i="28"/>
  <c r="F47" i="28"/>
  <c r="K44" i="28"/>
  <c r="J44" i="28"/>
  <c r="I44" i="28"/>
  <c r="H44" i="28"/>
  <c r="Q44" i="28" s="1"/>
  <c r="Q45" i="28" s="1"/>
  <c r="G44" i="28"/>
  <c r="F44" i="28"/>
  <c r="L44" i="28" s="1"/>
  <c r="K41" i="28"/>
  <c r="J41" i="28"/>
  <c r="I41" i="28"/>
  <c r="H41" i="28"/>
  <c r="G41" i="28"/>
  <c r="K40" i="28"/>
  <c r="J40" i="28"/>
  <c r="I40" i="28"/>
  <c r="H40" i="28"/>
  <c r="G40" i="28"/>
  <c r="G42" i="28" s="1"/>
  <c r="F41" i="28"/>
  <c r="F40" i="28"/>
  <c r="L40" i="28" s="1"/>
  <c r="K37" i="28"/>
  <c r="J37" i="28"/>
  <c r="I37" i="28"/>
  <c r="H37" i="28"/>
  <c r="G37" i="28"/>
  <c r="K36" i="28"/>
  <c r="J36" i="28"/>
  <c r="I36" i="28"/>
  <c r="H36" i="28"/>
  <c r="G36" i="28"/>
  <c r="L36" i="28" s="1"/>
  <c r="P36" i="28" s="1"/>
  <c r="K35" i="28"/>
  <c r="J35" i="28"/>
  <c r="Q35" i="28" s="1"/>
  <c r="I35" i="28"/>
  <c r="H35" i="28"/>
  <c r="G35" i="28"/>
  <c r="K34" i="28"/>
  <c r="J34" i="28"/>
  <c r="I34" i="28"/>
  <c r="H34" i="28"/>
  <c r="G34" i="28"/>
  <c r="K33" i="28"/>
  <c r="J33" i="28"/>
  <c r="M33" i="28" s="1"/>
  <c r="I33" i="28"/>
  <c r="H33" i="28"/>
  <c r="Q33" i="28" s="1"/>
  <c r="G33" i="28"/>
  <c r="F37" i="28"/>
  <c r="F36" i="28"/>
  <c r="F35" i="28"/>
  <c r="F34" i="28"/>
  <c r="F33" i="28"/>
  <c r="K32" i="28"/>
  <c r="J32" i="28"/>
  <c r="I32" i="28"/>
  <c r="H32" i="28"/>
  <c r="Q32" i="28" s="1"/>
  <c r="G32" i="28"/>
  <c r="K31" i="28"/>
  <c r="Q31" i="28" s="1"/>
  <c r="J31" i="28"/>
  <c r="I31" i="28"/>
  <c r="H31" i="28"/>
  <c r="G31" i="28"/>
  <c r="F32" i="28"/>
  <c r="F31" i="28"/>
  <c r="K30" i="28"/>
  <c r="J30" i="28"/>
  <c r="I30" i="28"/>
  <c r="H30" i="28"/>
  <c r="H38" i="28" s="1"/>
  <c r="G30" i="28"/>
  <c r="K29" i="28"/>
  <c r="K38" i="28" s="1"/>
  <c r="J29" i="28"/>
  <c r="I29" i="28"/>
  <c r="H29" i="28"/>
  <c r="G29" i="28"/>
  <c r="K28" i="28"/>
  <c r="J28" i="28"/>
  <c r="I28" i="28"/>
  <c r="H28" i="28"/>
  <c r="G28" i="28"/>
  <c r="F30" i="28"/>
  <c r="L30" i="28" s="1"/>
  <c r="P30" i="28" s="1"/>
  <c r="F29" i="28"/>
  <c r="F28" i="28"/>
  <c r="L28" i="28" s="1"/>
  <c r="K25" i="28"/>
  <c r="J25" i="28"/>
  <c r="I25" i="28"/>
  <c r="H25" i="28"/>
  <c r="G25" i="28"/>
  <c r="J24" i="28"/>
  <c r="I24" i="28"/>
  <c r="H24" i="28"/>
  <c r="G24" i="28"/>
  <c r="F25" i="28"/>
  <c r="F24" i="28"/>
  <c r="F26" i="28" s="1"/>
  <c r="K21" i="28"/>
  <c r="J21" i="28"/>
  <c r="I21" i="28"/>
  <c r="H21" i="28"/>
  <c r="G21" i="28"/>
  <c r="F21" i="28"/>
  <c r="K18" i="28"/>
  <c r="J18" i="28"/>
  <c r="I18" i="28"/>
  <c r="H18" i="28"/>
  <c r="Q18" i="28" s="1"/>
  <c r="G18" i="28"/>
  <c r="K17" i="28"/>
  <c r="Q17" i="28" s="1"/>
  <c r="Q19" i="28" s="1"/>
  <c r="J17" i="28"/>
  <c r="I17" i="28"/>
  <c r="H17" i="28"/>
  <c r="G17" i="28"/>
  <c r="K16" i="28"/>
  <c r="J16" i="28"/>
  <c r="I16" i="28"/>
  <c r="H16" i="28"/>
  <c r="G16" i="28"/>
  <c r="F18" i="28"/>
  <c r="F17" i="28"/>
  <c r="F16" i="28"/>
  <c r="L16" i="28" s="1"/>
  <c r="K13" i="28"/>
  <c r="J13" i="28"/>
  <c r="I13" i="28"/>
  <c r="H13" i="28"/>
  <c r="G13" i="28"/>
  <c r="G14" i="28" s="1"/>
  <c r="K12" i="28"/>
  <c r="K14" i="28" s="1"/>
  <c r="J12" i="28"/>
  <c r="L12" i="28" s="1"/>
  <c r="I12" i="28"/>
  <c r="M12" i="28" s="1"/>
  <c r="H12" i="28"/>
  <c r="Q12" i="28" s="1"/>
  <c r="G12" i="28"/>
  <c r="K11" i="28"/>
  <c r="J11" i="28"/>
  <c r="I11" i="28"/>
  <c r="H11" i="28"/>
  <c r="G11" i="28"/>
  <c r="K10" i="28"/>
  <c r="J10" i="28"/>
  <c r="I10" i="28"/>
  <c r="Q10" i="28" s="1"/>
  <c r="H10" i="28"/>
  <c r="G10" i="28"/>
  <c r="K9" i="28"/>
  <c r="J9" i="28"/>
  <c r="I9" i="28"/>
  <c r="H9" i="28"/>
  <c r="G9" i="28"/>
  <c r="F13" i="28"/>
  <c r="F12" i="28"/>
  <c r="F11" i="28"/>
  <c r="F10" i="28"/>
  <c r="L10" i="28" s="1"/>
  <c r="F9" i="28"/>
  <c r="F14" i="28" s="1"/>
  <c r="K6" i="28"/>
  <c r="J6" i="28"/>
  <c r="I6" i="28"/>
  <c r="H6" i="28"/>
  <c r="G6" i="28"/>
  <c r="F6" i="28"/>
  <c r="L6" i="28" s="1"/>
  <c r="P6" i="28" s="1"/>
  <c r="K5" i="28"/>
  <c r="J5" i="28"/>
  <c r="I5" i="28"/>
  <c r="H5" i="28"/>
  <c r="G5" i="28"/>
  <c r="F5" i="28"/>
  <c r="K4" i="28"/>
  <c r="J4" i="28"/>
  <c r="I4" i="28"/>
  <c r="H4" i="28"/>
  <c r="G4" i="28"/>
  <c r="F4" i="28"/>
  <c r="L4" i="28" s="1"/>
  <c r="P4" i="28" s="1"/>
  <c r="K3" i="28"/>
  <c r="J3" i="28"/>
  <c r="I3" i="28"/>
  <c r="H3" i="28"/>
  <c r="Q3" i="28" s="1"/>
  <c r="Q7" i="28" s="1"/>
  <c r="G3" i="28"/>
  <c r="F3" i="28"/>
  <c r="F7" i="28" s="1"/>
  <c r="L7" i="28" s="1"/>
  <c r="F37" i="40"/>
  <c r="E3" i="12"/>
  <c r="E5" i="12" s="1"/>
  <c r="F38" i="40"/>
  <c r="F52" i="40" s="1"/>
  <c r="L5" i="28"/>
  <c r="M3" i="28"/>
  <c r="L47" i="28"/>
  <c r="K45" i="21"/>
  <c r="E39" i="21"/>
  <c r="J34" i="21"/>
  <c r="I34" i="21"/>
  <c r="H34" i="21"/>
  <c r="G34" i="21"/>
  <c r="F34" i="21"/>
  <c r="F64" i="21" s="1"/>
  <c r="E34" i="21"/>
  <c r="K29" i="21"/>
  <c r="K28" i="21"/>
  <c r="E30" i="21"/>
  <c r="J22" i="21"/>
  <c r="I22" i="21"/>
  <c r="H22" i="21"/>
  <c r="G22" i="21"/>
  <c r="F22" i="21"/>
  <c r="E22" i="21"/>
  <c r="K22" i="21" s="1"/>
  <c r="K11" i="21"/>
  <c r="K8" i="21"/>
  <c r="E9" i="21"/>
  <c r="K62" i="21"/>
  <c r="K60" i="21"/>
  <c r="K57" i="21"/>
  <c r="K56" i="21"/>
  <c r="K55" i="21"/>
  <c r="K46" i="21"/>
  <c r="K41" i="21"/>
  <c r="K38" i="21"/>
  <c r="K37" i="21"/>
  <c r="O37" i="21" s="1"/>
  <c r="K51" i="21"/>
  <c r="K50" i="21"/>
  <c r="O50" i="21" s="1"/>
  <c r="K49" i="21"/>
  <c r="K48" i="21"/>
  <c r="K47" i="21"/>
  <c r="K33" i="21"/>
  <c r="K32" i="21"/>
  <c r="K26" i="21"/>
  <c r="K21" i="21"/>
  <c r="K20" i="21"/>
  <c r="K17" i="21"/>
  <c r="O17" i="21" s="1"/>
  <c r="K15" i="21"/>
  <c r="K13" i="21"/>
  <c r="O13" i="21" s="1"/>
  <c r="K7" i="21"/>
  <c r="K6" i="21"/>
  <c r="K5" i="21"/>
  <c r="K4" i="21"/>
  <c r="O4" i="21"/>
  <c r="K30" i="40"/>
  <c r="B30" i="40" s="1"/>
  <c r="B13" i="13"/>
  <c r="B19" i="13" s="1"/>
  <c r="B12" i="11"/>
  <c r="B18" i="11" s="1"/>
  <c r="B17" i="7"/>
  <c r="B23" i="7" s="1"/>
  <c r="I5" i="45"/>
  <c r="K7" i="42" s="1"/>
  <c r="I9" i="45"/>
  <c r="K11" i="42" s="1"/>
  <c r="I12" i="45"/>
  <c r="K14" i="42" s="1"/>
  <c r="I16" i="45"/>
  <c r="K18" i="42" s="1"/>
  <c r="I3" i="45"/>
  <c r="K5" i="42" s="1"/>
  <c r="I6" i="45"/>
  <c r="K8" i="42" s="1"/>
  <c r="I7" i="45"/>
  <c r="K9" i="42" s="1"/>
  <c r="I10" i="45"/>
  <c r="K12" i="42" s="1"/>
  <c r="I11" i="45"/>
  <c r="K13" i="42" s="1"/>
  <c r="K15" i="42"/>
  <c r="I14" i="45"/>
  <c r="K16" i="42" s="1"/>
  <c r="I17" i="45"/>
  <c r="K19" i="42" s="1"/>
  <c r="I4" i="45"/>
  <c r="K6" i="42" s="1"/>
  <c r="I8" i="45"/>
  <c r="K10" i="42" s="1"/>
  <c r="I15" i="45"/>
  <c r="K17" i="42" s="1"/>
  <c r="E3" i="43"/>
  <c r="G3" i="43" s="1"/>
  <c r="G5" i="43" s="1"/>
  <c r="G7" i="43" s="1"/>
  <c r="G12" i="43" s="1"/>
  <c r="G14" i="43" s="1"/>
  <c r="F10" i="43"/>
  <c r="G10" i="43"/>
  <c r="E9" i="43"/>
  <c r="G9" i="43"/>
  <c r="D8" i="43"/>
  <c r="G8" i="43"/>
  <c r="F4" i="43"/>
  <c r="F5" i="43"/>
  <c r="F6" i="43"/>
  <c r="D11" i="43"/>
  <c r="G4" i="43"/>
  <c r="E11" i="43"/>
  <c r="B35" i="43"/>
  <c r="B32" i="43"/>
  <c r="B28" i="43"/>
  <c r="B24" i="43"/>
  <c r="B38" i="43"/>
  <c r="B34" i="43"/>
  <c r="B31" i="43"/>
  <c r="B27" i="43"/>
  <c r="G17" i="43"/>
  <c r="B37" i="43"/>
  <c r="B33" i="43"/>
  <c r="B30" i="43"/>
  <c r="B26" i="43"/>
  <c r="B36" i="43"/>
  <c r="F7" i="43"/>
  <c r="F12" i="43"/>
  <c r="B25" i="43"/>
  <c r="B29" i="43"/>
  <c r="G2" i="43"/>
  <c r="D5" i="43"/>
  <c r="G11" i="43"/>
  <c r="F11" i="43"/>
  <c r="AG20" i="42"/>
  <c r="AE20" i="42"/>
  <c r="E6" i="43"/>
  <c r="E7" i="43"/>
  <c r="E12" i="43"/>
  <c r="B39" i="43"/>
  <c r="D6" i="43"/>
  <c r="G6" i="43"/>
  <c r="D7" i="43"/>
  <c r="D12" i="43"/>
  <c r="K3" i="40"/>
  <c r="K4" i="40"/>
  <c r="K2" i="40"/>
  <c r="M48" i="40"/>
  <c r="L48" i="40"/>
  <c r="J32" i="40"/>
  <c r="I32" i="40"/>
  <c r="G32" i="40"/>
  <c r="F32" i="40"/>
  <c r="E32" i="40"/>
  <c r="D32" i="40"/>
  <c r="C32" i="40"/>
  <c r="K31" i="40"/>
  <c r="J31" i="40"/>
  <c r="I31" i="40"/>
  <c r="G31" i="40"/>
  <c r="F31" i="40"/>
  <c r="E31" i="40"/>
  <c r="D31" i="40"/>
  <c r="C31" i="40"/>
  <c r="J30" i="40"/>
  <c r="I30" i="40"/>
  <c r="G30" i="40"/>
  <c r="F30" i="40"/>
  <c r="E30" i="40"/>
  <c r="D30" i="40"/>
  <c r="C30" i="40"/>
  <c r="K29" i="40"/>
  <c r="B29" i="40" s="1"/>
  <c r="J29" i="40"/>
  <c r="I29" i="40"/>
  <c r="G29" i="40"/>
  <c r="F29" i="40"/>
  <c r="E29" i="40"/>
  <c r="D29" i="40"/>
  <c r="C29" i="40"/>
  <c r="K28" i="40"/>
  <c r="B28" i="40" s="1"/>
  <c r="J28" i="40"/>
  <c r="I28" i="40"/>
  <c r="G28" i="40"/>
  <c r="F28" i="40"/>
  <c r="E28" i="40"/>
  <c r="D28" i="40"/>
  <c r="C28" i="40"/>
  <c r="K27" i="40"/>
  <c r="B27" i="40" s="1"/>
  <c r="J27" i="40"/>
  <c r="G27" i="40"/>
  <c r="F27" i="40"/>
  <c r="E27" i="40"/>
  <c r="D27" i="40"/>
  <c r="C27" i="40"/>
  <c r="K26" i="40"/>
  <c r="J26" i="40"/>
  <c r="I26" i="40"/>
  <c r="G26" i="40"/>
  <c r="F26" i="40"/>
  <c r="E26" i="40"/>
  <c r="D26" i="40"/>
  <c r="C26" i="40"/>
  <c r="K25" i="40"/>
  <c r="B25" i="40" s="1"/>
  <c r="J25" i="40"/>
  <c r="I25" i="40"/>
  <c r="G25" i="40"/>
  <c r="F25" i="40"/>
  <c r="E25" i="40"/>
  <c r="D25" i="40"/>
  <c r="C25" i="40"/>
  <c r="K24" i="40"/>
  <c r="J24" i="40"/>
  <c r="I24" i="40"/>
  <c r="G24" i="40"/>
  <c r="F24" i="40"/>
  <c r="E24" i="40"/>
  <c r="D24" i="40"/>
  <c r="C24" i="40"/>
  <c r="M21" i="40"/>
  <c r="L9" i="40"/>
  <c r="K9" i="40"/>
  <c r="J9" i="40"/>
  <c r="I9" i="40"/>
  <c r="M9" i="40" s="1"/>
  <c r="L8" i="40"/>
  <c r="K8" i="40"/>
  <c r="J8" i="40"/>
  <c r="I8" i="40"/>
  <c r="M8" i="40" s="1"/>
  <c r="M7" i="40"/>
  <c r="K7" i="40"/>
  <c r="M6" i="40"/>
  <c r="K6" i="40"/>
  <c r="K5" i="40"/>
  <c r="H5" i="40"/>
  <c r="M5" i="40" s="1"/>
  <c r="M4" i="40"/>
  <c r="M3" i="40"/>
  <c r="M2" i="40"/>
  <c r="L24" i="21"/>
  <c r="D21" i="32"/>
  <c r="W7" i="42"/>
  <c r="D22" i="32"/>
  <c r="W8" i="42"/>
  <c r="G12" i="39"/>
  <c r="G2" i="39"/>
  <c r="H7" i="31"/>
  <c r="D20" i="32"/>
  <c r="W6" i="42"/>
  <c r="D19" i="32"/>
  <c r="W5" i="42"/>
  <c r="D25" i="32"/>
  <c r="W11" i="42"/>
  <c r="D24" i="32"/>
  <c r="W10" i="42"/>
  <c r="D23" i="32"/>
  <c r="W9" i="42"/>
  <c r="D28" i="32"/>
  <c r="W14" i="42"/>
  <c r="D32" i="32"/>
  <c r="W18" i="42"/>
  <c r="L7" i="21"/>
  <c r="R7" i="21" s="1"/>
  <c r="P7" i="21"/>
  <c r="L8" i="21"/>
  <c r="P8" i="21"/>
  <c r="L5" i="21"/>
  <c r="P5" i="21"/>
  <c r="L11" i="21"/>
  <c r="O11" i="21" s="1"/>
  <c r="P11" i="21"/>
  <c r="L13" i="21"/>
  <c r="P13" i="21"/>
  <c r="L15" i="21"/>
  <c r="P15" i="21"/>
  <c r="L17" i="21"/>
  <c r="P17" i="21"/>
  <c r="L19" i="21"/>
  <c r="L20" i="21"/>
  <c r="P20" i="21"/>
  <c r="L21" i="21"/>
  <c r="O21" i="21" s="1"/>
  <c r="P21" i="21"/>
  <c r="R24" i="21"/>
  <c r="F11" i="5" s="1"/>
  <c r="L26" i="21"/>
  <c r="O26" i="21" s="1"/>
  <c r="P26" i="21"/>
  <c r="L28" i="21"/>
  <c r="L29" i="21"/>
  <c r="P29" i="21"/>
  <c r="F30" i="21"/>
  <c r="G30" i="21"/>
  <c r="H30" i="21"/>
  <c r="I30" i="21"/>
  <c r="K30" i="21" s="1"/>
  <c r="J30" i="21"/>
  <c r="Q30" i="21"/>
  <c r="B17" i="5" s="1"/>
  <c r="L32" i="21"/>
  <c r="P32" i="21"/>
  <c r="L33" i="21"/>
  <c r="L34" i="21" s="1"/>
  <c r="P33" i="21"/>
  <c r="M34" i="21"/>
  <c r="Q34" i="21"/>
  <c r="B28" i="5" s="1"/>
  <c r="L47" i="21"/>
  <c r="P47" i="21"/>
  <c r="L48" i="21"/>
  <c r="O48" i="21" s="1"/>
  <c r="P48" i="21"/>
  <c r="L49" i="21"/>
  <c r="R49" i="21" s="1"/>
  <c r="P49" i="21"/>
  <c r="L50" i="21"/>
  <c r="R50" i="21" s="1"/>
  <c r="P50" i="21"/>
  <c r="L51" i="21"/>
  <c r="P51" i="21"/>
  <c r="L36" i="21"/>
  <c r="O36" i="21" s="1"/>
  <c r="O39" i="21" s="1"/>
  <c r="P36" i="21"/>
  <c r="L37" i="21"/>
  <c r="P37" i="21"/>
  <c r="L38" i="21"/>
  <c r="L39" i="21" s="1"/>
  <c r="P38" i="21"/>
  <c r="F39" i="21"/>
  <c r="K39" i="21" s="1"/>
  <c r="G39" i="21"/>
  <c r="H39" i="21"/>
  <c r="I39" i="21"/>
  <c r="J39" i="21"/>
  <c r="M39" i="21"/>
  <c r="Q39" i="21"/>
  <c r="L41" i="21"/>
  <c r="L42" i="21"/>
  <c r="P42" i="21"/>
  <c r="E43" i="21"/>
  <c r="K43" i="21" s="1"/>
  <c r="F43" i="21"/>
  <c r="G43" i="21"/>
  <c r="G64" i="21" s="1"/>
  <c r="H43" i="21"/>
  <c r="I43" i="21"/>
  <c r="J43" i="21"/>
  <c r="M43" i="21"/>
  <c r="Q43" i="21"/>
  <c r="L45" i="21"/>
  <c r="L46" i="21"/>
  <c r="P46" i="21"/>
  <c r="O54" i="21"/>
  <c r="P54" i="21"/>
  <c r="P58" i="21" s="1"/>
  <c r="L55" i="21"/>
  <c r="L58" i="21" s="1"/>
  <c r="P55" i="21"/>
  <c r="L56" i="21"/>
  <c r="P56" i="21"/>
  <c r="L57" i="21"/>
  <c r="P57" i="21"/>
  <c r="F58" i="21"/>
  <c r="G58" i="21"/>
  <c r="H58" i="21"/>
  <c r="I58" i="21"/>
  <c r="J58" i="21"/>
  <c r="M58" i="21"/>
  <c r="Q58" i="21"/>
  <c r="L60" i="21"/>
  <c r="R60" i="21" s="1"/>
  <c r="F9" i="5" s="1"/>
  <c r="P60" i="21"/>
  <c r="L62" i="21"/>
  <c r="P62" i="21"/>
  <c r="P45" i="21"/>
  <c r="P52" i="21" s="1"/>
  <c r="N52" i="21"/>
  <c r="R41" i="21"/>
  <c r="R43" i="21" s="1"/>
  <c r="F10" i="5" s="1"/>
  <c r="R28" i="21"/>
  <c r="R30" i="21" s="1"/>
  <c r="F17" i="5" s="1"/>
  <c r="P24" i="21"/>
  <c r="R20" i="21"/>
  <c r="R19" i="21"/>
  <c r="R17" i="21"/>
  <c r="F18" i="5"/>
  <c r="R15" i="21"/>
  <c r="F12" i="5"/>
  <c r="K58" i="21"/>
  <c r="R38" i="21"/>
  <c r="R51" i="21"/>
  <c r="R26" i="21"/>
  <c r="F8" i="5"/>
  <c r="R8" i="21"/>
  <c r="O8" i="21"/>
  <c r="R5" i="21"/>
  <c r="R47" i="21"/>
  <c r="R56" i="21"/>
  <c r="O55" i="21"/>
  <c r="N43" i="21"/>
  <c r="R36" i="21"/>
  <c r="R39" i="21" s="1"/>
  <c r="F7" i="5" s="1"/>
  <c r="R33" i="21"/>
  <c r="O32" i="21"/>
  <c r="N22" i="21"/>
  <c r="R45" i="21"/>
  <c r="R42" i="21"/>
  <c r="R29" i="21"/>
  <c r="O20" i="21"/>
  <c r="R11" i="21"/>
  <c r="F6" i="5"/>
  <c r="R57" i="21"/>
  <c r="R37" i="21"/>
  <c r="R62" i="21"/>
  <c r="F13" i="5" s="1"/>
  <c r="R54" i="21"/>
  <c r="R46" i="21"/>
  <c r="O45" i="21"/>
  <c r="R32" i="21"/>
  <c r="R34" i="21" s="1"/>
  <c r="F16" i="5" s="1"/>
  <c r="P19" i="21"/>
  <c r="P22" i="21" s="1"/>
  <c r="R13" i="21"/>
  <c r="F4" i="5"/>
  <c r="O57" i="21"/>
  <c r="P39" i="21"/>
  <c r="O5" i="21"/>
  <c r="O62" i="21"/>
  <c r="O15" i="21"/>
  <c r="D25" i="5"/>
  <c r="N34" i="21"/>
  <c r="O28" i="21"/>
  <c r="O30" i="21" s="1"/>
  <c r="O24" i="21"/>
  <c r="D11" i="5" s="1"/>
  <c r="L43" i="21"/>
  <c r="O41" i="21"/>
  <c r="O47" i="21"/>
  <c r="O33" i="21"/>
  <c r="N58" i="21"/>
  <c r="L30" i="21"/>
  <c r="O56" i="21"/>
  <c r="O46" i="21"/>
  <c r="O38" i="21"/>
  <c r="O51" i="21"/>
  <c r="N30" i="21"/>
  <c r="P34" i="21"/>
  <c r="O29" i="21"/>
  <c r="P41" i="21"/>
  <c r="P43" i="21"/>
  <c r="N39" i="21"/>
  <c r="P28" i="21"/>
  <c r="P30" i="21" s="1"/>
  <c r="O34" i="21"/>
  <c r="D28" i="5"/>
  <c r="O58" i="21"/>
  <c r="D5" i="5" s="1"/>
  <c r="E3" i="32"/>
  <c r="E5" i="32" s="1"/>
  <c r="F4" i="32"/>
  <c r="G4" i="32" s="1"/>
  <c r="D2" i="32"/>
  <c r="G2" i="32" s="1"/>
  <c r="G12" i="32"/>
  <c r="G3" i="32"/>
  <c r="H2" i="31"/>
  <c r="H3" i="31"/>
  <c r="H4" i="31"/>
  <c r="G3" i="39"/>
  <c r="G4" i="39"/>
  <c r="B36" i="31"/>
  <c r="G8" i="31"/>
  <c r="H5" i="31"/>
  <c r="E8" i="31"/>
  <c r="H8" i="31"/>
  <c r="H11" i="31"/>
  <c r="E55" i="28"/>
  <c r="G55" i="28"/>
  <c r="H55" i="28"/>
  <c r="J55" i="28"/>
  <c r="N55" i="28"/>
  <c r="F55" i="28"/>
  <c r="E45" i="28"/>
  <c r="G45" i="28"/>
  <c r="I45" i="28"/>
  <c r="J45" i="28"/>
  <c r="K45" i="28"/>
  <c r="N45" i="28"/>
  <c r="E42" i="28"/>
  <c r="H42" i="28"/>
  <c r="I42" i="28"/>
  <c r="J42" i="28"/>
  <c r="K42" i="28"/>
  <c r="N42" i="28"/>
  <c r="E38" i="28"/>
  <c r="N38" i="28"/>
  <c r="G38" i="28"/>
  <c r="I38" i="28"/>
  <c r="Q37" i="28"/>
  <c r="M37" i="28"/>
  <c r="L37" i="28"/>
  <c r="Q36" i="28"/>
  <c r="M36" i="28"/>
  <c r="L35" i="28"/>
  <c r="Q34" i="28"/>
  <c r="M34" i="28"/>
  <c r="P34" i="28" s="1"/>
  <c r="L34" i="28"/>
  <c r="Q30" i="28"/>
  <c r="M30" i="28"/>
  <c r="L29" i="28"/>
  <c r="M28" i="28"/>
  <c r="N22" i="28"/>
  <c r="E22" i="28"/>
  <c r="G22" i="28"/>
  <c r="H22" i="28"/>
  <c r="I22" i="28"/>
  <c r="J22" i="28"/>
  <c r="K22" i="28"/>
  <c r="F22" i="28"/>
  <c r="N7" i="28"/>
  <c r="E7" i="28"/>
  <c r="G7" i="28"/>
  <c r="H7" i="28"/>
  <c r="I7" i="28"/>
  <c r="J7" i="28"/>
  <c r="K7" i="28"/>
  <c r="M54" i="28"/>
  <c r="Q52" i="28"/>
  <c r="M52" i="28"/>
  <c r="L52" i="28"/>
  <c r="P52" i="28" s="1"/>
  <c r="Q50" i="28"/>
  <c r="M50" i="28"/>
  <c r="L50" i="28"/>
  <c r="P50" i="28" s="1"/>
  <c r="M48" i="28"/>
  <c r="L48" i="28"/>
  <c r="P48" i="28" s="1"/>
  <c r="M32" i="28"/>
  <c r="L32" i="28"/>
  <c r="E26" i="28"/>
  <c r="N26" i="28"/>
  <c r="K26" i="28"/>
  <c r="J26" i="28"/>
  <c r="I26" i="28"/>
  <c r="H26" i="28"/>
  <c r="G26" i="28"/>
  <c r="Q25" i="28"/>
  <c r="M25" i="28"/>
  <c r="L25" i="28"/>
  <c r="P25" i="28" s="1"/>
  <c r="Q24" i="28"/>
  <c r="M24" i="28"/>
  <c r="Q41" i="28"/>
  <c r="M41" i="28"/>
  <c r="M42" i="28" s="1"/>
  <c r="L41" i="28"/>
  <c r="P41" i="28" s="1"/>
  <c r="M40" i="28"/>
  <c r="M44" i="28"/>
  <c r="M45" i="28" s="1"/>
  <c r="Q21" i="28"/>
  <c r="Q22" i="28"/>
  <c r="M21" i="28"/>
  <c r="M22" i="28"/>
  <c r="L21" i="28"/>
  <c r="L22" i="28"/>
  <c r="E19" i="28"/>
  <c r="N19" i="28"/>
  <c r="J19" i="28"/>
  <c r="I19" i="28"/>
  <c r="H19" i="28"/>
  <c r="G19" i="28"/>
  <c r="M18" i="28"/>
  <c r="L18" i="28"/>
  <c r="P18" i="28" s="1"/>
  <c r="Q16" i="28"/>
  <c r="M16" i="28"/>
  <c r="Q6" i="28"/>
  <c r="M6" i="28"/>
  <c r="M7" i="28" s="1"/>
  <c r="Q5" i="28"/>
  <c r="M5" i="28"/>
  <c r="Q4" i="28"/>
  <c r="M4" i="28"/>
  <c r="E14" i="28"/>
  <c r="N14" i="28"/>
  <c r="J14" i="28"/>
  <c r="H14" i="28"/>
  <c r="Q13" i="28"/>
  <c r="M13" i="28"/>
  <c r="Q11" i="28"/>
  <c r="M11" i="28"/>
  <c r="P11" i="28" s="1"/>
  <c r="L11" i="28"/>
  <c r="Q9" i="28"/>
  <c r="Q14" i="28" s="1"/>
  <c r="M9" i="28"/>
  <c r="H16" i="31"/>
  <c r="G13" i="39"/>
  <c r="G14" i="39"/>
  <c r="O55" i="28"/>
  <c r="O42" i="28"/>
  <c r="O45" i="28"/>
  <c r="O38" i="28"/>
  <c r="Q28" i="28"/>
  <c r="P37" i="28"/>
  <c r="O22" i="28"/>
  <c r="O7" i="28"/>
  <c r="P21" i="28"/>
  <c r="P22" i="28"/>
  <c r="M26" i="28"/>
  <c r="Q26" i="28"/>
  <c r="P5" i="28"/>
  <c r="O19" i="28"/>
  <c r="P32" i="28"/>
  <c r="O14" i="28"/>
  <c r="O26" i="28"/>
  <c r="Q40" i="28"/>
  <c r="Q42" i="28"/>
  <c r="Q48" i="28"/>
  <c r="H15" i="31"/>
  <c r="G15" i="39"/>
  <c r="H17" i="31"/>
  <c r="B18" i="5"/>
  <c r="B13" i="5"/>
  <c r="B12" i="5"/>
  <c r="B11" i="5"/>
  <c r="B9" i="5"/>
  <c r="B8" i="5"/>
  <c r="B6" i="5"/>
  <c r="B4" i="5"/>
  <c r="B22" i="19"/>
  <c r="B5" i="5"/>
  <c r="B10" i="5"/>
  <c r="B7" i="5"/>
  <c r="B16" i="5"/>
  <c r="B15" i="5"/>
  <c r="Q9" i="21"/>
  <c r="B26" i="5" s="1"/>
  <c r="N9" i="21"/>
  <c r="N64" i="21" s="1"/>
  <c r="M9" i="21"/>
  <c r="J9" i="21"/>
  <c r="J64" i="21"/>
  <c r="I9" i="21"/>
  <c r="I64" i="21" s="1"/>
  <c r="H9" i="21"/>
  <c r="G9" i="21"/>
  <c r="F9" i="21"/>
  <c r="K9" i="21" s="1"/>
  <c r="P6" i="21"/>
  <c r="P9" i="21" s="1"/>
  <c r="L6" i="21"/>
  <c r="R6" i="21" s="1"/>
  <c r="R4" i="21"/>
  <c r="H12" i="5"/>
  <c r="H13" i="5"/>
  <c r="D12" i="5"/>
  <c r="D13" i="5"/>
  <c r="H16" i="5"/>
  <c r="D16" i="5"/>
  <c r="J19" i="5"/>
  <c r="K4" i="5" s="1"/>
  <c r="B33" i="19"/>
  <c r="B32" i="19"/>
  <c r="B31" i="19"/>
  <c r="B30" i="19"/>
  <c r="B29" i="19"/>
  <c r="B28" i="19"/>
  <c r="B27" i="19"/>
  <c r="B26" i="19"/>
  <c r="B25" i="19"/>
  <c r="B24" i="19"/>
  <c r="B23" i="19"/>
  <c r="B21" i="19"/>
  <c r="B20" i="19"/>
  <c r="B19" i="19"/>
  <c r="G12" i="19"/>
  <c r="D2" i="19"/>
  <c r="G2" i="19" s="1"/>
  <c r="T20" i="42"/>
  <c r="B34" i="19"/>
  <c r="F33" i="50"/>
  <c r="F14" i="16"/>
  <c r="G14" i="16"/>
  <c r="H14" i="16"/>
  <c r="E13" i="16"/>
  <c r="E15" i="16"/>
  <c r="D12" i="16"/>
  <c r="D15" i="16"/>
  <c r="F5" i="16"/>
  <c r="F6" i="16"/>
  <c r="E4" i="16"/>
  <c r="E6" i="16"/>
  <c r="D3" i="16"/>
  <c r="D6" i="16"/>
  <c r="G12" i="14"/>
  <c r="F4" i="14"/>
  <c r="G4" i="14" s="1"/>
  <c r="E3" i="14"/>
  <c r="G3" i="14" s="1"/>
  <c r="D2" i="14"/>
  <c r="D5" i="14" s="1"/>
  <c r="G12" i="12"/>
  <c r="G12" i="10"/>
  <c r="D2" i="10"/>
  <c r="G2" i="10" s="1"/>
  <c r="G13" i="9"/>
  <c r="D2" i="7"/>
  <c r="G2" i="7" s="1"/>
  <c r="G4" i="16"/>
  <c r="G5" i="16"/>
  <c r="G3" i="16"/>
  <c r="D7" i="16"/>
  <c r="D8" i="16"/>
  <c r="D16" i="16"/>
  <c r="E7" i="16"/>
  <c r="E8" i="16"/>
  <c r="E16" i="16"/>
  <c r="F7" i="16"/>
  <c r="F8" i="16"/>
  <c r="F16" i="16"/>
  <c r="G13" i="16"/>
  <c r="H13" i="16"/>
  <c r="F15" i="16"/>
  <c r="G12" i="16"/>
  <c r="H12" i="16"/>
  <c r="H16" i="16"/>
  <c r="G6" i="16"/>
  <c r="G15" i="16"/>
  <c r="G7" i="16"/>
  <c r="G8" i="16"/>
  <c r="G16" i="16"/>
  <c r="G18" i="16"/>
  <c r="G20" i="16"/>
  <c r="E36" i="31"/>
  <c r="D24" i="5" l="1"/>
  <c r="H11" i="5"/>
  <c r="H7" i="5"/>
  <c r="D7" i="5"/>
  <c r="O43" i="21"/>
  <c r="P16" i="28"/>
  <c r="P28" i="28"/>
  <c r="P40" i="28"/>
  <c r="P42" i="28" s="1"/>
  <c r="L42" i="28"/>
  <c r="P44" i="28"/>
  <c r="P45" i="28" s="1"/>
  <c r="L45" i="28"/>
  <c r="D17" i="5"/>
  <c r="H17" i="5"/>
  <c r="O22" i="21"/>
  <c r="H8" i="5"/>
  <c r="D8" i="5"/>
  <c r="D4" i="5"/>
  <c r="H4" i="5"/>
  <c r="P64" i="21"/>
  <c r="D6" i="5"/>
  <c r="H6" i="5"/>
  <c r="H18" i="5"/>
  <c r="D18" i="5"/>
  <c r="D29" i="5"/>
  <c r="L53" i="28"/>
  <c r="M29" i="28"/>
  <c r="M35" i="28"/>
  <c r="P35" i="28" s="1"/>
  <c r="F45" i="28"/>
  <c r="I55" i="28"/>
  <c r="H5" i="5"/>
  <c r="F19" i="28"/>
  <c r="L49" i="28"/>
  <c r="P49" i="28" s="1"/>
  <c r="M53" i="28"/>
  <c r="Q29" i="28"/>
  <c r="Q38" i="28" s="1"/>
  <c r="O6" i="21"/>
  <c r="Q64" i="21"/>
  <c r="L24" i="28"/>
  <c r="M49" i="28"/>
  <c r="J38" i="28"/>
  <c r="R55" i="21"/>
  <c r="R58" i="21" s="1"/>
  <c r="F5" i="5" s="1"/>
  <c r="R21" i="21"/>
  <c r="R22" i="21" s="1"/>
  <c r="F15" i="5" s="1"/>
  <c r="R9" i="21"/>
  <c r="L54" i="28"/>
  <c r="P54" i="28" s="1"/>
  <c r="L22" i="21"/>
  <c r="L31" i="28"/>
  <c r="P31" i="28" s="1"/>
  <c r="F42" i="28"/>
  <c r="O60" i="21"/>
  <c r="R48" i="21"/>
  <c r="R52" i="21" s="1"/>
  <c r="F3" i="5" s="1"/>
  <c r="L52" i="21"/>
  <c r="M31" i="28"/>
  <c r="L33" i="28"/>
  <c r="P33" i="28" s="1"/>
  <c r="H45" i="28"/>
  <c r="K34" i="21"/>
  <c r="K64" i="21" s="1"/>
  <c r="K19" i="28"/>
  <c r="L51" i="28"/>
  <c r="P51" i="28" s="1"/>
  <c r="L3" i="28"/>
  <c r="P3" i="28" s="1"/>
  <c r="P7" i="28" s="1"/>
  <c r="M51" i="28"/>
  <c r="L17" i="28"/>
  <c r="P17" i="28" s="1"/>
  <c r="F38" i="28"/>
  <c r="M17" i="28"/>
  <c r="M19" i="28" s="1"/>
  <c r="M47" i="28"/>
  <c r="O49" i="21"/>
  <c r="O52" i="21" s="1"/>
  <c r="H64" i="21"/>
  <c r="Q47" i="28"/>
  <c r="Q55" i="28" s="1"/>
  <c r="E64" i="21"/>
  <c r="P12" i="28"/>
  <c r="F14" i="5"/>
  <c r="C26" i="5"/>
  <c r="B30" i="5"/>
  <c r="I14" i="28"/>
  <c r="L9" i="21"/>
  <c r="B14" i="5"/>
  <c r="O7" i="21"/>
  <c r="M10" i="28"/>
  <c r="M14" i="28" s="1"/>
  <c r="L13" i="28"/>
  <c r="P13" i="28" s="1"/>
  <c r="L9" i="28"/>
  <c r="F5" i="32"/>
  <c r="F6" i="32" s="1"/>
  <c r="B38" i="7"/>
  <c r="B27" i="7"/>
  <c r="B30" i="7"/>
  <c r="B25" i="7"/>
  <c r="B26" i="7"/>
  <c r="B28" i="7"/>
  <c r="B29" i="7"/>
  <c r="B34" i="7"/>
  <c r="B31" i="7"/>
  <c r="G17" i="7"/>
  <c r="B24" i="7"/>
  <c r="B37" i="7"/>
  <c r="B33" i="7"/>
  <c r="B35" i="7"/>
  <c r="B32" i="7"/>
  <c r="B36" i="7"/>
  <c r="I18" i="40"/>
  <c r="M18" i="40" s="1"/>
  <c r="M17" i="40"/>
  <c r="L19" i="64"/>
  <c r="K8" i="5"/>
  <c r="D28" i="43" s="1"/>
  <c r="K17" i="5"/>
  <c r="D37" i="43" s="1"/>
  <c r="K3" i="5"/>
  <c r="D23" i="43" s="1"/>
  <c r="K13" i="5"/>
  <c r="D33" i="43" s="1"/>
  <c r="K18" i="5"/>
  <c r="D38" i="43" s="1"/>
  <c r="K5" i="5"/>
  <c r="D25" i="43" s="1"/>
  <c r="K14" i="5"/>
  <c r="D34" i="43" s="1"/>
  <c r="K11" i="5"/>
  <c r="D31" i="43" s="1"/>
  <c r="K9" i="5"/>
  <c r="D29" i="43" s="1"/>
  <c r="D24" i="43"/>
  <c r="K7" i="5"/>
  <c r="D27" i="43" s="1"/>
  <c r="K10" i="5"/>
  <c r="D30" i="43" s="1"/>
  <c r="K6" i="5"/>
  <c r="D26" i="43" s="1"/>
  <c r="K15" i="5"/>
  <c r="D35" i="43" s="1"/>
  <c r="K16" i="5"/>
  <c r="D36" i="43" s="1"/>
  <c r="K12" i="5"/>
  <c r="D32" i="43" s="1"/>
  <c r="G18" i="43"/>
  <c r="G20" i="43" s="1"/>
  <c r="C24" i="43"/>
  <c r="O5" i="42" s="1"/>
  <c r="G4" i="56"/>
  <c r="E8" i="56"/>
  <c r="J18" i="64"/>
  <c r="L20" i="42" s="1"/>
  <c r="B23" i="11"/>
  <c r="B24" i="13"/>
  <c r="B19" i="11"/>
  <c r="D5" i="12"/>
  <c r="D6" i="12" s="1"/>
  <c r="D7" i="12" s="1"/>
  <c r="G2" i="12"/>
  <c r="F4" i="19"/>
  <c r="F5" i="19" s="1"/>
  <c r="F6" i="19" s="1"/>
  <c r="G48" i="40"/>
  <c r="B22" i="13"/>
  <c r="B25" i="13"/>
  <c r="B32" i="11"/>
  <c r="B29" i="11"/>
  <c r="I48" i="40"/>
  <c r="F4" i="7"/>
  <c r="G4" i="7" s="1"/>
  <c r="M12" i="40"/>
  <c r="B27" i="11"/>
  <c r="B31" i="11"/>
  <c r="B26" i="11"/>
  <c r="G49" i="40"/>
  <c r="B28" i="11"/>
  <c r="E48" i="40"/>
  <c r="B22" i="11"/>
  <c r="B25" i="11"/>
  <c r="B20" i="11"/>
  <c r="B33" i="11"/>
  <c r="F4" i="12"/>
  <c r="G4" i="12" s="1"/>
  <c r="B24" i="11"/>
  <c r="G12" i="11"/>
  <c r="B21" i="11"/>
  <c r="B30" i="11"/>
  <c r="F10" i="7"/>
  <c r="F11" i="7" s="1"/>
  <c r="J48" i="40"/>
  <c r="F49" i="40"/>
  <c r="D49" i="40"/>
  <c r="K49" i="40"/>
  <c r="J37" i="40"/>
  <c r="J46" i="40"/>
  <c r="G3" i="12"/>
  <c r="B20" i="13"/>
  <c r="B33" i="13"/>
  <c r="B29" i="13"/>
  <c r="B28" i="13"/>
  <c r="B32" i="13"/>
  <c r="I49" i="40"/>
  <c r="G13" i="13"/>
  <c r="B30" i="13"/>
  <c r="B34" i="13"/>
  <c r="B23" i="13"/>
  <c r="F45" i="40"/>
  <c r="B31" i="13"/>
  <c r="B26" i="13"/>
  <c r="G45" i="40"/>
  <c r="C46" i="40"/>
  <c r="F47" i="40"/>
  <c r="D5" i="7"/>
  <c r="D6" i="7" s="1"/>
  <c r="B27" i="13"/>
  <c r="B21" i="13"/>
  <c r="F48" i="40"/>
  <c r="F4" i="11"/>
  <c r="E38" i="40"/>
  <c r="E52" i="40" s="1"/>
  <c r="B37" i="40"/>
  <c r="E47" i="40"/>
  <c r="H29" i="40"/>
  <c r="N29" i="40" s="1"/>
  <c r="E3" i="11"/>
  <c r="G3" i="11" s="1"/>
  <c r="G47" i="40"/>
  <c r="E37" i="40"/>
  <c r="D5" i="11"/>
  <c r="D6" i="11" s="1"/>
  <c r="D7" i="11" s="1"/>
  <c r="G2" i="11"/>
  <c r="E9" i="7"/>
  <c r="E11" i="7" s="1"/>
  <c r="D8" i="7"/>
  <c r="B31" i="40"/>
  <c r="H31" i="40" s="1"/>
  <c r="N31" i="40" s="1"/>
  <c r="B47" i="40"/>
  <c r="D47" i="40"/>
  <c r="K47" i="40"/>
  <c r="H27" i="40"/>
  <c r="H30" i="40"/>
  <c r="N30" i="40" s="1"/>
  <c r="C49" i="40"/>
  <c r="J49" i="40"/>
  <c r="C50" i="40"/>
  <c r="H35" i="40"/>
  <c r="N35" i="40" s="1"/>
  <c r="B50" i="40"/>
  <c r="E50" i="40"/>
  <c r="D5" i="19"/>
  <c r="D6" i="19" s="1"/>
  <c r="D7" i="19" s="1"/>
  <c r="I27" i="40"/>
  <c r="I46" i="40" s="1"/>
  <c r="F50" i="40"/>
  <c r="G46" i="40"/>
  <c r="J50" i="40"/>
  <c r="B49" i="40"/>
  <c r="H32" i="40"/>
  <c r="N32" i="40" s="1"/>
  <c r="G3" i="7"/>
  <c r="C48" i="40"/>
  <c r="D48" i="40"/>
  <c r="I45" i="40"/>
  <c r="D46" i="40"/>
  <c r="K46" i="40"/>
  <c r="E49" i="40"/>
  <c r="M13" i="40"/>
  <c r="C45" i="40"/>
  <c r="J45" i="40"/>
  <c r="E46" i="40"/>
  <c r="G14" i="40"/>
  <c r="D2" i="13" s="1"/>
  <c r="K51" i="40"/>
  <c r="K48" i="40"/>
  <c r="H28" i="40"/>
  <c r="N28" i="40" s="1"/>
  <c r="D45" i="40"/>
  <c r="K45" i="40"/>
  <c r="F46" i="40"/>
  <c r="I47" i="40"/>
  <c r="K50" i="40"/>
  <c r="E45" i="40"/>
  <c r="C47" i="40"/>
  <c r="J47" i="40"/>
  <c r="D50" i="40"/>
  <c r="H25" i="40"/>
  <c r="N25" i="40" s="1"/>
  <c r="F51" i="40"/>
  <c r="H33" i="40"/>
  <c r="N33" i="40" s="1"/>
  <c r="E6" i="12"/>
  <c r="E7" i="12" s="1"/>
  <c r="H34" i="40"/>
  <c r="E5" i="10"/>
  <c r="E6" i="10" s="1"/>
  <c r="G3" i="10"/>
  <c r="B24" i="40"/>
  <c r="B26" i="40"/>
  <c r="E3" i="9"/>
  <c r="E5" i="9" s="1"/>
  <c r="D5" i="10"/>
  <c r="D6" i="10" s="1"/>
  <c r="I51" i="40"/>
  <c r="D37" i="40"/>
  <c r="H18" i="56"/>
  <c r="D9" i="56"/>
  <c r="D10" i="56" s="1"/>
  <c r="D18" i="56" s="1"/>
  <c r="G3" i="56"/>
  <c r="G17" i="56"/>
  <c r="D6" i="9"/>
  <c r="G2" i="9"/>
  <c r="I18" i="45"/>
  <c r="G3" i="19"/>
  <c r="E5" i="19"/>
  <c r="F7" i="32"/>
  <c r="E6" i="32"/>
  <c r="E7" i="32" s="1"/>
  <c r="G5" i="32"/>
  <c r="D5" i="32"/>
  <c r="F5" i="14"/>
  <c r="E5" i="14"/>
  <c r="D6" i="14"/>
  <c r="G2" i="14"/>
  <c r="G5" i="14" s="1"/>
  <c r="F9" i="56"/>
  <c r="F10" i="56" s="1"/>
  <c r="F18" i="56" s="1"/>
  <c r="G5" i="56"/>
  <c r="J19" i="64"/>
  <c r="P21" i="42"/>
  <c r="K21" i="42"/>
  <c r="K20" i="42"/>
  <c r="D23" i="5" l="1"/>
  <c r="D3" i="5"/>
  <c r="H3" i="5"/>
  <c r="R64" i="21"/>
  <c r="P38" i="28"/>
  <c r="O9" i="21"/>
  <c r="D14" i="5" s="1"/>
  <c r="L38" i="28"/>
  <c r="M55" i="28"/>
  <c r="L19" i="28"/>
  <c r="L55" i="28"/>
  <c r="L64" i="21"/>
  <c r="M38" i="28"/>
  <c r="P29" i="28"/>
  <c r="P19" i="28"/>
  <c r="L26" i="28"/>
  <c r="P24" i="28"/>
  <c r="P26" i="28" s="1"/>
  <c r="P53" i="28"/>
  <c r="P47" i="28"/>
  <c r="P55" i="28" s="1"/>
  <c r="D27" i="5"/>
  <c r="H15" i="5"/>
  <c r="D15" i="5"/>
  <c r="H10" i="5"/>
  <c r="D10" i="5"/>
  <c r="H9" i="5"/>
  <c r="D9" i="5"/>
  <c r="O64" i="21"/>
  <c r="O65" i="21" s="1"/>
  <c r="P10" i="28"/>
  <c r="B19" i="5"/>
  <c r="C29" i="5"/>
  <c r="C25" i="5"/>
  <c r="C23" i="5"/>
  <c r="C24" i="5"/>
  <c r="C27" i="5"/>
  <c r="C28" i="5"/>
  <c r="P9" i="28"/>
  <c r="P14" i="28" s="1"/>
  <c r="L14" i="28"/>
  <c r="F19" i="5"/>
  <c r="B39" i="7"/>
  <c r="G10" i="7"/>
  <c r="H6" i="56"/>
  <c r="C33" i="43"/>
  <c r="O14" i="42" s="1"/>
  <c r="C32" i="43"/>
  <c r="O13" i="42" s="1"/>
  <c r="C38" i="43"/>
  <c r="O19" i="42" s="1"/>
  <c r="C23" i="43"/>
  <c r="C29" i="43"/>
  <c r="O10" i="42" s="1"/>
  <c r="C37" i="43"/>
  <c r="O18" i="42" s="1"/>
  <c r="C36" i="43"/>
  <c r="O17" i="42" s="1"/>
  <c r="C25" i="43"/>
  <c r="O6" i="42" s="1"/>
  <c r="C34" i="43"/>
  <c r="O15" i="42" s="1"/>
  <c r="C28" i="43"/>
  <c r="O9" i="42" s="1"/>
  <c r="C27" i="43"/>
  <c r="O8" i="42" s="1"/>
  <c r="D39" i="43"/>
  <c r="C35" i="43"/>
  <c r="O16" i="42" s="1"/>
  <c r="C31" i="43"/>
  <c r="O12" i="42" s="1"/>
  <c r="C30" i="43"/>
  <c r="O11" i="42" s="1"/>
  <c r="C26" i="43"/>
  <c r="K19" i="5"/>
  <c r="E39" i="43"/>
  <c r="F34" i="43" s="1"/>
  <c r="O4" i="42"/>
  <c r="G8" i="56"/>
  <c r="F7" i="19"/>
  <c r="G4" i="19"/>
  <c r="G5" i="19" s="1"/>
  <c r="G9" i="7"/>
  <c r="G5" i="12"/>
  <c r="C38" i="40"/>
  <c r="C52" i="40" s="1"/>
  <c r="F4" i="9"/>
  <c r="B34" i="11"/>
  <c r="F5" i="7"/>
  <c r="F6" i="7" s="1"/>
  <c r="G6" i="7" s="1"/>
  <c r="E5" i="11"/>
  <c r="E6" i="11" s="1"/>
  <c r="B38" i="40"/>
  <c r="B52" i="40" s="1"/>
  <c r="F5" i="12"/>
  <c r="F6" i="12" s="1"/>
  <c r="F7" i="12" s="1"/>
  <c r="B35" i="13"/>
  <c r="M14" i="40"/>
  <c r="H47" i="40"/>
  <c r="N47" i="40" s="1"/>
  <c r="E51" i="40"/>
  <c r="G4" i="11"/>
  <c r="G5" i="11" s="1"/>
  <c r="F5" i="11"/>
  <c r="B48" i="40"/>
  <c r="H48" i="40" s="1"/>
  <c r="N48" i="40" s="1"/>
  <c r="E12" i="7"/>
  <c r="H49" i="40"/>
  <c r="N49" i="40" s="1"/>
  <c r="G8" i="7"/>
  <c r="D11" i="7"/>
  <c r="G5" i="7"/>
  <c r="N27" i="40"/>
  <c r="G15" i="40"/>
  <c r="G36" i="40"/>
  <c r="G3" i="9"/>
  <c r="D7" i="10"/>
  <c r="D7" i="7"/>
  <c r="D12" i="7" s="1"/>
  <c r="F4" i="10"/>
  <c r="D38" i="40"/>
  <c r="D52" i="40" s="1"/>
  <c r="J38" i="40"/>
  <c r="J52" i="40" s="1"/>
  <c r="N34" i="40"/>
  <c r="D5" i="13"/>
  <c r="G2" i="13"/>
  <c r="B46" i="40"/>
  <c r="H46" i="40" s="1"/>
  <c r="N46" i="40" s="1"/>
  <c r="H26" i="40"/>
  <c r="N26" i="40" s="1"/>
  <c r="B45" i="40"/>
  <c r="H45" i="40" s="1"/>
  <c r="N45" i="40" s="1"/>
  <c r="H24" i="40"/>
  <c r="N24" i="40" s="1"/>
  <c r="E7" i="10"/>
  <c r="E6" i="9"/>
  <c r="D7" i="9"/>
  <c r="E6" i="19"/>
  <c r="G6" i="19" s="1"/>
  <c r="D6" i="32"/>
  <c r="G6" i="32" s="1"/>
  <c r="G7" i="32" s="1"/>
  <c r="G9" i="32" s="1"/>
  <c r="F6" i="14"/>
  <c r="F7" i="14" s="1"/>
  <c r="E6" i="14"/>
  <c r="D7" i="14"/>
  <c r="E9" i="56"/>
  <c r="G9" i="56" s="1"/>
  <c r="D26" i="5" l="1"/>
  <c r="H14" i="5"/>
  <c r="G10" i="5"/>
  <c r="C27" i="31" s="1"/>
  <c r="D27" i="31" s="1"/>
  <c r="S11" i="42" s="1"/>
  <c r="G15" i="5"/>
  <c r="C32" i="31" s="1"/>
  <c r="D32" i="31" s="1"/>
  <c r="S16" i="42" s="1"/>
  <c r="G4" i="5"/>
  <c r="C21" i="31" s="1"/>
  <c r="D21" i="31" s="1"/>
  <c r="S5" i="42" s="1"/>
  <c r="G16" i="5"/>
  <c r="C33" i="31" s="1"/>
  <c r="D33" i="31" s="1"/>
  <c r="S17" i="42" s="1"/>
  <c r="G3" i="5"/>
  <c r="G18" i="5"/>
  <c r="C35" i="31" s="1"/>
  <c r="D35" i="31" s="1"/>
  <c r="S19" i="42" s="1"/>
  <c r="G9" i="5"/>
  <c r="C26" i="31" s="1"/>
  <c r="D26" i="31" s="1"/>
  <c r="S10" i="42" s="1"/>
  <c r="G13" i="5"/>
  <c r="C30" i="31" s="1"/>
  <c r="D30" i="31" s="1"/>
  <c r="S14" i="42" s="1"/>
  <c r="G12" i="5"/>
  <c r="C29" i="31" s="1"/>
  <c r="D29" i="31" s="1"/>
  <c r="S13" i="42" s="1"/>
  <c r="G7" i="5"/>
  <c r="C24" i="31" s="1"/>
  <c r="D24" i="31" s="1"/>
  <c r="S8" i="42" s="1"/>
  <c r="G8" i="5"/>
  <c r="C25" i="31" s="1"/>
  <c r="D25" i="31" s="1"/>
  <c r="S9" i="42" s="1"/>
  <c r="G11" i="5"/>
  <c r="C28" i="31" s="1"/>
  <c r="D28" i="31" s="1"/>
  <c r="S12" i="42" s="1"/>
  <c r="G17" i="5"/>
  <c r="C34" i="31" s="1"/>
  <c r="D34" i="31" s="1"/>
  <c r="S18" i="42" s="1"/>
  <c r="G5" i="5"/>
  <c r="C22" i="31" s="1"/>
  <c r="D22" i="31" s="1"/>
  <c r="S6" i="42" s="1"/>
  <c r="G6" i="5"/>
  <c r="C23" i="31" s="1"/>
  <c r="D23" i="31" s="1"/>
  <c r="S7" i="42" s="1"/>
  <c r="C3" i="5"/>
  <c r="C16" i="5"/>
  <c r="C17" i="5"/>
  <c r="C11" i="5"/>
  <c r="C15" i="5"/>
  <c r="C5" i="5"/>
  <c r="C8" i="5"/>
  <c r="C18" i="5"/>
  <c r="C12" i="5"/>
  <c r="C13" i="5"/>
  <c r="C4" i="5"/>
  <c r="C7" i="5"/>
  <c r="C6" i="5"/>
  <c r="C9" i="5"/>
  <c r="C10" i="5"/>
  <c r="H19" i="5"/>
  <c r="I14" i="5" s="1"/>
  <c r="C14" i="5"/>
  <c r="C30" i="5"/>
  <c r="G14" i="5"/>
  <c r="C31" i="31" s="1"/>
  <c r="D31" i="31" s="1"/>
  <c r="S15" i="42" s="1"/>
  <c r="D19" i="5"/>
  <c r="E14" i="5"/>
  <c r="D30" i="5"/>
  <c r="E26" i="5" s="1"/>
  <c r="G11" i="7"/>
  <c r="G10" i="56"/>
  <c r="G18" i="56" s="1"/>
  <c r="G20" i="56" s="1"/>
  <c r="G22" i="56" s="1"/>
  <c r="O7" i="42"/>
  <c r="O21" i="42" s="1"/>
  <c r="C39" i="43"/>
  <c r="F26" i="43"/>
  <c r="F33" i="43"/>
  <c r="F23" i="43"/>
  <c r="F32" i="43"/>
  <c r="F36" i="43"/>
  <c r="F31" i="43"/>
  <c r="F27" i="43"/>
  <c r="F30" i="43"/>
  <c r="F38" i="43"/>
  <c r="F37" i="43"/>
  <c r="F35" i="43"/>
  <c r="F24" i="43"/>
  <c r="F28" i="43"/>
  <c r="F29" i="43"/>
  <c r="F25" i="43"/>
  <c r="G6" i="14"/>
  <c r="G7" i="14" s="1"/>
  <c r="G9" i="14" s="1"/>
  <c r="G13" i="14" s="1"/>
  <c r="B30" i="14" s="1"/>
  <c r="D51" i="40"/>
  <c r="C51" i="40"/>
  <c r="B51" i="40"/>
  <c r="J51" i="40"/>
  <c r="G6" i="12"/>
  <c r="G7" i="12" s="1"/>
  <c r="G9" i="12" s="1"/>
  <c r="G13" i="12" s="1"/>
  <c r="G7" i="19"/>
  <c r="G9" i="19" s="1"/>
  <c r="G13" i="19" s="1"/>
  <c r="G14" i="19" s="1"/>
  <c r="D27" i="19" s="1"/>
  <c r="F5" i="9"/>
  <c r="F6" i="9" s="1"/>
  <c r="F7" i="9" s="1"/>
  <c r="G4" i="9"/>
  <c r="G5" i="9" s="1"/>
  <c r="F7" i="7"/>
  <c r="F12" i="7" s="1"/>
  <c r="F6" i="11"/>
  <c r="F7" i="11" s="1"/>
  <c r="G7" i="7"/>
  <c r="G12" i="7" s="1"/>
  <c r="G14" i="7" s="1"/>
  <c r="G18" i="7" s="1"/>
  <c r="G19" i="7" s="1"/>
  <c r="G37" i="40"/>
  <c r="H37" i="40" s="1"/>
  <c r="N37" i="40" s="1"/>
  <c r="M15" i="40"/>
  <c r="E3" i="13"/>
  <c r="E7" i="11"/>
  <c r="H36" i="40"/>
  <c r="G50" i="40"/>
  <c r="F5" i="10"/>
  <c r="G4" i="10"/>
  <c r="G5" i="10" s="1"/>
  <c r="D6" i="13"/>
  <c r="E7" i="9"/>
  <c r="E7" i="19"/>
  <c r="D7" i="32"/>
  <c r="G13" i="32"/>
  <c r="G14" i="32" s="1"/>
  <c r="E7" i="14"/>
  <c r="E10" i="56"/>
  <c r="H10" i="56" s="1"/>
  <c r="G24" i="56"/>
  <c r="H23" i="56"/>
  <c r="B22" i="68" l="1"/>
  <c r="B22" i="66"/>
  <c r="B27" i="50"/>
  <c r="B27" i="68"/>
  <c r="B27" i="66"/>
  <c r="B32" i="50"/>
  <c r="B33" i="68"/>
  <c r="B33" i="66"/>
  <c r="B39" i="50"/>
  <c r="C29" i="68"/>
  <c r="C29" i="66"/>
  <c r="B29" i="39"/>
  <c r="C35" i="50"/>
  <c r="E13" i="5"/>
  <c r="E8" i="5"/>
  <c r="E5" i="5"/>
  <c r="E15" i="5"/>
  <c r="E17" i="5"/>
  <c r="E3" i="5"/>
  <c r="E11" i="5"/>
  <c r="D31" i="7" s="1"/>
  <c r="E6" i="5"/>
  <c r="E10" i="5"/>
  <c r="E16" i="5"/>
  <c r="D36" i="7" s="1"/>
  <c r="E12" i="5"/>
  <c r="D32" i="7" s="1"/>
  <c r="E18" i="5"/>
  <c r="E7" i="5"/>
  <c r="E9" i="5"/>
  <c r="D29" i="7" s="1"/>
  <c r="E4" i="5"/>
  <c r="B23" i="68"/>
  <c r="B23" i="66"/>
  <c r="B28" i="50"/>
  <c r="B30" i="68"/>
  <c r="B30" i="66"/>
  <c r="B36" i="50"/>
  <c r="I16" i="5"/>
  <c r="I5" i="5"/>
  <c r="I15" i="5"/>
  <c r="I11" i="5"/>
  <c r="I13" i="5"/>
  <c r="I10" i="5"/>
  <c r="I18" i="5"/>
  <c r="I7" i="5"/>
  <c r="I4" i="5"/>
  <c r="I17" i="5"/>
  <c r="I3" i="5"/>
  <c r="I9" i="5"/>
  <c r="I8" i="5"/>
  <c r="I12" i="5"/>
  <c r="I6" i="5"/>
  <c r="B26" i="68"/>
  <c r="B26" i="66"/>
  <c r="B31" i="50"/>
  <c r="B29" i="68"/>
  <c r="B29" i="66"/>
  <c r="B35" i="50"/>
  <c r="D35" i="50" s="1"/>
  <c r="B20" i="68"/>
  <c r="B20" i="66"/>
  <c r="B25" i="50"/>
  <c r="B25" i="68"/>
  <c r="B25" i="66"/>
  <c r="B30" i="50"/>
  <c r="B32" i="68"/>
  <c r="B32" i="66"/>
  <c r="B38" i="50"/>
  <c r="D34" i="7"/>
  <c r="B24" i="68"/>
  <c r="B24" i="66"/>
  <c r="B29" i="50"/>
  <c r="B31" i="68"/>
  <c r="B31" i="66"/>
  <c r="B37" i="50"/>
  <c r="G19" i="5"/>
  <c r="C20" i="31"/>
  <c r="E24" i="5"/>
  <c r="C26" i="32" s="1"/>
  <c r="E25" i="5"/>
  <c r="E28" i="5"/>
  <c r="E23" i="5"/>
  <c r="E27" i="5"/>
  <c r="E29" i="5"/>
  <c r="B19" i="68"/>
  <c r="B19" i="66"/>
  <c r="B24" i="50"/>
  <c r="B21" i="68"/>
  <c r="B21" i="66"/>
  <c r="B26" i="50"/>
  <c r="B18" i="68"/>
  <c r="B18" i="66"/>
  <c r="B23" i="50"/>
  <c r="C19" i="5"/>
  <c r="B28" i="68"/>
  <c r="B28" i="66"/>
  <c r="B34" i="50"/>
  <c r="O20" i="42"/>
  <c r="B23" i="14"/>
  <c r="B27" i="14"/>
  <c r="B24" i="14"/>
  <c r="B29" i="14"/>
  <c r="B18" i="14"/>
  <c r="B19" i="14"/>
  <c r="B21" i="14"/>
  <c r="B28" i="14"/>
  <c r="B26" i="14"/>
  <c r="B22" i="14"/>
  <c r="G14" i="14"/>
  <c r="G15" i="14" s="1"/>
  <c r="B32" i="14"/>
  <c r="B20" i="14"/>
  <c r="B33" i="14"/>
  <c r="B25" i="14"/>
  <c r="B31" i="14"/>
  <c r="F39" i="43"/>
  <c r="G6" i="9"/>
  <c r="G7" i="9" s="1"/>
  <c r="G10" i="9" s="1"/>
  <c r="G14" i="9" s="1"/>
  <c r="G15" i="9" s="1"/>
  <c r="C34" i="7"/>
  <c r="G20" i="7"/>
  <c r="C36" i="7"/>
  <c r="C32" i="7"/>
  <c r="C35" i="7"/>
  <c r="C24" i="7"/>
  <c r="D26" i="7"/>
  <c r="C38" i="7"/>
  <c r="C30" i="7"/>
  <c r="C25" i="7"/>
  <c r="C23" i="7"/>
  <c r="C31" i="7"/>
  <c r="C33" i="7"/>
  <c r="C29" i="7"/>
  <c r="C37" i="7"/>
  <c r="D28" i="7"/>
  <c r="D37" i="7"/>
  <c r="G6" i="11"/>
  <c r="G7" i="11" s="1"/>
  <c r="G9" i="11" s="1"/>
  <c r="C26" i="7"/>
  <c r="C27" i="7"/>
  <c r="C28" i="7"/>
  <c r="D33" i="7"/>
  <c r="D35" i="7"/>
  <c r="D24" i="7"/>
  <c r="D38" i="7"/>
  <c r="D25" i="7"/>
  <c r="D27" i="7"/>
  <c r="F4" i="13"/>
  <c r="G38" i="40"/>
  <c r="G52" i="40" s="1"/>
  <c r="M16" i="40"/>
  <c r="N36" i="40"/>
  <c r="N50" i="40" s="1"/>
  <c r="H50" i="40"/>
  <c r="G3" i="13"/>
  <c r="E5" i="13"/>
  <c r="E6" i="13" s="1"/>
  <c r="E7" i="13" s="1"/>
  <c r="E8" i="13" s="1"/>
  <c r="F6" i="10"/>
  <c r="G6" i="10" s="1"/>
  <c r="G7" i="10" s="1"/>
  <c r="G9" i="10" s="1"/>
  <c r="B32" i="12"/>
  <c r="B26" i="12"/>
  <c r="B19" i="12"/>
  <c r="B29" i="12"/>
  <c r="B33" i="12"/>
  <c r="B22" i="12"/>
  <c r="B24" i="12"/>
  <c r="B20" i="12"/>
  <c r="B31" i="12"/>
  <c r="B21" i="12"/>
  <c r="B18" i="12"/>
  <c r="B30" i="12"/>
  <c r="B23" i="12"/>
  <c r="B28" i="12"/>
  <c r="B25" i="12"/>
  <c r="B27" i="12"/>
  <c r="G14" i="12"/>
  <c r="D7" i="13"/>
  <c r="D8" i="13" s="1"/>
  <c r="D24" i="19"/>
  <c r="D23" i="19"/>
  <c r="D19" i="19"/>
  <c r="D29" i="19"/>
  <c r="D20" i="19"/>
  <c r="D22" i="19"/>
  <c r="D31" i="19"/>
  <c r="D33" i="19"/>
  <c r="D28" i="19"/>
  <c r="D32" i="19"/>
  <c r="D18" i="19"/>
  <c r="D21" i="19"/>
  <c r="D30" i="19"/>
  <c r="D25" i="19"/>
  <c r="D26" i="19"/>
  <c r="C30" i="19"/>
  <c r="C24" i="19"/>
  <c r="C32" i="19"/>
  <c r="C20" i="19"/>
  <c r="C21" i="19"/>
  <c r="C18" i="19"/>
  <c r="C31" i="19"/>
  <c r="C25" i="19"/>
  <c r="C23" i="19"/>
  <c r="C33" i="19"/>
  <c r="C19" i="19"/>
  <c r="C28" i="19"/>
  <c r="C22" i="19"/>
  <c r="C29" i="19"/>
  <c r="G15" i="19"/>
  <c r="C27" i="19"/>
  <c r="C26" i="19"/>
  <c r="C30" i="32"/>
  <c r="C18" i="32"/>
  <c r="C31" i="32"/>
  <c r="C33" i="32"/>
  <c r="C27" i="32"/>
  <c r="C29" i="32"/>
  <c r="B33" i="32"/>
  <c r="B30" i="32"/>
  <c r="B27" i="32"/>
  <c r="B18" i="32"/>
  <c r="G15" i="32"/>
  <c r="B31" i="32"/>
  <c r="B26" i="32"/>
  <c r="B29" i="32"/>
  <c r="C21" i="14"/>
  <c r="C32" i="14"/>
  <c r="D32" i="14" s="1"/>
  <c r="E18" i="56"/>
  <c r="E34" i="7" l="1"/>
  <c r="C15" i="42" s="1"/>
  <c r="C31" i="68"/>
  <c r="D31" i="68" s="1"/>
  <c r="C31" i="66"/>
  <c r="C37" i="50"/>
  <c r="D37" i="50" s="1"/>
  <c r="B31" i="39"/>
  <c r="C27" i="68"/>
  <c r="C27" i="14"/>
  <c r="C27" i="66"/>
  <c r="B27" i="39"/>
  <c r="C32" i="50"/>
  <c r="D32" i="50" s="1"/>
  <c r="I19" i="5"/>
  <c r="C21" i="68"/>
  <c r="D21" i="68" s="1"/>
  <c r="C21" i="66"/>
  <c r="C26" i="50"/>
  <c r="D26" i="50" s="1"/>
  <c r="B21" i="39"/>
  <c r="C26" i="68"/>
  <c r="D26" i="68" s="1"/>
  <c r="C26" i="66"/>
  <c r="D26" i="66" s="1"/>
  <c r="C31" i="50"/>
  <c r="D31" i="50" s="1"/>
  <c r="B26" i="39"/>
  <c r="D29" i="66"/>
  <c r="C32" i="68"/>
  <c r="D32" i="68" s="1"/>
  <c r="C32" i="66"/>
  <c r="D32" i="66" s="1"/>
  <c r="C38" i="50"/>
  <c r="B32" i="39"/>
  <c r="D21" i="66"/>
  <c r="Q15" i="42"/>
  <c r="D31" i="66"/>
  <c r="C25" i="68"/>
  <c r="D25" i="68" s="1"/>
  <c r="C25" i="66"/>
  <c r="D25" i="66" s="1"/>
  <c r="C30" i="50"/>
  <c r="D30" i="50" s="1"/>
  <c r="B25" i="39"/>
  <c r="F35" i="50"/>
  <c r="C18" i="68"/>
  <c r="C18" i="66"/>
  <c r="B18" i="39"/>
  <c r="C23" i="50"/>
  <c r="D23" i="50" s="1"/>
  <c r="E19" i="5"/>
  <c r="D23" i="7"/>
  <c r="D39" i="7" s="1"/>
  <c r="E30" i="5"/>
  <c r="D29" i="68"/>
  <c r="C30" i="68"/>
  <c r="D30" i="68" s="1"/>
  <c r="C30" i="66"/>
  <c r="D30" i="66" s="1"/>
  <c r="C36" i="50"/>
  <c r="D36" i="50" s="1"/>
  <c r="B30" i="39"/>
  <c r="D27" i="66"/>
  <c r="D24" i="50"/>
  <c r="B40" i="50"/>
  <c r="D38" i="50"/>
  <c r="C19" i="68"/>
  <c r="D19" i="68" s="1"/>
  <c r="C19" i="66"/>
  <c r="D19" i="66" s="1"/>
  <c r="C24" i="50"/>
  <c r="B19" i="39"/>
  <c r="C20" i="68"/>
  <c r="D20" i="68" s="1"/>
  <c r="C20" i="66"/>
  <c r="D20" i="66" s="1"/>
  <c r="C25" i="50"/>
  <c r="D25" i="50" s="1"/>
  <c r="B20" i="39"/>
  <c r="D27" i="68"/>
  <c r="C28" i="9"/>
  <c r="D28" i="9" s="1"/>
  <c r="B34" i="66"/>
  <c r="C24" i="68"/>
  <c r="D24" i="68" s="1"/>
  <c r="Y10" i="42" s="1"/>
  <c r="C24" i="66"/>
  <c r="D24" i="66" s="1"/>
  <c r="C29" i="50"/>
  <c r="D29" i="50" s="1"/>
  <c r="B24" i="39"/>
  <c r="C23" i="68"/>
  <c r="D23" i="68" s="1"/>
  <c r="C23" i="66"/>
  <c r="D23" i="66" s="1"/>
  <c r="B23" i="39"/>
  <c r="C28" i="50"/>
  <c r="D28" i="50" s="1"/>
  <c r="D30" i="7"/>
  <c r="B34" i="68"/>
  <c r="C22" i="68"/>
  <c r="D22" i="68" s="1"/>
  <c r="C22" i="66"/>
  <c r="D22" i="66" s="1"/>
  <c r="B22" i="39"/>
  <c r="C27" i="50"/>
  <c r="D27" i="50" s="1"/>
  <c r="C28" i="68"/>
  <c r="D28" i="68" s="1"/>
  <c r="C28" i="66"/>
  <c r="D28" i="66" s="1"/>
  <c r="C34" i="50"/>
  <c r="D34" i="50" s="1"/>
  <c r="B28" i="39"/>
  <c r="D20" i="31"/>
  <c r="C36" i="31"/>
  <c r="C33" i="68"/>
  <c r="D33" i="68" s="1"/>
  <c r="C33" i="66"/>
  <c r="D33" i="66" s="1"/>
  <c r="B33" i="39"/>
  <c r="C39" i="50"/>
  <c r="D39" i="50" s="1"/>
  <c r="D21" i="14"/>
  <c r="U7" i="42" s="1"/>
  <c r="B34" i="14"/>
  <c r="C19" i="14"/>
  <c r="D19" i="14" s="1"/>
  <c r="U18" i="42"/>
  <c r="C22" i="14"/>
  <c r="D22" i="14" s="1"/>
  <c r="C26" i="14"/>
  <c r="D26" i="14" s="1"/>
  <c r="C30" i="14"/>
  <c r="D30" i="14" s="1"/>
  <c r="C29" i="14"/>
  <c r="D29" i="14" s="1"/>
  <c r="C25" i="14"/>
  <c r="D25" i="14" s="1"/>
  <c r="U11" i="42" s="1"/>
  <c r="D27" i="14"/>
  <c r="C31" i="14"/>
  <c r="D31" i="14" s="1"/>
  <c r="C24" i="14"/>
  <c r="D24" i="14" s="1"/>
  <c r="C23" i="14"/>
  <c r="D23" i="14" s="1"/>
  <c r="C18" i="14"/>
  <c r="D18" i="14" s="1"/>
  <c r="C20" i="14"/>
  <c r="D20" i="14" s="1"/>
  <c r="C33" i="14"/>
  <c r="D33" i="14" s="1"/>
  <c r="C28" i="14"/>
  <c r="D28" i="14" s="1"/>
  <c r="E33" i="7"/>
  <c r="C14" i="42" s="1"/>
  <c r="E28" i="19"/>
  <c r="E37" i="7"/>
  <c r="C18" i="42" s="1"/>
  <c r="E38" i="7"/>
  <c r="C19" i="42" s="1"/>
  <c r="E25" i="7"/>
  <c r="C6" i="42" s="1"/>
  <c r="E19" i="19"/>
  <c r="M5" i="42" s="1"/>
  <c r="D29" i="32"/>
  <c r="D30" i="32"/>
  <c r="E36" i="7"/>
  <c r="C17" i="42" s="1"/>
  <c r="E26" i="7"/>
  <c r="C7" i="42" s="1"/>
  <c r="E28" i="7"/>
  <c r="C9" i="42" s="1"/>
  <c r="E32" i="7"/>
  <c r="C13" i="42" s="1"/>
  <c r="E24" i="7"/>
  <c r="C5" i="42" s="1"/>
  <c r="E29" i="7"/>
  <c r="C10" i="42" s="1"/>
  <c r="E35" i="7"/>
  <c r="C16" i="42" s="1"/>
  <c r="E30" i="7"/>
  <c r="C11" i="42" s="1"/>
  <c r="C39" i="7"/>
  <c r="E31" i="7"/>
  <c r="C12" i="42" s="1"/>
  <c r="F7" i="10"/>
  <c r="G13" i="11"/>
  <c r="E27" i="7"/>
  <c r="C8" i="42" s="1"/>
  <c r="E23" i="7"/>
  <c r="C4" i="42" s="1"/>
  <c r="E29" i="19"/>
  <c r="M15" i="42" s="1"/>
  <c r="E25" i="19"/>
  <c r="M11" i="42" s="1"/>
  <c r="E27" i="19"/>
  <c r="M13" i="42" s="1"/>
  <c r="G51" i="40"/>
  <c r="H38" i="40"/>
  <c r="H52" i="40" s="1"/>
  <c r="F5" i="13"/>
  <c r="G4" i="13"/>
  <c r="G5" i="13" s="1"/>
  <c r="E31" i="19"/>
  <c r="M17" i="42" s="1"/>
  <c r="E30" i="19"/>
  <c r="M16" i="42" s="1"/>
  <c r="E23" i="19"/>
  <c r="M9" i="42" s="1"/>
  <c r="E24" i="19"/>
  <c r="M10" i="42" s="1"/>
  <c r="D34" i="19"/>
  <c r="C30" i="9"/>
  <c r="D30" i="9" s="1"/>
  <c r="C23" i="9"/>
  <c r="D23" i="9" s="1"/>
  <c r="C26" i="9"/>
  <c r="D26" i="9" s="1"/>
  <c r="C29" i="9"/>
  <c r="D29" i="9" s="1"/>
  <c r="C22" i="9"/>
  <c r="D22" i="9" s="1"/>
  <c r="C33" i="9"/>
  <c r="D33" i="9" s="1"/>
  <c r="C25" i="9"/>
  <c r="D25" i="9" s="1"/>
  <c r="C34" i="9"/>
  <c r="D34" i="9" s="1"/>
  <c r="C27" i="9"/>
  <c r="D27" i="9" s="1"/>
  <c r="C21" i="9"/>
  <c r="D21" i="9" s="1"/>
  <c r="C20" i="9"/>
  <c r="D20" i="9" s="1"/>
  <c r="C19" i="9"/>
  <c r="D19" i="9" s="1"/>
  <c r="C31" i="9"/>
  <c r="D31" i="9" s="1"/>
  <c r="C24" i="9"/>
  <c r="D24" i="9" s="1"/>
  <c r="C32" i="9"/>
  <c r="D32" i="9" s="1"/>
  <c r="C19" i="12"/>
  <c r="D19" i="12" s="1"/>
  <c r="C27" i="12"/>
  <c r="D27" i="12" s="1"/>
  <c r="C29" i="12"/>
  <c r="D29" i="12" s="1"/>
  <c r="C22" i="12"/>
  <c r="D22" i="12" s="1"/>
  <c r="C30" i="12"/>
  <c r="D30" i="12" s="1"/>
  <c r="C32" i="12"/>
  <c r="D32" i="12" s="1"/>
  <c r="C25" i="12"/>
  <c r="D25" i="12" s="1"/>
  <c r="C20" i="12"/>
  <c r="D20" i="12" s="1"/>
  <c r="C33" i="12"/>
  <c r="D33" i="12" s="1"/>
  <c r="C23" i="12"/>
  <c r="D23" i="12" s="1"/>
  <c r="C28" i="12"/>
  <c r="D28" i="12" s="1"/>
  <c r="C18" i="12"/>
  <c r="C31" i="12"/>
  <c r="D31" i="12" s="1"/>
  <c r="C21" i="12"/>
  <c r="D21" i="12" s="1"/>
  <c r="C26" i="12"/>
  <c r="D26" i="12" s="1"/>
  <c r="C24" i="12"/>
  <c r="D24" i="12" s="1"/>
  <c r="G15" i="12"/>
  <c r="B34" i="12"/>
  <c r="E26" i="19"/>
  <c r="M12" i="42" s="1"/>
  <c r="E21" i="19"/>
  <c r="M7" i="42" s="1"/>
  <c r="G13" i="10"/>
  <c r="G14" i="10" s="1"/>
  <c r="C27" i="10" s="1"/>
  <c r="D27" i="10" s="1"/>
  <c r="G16" i="9"/>
  <c r="E22" i="19"/>
  <c r="M14" i="42"/>
  <c r="C34" i="19"/>
  <c r="E18" i="19"/>
  <c r="E33" i="19"/>
  <c r="E20" i="19"/>
  <c r="E32" i="19"/>
  <c r="B34" i="32"/>
  <c r="D18" i="32"/>
  <c r="C34" i="32"/>
  <c r="D27" i="32"/>
  <c r="W16" i="42"/>
  <c r="D26" i="32"/>
  <c r="D33" i="32"/>
  <c r="D31" i="32"/>
  <c r="E28" i="50" l="1"/>
  <c r="F28" i="50" s="1"/>
  <c r="Y7" i="42"/>
  <c r="Y9" i="42"/>
  <c r="Y11" i="42"/>
  <c r="F36" i="50"/>
  <c r="F32" i="50"/>
  <c r="E32" i="50"/>
  <c r="Y16" i="42"/>
  <c r="E29" i="50"/>
  <c r="F29" i="50"/>
  <c r="Y5" i="42"/>
  <c r="Y12" i="42"/>
  <c r="E25" i="50"/>
  <c r="F25" i="50" s="1"/>
  <c r="Y18" i="42"/>
  <c r="E30" i="50"/>
  <c r="F30" i="50" s="1"/>
  <c r="E31" i="50"/>
  <c r="F31" i="50" s="1"/>
  <c r="Y14" i="42"/>
  <c r="E27" i="50"/>
  <c r="F27" i="50" s="1"/>
  <c r="E39" i="50"/>
  <c r="F39" i="50"/>
  <c r="Y8" i="42"/>
  <c r="Y19" i="42"/>
  <c r="Y17" i="42"/>
  <c r="Q9" i="42"/>
  <c r="Q13" i="42"/>
  <c r="C34" i="66"/>
  <c r="Q10" i="42"/>
  <c r="E34" i="50"/>
  <c r="F34" i="50" s="1"/>
  <c r="Q11" i="42"/>
  <c r="Q8" i="42"/>
  <c r="Q6" i="42"/>
  <c r="C34" i="68"/>
  <c r="Q4" i="42"/>
  <c r="B34" i="39"/>
  <c r="C18" i="39" s="1"/>
  <c r="Q5" i="42"/>
  <c r="Q7" i="42"/>
  <c r="Y13" i="42"/>
  <c r="E23" i="50"/>
  <c r="F23" i="50" s="1"/>
  <c r="D40" i="50"/>
  <c r="G34" i="50" s="1"/>
  <c r="D42" i="50"/>
  <c r="C40" i="50"/>
  <c r="F24" i="50"/>
  <c r="Q16" i="42"/>
  <c r="Y6" i="42"/>
  <c r="D36" i="31"/>
  <c r="S4" i="42"/>
  <c r="E26" i="50"/>
  <c r="F26" i="50" s="1"/>
  <c r="Q17" i="42"/>
  <c r="D18" i="68"/>
  <c r="Q14" i="42"/>
  <c r="Y15" i="42"/>
  <c r="D18" i="66"/>
  <c r="D34" i="66" s="1"/>
  <c r="E18" i="66" s="1"/>
  <c r="F38" i="50"/>
  <c r="Q18" i="42"/>
  <c r="G37" i="50"/>
  <c r="E37" i="50"/>
  <c r="F37" i="50" s="1"/>
  <c r="Q19" i="42"/>
  <c r="Q12" i="42"/>
  <c r="W13" i="42"/>
  <c r="G27" i="32"/>
  <c r="W4" i="42"/>
  <c r="G18" i="32"/>
  <c r="W12" i="42"/>
  <c r="G26" i="32"/>
  <c r="W17" i="42"/>
  <c r="G31" i="32"/>
  <c r="W15" i="42"/>
  <c r="G29" i="32"/>
  <c r="U9" i="42"/>
  <c r="U6" i="42"/>
  <c r="U5" i="42"/>
  <c r="U17" i="42"/>
  <c r="U16" i="42"/>
  <c r="U15" i="42"/>
  <c r="U12" i="42"/>
  <c r="U10" i="42"/>
  <c r="U8" i="42"/>
  <c r="U14" i="42"/>
  <c r="U4" i="42"/>
  <c r="U13" i="42"/>
  <c r="C34" i="14"/>
  <c r="U19" i="42"/>
  <c r="D34" i="14"/>
  <c r="U20" i="42" s="1"/>
  <c r="V18" i="42" s="1"/>
  <c r="E39" i="7"/>
  <c r="F23" i="7" s="1"/>
  <c r="G14" i="11"/>
  <c r="C21" i="42"/>
  <c r="F6" i="13"/>
  <c r="G6" i="13" s="1"/>
  <c r="G7" i="13" s="1"/>
  <c r="G8" i="13" s="1"/>
  <c r="G10" i="13" s="1"/>
  <c r="N38" i="40"/>
  <c r="N52" i="40" s="1"/>
  <c r="H51" i="40"/>
  <c r="G11" i="42"/>
  <c r="G16" i="42"/>
  <c r="G17" i="42"/>
  <c r="G9" i="42"/>
  <c r="G8" i="42"/>
  <c r="G14" i="42"/>
  <c r="G10" i="42"/>
  <c r="G12" i="42"/>
  <c r="G6" i="42"/>
  <c r="G7" i="42"/>
  <c r="G15" i="10"/>
  <c r="E13" i="42"/>
  <c r="C21" i="10"/>
  <c r="D21" i="10" s="1"/>
  <c r="E7" i="42" s="1"/>
  <c r="C18" i="10"/>
  <c r="C24" i="10"/>
  <c r="D24" i="10" s="1"/>
  <c r="E10" i="42" s="1"/>
  <c r="C23" i="10"/>
  <c r="D23" i="10" s="1"/>
  <c r="E9" i="42" s="1"/>
  <c r="C22" i="10"/>
  <c r="D22" i="10" s="1"/>
  <c r="E8" i="42" s="1"/>
  <c r="C20" i="10"/>
  <c r="D20" i="10" s="1"/>
  <c r="E6" i="42" s="1"/>
  <c r="C31" i="10"/>
  <c r="D31" i="10" s="1"/>
  <c r="E17" i="42" s="1"/>
  <c r="C25" i="10"/>
  <c r="D25" i="10" s="1"/>
  <c r="E11" i="42" s="1"/>
  <c r="C26" i="10"/>
  <c r="D26" i="10" s="1"/>
  <c r="E12" i="42" s="1"/>
  <c r="C30" i="10"/>
  <c r="D30" i="10" s="1"/>
  <c r="E16" i="42" s="1"/>
  <c r="C19" i="10"/>
  <c r="D19" i="10" s="1"/>
  <c r="E5" i="42" s="1"/>
  <c r="C28" i="10"/>
  <c r="D28" i="10" s="1"/>
  <c r="E14" i="42" s="1"/>
  <c r="C33" i="10"/>
  <c r="D33" i="10" s="1"/>
  <c r="E19" i="42" s="1"/>
  <c r="C29" i="10"/>
  <c r="D29" i="10" s="1"/>
  <c r="E15" i="42" s="1"/>
  <c r="C32" i="10"/>
  <c r="D32" i="10" s="1"/>
  <c r="E18" i="42" s="1"/>
  <c r="G13" i="42"/>
  <c r="G19" i="42"/>
  <c r="G18" i="42"/>
  <c r="C34" i="12"/>
  <c r="D18" i="12"/>
  <c r="D35" i="9"/>
  <c r="E26" i="9" s="1"/>
  <c r="G5" i="42"/>
  <c r="G15" i="42"/>
  <c r="D10" i="42"/>
  <c r="C35" i="9"/>
  <c r="E34" i="19"/>
  <c r="F22" i="19" s="1"/>
  <c r="M4" i="42"/>
  <c r="M19" i="42"/>
  <c r="M6" i="42"/>
  <c r="M18" i="42"/>
  <c r="M8" i="42"/>
  <c r="D34" i="32"/>
  <c r="W19" i="42"/>
  <c r="C25" i="39" l="1"/>
  <c r="C21" i="39"/>
  <c r="G36" i="50"/>
  <c r="E27" i="66"/>
  <c r="C23" i="39"/>
  <c r="G24" i="50"/>
  <c r="F28" i="7"/>
  <c r="C32" i="39"/>
  <c r="C19" i="39"/>
  <c r="F33" i="7"/>
  <c r="E32" i="66"/>
  <c r="E19" i="66"/>
  <c r="C31" i="39"/>
  <c r="C22" i="39"/>
  <c r="C33" i="39"/>
  <c r="G23" i="50"/>
  <c r="G29" i="50"/>
  <c r="F40" i="50"/>
  <c r="R17" i="42"/>
  <c r="G30" i="50"/>
  <c r="E24" i="66"/>
  <c r="E20" i="66"/>
  <c r="Y4" i="42"/>
  <c r="D34" i="68"/>
  <c r="E18" i="68" s="1"/>
  <c r="E31" i="66"/>
  <c r="E33" i="66"/>
  <c r="G27" i="50"/>
  <c r="E23" i="66"/>
  <c r="R16" i="42"/>
  <c r="G38" i="50"/>
  <c r="G26" i="50"/>
  <c r="E29" i="66"/>
  <c r="E26" i="66"/>
  <c r="E25" i="66"/>
  <c r="C26" i="39"/>
  <c r="G33" i="50"/>
  <c r="G35" i="50"/>
  <c r="E21" i="66"/>
  <c r="E30" i="66"/>
  <c r="S20" i="42"/>
  <c r="S21" i="42"/>
  <c r="E40" i="50"/>
  <c r="E42" i="50" s="1"/>
  <c r="Q20" i="42"/>
  <c r="R15" i="42" s="1"/>
  <c r="C29" i="39"/>
  <c r="Q21" i="42"/>
  <c r="C24" i="39"/>
  <c r="G31" i="50"/>
  <c r="G25" i="50"/>
  <c r="G28" i="50"/>
  <c r="C28" i="39"/>
  <c r="C20" i="39"/>
  <c r="C27" i="39"/>
  <c r="E22" i="66"/>
  <c r="G32" i="50"/>
  <c r="C30" i="39"/>
  <c r="R7" i="42"/>
  <c r="R6" i="42"/>
  <c r="R13" i="42"/>
  <c r="G39" i="50"/>
  <c r="E28" i="66"/>
  <c r="G34" i="32"/>
  <c r="G39" i="32" s="1"/>
  <c r="D37" i="32"/>
  <c r="D39" i="32" s="1"/>
  <c r="W20" i="42"/>
  <c r="E26" i="14"/>
  <c r="D37" i="14"/>
  <c r="G38" i="14" s="1"/>
  <c r="V13" i="42"/>
  <c r="V16" i="42"/>
  <c r="V10" i="42"/>
  <c r="E31" i="14"/>
  <c r="V11" i="42"/>
  <c r="E23" i="14"/>
  <c r="V4" i="42"/>
  <c r="E22" i="14"/>
  <c r="E29" i="14"/>
  <c r="E18" i="14"/>
  <c r="E21" i="14"/>
  <c r="V6" i="42"/>
  <c r="V14" i="42"/>
  <c r="V19" i="42"/>
  <c r="E27" i="14"/>
  <c r="E30" i="14"/>
  <c r="E33" i="14"/>
  <c r="V7" i="42"/>
  <c r="V8" i="42"/>
  <c r="V17" i="42"/>
  <c r="U21" i="42"/>
  <c r="V5" i="42"/>
  <c r="V9" i="42"/>
  <c r="E28" i="14"/>
  <c r="V15" i="42"/>
  <c r="V12" i="42"/>
  <c r="E25" i="14"/>
  <c r="E32" i="14"/>
  <c r="E20" i="14"/>
  <c r="G34" i="14"/>
  <c r="E19" i="14"/>
  <c r="E24" i="14"/>
  <c r="F25" i="7"/>
  <c r="F24" i="7"/>
  <c r="F26" i="7"/>
  <c r="F36" i="7"/>
  <c r="F34" i="7"/>
  <c r="F27" i="7"/>
  <c r="F35" i="7"/>
  <c r="F38" i="7"/>
  <c r="F29" i="7"/>
  <c r="F32" i="7"/>
  <c r="F31" i="7"/>
  <c r="C20" i="42"/>
  <c r="F37" i="7"/>
  <c r="F30" i="7"/>
  <c r="E26" i="32"/>
  <c r="N51" i="40"/>
  <c r="C27" i="11"/>
  <c r="D27" i="11" s="1"/>
  <c r="C20" i="11"/>
  <c r="D20" i="11" s="1"/>
  <c r="C28" i="11"/>
  <c r="D28" i="11" s="1"/>
  <c r="C23" i="11"/>
  <c r="D23" i="11" s="1"/>
  <c r="C26" i="11"/>
  <c r="D26" i="11" s="1"/>
  <c r="C24" i="11"/>
  <c r="D24" i="11" s="1"/>
  <c r="C29" i="11"/>
  <c r="D29" i="11" s="1"/>
  <c r="C18" i="11"/>
  <c r="C21" i="11"/>
  <c r="D21" i="11" s="1"/>
  <c r="C19" i="11"/>
  <c r="D19" i="11" s="1"/>
  <c r="C32" i="11"/>
  <c r="D32" i="11" s="1"/>
  <c r="C30" i="11"/>
  <c r="D30" i="11" s="1"/>
  <c r="C25" i="11"/>
  <c r="D25" i="11" s="1"/>
  <c r="C22" i="11"/>
  <c r="D22" i="11" s="1"/>
  <c r="C33" i="11"/>
  <c r="D33" i="11" s="1"/>
  <c r="C31" i="11"/>
  <c r="D31" i="11" s="1"/>
  <c r="G15" i="11"/>
  <c r="E22" i="9"/>
  <c r="E30" i="9"/>
  <c r="E21" i="9"/>
  <c r="E33" i="9"/>
  <c r="E19" i="9"/>
  <c r="F32" i="19"/>
  <c r="F20" i="19"/>
  <c r="F18" i="19"/>
  <c r="F7" i="13"/>
  <c r="F8" i="13" s="1"/>
  <c r="G14" i="13"/>
  <c r="G15" i="13" s="1"/>
  <c r="D28" i="13" s="1"/>
  <c r="E23" i="9"/>
  <c r="E25" i="9"/>
  <c r="E20" i="9"/>
  <c r="F33" i="19"/>
  <c r="E29" i="9"/>
  <c r="G4" i="42"/>
  <c r="G21" i="42" s="1"/>
  <c r="D34" i="12"/>
  <c r="E34" i="9"/>
  <c r="E24" i="9"/>
  <c r="E28" i="9"/>
  <c r="E27" i="9"/>
  <c r="E31" i="9"/>
  <c r="D18" i="10"/>
  <c r="C34" i="10"/>
  <c r="E32" i="9"/>
  <c r="M21" i="42"/>
  <c r="M20" i="42"/>
  <c r="N4" i="42" s="1"/>
  <c r="F24" i="19"/>
  <c r="F25" i="19"/>
  <c r="F21" i="19"/>
  <c r="F29" i="19"/>
  <c r="F19" i="19"/>
  <c r="F31" i="19"/>
  <c r="F23" i="19"/>
  <c r="F28" i="19"/>
  <c r="F26" i="19"/>
  <c r="F27" i="19"/>
  <c r="F30" i="19"/>
  <c r="E33" i="32"/>
  <c r="E18" i="32"/>
  <c r="E31" i="32"/>
  <c r="E27" i="32"/>
  <c r="W21" i="42"/>
  <c r="E29" i="32"/>
  <c r="E30" i="32"/>
  <c r="R14" i="42" l="1"/>
  <c r="R12" i="42"/>
  <c r="R11" i="42"/>
  <c r="G40" i="50"/>
  <c r="G37" i="14"/>
  <c r="R4" i="42"/>
  <c r="R10" i="42"/>
  <c r="C34" i="39"/>
  <c r="E34" i="66"/>
  <c r="R19" i="42"/>
  <c r="R9" i="42"/>
  <c r="R18" i="42"/>
  <c r="Y20" i="42"/>
  <c r="Z4" i="42" s="1"/>
  <c r="R8" i="42"/>
  <c r="R5" i="42"/>
  <c r="E24" i="68"/>
  <c r="D37" i="68"/>
  <c r="E19" i="68"/>
  <c r="E26" i="68"/>
  <c r="E22" i="68"/>
  <c r="E21" i="68"/>
  <c r="E29" i="68"/>
  <c r="E30" i="68"/>
  <c r="E28" i="68"/>
  <c r="E33" i="68"/>
  <c r="E27" i="68"/>
  <c r="E23" i="68"/>
  <c r="E32" i="68"/>
  <c r="E31" i="68"/>
  <c r="E20" i="68"/>
  <c r="E25" i="68"/>
  <c r="V20" i="42"/>
  <c r="E34" i="14"/>
  <c r="F39" i="7"/>
  <c r="E34" i="32"/>
  <c r="F16" i="42"/>
  <c r="F10" i="42"/>
  <c r="F18" i="42"/>
  <c r="F12" i="42"/>
  <c r="F17" i="42"/>
  <c r="F5" i="42"/>
  <c r="F9" i="42"/>
  <c r="F19" i="42"/>
  <c r="F7" i="42"/>
  <c r="F14" i="42"/>
  <c r="F8" i="42"/>
  <c r="D18" i="11"/>
  <c r="C34" i="11"/>
  <c r="F6" i="42"/>
  <c r="F11" i="42"/>
  <c r="F15" i="42"/>
  <c r="F13" i="42"/>
  <c r="N19" i="42"/>
  <c r="D26" i="13"/>
  <c r="D20" i="13"/>
  <c r="D33" i="13"/>
  <c r="D22" i="13"/>
  <c r="D30" i="13"/>
  <c r="D32" i="13"/>
  <c r="D19" i="13"/>
  <c r="D29" i="13"/>
  <c r="D31" i="13"/>
  <c r="D25" i="13"/>
  <c r="D23" i="13"/>
  <c r="D24" i="13"/>
  <c r="D34" i="13"/>
  <c r="D21" i="13"/>
  <c r="D27" i="13"/>
  <c r="C21" i="13"/>
  <c r="C24" i="13"/>
  <c r="G16" i="13"/>
  <c r="C27" i="13"/>
  <c r="C19" i="13"/>
  <c r="C28" i="13"/>
  <c r="C30" i="13"/>
  <c r="C22" i="13"/>
  <c r="C29" i="13"/>
  <c r="C32" i="13"/>
  <c r="C20" i="13"/>
  <c r="C31" i="13"/>
  <c r="C23" i="13"/>
  <c r="C25" i="13"/>
  <c r="C34" i="13"/>
  <c r="C26" i="13"/>
  <c r="C33" i="13"/>
  <c r="F34" i="19"/>
  <c r="G20" i="42"/>
  <c r="E25" i="12"/>
  <c r="E23" i="12"/>
  <c r="E24" i="12"/>
  <c r="E21" i="12"/>
  <c r="E33" i="12"/>
  <c r="E30" i="12"/>
  <c r="E32" i="12"/>
  <c r="E19" i="12"/>
  <c r="E22" i="12"/>
  <c r="E26" i="12"/>
  <c r="E27" i="12"/>
  <c r="E29" i="12"/>
  <c r="E31" i="12"/>
  <c r="E28" i="12"/>
  <c r="E20" i="12"/>
  <c r="E18" i="12"/>
  <c r="E4" i="42"/>
  <c r="E21" i="42" s="1"/>
  <c r="D34" i="10"/>
  <c r="E18" i="10" s="1"/>
  <c r="X4" i="42"/>
  <c r="D7" i="42"/>
  <c r="D8" i="42"/>
  <c r="D6" i="42"/>
  <c r="D19" i="42"/>
  <c r="D18" i="42"/>
  <c r="D13" i="42"/>
  <c r="D20" i="42"/>
  <c r="D9" i="42"/>
  <c r="D17" i="42"/>
  <c r="D15" i="42"/>
  <c r="D12" i="42"/>
  <c r="D14" i="42"/>
  <c r="D16" i="42"/>
  <c r="D5" i="42"/>
  <c r="D11" i="42"/>
  <c r="N10" i="42"/>
  <c r="N13" i="42"/>
  <c r="N16" i="42"/>
  <c r="N12" i="42"/>
  <c r="N5" i="42"/>
  <c r="N9" i="42"/>
  <c r="N14" i="42"/>
  <c r="N17" i="42"/>
  <c r="N11" i="42"/>
  <c r="N7" i="42"/>
  <c r="N15" i="42"/>
  <c r="N6" i="42"/>
  <c r="N18" i="42"/>
  <c r="N8" i="42"/>
  <c r="X17" i="42"/>
  <c r="X19" i="42"/>
  <c r="X13" i="42"/>
  <c r="X12" i="42"/>
  <c r="X7" i="42"/>
  <c r="X14" i="42"/>
  <c r="X8" i="42"/>
  <c r="X9" i="42"/>
  <c r="X6" i="42"/>
  <c r="X18" i="42"/>
  <c r="X5" i="42"/>
  <c r="X11" i="42"/>
  <c r="X10" i="42"/>
  <c r="X15" i="42"/>
  <c r="X16" i="42"/>
  <c r="E34" i="68" l="1"/>
  <c r="R20" i="42"/>
  <c r="G38" i="68"/>
  <c r="G37" i="68"/>
  <c r="Z10" i="42"/>
  <c r="Z17" i="42"/>
  <c r="Z18" i="42"/>
  <c r="Z12" i="42"/>
  <c r="Z7" i="42"/>
  <c r="Z5" i="42"/>
  <c r="Z9" i="42"/>
  <c r="Z8" i="42"/>
  <c r="Z11" i="42"/>
  <c r="Z15" i="42"/>
  <c r="Z19" i="42"/>
  <c r="Z14" i="42"/>
  <c r="Z16" i="42"/>
  <c r="Z6" i="42"/>
  <c r="Z13" i="42"/>
  <c r="E33" i="13"/>
  <c r="H18" i="42" s="1"/>
  <c r="I18" i="42" s="1"/>
  <c r="AH18" i="42" s="1"/>
  <c r="F4" i="42"/>
  <c r="F21" i="42" s="1"/>
  <c r="D34" i="11"/>
  <c r="E18" i="11" s="1"/>
  <c r="E21" i="13"/>
  <c r="H6" i="42" s="1"/>
  <c r="I6" i="42" s="1"/>
  <c r="AH6" i="42" s="1"/>
  <c r="E31" i="13"/>
  <c r="H16" i="42" s="1"/>
  <c r="I16" i="42" s="1"/>
  <c r="AH16" i="42" s="1"/>
  <c r="E20" i="13"/>
  <c r="H5" i="42" s="1"/>
  <c r="I5" i="42" s="1"/>
  <c r="AH5" i="42" s="1"/>
  <c r="E34" i="13"/>
  <c r="H19" i="42" s="1"/>
  <c r="I19" i="42" s="1"/>
  <c r="AH19" i="42" s="1"/>
  <c r="E29" i="13"/>
  <c r="H14" i="42" s="1"/>
  <c r="I14" i="42" s="1"/>
  <c r="AH14" i="42" s="1"/>
  <c r="E23" i="13"/>
  <c r="H8" i="42" s="1"/>
  <c r="I8" i="42" s="1"/>
  <c r="AH8" i="42" s="1"/>
  <c r="E26" i="13"/>
  <c r="H11" i="42" s="1"/>
  <c r="I11" i="42" s="1"/>
  <c r="AH11" i="42" s="1"/>
  <c r="E24" i="13"/>
  <c r="H9" i="42" s="1"/>
  <c r="I9" i="42" s="1"/>
  <c r="AH9" i="42" s="1"/>
  <c r="E30" i="13"/>
  <c r="H15" i="42" s="1"/>
  <c r="I15" i="42" s="1"/>
  <c r="AH15" i="42" s="1"/>
  <c r="E25" i="13"/>
  <c r="H10" i="42" s="1"/>
  <c r="I10" i="42" s="1"/>
  <c r="AH10" i="42" s="1"/>
  <c r="E22" i="13"/>
  <c r="H7" i="42" s="1"/>
  <c r="I7" i="42" s="1"/>
  <c r="AH7" i="42" s="1"/>
  <c r="E28" i="13"/>
  <c r="E19" i="13"/>
  <c r="C35" i="13"/>
  <c r="E32" i="13"/>
  <c r="H17" i="42" s="1"/>
  <c r="I17" i="42" s="1"/>
  <c r="AH17" i="42" s="1"/>
  <c r="E27" i="13"/>
  <c r="H12" i="42" s="1"/>
  <c r="I12" i="42" s="1"/>
  <c r="AH12" i="42" s="1"/>
  <c r="D35" i="13"/>
  <c r="E34" i="12"/>
  <c r="N20" i="42"/>
  <c r="E20" i="42"/>
  <c r="E24" i="10"/>
  <c r="E33" i="10"/>
  <c r="E25" i="10"/>
  <c r="E21" i="10"/>
  <c r="E23" i="10"/>
  <c r="E19" i="10"/>
  <c r="E29" i="10"/>
  <c r="E32" i="10"/>
  <c r="E27" i="10"/>
  <c r="E26" i="10"/>
  <c r="E28" i="10"/>
  <c r="E20" i="10"/>
  <c r="E30" i="10"/>
  <c r="E22" i="10"/>
  <c r="E31" i="10"/>
  <c r="E35" i="9"/>
  <c r="D4" i="42"/>
  <c r="X20" i="42"/>
  <c r="Z20" i="42" l="1"/>
  <c r="F20" i="42"/>
  <c r="E30" i="11"/>
  <c r="E26" i="11"/>
  <c r="E23" i="11"/>
  <c r="E28" i="11"/>
  <c r="E20" i="11"/>
  <c r="E27" i="11"/>
  <c r="E24" i="11"/>
  <c r="E31" i="11"/>
  <c r="E33" i="11"/>
  <c r="E22" i="11"/>
  <c r="E25" i="11"/>
  <c r="E32" i="11"/>
  <c r="E19" i="11"/>
  <c r="E21" i="11"/>
  <c r="E29" i="11"/>
  <c r="H4" i="42"/>
  <c r="I4" i="42" s="1"/>
  <c r="AH4" i="42" s="1"/>
  <c r="E35" i="13"/>
  <c r="F19" i="13" s="1"/>
  <c r="H13" i="42"/>
  <c r="I13" i="42" s="1"/>
  <c r="AH13" i="42" s="1"/>
  <c r="E34" i="10"/>
  <c r="D21" i="42"/>
  <c r="E34" i="11" l="1"/>
  <c r="F32" i="13"/>
  <c r="F30" i="13"/>
  <c r="F27" i="13"/>
  <c r="F25" i="13"/>
  <c r="F34" i="13"/>
  <c r="F22" i="13"/>
  <c r="F21" i="13"/>
  <c r="F31" i="13"/>
  <c r="F24" i="13"/>
  <c r="H20" i="42"/>
  <c r="F26" i="13"/>
  <c r="F29" i="13"/>
  <c r="F23" i="13"/>
  <c r="F20" i="13"/>
  <c r="F33" i="13"/>
  <c r="H21" i="42"/>
  <c r="F28" i="13"/>
  <c r="I20" i="42"/>
  <c r="AH20" i="42"/>
  <c r="AI4" i="42" s="1"/>
  <c r="I21" i="42"/>
  <c r="AH28" i="42" l="1"/>
  <c r="AH24" i="42"/>
  <c r="I22" i="42"/>
  <c r="I24" i="42"/>
  <c r="AH26" i="42" s="1"/>
  <c r="F35" i="13"/>
  <c r="J4" i="42"/>
  <c r="AI13" i="42"/>
  <c r="AI19" i="42"/>
  <c r="AI15" i="42"/>
  <c r="AI17" i="42"/>
  <c r="AI11" i="42"/>
  <c r="AI16" i="42"/>
  <c r="AI12" i="42"/>
  <c r="AI18" i="42"/>
  <c r="AI6" i="42"/>
  <c r="AI7" i="42"/>
  <c r="AI8" i="42"/>
  <c r="AI9" i="42"/>
  <c r="AI14" i="42"/>
  <c r="AI5" i="42"/>
  <c r="AI10" i="42"/>
  <c r="J8" i="42"/>
  <c r="J6" i="42"/>
  <c r="J14" i="42"/>
  <c r="J19" i="42"/>
  <c r="J9" i="42"/>
  <c r="J11" i="42"/>
  <c r="J10" i="42"/>
  <c r="J16" i="42"/>
  <c r="J18" i="42"/>
  <c r="J17" i="42"/>
  <c r="J5" i="42"/>
  <c r="AH21" i="42"/>
  <c r="J12" i="42"/>
  <c r="J13" i="42"/>
  <c r="J7" i="42"/>
  <c r="J15" i="42"/>
  <c r="AI20" i="42" l="1"/>
  <c r="J2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DHS-OIS-NDS</author>
    <author>BUEDEFELDT Rhonda</author>
    <author>Stuivenga Brenda S</author>
  </authors>
  <commentList>
    <comment ref="H5" authorId="0" shapeId="0" xr:uid="{00000000-0006-0000-0300-000001000000}">
      <text>
        <r>
          <rPr>
            <b/>
            <sz val="8"/>
            <color indexed="81"/>
            <rFont val="Tahoma"/>
            <family val="2"/>
          </rPr>
          <t>Author of this comment is unknown:  Does not include $71,615 balance carried forward from previous years that was distributed to counties in addition to the award letters</t>
        </r>
      </text>
    </comment>
    <comment ref="H8" authorId="1" shapeId="0" xr:uid="{00000000-0006-0000-0300-000002000000}">
      <text>
        <r>
          <rPr>
            <b/>
            <sz val="9"/>
            <color indexed="81"/>
            <rFont val="Tahoma"/>
            <family val="2"/>
          </rPr>
          <t>RSB:  Disbursed using FFY 2014 SPR Certified NSIP #'s</t>
        </r>
        <r>
          <rPr>
            <sz val="9"/>
            <color indexed="81"/>
            <rFont val="Tahoma"/>
            <family val="2"/>
          </rPr>
          <t xml:space="preserve">
</t>
        </r>
      </text>
    </comment>
    <comment ref="K16" authorId="2" shapeId="0" xr:uid="{8F743464-997C-4C49-9758-F67606F04A26}">
      <text>
        <r>
          <rPr>
            <b/>
            <sz val="9"/>
            <color indexed="81"/>
            <rFont val="Tahoma"/>
            <family val="2"/>
          </rPr>
          <t>Stuivenga Brenda
Biennial full amount;per Rodney allocate 1 year 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Stuivenga Brenda S</author>
  </authors>
  <commentList>
    <comment ref="AE9" authorId="0" shapeId="0" xr:uid="{70786E92-D54F-4CC8-928A-FF042F81EDF6}">
      <text>
        <r>
          <rPr>
            <b/>
            <sz val="9"/>
            <color indexed="81"/>
            <rFont val="Tahoma"/>
            <family val="2"/>
          </rPr>
          <t>Stuivenga Brenda S:</t>
        </r>
        <r>
          <rPr>
            <sz val="9"/>
            <color indexed="81"/>
            <rFont val="Tahoma"/>
            <family val="2"/>
          </rPr>
          <t xml:space="preserve">
Per Nate Singer</t>
        </r>
      </text>
    </comment>
    <comment ref="AE17" authorId="0" shapeId="0" xr:uid="{6CDA3799-681A-49F6-8510-4D0012C01B8A}">
      <text>
        <r>
          <rPr>
            <b/>
            <sz val="9"/>
            <color indexed="81"/>
            <rFont val="Tahoma"/>
            <family val="2"/>
          </rPr>
          <t>Stuivenga Brenda S:</t>
        </r>
        <r>
          <rPr>
            <sz val="9"/>
            <color indexed="81"/>
            <rFont val="Tahoma"/>
            <family val="2"/>
          </rPr>
          <t xml:space="preserve">
Per Nate Singer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Stuivenga Brenda S</author>
  </authors>
  <commentList>
    <comment ref="G26" authorId="0" shapeId="0" xr:uid="{E86970C4-CEA2-4F48-B907-AF3263A1E509}">
      <text>
        <r>
          <rPr>
            <b/>
            <sz val="9"/>
            <color indexed="81"/>
            <rFont val="Tahoma"/>
            <family val="2"/>
          </rPr>
          <t>Stuivenga Brenda S:</t>
        </r>
        <r>
          <rPr>
            <sz val="9"/>
            <color indexed="81"/>
            <rFont val="Tahoma"/>
            <family val="2"/>
          </rPr>
          <t xml:space="preserve">
Net with previous $165,000 transfer for allocation of $447,281.</t>
        </r>
      </text>
    </comment>
  </commentList>
</comments>
</file>

<file path=xl/sharedStrings.xml><?xml version="1.0" encoding="utf-8"?>
<sst xmlns="http://schemas.openxmlformats.org/spreadsheetml/2006/main" count="1678" uniqueCount="564">
  <si>
    <t>AAA District</t>
  </si>
  <si>
    <t xml:space="preserve">  1 NWSDS</t>
  </si>
  <si>
    <t xml:space="preserve">  2 Clackamas</t>
  </si>
  <si>
    <t xml:space="preserve">  2 Columbia</t>
  </si>
  <si>
    <t xml:space="preserve">  2 Multnomah</t>
  </si>
  <si>
    <t xml:space="preserve">  2 Washington</t>
  </si>
  <si>
    <t xml:space="preserve">  4 Or Cascades West</t>
  </si>
  <si>
    <t xml:space="preserve">  5 Lane</t>
  </si>
  <si>
    <t xml:space="preserve">  6 Douglas</t>
  </si>
  <si>
    <t xml:space="preserve">  7 Coos-Curry</t>
  </si>
  <si>
    <t xml:space="preserve">  8 Rogue Valley</t>
  </si>
  <si>
    <t xml:space="preserve">  9 Mid-Columbia</t>
  </si>
  <si>
    <t>10 Central Oregon</t>
  </si>
  <si>
    <t>11 Klamath Basin</t>
  </si>
  <si>
    <t>13 Community Connection</t>
  </si>
  <si>
    <t>14 Harney</t>
  </si>
  <si>
    <t>14 Malheur</t>
  </si>
  <si>
    <t>% of Land</t>
  </si>
  <si>
    <t>Land area Sq. miles</t>
  </si>
  <si>
    <t>Totals</t>
  </si>
  <si>
    <t>% of Total Population</t>
  </si>
  <si>
    <t>For Family Caregiver</t>
  </si>
  <si>
    <t>Total Allocation</t>
  </si>
  <si>
    <t xml:space="preserve">  Subtotal</t>
  </si>
  <si>
    <t>Fund Admin  Allocation</t>
  </si>
  <si>
    <t>FFY2015</t>
  </si>
  <si>
    <t>Factor</t>
  </si>
  <si>
    <t>III-B Base Allocation</t>
  </si>
  <si>
    <t>Allocation by Land Area</t>
  </si>
  <si>
    <t xml:space="preserve">  Total Allocation</t>
  </si>
  <si>
    <t>Title III B Support Services</t>
  </si>
  <si>
    <t>Title III C-1 Congregate Meals</t>
  </si>
  <si>
    <t>Title III C-2 Home Delivered Meals</t>
  </si>
  <si>
    <t>Title III D Preventive Health</t>
  </si>
  <si>
    <t>Title III E Caregiver Support</t>
  </si>
  <si>
    <t>Elder Abuse Prevention Training</t>
  </si>
  <si>
    <t>Base Allocation</t>
  </si>
  <si>
    <t>Allocation by Population</t>
  </si>
  <si>
    <t>III C-1</t>
  </si>
  <si>
    <t>III C-2</t>
  </si>
  <si>
    <t>III D</t>
  </si>
  <si>
    <t>III E</t>
  </si>
  <si>
    <t>VII B</t>
  </si>
  <si>
    <t>Total</t>
  </si>
  <si>
    <t>Title VII A Ombudsman Activity</t>
  </si>
  <si>
    <t>Annual Allocations</t>
  </si>
  <si>
    <t>IIIB</t>
  </si>
  <si>
    <t>Total OAA</t>
  </si>
  <si>
    <t>NSIP</t>
  </si>
  <si>
    <t>SUA Admin.</t>
  </si>
  <si>
    <t>VII EAP</t>
  </si>
  <si>
    <t>Total Award</t>
  </si>
  <si>
    <t>Biennial Allocations</t>
  </si>
  <si>
    <t>2009-2011</t>
  </si>
  <si>
    <t>2011-2013</t>
  </si>
  <si>
    <t>2013-2015</t>
  </si>
  <si>
    <t>III B</t>
  </si>
  <si>
    <t>12 CAPECO</t>
  </si>
  <si>
    <t>AAA</t>
  </si>
  <si>
    <t>NWSDS</t>
  </si>
  <si>
    <t>CCSS</t>
  </si>
  <si>
    <t>CAT</t>
  </si>
  <si>
    <t>MCADS</t>
  </si>
  <si>
    <t>WCDAVS</t>
  </si>
  <si>
    <t>OCWCOG</t>
  </si>
  <si>
    <t>LCOG</t>
  </si>
  <si>
    <t>DCSDS</t>
  </si>
  <si>
    <t>SCBEC</t>
  </si>
  <si>
    <t>RVCOG</t>
  </si>
  <si>
    <t>MCCOG</t>
  </si>
  <si>
    <t>COCOA</t>
  </si>
  <si>
    <t>KLCCOA</t>
  </si>
  <si>
    <t>CAPECO</t>
  </si>
  <si>
    <t>CCNO</t>
  </si>
  <si>
    <t>HCSCS</t>
  </si>
  <si>
    <t>MCOACS</t>
  </si>
  <si>
    <t>Allocation by Meals (based on number of meals served in prior year)</t>
  </si>
  <si>
    <t>% of Meals Served</t>
  </si>
  <si>
    <t>Title VII-B Base Allocation</t>
  </si>
  <si>
    <t>III-E Base Allocation</t>
  </si>
  <si>
    <t>III-D Base Allocation ($1,500/year)</t>
  </si>
  <si>
    <t>Formula's:</t>
  </si>
  <si>
    <t>G-J+M+N</t>
  </si>
  <si>
    <t>District #</t>
  </si>
  <si>
    <t>60-64
Population</t>
  </si>
  <si>
    <t>65-69
Population</t>
  </si>
  <si>
    <t>70-74
Population</t>
  </si>
  <si>
    <t>75-79
Population</t>
  </si>
  <si>
    <t>80-84
Population</t>
  </si>
  <si>
    <t>85+
Population</t>
  </si>
  <si>
    <t>Total 60+
Population</t>
  </si>
  <si>
    <t>75+
Population</t>
  </si>
  <si>
    <t>District</t>
  </si>
  <si>
    <t>County</t>
  </si>
  <si>
    <t>NW</t>
  </si>
  <si>
    <t>Clatsop</t>
  </si>
  <si>
    <t>Marion</t>
  </si>
  <si>
    <t>Polk</t>
  </si>
  <si>
    <t>Tillamook</t>
  </si>
  <si>
    <t>Yamhill</t>
  </si>
  <si>
    <t>AAA total</t>
  </si>
  <si>
    <t>Clack</t>
  </si>
  <si>
    <t>Clackamas</t>
  </si>
  <si>
    <t>Colu</t>
  </si>
  <si>
    <t>Columbia</t>
  </si>
  <si>
    <t>Mult</t>
  </si>
  <si>
    <t>Multnomah</t>
  </si>
  <si>
    <t>Wash</t>
  </si>
  <si>
    <t>Washington</t>
  </si>
  <si>
    <t>OCW</t>
  </si>
  <si>
    <t>Benton</t>
  </si>
  <si>
    <t>Lincoln</t>
  </si>
  <si>
    <t>Linn</t>
  </si>
  <si>
    <t>Lane</t>
  </si>
  <si>
    <t>Doug</t>
  </si>
  <si>
    <t>Douglas</t>
  </si>
  <si>
    <t>Coos</t>
  </si>
  <si>
    <t>Curry</t>
  </si>
  <si>
    <t>Roug</t>
  </si>
  <si>
    <t>Jackson</t>
  </si>
  <si>
    <t>Josephine</t>
  </si>
  <si>
    <t>MidC</t>
  </si>
  <si>
    <t>Gilliam</t>
  </si>
  <si>
    <t>Hood River</t>
  </si>
  <si>
    <t>Sherman</t>
  </si>
  <si>
    <t>Wasco</t>
  </si>
  <si>
    <t>Wheeler</t>
  </si>
  <si>
    <t>Cent</t>
  </si>
  <si>
    <t>Crook</t>
  </si>
  <si>
    <t>Deschutes</t>
  </si>
  <si>
    <t>Jefferson</t>
  </si>
  <si>
    <t>Klam</t>
  </si>
  <si>
    <t>Klamath</t>
  </si>
  <si>
    <t>Lake</t>
  </si>
  <si>
    <t>CAPCO</t>
  </si>
  <si>
    <t>Morrow</t>
  </si>
  <si>
    <t>Umatilla</t>
  </si>
  <si>
    <t>ComCe</t>
  </si>
  <si>
    <t>Baker</t>
  </si>
  <si>
    <t>Grant</t>
  </si>
  <si>
    <t>Union</t>
  </si>
  <si>
    <t>Wallowa</t>
  </si>
  <si>
    <t>Harn</t>
  </si>
  <si>
    <t>Harney</t>
  </si>
  <si>
    <t>Malh</t>
  </si>
  <si>
    <t>Malheur</t>
  </si>
  <si>
    <t>Order of Allocation:</t>
  </si>
  <si>
    <t xml:space="preserve">  Total LTC Ombudsman</t>
  </si>
  <si>
    <t>VII Ombudsman</t>
  </si>
  <si>
    <t>2017 Award (Federal Fiscal Year 2017)</t>
  </si>
  <si>
    <t xml:space="preserve">     Table 9.  Population Estimates by Age and Sex for Oregon and Its Counties: July 1, 2014</t>
  </si>
  <si>
    <t>65+
Minority
Population
2010 U.S. Census</t>
  </si>
  <si>
    <r>
      <rPr>
        <b/>
        <sz val="11"/>
        <color theme="1"/>
        <rFont val="Calibri"/>
        <family val="2"/>
      </rPr>
      <t xml:space="preserve">Population Cleaned </t>
    </r>
    <r>
      <rPr>
        <sz val="11"/>
        <color theme="1"/>
        <rFont val="Calibri"/>
        <family val="2"/>
        <scheme val="minor"/>
      </rPr>
      <t>- 65+ Poverty Population percent below poverty; ACS_13_5YR_S1701.xls.</t>
    </r>
  </si>
  <si>
    <r>
      <rPr>
        <b/>
        <sz val="11"/>
        <color theme="1"/>
        <rFont val="Calibri"/>
        <family val="2"/>
      </rPr>
      <t xml:space="preserve">Population Cleaned </t>
    </r>
    <r>
      <rPr>
        <sz val="11"/>
        <color theme="1"/>
        <rFont val="Calibri"/>
        <family val="2"/>
        <scheme val="minor"/>
      </rPr>
      <t>- 65+ Minority Population; Calculated from the 2010 U.S. Census SF1 dataset for the population 65 years and older. Sum of people 65+ in the following categories: Black, American Indian/Alaska Native, Native Hawaiian/Pacific Islander, Asian, Some other race, 2+ races, and Hispanic.</t>
    </r>
  </si>
  <si>
    <t>Minority 65+ Population</t>
  </si>
  <si>
    <t>With the assumption the definition of "Minority" includes all individuals who identified as Black, American Indian/Alaska Native, Pacific Islander/Native Hawaiian, Asian, Some other race, 2+ races, or Hispanic.</t>
  </si>
  <si>
    <t>Poverty Status in Oregon by Age and by County</t>
  </si>
  <si>
    <t>Survey: American Community Survey</t>
  </si>
  <si>
    <t>From the U.S. Census Bureau American FactFinder</t>
  </si>
  <si>
    <t>Table used: S1701: Poverty Status in the Past 12 Months</t>
  </si>
  <si>
    <t>http://factfinder2.census.gov/faces/tableservices/jsf/pages/productview.xhtml?pid=ACS_10_5YR_S1701&amp;prodType=table</t>
  </si>
  <si>
    <t xml:space="preserve">The ACS provides 2011; 1-year estimate updates for Benton, Clackamas, Deschutes, Douglas, Jackson, Josephine, Klamath, Lane, Linn, Marion, Multnomah, Polk, Umatilla, Washington, and Yamhill. </t>
  </si>
  <si>
    <t>Sources:</t>
  </si>
  <si>
    <t>Minority Population from the 2010 U.S. Census SF1 dataset</t>
  </si>
  <si>
    <t>Population Age categories are provided by the Population Research Center at Portland State University (PSU)</t>
  </si>
  <si>
    <t>You can access this information via the web.  Address is listed below:</t>
  </si>
  <si>
    <t>Table 9 is used to populate the data for ages 60-64, 65-69, 70-74, 75-79, 80-84 and 85+</t>
  </si>
  <si>
    <t>Total
Population</t>
  </si>
  <si>
    <t>FFY2017</t>
  </si>
  <si>
    <t>Abuse Prevention and Awareness Funds (Federal Fiscal Year 2017)</t>
  </si>
  <si>
    <t xml:space="preserve">  Subtotal Abuse Prevention and Awareness</t>
  </si>
  <si>
    <t>All other tabs are not editable and populated by formula.</t>
  </si>
  <si>
    <t>Population Data tab</t>
  </si>
  <si>
    <t>DCSSD</t>
  </si>
  <si>
    <t>Number check (C20:H20)</t>
  </si>
  <si>
    <t>Waivered
XIX</t>
  </si>
  <si>
    <t>Non-Waivered
XIX</t>
  </si>
  <si>
    <t>XIX 
Local Match</t>
  </si>
  <si>
    <t>TOTAL</t>
  </si>
  <si>
    <t>15% Req.
Match</t>
  </si>
  <si>
    <t>Title III funds (As per OAA 703(a)(2)(C)(ii) equal to FFY 2000 allocation)</t>
  </si>
  <si>
    <t>Notes:</t>
  </si>
  <si>
    <t>SPA
EB Activities</t>
  </si>
  <si>
    <t>MCADVSD</t>
  </si>
  <si>
    <r>
      <rPr>
        <b/>
        <sz val="11"/>
        <color theme="1"/>
        <rFont val="Calibri"/>
        <family val="2"/>
        <scheme val="minor"/>
      </rPr>
      <t>2.</t>
    </r>
    <r>
      <rPr>
        <sz val="11"/>
        <color theme="1"/>
        <rFont val="Calibri"/>
        <family val="2"/>
        <scheme val="minor"/>
      </rPr>
      <t xml:space="preserve">  Update "Population Data" worksheet; caution to maintain cell positions as they are being referenced in other worksheets</t>
    </r>
  </si>
  <si>
    <t>ADRC Region</t>
  </si>
  <si>
    <t>Metro</t>
  </si>
  <si>
    <t>TOTALS</t>
  </si>
  <si>
    <t>Mid-Valley</t>
  </si>
  <si>
    <t>Central OR</t>
  </si>
  <si>
    <t>Southern OR</t>
  </si>
  <si>
    <t>Northwestern OR</t>
  </si>
  <si>
    <t>South Coast</t>
  </si>
  <si>
    <t>Eastern OR</t>
  </si>
  <si>
    <t>Land
Area
Sq. Mi</t>
  </si>
  <si>
    <t>65+
Poverty
Pop</t>
  </si>
  <si>
    <t>Base
Allocation</t>
  </si>
  <si>
    <t>Hand-entered
origin not
known</t>
  </si>
  <si>
    <t>Row 49, Columns O minus E plus P:</t>
  </si>
  <si>
    <t>Columns E-J</t>
  </si>
  <si>
    <t>Columns H-J</t>
  </si>
  <si>
    <t>Columns K-N</t>
  </si>
  <si>
    <t>Columns F-J
w/various unknown
multipliers</t>
  </si>
  <si>
    <t>Nutrition
Services
Incentive
Program</t>
  </si>
  <si>
    <t>SPA
Seq. Mitigat.</t>
  </si>
  <si>
    <t>OPI
19-59
Population</t>
  </si>
  <si>
    <t>OPI
60+ Population</t>
  </si>
  <si>
    <t>Number check (Rows 3 - 19)</t>
  </si>
  <si>
    <t>Allocation by % of Total AAA District
Land Area</t>
  </si>
  <si>
    <t>Allocation by % of Total AAA District Population</t>
  </si>
  <si>
    <t>Percent of Allocation Received</t>
  </si>
  <si>
    <t>Allocation by % of Total District Meals Served</t>
  </si>
  <si>
    <t>Total Sequestration Mitigation
Allocation</t>
  </si>
  <si>
    <t>Total 
NSIP
Allocation</t>
  </si>
  <si>
    <t>Total OPI Services to 60+, Alz/Dem
Allocation</t>
  </si>
  <si>
    <t>Total 
OPI 
19-59 Services
Allocation</t>
  </si>
  <si>
    <t>Percent of Allocation
Received</t>
  </si>
  <si>
    <t>Percent 
of 
Allocation Received</t>
  </si>
  <si>
    <t>Oregon Project Independence 
OPI for 19-59 years of age</t>
  </si>
  <si>
    <t>For OPI 19-59 years of age</t>
  </si>
  <si>
    <t xml:space="preserve"> </t>
  </si>
  <si>
    <t>Percent
 of
Allocation</t>
  </si>
  <si>
    <t>Title VII B Elder Abuse 
Prevention &amp; Awareness</t>
  </si>
  <si>
    <t>L+M+N</t>
  </si>
  <si>
    <t>75+
65+Min
65+ Pov</t>
  </si>
  <si>
    <t>($3k base/zero land/100% population (IID methodology used))</t>
  </si>
  <si>
    <t>Special Purpose Appropriation (SPA) 
Continued Evidence-Based funding
(OAA Title IIID IFF (base/pop) methodology used)</t>
  </si>
  <si>
    <t>Special Purpose Appropriation (SPA) Continued OAA Sequestration Mitigation
(Disbursement methodology used - 
AAA Percentage of Total OAA allocation)</t>
  </si>
  <si>
    <t>For Title IIID &amp; SPA Evidence-Based</t>
  </si>
  <si>
    <t>MCADVDS</t>
  </si>
  <si>
    <r>
      <rPr>
        <b/>
        <sz val="14"/>
        <color theme="1"/>
        <rFont val="Calibri"/>
        <family val="2"/>
        <scheme val="minor"/>
      </rPr>
      <t>Subtotal</t>
    </r>
    <r>
      <rPr>
        <sz val="14"/>
        <color theme="1"/>
        <rFont val="Calibri"/>
        <family val="2"/>
        <scheme val="minor"/>
      </rPr>
      <t xml:space="preserve"> </t>
    </r>
  </si>
  <si>
    <t>VIIB</t>
  </si>
  <si>
    <t>% of 
ALL FUNDs
Allocated</t>
  </si>
  <si>
    <t>% 
of 
Land</t>
  </si>
  <si>
    <t>Applicable
Population</t>
  </si>
  <si>
    <t>%
of
Population</t>
  </si>
  <si>
    <t>Applicable Population</t>
  </si>
  <si>
    <t>% 
of
Population</t>
  </si>
  <si>
    <t>District
Land Mass 
(Sq. Miles)</t>
  </si>
  <si>
    <t>Total IIIB Support Services
Allocation</t>
  </si>
  <si>
    <t>Total IIID Health Promotion
Allocation</t>
  </si>
  <si>
    <t>Total IIIE Caregiver Services
Allocation</t>
  </si>
  <si>
    <t>Total VIIB Abuse Prevention/Neglect/
Exploitation Prevention
Allocation</t>
  </si>
  <si>
    <t>Total Evidence-Based SPA
Allocation</t>
  </si>
  <si>
    <t>VIIA Ombudsman</t>
  </si>
  <si>
    <t>SUA 
admin
funds
provided
to AAAs
for IS/IT</t>
  </si>
  <si>
    <t>%
of 
OPI
Alloc.</t>
  </si>
  <si>
    <t>Subtotal
of 
OAA
Titles</t>
  </si>
  <si>
    <t>%
of
OAA 
Funds</t>
  </si>
  <si>
    <t>% 
of 
NSIP Funds</t>
  </si>
  <si>
    <t>Continued
Seq. Mitig.
SPA
Funds</t>
  </si>
  <si>
    <t>%
of 
SPA Funds</t>
  </si>
  <si>
    <t>Continued
EB
SPA
Funds</t>
  </si>
  <si>
    <t>%
of 
EB
SPA Funds</t>
  </si>
  <si>
    <t>% of 
OPI
19-59 Funds</t>
  </si>
  <si>
    <t>Total
OPI
(Services
to 19-59)
Funds</t>
  </si>
  <si>
    <r>
      <rPr>
        <b/>
        <sz val="14"/>
        <color theme="1"/>
        <rFont val="Calibri"/>
        <family val="2"/>
        <scheme val="minor"/>
      </rPr>
      <t>Population Formula 1 (IIIB, IIIC-1, IIIC-2, VIIB, and OPI)</t>
    </r>
    <r>
      <rPr>
        <sz val="14"/>
        <color theme="1"/>
        <rFont val="Calibri"/>
        <family val="2"/>
        <scheme val="minor"/>
      </rPr>
      <t xml:space="preserve">:  a) population 60 years and older, plus b) population 75 years and older, plus c) minority population 65 years and older, plus d) poverty population 65 years and older with incomes below 125% of federal poverty level. 
</t>
    </r>
    <r>
      <rPr>
        <b/>
        <sz val="14"/>
        <color theme="1"/>
        <rFont val="Calibri"/>
        <family val="2"/>
        <scheme val="minor"/>
      </rPr>
      <t>Population Formula 2 (IIID)</t>
    </r>
    <r>
      <rPr>
        <sz val="14"/>
        <color theme="1"/>
        <rFont val="Calibri"/>
        <family val="2"/>
        <scheme val="minor"/>
      </rPr>
      <t xml:space="preserve">:  a) population 75 years and older, plus b) minority population 65 years and older, plus c) poverty population 65 years and older with incomes below 125% of federal poverty level.
</t>
    </r>
    <r>
      <rPr>
        <b/>
        <sz val="14"/>
        <color theme="1"/>
        <rFont val="Calibri"/>
        <family val="2"/>
        <scheme val="minor"/>
      </rPr>
      <t>Population Formula 3 (IIIE):</t>
    </r>
    <r>
      <rPr>
        <sz val="14"/>
        <color theme="1"/>
        <rFont val="Calibri"/>
        <family val="2"/>
        <scheme val="minor"/>
      </rPr>
      <t xml:space="preserve"> a) population 70 years and older, plus b) minority population 65 years and older, plus c) poverty population 65 years and older with incomes below 125% of federal poverty level.</t>
    </r>
  </si>
  <si>
    <t>N/A</t>
  </si>
  <si>
    <t>IIIB Ombudsman</t>
  </si>
  <si>
    <t>For Title IIIB, IIIC1/2, VIIB, OPI &amp; SPA</t>
  </si>
  <si>
    <r>
      <rPr>
        <b/>
        <sz val="11"/>
        <color theme="1"/>
        <rFont val="Calibri"/>
        <family val="2"/>
        <scheme val="minor"/>
      </rPr>
      <t>1.</t>
    </r>
    <r>
      <rPr>
        <sz val="11"/>
        <color theme="1"/>
        <rFont val="Calibri"/>
        <family val="2"/>
        <scheme val="minor"/>
      </rPr>
      <t xml:space="preserve"> </t>
    </r>
    <r>
      <rPr>
        <b/>
        <sz val="11"/>
        <color theme="1"/>
        <rFont val="Calibri"/>
        <family val="2"/>
        <scheme val="minor"/>
      </rPr>
      <t>OPI:</t>
    </r>
    <r>
      <rPr>
        <sz val="11"/>
        <color theme="1"/>
        <rFont val="Calibri"/>
        <family val="2"/>
        <scheme val="minor"/>
      </rPr>
      <t xml:space="preserve">  SUA may choose to keep 10% of OPI allocation for administrative purposes, however, historically have never done so.  (Worksheet does not include 10% formula to retain admin.)</t>
    </r>
  </si>
  <si>
    <r>
      <rPr>
        <b/>
        <sz val="11"/>
        <color theme="1"/>
        <rFont val="Calibri"/>
        <family val="2"/>
        <scheme val="minor"/>
      </rPr>
      <t>2.</t>
    </r>
    <r>
      <rPr>
        <sz val="11"/>
        <color theme="1"/>
        <rFont val="Calibri"/>
        <family val="2"/>
        <scheme val="minor"/>
      </rPr>
      <t xml:space="preserve"> </t>
    </r>
    <r>
      <rPr>
        <b/>
        <sz val="11"/>
        <color theme="1"/>
        <rFont val="Calibri"/>
        <family val="2"/>
        <scheme val="minor"/>
      </rPr>
      <t xml:space="preserve">NSIP </t>
    </r>
    <r>
      <rPr>
        <sz val="11"/>
        <color theme="1"/>
        <rFont val="Calibri"/>
        <family val="2"/>
        <scheme val="minor"/>
      </rPr>
      <t>distribution is based upon the number of prior years NSIP-eligible meals certified in the SPR</t>
    </r>
  </si>
  <si>
    <r>
      <rPr>
        <b/>
        <sz val="11"/>
        <color theme="1"/>
        <rFont val="Calibri"/>
        <family val="2"/>
        <scheme val="minor"/>
      </rPr>
      <t>4.</t>
    </r>
    <r>
      <rPr>
        <sz val="11"/>
        <color theme="1"/>
        <rFont val="Calibri"/>
        <family val="2"/>
        <scheme val="minor"/>
      </rPr>
      <t xml:space="preserve">  </t>
    </r>
    <r>
      <rPr>
        <b/>
        <sz val="11"/>
        <color theme="1"/>
        <rFont val="Calibri"/>
        <family val="2"/>
        <scheme val="minor"/>
      </rPr>
      <t>Title VIIB</t>
    </r>
    <r>
      <rPr>
        <sz val="11"/>
        <color theme="1"/>
        <rFont val="Calibri"/>
        <family val="2"/>
        <scheme val="minor"/>
      </rPr>
      <t xml:space="preserve"> is not required by federal law to be allocated to the AAAs through the Interstate Funding Formula. SUA recommends a workgroup be formed to summarize how Title VIIB funds are currently utilized and develop a set of recommendations for use of the funds both using the IFF and not using the IFF. </t>
    </r>
  </si>
  <si>
    <t>Total
to
Distribute</t>
  </si>
  <si>
    <t>Fiscal
Report
Rcvd?</t>
  </si>
  <si>
    <t>OAA 
Title 
III-B</t>
  </si>
  <si>
    <t>OAA 
Title 
III-C1</t>
  </si>
  <si>
    <t>OAA 
Title 
III-C2</t>
  </si>
  <si>
    <t>OAA 
Title 
III-D</t>
  </si>
  <si>
    <t>OAA 
Title 
III-E</t>
  </si>
  <si>
    <t>OAA 
Title 
VII-B</t>
  </si>
  <si>
    <t>√</t>
  </si>
  <si>
    <t>Double Check</t>
  </si>
  <si>
    <r>
      <rPr>
        <b/>
        <sz val="11"/>
        <color theme="1"/>
        <rFont val="Calibri"/>
        <family val="2"/>
        <scheme val="minor"/>
      </rPr>
      <t>3.</t>
    </r>
    <r>
      <rPr>
        <sz val="11"/>
        <color theme="1"/>
        <rFont val="Calibri"/>
        <family val="2"/>
        <scheme val="minor"/>
      </rPr>
      <t xml:space="preserve"> </t>
    </r>
    <r>
      <rPr>
        <b/>
        <sz val="11"/>
        <color theme="1"/>
        <rFont val="Calibri"/>
        <family val="2"/>
        <scheme val="minor"/>
      </rPr>
      <t>Evidence-based</t>
    </r>
    <r>
      <rPr>
        <sz val="11"/>
        <color theme="1"/>
        <rFont val="Calibri"/>
        <family val="2"/>
        <scheme val="minor"/>
      </rPr>
      <t xml:space="preserve"> SPA funding - 2015-2017:  10K withheld for administrative purposes.  Funds distributed using AAA's total percentage of OAA funds received.  OAA Title IIID methodology of $3K base and 100% population.  </t>
    </r>
    <r>
      <rPr>
        <sz val="11"/>
        <color rgb="FFFF0000"/>
        <rFont val="Calibri"/>
        <family val="2"/>
        <scheme val="minor"/>
      </rPr>
      <t xml:space="preserve">Should these funds be Legislatively appropriated for 17-19 biennium; SUA should encourage Ashley and Mike to discuss with O4AD, SUA's intent of withholding 5-10% for SUA administrative purposes. </t>
    </r>
  </si>
  <si>
    <t>FFY '16 Finals</t>
  </si>
  <si>
    <t>FFY '15 Finals</t>
  </si>
  <si>
    <r>
      <rPr>
        <i/>
        <sz val="11"/>
        <color rgb="FFFF0000"/>
        <rFont val="Calibri"/>
        <family val="2"/>
        <scheme val="minor"/>
      </rPr>
      <t>Red=projected</t>
    </r>
    <r>
      <rPr>
        <i/>
        <sz val="11"/>
        <color theme="1"/>
        <rFont val="Calibri"/>
        <family val="2"/>
        <scheme val="minor"/>
      </rPr>
      <t xml:space="preserve">  Black=final
</t>
    </r>
    <r>
      <rPr>
        <b/>
        <sz val="11"/>
        <color theme="1"/>
        <rFont val="Calibri"/>
        <family val="2"/>
        <scheme val="minor"/>
      </rPr>
      <t>OAA Grant Awards</t>
    </r>
  </si>
  <si>
    <r>
      <rPr>
        <b/>
        <sz val="11"/>
        <color theme="1"/>
        <rFont val="Calibri"/>
        <family val="2"/>
        <scheme val="minor"/>
      </rPr>
      <t>1</t>
    </r>
    <r>
      <rPr>
        <sz val="11"/>
        <color theme="1"/>
        <rFont val="Calibri"/>
        <family val="2"/>
        <scheme val="minor"/>
      </rPr>
      <t>.  Update "4. AwardHistory&amp;Projections" worksheet, cells B2:I9, with current year Grant Allocation amounts received</t>
    </r>
  </si>
  <si>
    <t>Oregon Land area in square miles, 2010 by County</t>
  </si>
  <si>
    <t>Home &gt; United States &gt; Oregon</t>
  </si>
  <si>
    <t>Embed this in your blog</t>
  </si>
  <si>
    <t>Preview</t>
  </si>
  <si>
    <t>   ShareThis</t>
  </si>
  <si>
    <r>
      <t>About this application:</t>
    </r>
    <r>
      <rPr>
        <sz val="8.25"/>
        <color theme="1"/>
        <rFont val="Verdana"/>
        <family val="2"/>
      </rPr>
      <t xml:space="preserve"> This application provides summary profiles showing frequently requested data items from various US Census Bureau programs. Profiles are available for the nation, states, and counties.</t>
    </r>
  </si>
  <si>
    <t>Recommended:</t>
  </si>
  <si>
    <t>Compare states</t>
  </si>
  <si>
    <t>Compare counties</t>
  </si>
  <si>
    <t>Compare cities</t>
  </si>
  <si>
    <t>City rankings</t>
  </si>
  <si>
    <t>Data Item</t>
  </si>
  <si>
    <t>State</t>
  </si>
  <si>
    <t>Map</t>
  </si>
  <si>
    <t>Rank</t>
  </si>
  <si>
    <t>Table</t>
  </si>
  <si>
    <t>MapSquare Miles431 - 864864 - 1,7321,732 - 3,4703,470 - 6,9546,954 - 7,6407,640 - 8,3958,395 - 9,2239,223 - 10K</t>
  </si>
  <si>
    <t>Bar Chart with caption "Land area in square miles, 2010 (Square Miles)"HarneyMalheurLakeKlamathDouglasLaneGrantUmatillaWallowaBakerDeschutesCrookJacksonWascoLinnUnionMorrowClackamasJeffersonWheelerJosephineCurryCoosGilliamMarionTillamookLincolnClatsopShermanPolkWashingtonYamhillBentonColumbiaHood RiverMultnomah10,133.179,887.538,138.985,941.055,036.084,553.124,528.543,215.513,146.193,068.363,018.192,979.092,783.552,381.522,290.132,036.612,031.611,870.321,780.791,714.751,639.671,627.461,596.171,204.811,182.331,102.58979.77829.05823.69740.79724.23715.86675.94657.36521.95431.3Land area in square miles, 2010 (Square Miles)</t>
  </si>
  <si>
    <t>Land area in square miles, 2010 - (Square Miles)</t>
  </si>
  <si>
    <t>Value</t>
  </si>
  <si>
    <r>
      <t>Value for Oregon (Square Miles):</t>
    </r>
    <r>
      <rPr>
        <sz val="8.25"/>
        <color theme="1"/>
        <rFont val="Verdana"/>
        <family val="2"/>
      </rPr>
      <t xml:space="preserve"> 95,988.01</t>
    </r>
  </si>
  <si>
    <r>
      <t xml:space="preserve">Source: </t>
    </r>
    <r>
      <rPr>
        <sz val="8.25"/>
        <color theme="1"/>
        <rFont val="Verdana"/>
        <family val="2"/>
      </rPr>
      <t>U.S. Census Bureau, data file from Geography Division based on the TIGER/Geographic Identification Code Scheme (TIGER/GICS) computer file. Land area updated every 10 years. http://www.census.gov/geo/www/tiger/index.html or http://factfinder2.census.gov.</t>
    </r>
  </si>
  <si>
    <r>
      <t xml:space="preserve">Source: </t>
    </r>
    <r>
      <rPr>
        <sz val="8.25"/>
        <color theme="1"/>
        <rFont val="Verdana"/>
        <family val="2"/>
      </rPr>
      <t>U.S. Census Bureau, Census of Population and Housing. Land area is based on current information in the TIGER® data base, calculated for use with Census 2010.</t>
    </r>
  </si>
  <si>
    <t>Definitions:</t>
  </si>
  <si>
    <r>
      <t>Land area</t>
    </r>
    <r>
      <rPr>
        <sz val="8.25"/>
        <color theme="1"/>
        <rFont val="Verdana"/>
        <family val="2"/>
      </rPr>
      <t xml:space="preserve"> is the size, in square units (metric and nonmetric) of all areas designated as land in the Census Bureau's national geographic (TIGER®) database.</t>
    </r>
  </si>
  <si>
    <r>
      <t>Persons per square mile</t>
    </r>
    <r>
      <rPr>
        <sz val="8.25"/>
        <color theme="1"/>
        <rFont val="Verdana"/>
        <family val="2"/>
      </rPr>
      <t xml:space="preserve"> is the average number of inhabitants per square mile of land area. These figures are derived by dividing the total number of residents by the number of square miles of land area in the specified geographic area. The land area measurement is from the Census 2010. To determine population per square kilometer, multiply the population per square mile by .3861.</t>
    </r>
  </si>
  <si>
    <t>Scope and Methodology:</t>
  </si>
  <si>
    <t>TIGER is an acronym for the digital (computer-readable) geographic database that automates the mapping and related geographic activities required to support the Census Bureau's census and survey programs. The Census Bureau developed the Topologically Integrated Geographic Encoding and Referencing (TIGER) System to automate the geographic support processes needed to meet the major geographic needs of the 1990 census. Land area was calculated from the specific set of boundaries recorded for the entity (in this case, counties, which were then aggregated to metropolitan totals) in the Census Bureau's geographic database.</t>
  </si>
  <si>
    <t>Land area measurements are originally recorded as whole square meters (to convert square meters to square kilometers, divide by 1,000,000; to convert square kilometers to square miles, divide by 2.58999; to convert square meters to square miles, divide by 2,589,988).</t>
  </si>
  <si>
    <t>Land area measurements may disagree with the information displayed on U.S. Census Bureau maps and in the TIGER® database because, for area measurement purposes, features identified as "intermittent water" and "glacier" are reported as land area.</t>
  </si>
  <si>
    <t>The accuracy of any area measurement data is limited by the accuracy inherent in (1) the location and shape of the various boundary information in the TIGER® database and (2) rounding affecting the last digit in all operations that compute and/or sum the area measurements. Identification of land is for statistical purposes and does not necessarily reflect legal definitions.</t>
  </si>
  <si>
    <t xml:space="preserve">More Information: </t>
  </si>
  <si>
    <t>Density Using Land Area for States, Counties, Metropolitan Areas, and Places</t>
  </si>
  <si>
    <t>Gazetteer</t>
  </si>
  <si>
    <t>2018 Award (Federal Fiscal Year 2018)</t>
  </si>
  <si>
    <t>2019 Award (Federal Fiscal Year 2019)</t>
  </si>
  <si>
    <t>Abuse Prevention and Awareness Funds (Federal Fiscal Year 2018)</t>
  </si>
  <si>
    <t>Abuse Prevention and Awareness Funds (Federal Fiscal Year 2019)</t>
  </si>
  <si>
    <t>FFY2018</t>
  </si>
  <si>
    <t>FFY2019</t>
  </si>
  <si>
    <t>2017-2019 Portion</t>
  </si>
  <si>
    <t>2017-2019
Alloc</t>
  </si>
  <si>
    <t>update column n o p</t>
  </si>
  <si>
    <t>ac</t>
  </si>
  <si>
    <t xml:space="preserve">10.2 % Cil Allocation </t>
  </si>
  <si>
    <t>Final ARDS NWD grant to AAAs.</t>
  </si>
  <si>
    <t>FFY '17 Finals</t>
  </si>
  <si>
    <t>SUA Admin Allocation</t>
  </si>
  <si>
    <t>Training</t>
  </si>
  <si>
    <t>2015-2017</t>
  </si>
  <si>
    <t>AGID</t>
  </si>
  <si>
    <t>Oregon 2011-2015 Table S21006 Ace by Race for the Population 60 +</t>
  </si>
  <si>
    <t>https://agid.acl.gov/DataGlance/SPR/Trend.aspx?geoids=39&amp;jvar=1687&amp;mode=Count&amp;agegroup=-1&amp;sex=0&amp;pop=0&amp;service=-1&amp;poverty=-1&amp;adl=-1&amp;iadl=-1</t>
  </si>
  <si>
    <t>OPI Corrected</t>
  </si>
  <si>
    <t>2017-2019</t>
  </si>
  <si>
    <t>2020 Award (Federal Fiscal Year 2020)</t>
  </si>
  <si>
    <t>2021 Award (Federal Fiscal Year 2021)</t>
  </si>
  <si>
    <t>(Federal Fiscal Year 2019)</t>
  </si>
  <si>
    <t>(Federal Fiscal Year 2020)</t>
  </si>
  <si>
    <t xml:space="preserve"> (Federal Fiscal Year 2021)</t>
  </si>
  <si>
    <t>$529, 909 is what was issued for 2017-2019</t>
  </si>
  <si>
    <t>2017 Award (Federal Fiscal Year 2019)</t>
  </si>
  <si>
    <t>2018 Award (Federal Fiscal Year 2020)</t>
  </si>
  <si>
    <t>2019Award (Federal Fiscal Year 2021)</t>
  </si>
  <si>
    <t>FFY '18 Finals</t>
  </si>
  <si>
    <t>Alloc</t>
  </si>
  <si>
    <t xml:space="preserve">          211,806 </t>
  </si>
  <si>
    <t xml:space="preserve">         52,952 </t>
  </si>
  <si>
    <t xml:space="preserve">                     52,952 </t>
  </si>
  <si>
    <t xml:space="preserve">     211,806 </t>
  </si>
  <si>
    <t xml:space="preserve">                  211,806 </t>
  </si>
  <si>
    <t xml:space="preserve">          221,806 </t>
  </si>
  <si>
    <t xml:space="preserve">                       166,355 </t>
  </si>
  <si>
    <t xml:space="preserve">                  166,355 </t>
  </si>
  <si>
    <t>  Subtotal</t>
  </si>
  <si>
    <t xml:space="preserve">     211,806 </t>
  </si>
  <si>
    <t xml:space="preserve">                       166,355 </t>
  </si>
  <si>
    <t xml:space="preserve">                  431,113 </t>
  </si>
  <si>
    <t>Fund Admin  Allocation</t>
  </si>
  <si>
    <t xml:space="preserve">                   -   </t>
  </si>
  <si>
    <t xml:space="preserve">                 -   </t>
  </si>
  <si>
    <t xml:space="preserve">                                   -   </t>
  </si>
  <si>
    <t xml:space="preserve">                               -   </t>
  </si>
  <si>
    <t xml:space="preserve">            56,914 </t>
  </si>
  <si>
    <t xml:space="preserve">         14,228 </t>
  </si>
  <si>
    <t xml:space="preserve">                     14,228 </t>
  </si>
  <si>
    <t xml:space="preserve">       56,914 </t>
  </si>
  <si>
    <t xml:space="preserve">                     56,914 </t>
  </si>
  <si>
    <t> (Federal Fiscal Year 2021)</t>
  </si>
  <si>
    <t xml:space="preserve">                         42,685 </t>
  </si>
  <si>
    <t xml:space="preserve">                     42,685 </t>
  </si>
  <si>
    <r>
      <t>Subtotal</t>
    </r>
    <r>
      <rPr>
        <sz val="14"/>
        <color rgb="FF000000"/>
        <rFont val="Calibri"/>
        <family val="2"/>
      </rPr>
      <t xml:space="preserve"> </t>
    </r>
  </si>
  <si>
    <t xml:space="preserve">       56,914 </t>
  </si>
  <si>
    <t xml:space="preserve">                         42,685 </t>
  </si>
  <si>
    <t xml:space="preserve">                  113,827 </t>
  </si>
  <si>
    <t xml:space="preserve">         67,180 </t>
  </si>
  <si>
    <t xml:space="preserve">     268,720 </t>
  </si>
  <si>
    <t xml:space="preserve">                       209,040 </t>
  </si>
  <si>
    <t xml:space="preserve">                  544,940 </t>
  </si>
  <si>
    <t>  Total LTC Ombudsman</t>
  </si>
  <si>
    <t xml:space="preserve">                  544,940 </t>
  </si>
  <si>
    <t xml:space="preserve"> 17-19 Adjustment </t>
  </si>
  <si>
    <t xml:space="preserve">                     28,624 </t>
  </si>
  <si>
    <t xml:space="preserve"> New 19-21 Total </t>
  </si>
  <si>
    <t xml:space="preserve">                  573,564 </t>
  </si>
  <si>
    <t>Update 17-19 Chart</t>
  </si>
  <si>
    <t>Original 17-19 Chart</t>
  </si>
  <si>
    <t>(Federal Fiscal Year 2017)</t>
  </si>
  <si>
    <t>(Federal Fiscal Year 2018)</t>
  </si>
  <si>
    <t xml:space="preserve"> (Federal Fiscal Year 2019)</t>
  </si>
  <si>
    <t>FFY2020</t>
  </si>
  <si>
    <t>FFY2021</t>
  </si>
  <si>
    <t xml:space="preserve">19-21 Total </t>
  </si>
  <si>
    <t>2019-2021
Alloc</t>
  </si>
  <si>
    <r>
      <rPr>
        <b/>
        <sz val="12"/>
        <color theme="1"/>
        <rFont val="Calibri"/>
        <family val="2"/>
        <scheme val="minor"/>
      </rPr>
      <t>Subtotal</t>
    </r>
    <r>
      <rPr>
        <sz val="12"/>
        <color theme="1"/>
        <rFont val="Calibri"/>
        <family val="2"/>
        <scheme val="minor"/>
      </rPr>
      <t xml:space="preserve"> </t>
    </r>
  </si>
  <si>
    <t xml:space="preserve">  Total LTC Ombudsman/CARES-COVID-19</t>
  </si>
  <si>
    <t>2019-2021</t>
  </si>
  <si>
    <t>Contract Number</t>
  </si>
  <si>
    <t>Prepared by Population Research center April 2020</t>
  </si>
  <si>
    <t>Table 9 - Population Estimates by Age &amp; Sex for Oregons and its Counties July 1, 2019</t>
  </si>
  <si>
    <t>Land
Area
Sq. Mi
(2010)</t>
  </si>
  <si>
    <t>Hand-entered (Oregon Land area in square miles, 2010 by County https://www.indexmundi.com/facts/united-states/quick-facts/oregon/land-area#table)</t>
  </si>
  <si>
    <t>FFY '20 Finals</t>
  </si>
  <si>
    <t>FFY '19 Finals</t>
  </si>
  <si>
    <t>FFY2022</t>
  </si>
  <si>
    <t>FFY2023</t>
  </si>
  <si>
    <t>2021-2023 Portion</t>
  </si>
  <si>
    <t>2022 Award (Federal Fiscal Year 2022)</t>
  </si>
  <si>
    <t>2023 Award (Federal Fiscal Year 2023)</t>
  </si>
  <si>
    <t>https://www.pdx.edu/population-research/search/psu?keys=population%20report</t>
  </si>
  <si>
    <t>Click on 2020 Annual population report tables</t>
  </si>
  <si>
    <t>Population by age categories from PSU Population Research Center 2020 Annual Oregon Report (April 2021 Population Report)</t>
  </si>
  <si>
    <t>x</t>
  </si>
  <si>
    <t>Population by age categories from PSU Population Research Center 2020 (April 2021 Population Report)</t>
  </si>
  <si>
    <t>https://data.census.gov/cedsci/table?q=S1701&amp;g=0400000US41.050000&amp;tid=ACSST5Y2019.S1701&amp;hidePreview=true</t>
  </si>
  <si>
    <t xml:space="preserve">Poverty Status in Oregon (2019 5-Year Estimates), Table S1701 </t>
  </si>
  <si>
    <r>
      <rPr>
        <b/>
        <sz val="11"/>
        <color theme="1"/>
        <rFont val="Calibri"/>
        <family val="2"/>
      </rPr>
      <t xml:space="preserve">Population Cleaned </t>
    </r>
    <r>
      <rPr>
        <sz val="11"/>
        <color theme="1"/>
        <rFont val="Calibri"/>
        <family val="2"/>
        <scheme val="minor"/>
      </rPr>
      <t>- Total Population by 5-year age groups; Prepared by Population Research Center, PSU April 2021.  
Oregon_Annual_Pop_Report_Tables_2014_Excel.xlsx; Table 9.</t>
    </r>
  </si>
  <si>
    <t>Data Set: 2020 American Community Survey 5-Year Estimates</t>
  </si>
  <si>
    <t>AAA ADRC-NWD Allocation</t>
  </si>
  <si>
    <t>Total 
Allocation</t>
  </si>
  <si>
    <t>70+ &amp;
Minor
Econ
(2020 est)</t>
  </si>
  <si>
    <t>65+
Poverty
Population
(ACS 2020 est)</t>
  </si>
  <si>
    <t>65+
Minority Pop
2020 Census</t>
  </si>
  <si>
    <t>21-23
Allocation
Total</t>
  </si>
  <si>
    <t>AAA Response</t>
  </si>
  <si>
    <t>Adjustments:</t>
  </si>
  <si>
    <t>Contract NTE Total:</t>
  </si>
  <si>
    <t>Contract #</t>
  </si>
  <si>
    <t>Various</t>
  </si>
  <si>
    <t>FFY '21 Finals</t>
  </si>
  <si>
    <t>%
of 
OPIM
Alloc.</t>
  </si>
  <si>
    <t>Housing Support Services Medicaid Type B</t>
  </si>
  <si>
    <t xml:space="preserve">Total IIIC1 Congregate Meals Allocation </t>
  </si>
  <si>
    <t xml:space="preserve">Title IIIC2 Home Delivered Meals </t>
  </si>
  <si>
    <t>Adj total:</t>
  </si>
  <si>
    <r>
      <t xml:space="preserve">
Number of Meals Served
in </t>
    </r>
    <r>
      <rPr>
        <b/>
        <sz val="14"/>
        <color rgb="FFFF0000"/>
        <rFont val="Calibri"/>
        <family val="2"/>
        <scheme val="minor"/>
      </rPr>
      <t>FY 2019</t>
    </r>
  </si>
  <si>
    <t>Title III funds (As per OAA 703(a)(2)(C)(ii) equal to FFY 2019 allocation)</t>
  </si>
  <si>
    <t xml:space="preserve">21-23 Total </t>
  </si>
  <si>
    <t>Allocation by Meals (based on number of meals served in 2019)</t>
  </si>
  <si>
    <t>Forecast-2025</t>
  </si>
  <si>
    <t>FFY '22 Finals</t>
  </si>
  <si>
    <r>
      <rPr>
        <b/>
        <i/>
        <sz val="11"/>
        <color theme="1"/>
        <rFont val="Calibri"/>
        <family val="2"/>
        <scheme val="minor"/>
      </rPr>
      <t>(Estimated)</t>
    </r>
    <r>
      <rPr>
        <b/>
        <sz val="11"/>
        <color theme="1"/>
        <rFont val="Calibri"/>
        <family val="2"/>
        <scheme val="minor"/>
      </rPr>
      <t xml:space="preserve"> 2023-2025</t>
    </r>
  </si>
  <si>
    <t>2024 Award (Federal Fiscal Year 2024)</t>
  </si>
  <si>
    <t>2025 Award (Federal Fiscal Year 2025)</t>
  </si>
  <si>
    <t>FFY2024</t>
  </si>
  <si>
    <t>FFY2025</t>
  </si>
  <si>
    <t>ARP
Title 
III-C1</t>
  </si>
  <si>
    <t>ARP
Title 
III-B</t>
  </si>
  <si>
    <t>ARP
Title 
III-C2</t>
  </si>
  <si>
    <t>ARP
Title 
III-D</t>
  </si>
  <si>
    <t>ARP
Title 
III-E</t>
  </si>
  <si>
    <t>SLFR-HDM
Title 
IIIC2</t>
  </si>
  <si>
    <t>CAA-VAC5</t>
  </si>
  <si>
    <t>Unspent
'21-'23
Biennia
OAA
Funds</t>
  </si>
  <si>
    <t>**'21-'23
Unspent
NSIP
via
IFF
FYE 18
Meal
Count</t>
  </si>
  <si>
    <t>2023-2024 Portion</t>
  </si>
  <si>
    <t>AAA Report</t>
  </si>
  <si>
    <t>P</t>
  </si>
  <si>
    <t>ARP Combined Total</t>
  </si>
  <si>
    <t>*"Get Care" System costs - $1,500 per month.</t>
  </si>
  <si>
    <t>Per Jane-Ellen Weidanz 1115/OPI-M expansion funds.</t>
  </si>
  <si>
    <t>Oregon Project Independence - OPI
1115/OPI-M Expansion</t>
  </si>
  <si>
    <t>Total OPI Services to 1115/OPIM Expansion
Allocation</t>
  </si>
  <si>
    <t xml:space="preserve">Unspent NSIP from 2011-2023 </t>
  </si>
  <si>
    <t>FFY 23 Finals</t>
  </si>
  <si>
    <r>
      <rPr>
        <b/>
        <sz val="9"/>
        <color rgb="FFFF0000"/>
        <rFont val="Arial Narrow"/>
        <family val="2"/>
      </rPr>
      <t>2023</t>
    </r>
    <r>
      <rPr>
        <b/>
        <sz val="9"/>
        <color theme="1"/>
        <rFont val="Arial Narrow"/>
        <family val="2"/>
      </rPr>
      <t xml:space="preserve"> NSIP Certified Meals</t>
    </r>
  </si>
  <si>
    <t>Nutrition Services Incentive Program (NSIP)
(Disbursal based on total NSIP-eligible meals
delivered during FY 2023</t>
  </si>
  <si>
    <t>Total                 OPIM  Ongoing Case       Management</t>
  </si>
  <si>
    <t>Total                 OPIM    Eligibility Case      Management</t>
  </si>
  <si>
    <t>Medicaid-Adm 1115-50/50 FF/GF 93.778</t>
  </si>
  <si>
    <t>50/50 GF/FF    93.778</t>
  </si>
  <si>
    <t>50/50 GF/FF   93.778</t>
  </si>
  <si>
    <t>50/50 GF/FF 93.778</t>
  </si>
  <si>
    <t>OFS Actual</t>
  </si>
  <si>
    <t>FFY 24 Finals</t>
  </si>
  <si>
    <r>
      <t xml:space="preserve">Nutrition Services Incentive Program (NSIP)
</t>
    </r>
    <r>
      <rPr>
        <b/>
        <sz val="11"/>
        <color theme="1"/>
        <rFont val="Arial Narrow"/>
        <family val="2"/>
      </rPr>
      <t xml:space="preserve">NSIP is not eligible for carry-forward and should always be fully expended.
</t>
    </r>
  </si>
  <si>
    <t>Medicaid FMAP 59/41 FF/GF 93.778</t>
  </si>
  <si>
    <t>Amendment 4 Adjs {AAA Bennial Transfers</t>
  </si>
  <si>
    <t>Adjusted amounts;  per CSSU</t>
  </si>
  <si>
    <t>From/To</t>
  </si>
  <si>
    <t>Adjusted Totals</t>
  </si>
  <si>
    <t>Amendment 2 Adjs</t>
  </si>
  <si>
    <t>From  Pilot          OPI 59-60</t>
  </si>
  <si>
    <t>Previous</t>
  </si>
  <si>
    <t>Index</t>
  </si>
  <si>
    <t>Tab title</t>
  </si>
  <si>
    <t>Population-NSIP #</t>
  </si>
  <si>
    <t>3. Population-NSIP#</t>
  </si>
  <si>
    <t>Award History &amp; Projections</t>
  </si>
  <si>
    <t xml:space="preserve">4. Award History&amp;Projections </t>
  </si>
  <si>
    <t>Allocation Summary</t>
  </si>
  <si>
    <t>5. Alloc Summary</t>
  </si>
  <si>
    <t>Breakdown of funds allocations</t>
  </si>
  <si>
    <t>Title III B / OASS - Support Services</t>
  </si>
  <si>
    <t>6. III B</t>
  </si>
  <si>
    <t>Title III C-1 / OACM - Congregate Meals</t>
  </si>
  <si>
    <t>7. III C-1</t>
  </si>
  <si>
    <t>Title III C-2 / OAHD - Home-Delivered Meals</t>
  </si>
  <si>
    <t>8. III C-2</t>
  </si>
  <si>
    <t>Title III D / OAPH - Evidence-Based Health Promotion Services</t>
  </si>
  <si>
    <t>9. III D</t>
  </si>
  <si>
    <t>Title III E / OAFC - Caregiver Services</t>
  </si>
  <si>
    <t>10. III E</t>
  </si>
  <si>
    <t>Title VII A / OAOM - Ombudsman Activity</t>
  </si>
  <si>
    <t>VII A-LTCO</t>
  </si>
  <si>
    <t>Title VII B / OAEA - Elder Abuse Neglect &amp; Exploitation Prevention Activities</t>
  </si>
  <si>
    <t>11. VII B</t>
  </si>
  <si>
    <t>Nutrition Services Incentive Program (NSIP)</t>
  </si>
  <si>
    <t>13. NSIP</t>
  </si>
  <si>
    <t>Special Purpose Appropriation (SPA) Continued OAA Sequestration Mitigation</t>
  </si>
  <si>
    <t>14. SPA-Seq Mit.</t>
  </si>
  <si>
    <t>Oregon Project Independence (OPI) 60+</t>
  </si>
  <si>
    <t>16. OPI 60+</t>
  </si>
  <si>
    <t>Population Data</t>
  </si>
  <si>
    <t>Population ADRC Sorted</t>
  </si>
  <si>
    <t>Population-ADRC Sorted</t>
  </si>
  <si>
    <t>Source Information</t>
  </si>
  <si>
    <t>2021-2023</t>
  </si>
  <si>
    <t>Forecast-2026</t>
  </si>
  <si>
    <t>Forecast-2027</t>
  </si>
  <si>
    <t>FFY 25</t>
  </si>
  <si>
    <r>
      <rPr>
        <b/>
        <i/>
        <sz val="11"/>
        <color theme="1"/>
        <rFont val="Calibri"/>
        <family val="2"/>
        <scheme val="minor"/>
      </rPr>
      <t>(Estimated)</t>
    </r>
    <r>
      <rPr>
        <b/>
        <sz val="11"/>
        <color theme="1"/>
        <rFont val="Calibri"/>
        <family val="2"/>
        <scheme val="minor"/>
      </rPr>
      <t xml:space="preserve"> 2025-2027</t>
    </r>
  </si>
  <si>
    <t>FFY2026</t>
  </si>
  <si>
    <t>FFY2027</t>
  </si>
  <si>
    <t>2025-2027 Portion</t>
  </si>
  <si>
    <t>Abuse Prevention and Awareness Funds (Federal Fiscal Year 2025)</t>
  </si>
  <si>
    <t>Abuse Prevention and Awareness Funds (Federal Fiscal Year 2026)</t>
  </si>
  <si>
    <t>Abuse Prevention and Awareness Funds (Federal Fiscal Year 2027)</t>
  </si>
  <si>
    <t>2026 Award (Federal Fiscal Year 2026)</t>
  </si>
  <si>
    <t>2027 Award (Federal Fiscal Year 2027)</t>
  </si>
  <si>
    <t xml:space="preserve">FFY Final Award Additional Funding </t>
  </si>
  <si>
    <t>2025-2027
Alloc</t>
  </si>
  <si>
    <t>(Federal Fiscal Year 2025)</t>
  </si>
  <si>
    <t>(Federal Fiscal Year 2026)</t>
  </si>
  <si>
    <t xml:space="preserve"> (Federal Fiscal Year 2027)</t>
  </si>
  <si>
    <t>Per Rodney; allocate 100% of 23-25 biennial total  $5,000,000</t>
  </si>
  <si>
    <t>From Pilot</t>
  </si>
  <si>
    <t>To Classic</t>
  </si>
  <si>
    <t>Per Rodney; allocate 100% of 23-25 biennial total $0</t>
  </si>
  <si>
    <t>OPI-C &amp; OPI-P are rolled into one statewide $5 million allocation.</t>
  </si>
  <si>
    <t xml:space="preserve">Oregon Project Independence - OPI
{Classic} </t>
  </si>
  <si>
    <t>Oregon Project Independence - OPI
OPIM Case Management</t>
  </si>
  <si>
    <t>Oregon Project Independence - OPI
OPIM Eligibility</t>
  </si>
  <si>
    <t>Total OPI Services-OPIM CM
Allocation</t>
  </si>
  <si>
    <t>Total OPI Services -OPIM Elig
Allocation</t>
  </si>
  <si>
    <t>% Per WCM Rate Workbook</t>
  </si>
  <si>
    <t>Non-Waivered
XIX - OEP</t>
  </si>
  <si>
    <t>Per Rodney; allocate  biennial total  $5,000,000</t>
  </si>
  <si>
    <t>Total
OPI
(Classic)
Allocation</t>
  </si>
  <si>
    <t xml:space="preserve">IIIB/OASS
Support
Services </t>
  </si>
  <si>
    <t>IIIC1/OACM
Congregate
Meals</t>
  </si>
  <si>
    <t>IIIC2/OAHD
Home-
Delivered
Meals</t>
  </si>
  <si>
    <t>IIID/OAPH
Evidence-
Based
Health
Promotion
Services</t>
  </si>
  <si>
    <t>IIIE/OAFC
Caregiver
Services</t>
  </si>
  <si>
    <t>VIIB/OAEA
Elder
Abuse,
Neglect &amp;
Exploitation
Prevention
Activities</t>
  </si>
  <si>
    <t>Unspent '21-'23 Biennia ARP/SLFR/VAC5 Funds</t>
  </si>
  <si>
    <t xml:space="preserve">ALN/CFDA </t>
  </si>
  <si>
    <t>COACO</t>
  </si>
  <si>
    <t>MCADVS</t>
  </si>
  <si>
    <t>12. 23-25 Unspent</t>
  </si>
  <si>
    <t>23-25 Unspent</t>
  </si>
  <si>
    <t>23-25 Unspent-COVID</t>
  </si>
  <si>
    <t>19. OPIM-CM</t>
  </si>
  <si>
    <t>Oregon Project Independence (OPI) Case Management</t>
  </si>
  <si>
    <t>Oregon Project Independence (OPI) Eligibility</t>
  </si>
  <si>
    <t>19. OPIM-Elig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</si>
</sst>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0\)"/>
    <numFmt numFmtId="165" formatCode="_(* #,##0_);_(* \(#,##0\);_(* &quot;-&quot;??_);_(@_)"/>
    <numFmt numFmtId="166" formatCode="_(&quot;$&quot;* #,##0_);_(&quot;$&quot;* \(#,##0\);_(&quot;$&quot;* &quot;-&quot;??_);_(@_)"/>
    <numFmt numFmtId="167" formatCode="mm/d/yyyy"/>
    <numFmt numFmtId="168" formatCode="mmm\ yyyy"/>
    <numFmt numFmtId="169" formatCode="0000"/>
    <numFmt numFmtId="170" formatCode="0.00%_);[Red]\(0.00%\)"/>
    <numFmt numFmtId="171" formatCode="&quot;$&quot;#,##0"/>
    <numFmt numFmtId="172" formatCode="0.0%"/>
    <numFmt numFmtId="173" formatCode="0.000"/>
    <numFmt numFmtId="174" formatCode="_(* #,##0.0000_);_(* \(#,##0.0000\);_(* &quot;-&quot;????_);_(@_)"/>
  </numFmts>
  <fonts count="123">
    <font>
      <sz val="11"/>
      <color theme="1"/>
      <name val="Calibri"/>
      <family val="2"/>
      <scheme val="minor"/>
    </font>
    <font>
      <sz val="14"/>
      <color theme="1"/>
      <name val="Calibri"/>
      <family val="2"/>
      <scheme val="minor"/>
    </font>
    <font>
      <sz val="14"/>
      <color theme="1"/>
      <name val="Calibri"/>
      <family val="2"/>
      <scheme val="minor"/>
    </font>
    <font>
      <sz val="14"/>
      <color theme="1"/>
      <name val="Calibri"/>
      <family val="2"/>
      <scheme val="minor"/>
    </font>
    <font>
      <sz val="14"/>
      <color theme="1"/>
      <name val="Calibri"/>
      <family val="2"/>
      <scheme val="minor"/>
    </font>
    <font>
      <sz val="14"/>
      <color theme="1"/>
      <name val="Calibri"/>
      <family val="2"/>
      <scheme val="minor"/>
    </font>
    <font>
      <sz val="14"/>
      <color theme="1"/>
      <name val="Calibri"/>
      <family val="2"/>
      <scheme val="minor"/>
    </font>
    <font>
      <sz val="14"/>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sz val="8"/>
      <color indexed="81"/>
      <name val="Tahoma"/>
      <family val="2"/>
    </font>
    <font>
      <sz val="12"/>
      <name val="Times New Roman"/>
      <family val="1"/>
    </font>
    <font>
      <sz val="10"/>
      <name val="Tms Rmn"/>
    </font>
    <font>
      <b/>
      <sz val="11"/>
      <color indexed="8"/>
      <name val="Calibri"/>
      <family val="2"/>
      <scheme val="minor"/>
    </font>
    <font>
      <b/>
      <sz val="11"/>
      <color theme="1"/>
      <name val="Calibri"/>
      <family val="2"/>
    </font>
    <font>
      <b/>
      <sz val="12"/>
      <name val="Times New Roman"/>
      <family val="1"/>
    </font>
    <font>
      <u/>
      <sz val="12"/>
      <color indexed="12"/>
      <name val="Times New Roman"/>
      <family val="1"/>
    </font>
    <font>
      <b/>
      <sz val="10"/>
      <name val="Tms Rmn"/>
    </font>
    <font>
      <sz val="11"/>
      <color rgb="FFFF0000"/>
      <name val="Calibri"/>
      <family val="2"/>
      <scheme val="minor"/>
    </font>
    <font>
      <u/>
      <sz val="11"/>
      <color theme="10"/>
      <name val="Calibri"/>
      <family val="2"/>
      <scheme val="minor"/>
    </font>
    <font>
      <b/>
      <sz val="11"/>
      <color theme="0" tint="-0.34998626667073579"/>
      <name val="Calibri"/>
      <family val="2"/>
      <scheme val="minor"/>
    </font>
    <font>
      <sz val="11"/>
      <color theme="0" tint="-0.34998626667073579"/>
      <name val="Calibri"/>
      <family val="2"/>
      <scheme val="minor"/>
    </font>
    <font>
      <sz val="14"/>
      <name val="Arial"/>
      <family val="2"/>
    </font>
    <font>
      <sz val="12"/>
      <name val="Arial Narrow"/>
      <family val="2"/>
    </font>
    <font>
      <u/>
      <sz val="14"/>
      <color indexed="12"/>
      <name val="Arial"/>
      <family val="2"/>
    </font>
    <font>
      <sz val="10"/>
      <name val="Arial"/>
      <family val="2"/>
    </font>
    <font>
      <sz val="14"/>
      <color indexed="8"/>
      <name val="Arial"/>
      <family val="2"/>
    </font>
    <font>
      <sz val="14"/>
      <color indexed="9"/>
      <name val="Arial"/>
      <family val="2"/>
    </font>
    <font>
      <sz val="14"/>
      <color indexed="20"/>
      <name val="Arial"/>
      <family val="2"/>
    </font>
    <font>
      <b/>
      <sz val="14"/>
      <color indexed="52"/>
      <name val="Arial"/>
      <family val="2"/>
    </font>
    <font>
      <b/>
      <sz val="14"/>
      <color indexed="9"/>
      <name val="Arial"/>
      <family val="2"/>
    </font>
    <font>
      <i/>
      <sz val="14"/>
      <color indexed="23"/>
      <name val="Arial"/>
      <family val="2"/>
    </font>
    <font>
      <sz val="14"/>
      <color indexed="17"/>
      <name val="Arial"/>
      <family val="2"/>
    </font>
    <font>
      <b/>
      <sz val="15"/>
      <color indexed="56"/>
      <name val="Arial"/>
      <family val="2"/>
    </font>
    <font>
      <b/>
      <sz val="13"/>
      <color indexed="56"/>
      <name val="Arial"/>
      <family val="2"/>
    </font>
    <font>
      <b/>
      <sz val="11"/>
      <color indexed="56"/>
      <name val="Arial"/>
      <family val="2"/>
    </font>
    <font>
      <sz val="14"/>
      <color indexed="62"/>
      <name val="Arial"/>
      <family val="2"/>
    </font>
    <font>
      <sz val="14"/>
      <color indexed="52"/>
      <name val="Arial"/>
      <family val="2"/>
    </font>
    <font>
      <sz val="14"/>
      <color indexed="60"/>
      <name val="Arial"/>
      <family val="2"/>
    </font>
    <font>
      <b/>
      <sz val="14"/>
      <color indexed="63"/>
      <name val="Arial"/>
      <family val="2"/>
    </font>
    <font>
      <b/>
      <sz val="18"/>
      <color indexed="56"/>
      <name val="Cambria"/>
      <family val="2"/>
    </font>
    <font>
      <b/>
      <sz val="14"/>
      <color indexed="8"/>
      <name val="Arial"/>
      <family val="2"/>
    </font>
    <font>
      <sz val="14"/>
      <color indexed="10"/>
      <name val="Arial"/>
      <family val="2"/>
    </font>
    <font>
      <sz val="9"/>
      <name val="Arial"/>
      <family val="2"/>
    </font>
    <font>
      <sz val="10"/>
      <name val="Geneva"/>
    </font>
    <font>
      <u/>
      <sz val="10"/>
      <color indexed="12"/>
      <name val="Arial"/>
      <family val="2"/>
    </font>
    <font>
      <u/>
      <sz val="9"/>
      <color indexed="12"/>
      <name val="Arial"/>
      <family val="2"/>
    </font>
    <font>
      <sz val="11"/>
      <color theme="0" tint="-0.499984740745262"/>
      <name val="Calibri"/>
      <family val="2"/>
      <scheme val="minor"/>
    </font>
    <font>
      <b/>
      <i/>
      <sz val="11"/>
      <color theme="1"/>
      <name val="Calibri"/>
      <family val="2"/>
      <scheme val="minor"/>
    </font>
    <font>
      <b/>
      <sz val="14"/>
      <color rgb="FFFF0000"/>
      <name val="Calibri"/>
      <family val="2"/>
      <scheme val="minor"/>
    </font>
    <font>
      <b/>
      <i/>
      <sz val="14"/>
      <color theme="1"/>
      <name val="Calibri"/>
      <family val="2"/>
      <scheme val="minor"/>
    </font>
    <font>
      <sz val="10"/>
      <name val="Arial Narrow"/>
      <family val="2"/>
    </font>
    <font>
      <b/>
      <sz val="10"/>
      <name val="Arial Narrow"/>
      <family val="2"/>
    </font>
    <font>
      <sz val="11"/>
      <color theme="1"/>
      <name val="Arial Narrow"/>
      <family val="2"/>
    </font>
    <font>
      <b/>
      <sz val="8"/>
      <name val="Arial Narrow"/>
      <family val="2"/>
    </font>
    <font>
      <b/>
      <sz val="12"/>
      <name val="Arial Narrow"/>
      <family val="2"/>
    </font>
    <font>
      <b/>
      <sz val="11"/>
      <color theme="1"/>
      <name val="Arial Narrow"/>
      <family val="2"/>
    </font>
    <font>
      <b/>
      <sz val="14"/>
      <color theme="1"/>
      <name val="Arial Narrow"/>
      <family val="2"/>
    </font>
    <font>
      <sz val="14"/>
      <name val="Calibri"/>
      <family val="2"/>
      <scheme val="minor"/>
    </font>
    <font>
      <sz val="11"/>
      <color theme="0" tint="-0.249977111117893"/>
      <name val="Calibri"/>
      <family val="2"/>
      <scheme val="minor"/>
    </font>
    <font>
      <sz val="12"/>
      <color theme="1"/>
      <name val="Calibri"/>
      <family val="2"/>
      <scheme val="minor"/>
    </font>
    <font>
      <b/>
      <sz val="14"/>
      <color indexed="8"/>
      <name val="Calibri"/>
      <family val="2"/>
      <scheme val="minor"/>
    </font>
    <font>
      <sz val="11"/>
      <color theme="0"/>
      <name val="Calibri"/>
      <family val="2"/>
      <scheme val="minor"/>
    </font>
    <font>
      <b/>
      <sz val="9"/>
      <color theme="1"/>
      <name val="Arial Narrow"/>
      <family val="2"/>
    </font>
    <font>
      <b/>
      <sz val="9"/>
      <color rgb="FFFF0000"/>
      <name val="Arial Narrow"/>
      <family val="2"/>
    </font>
    <font>
      <b/>
      <sz val="13"/>
      <color theme="1"/>
      <name val="Arial Narrow"/>
      <family val="2"/>
    </font>
    <font>
      <sz val="9"/>
      <color indexed="81"/>
      <name val="Tahoma"/>
      <family val="2"/>
    </font>
    <font>
      <b/>
      <sz val="9"/>
      <color indexed="81"/>
      <name val="Tahoma"/>
      <family val="2"/>
    </font>
    <font>
      <b/>
      <sz val="14"/>
      <name val="Arial"/>
      <family val="2"/>
    </font>
    <font>
      <sz val="12"/>
      <color indexed="62"/>
      <name val="Arial Narrow"/>
      <family val="2"/>
    </font>
    <font>
      <sz val="11"/>
      <name val="Arial Narrow"/>
      <family val="2"/>
    </font>
    <font>
      <sz val="12"/>
      <color indexed="58"/>
      <name val="Arial Narrow"/>
      <family val="2"/>
    </font>
    <font>
      <sz val="12"/>
      <color indexed="14"/>
      <name val="Arial Narrow"/>
      <family val="2"/>
    </font>
    <font>
      <b/>
      <sz val="8"/>
      <color theme="1"/>
      <name val="Arial Narrow"/>
      <family val="2"/>
    </font>
    <font>
      <i/>
      <sz val="11"/>
      <color rgb="FFFF0000"/>
      <name val="Calibri"/>
      <family val="2"/>
      <scheme val="minor"/>
    </font>
    <font>
      <sz val="8.25"/>
      <color theme="1"/>
      <name val="Verdana"/>
      <family val="2"/>
    </font>
    <font>
      <sz val="8.25"/>
      <color rgb="FF000000"/>
      <name val="Verdana"/>
      <family val="2"/>
    </font>
    <font>
      <b/>
      <sz val="22"/>
      <color rgb="FF000000"/>
      <name val="Arial"/>
      <family val="2"/>
    </font>
    <font>
      <sz val="8"/>
      <color rgb="FF000000"/>
      <name val="Verdana"/>
      <family val="2"/>
    </font>
    <font>
      <b/>
      <sz val="8.25"/>
      <color theme="1"/>
      <name val="Verdana"/>
      <family val="2"/>
    </font>
    <font>
      <sz val="13.2"/>
      <color theme="1"/>
      <name val="Verdana"/>
      <family val="2"/>
    </font>
    <font>
      <b/>
      <sz val="11"/>
      <color theme="1"/>
      <name val="Verdana"/>
      <family val="2"/>
    </font>
    <font>
      <sz val="11"/>
      <color theme="1"/>
      <name val="Verdana"/>
      <family val="2"/>
    </font>
    <font>
      <b/>
      <sz val="12"/>
      <name val="Arial"/>
      <family val="2"/>
    </font>
    <font>
      <b/>
      <sz val="18"/>
      <color theme="1"/>
      <name val="Arial Narrow"/>
      <family val="2"/>
    </font>
    <font>
      <b/>
      <sz val="18"/>
      <color theme="1"/>
      <name val="Calibri"/>
      <family val="2"/>
      <scheme val="minor"/>
    </font>
    <font>
      <b/>
      <sz val="11"/>
      <color rgb="FFFF0000"/>
      <name val="Calibri"/>
      <family val="2"/>
      <scheme val="minor"/>
    </font>
    <font>
      <sz val="14"/>
      <color rgb="FFFF0000"/>
      <name val="Calibri"/>
      <family val="2"/>
      <scheme val="minor"/>
    </font>
    <font>
      <i/>
      <sz val="11"/>
      <name val="Calibri"/>
      <family val="2"/>
      <scheme val="minor"/>
    </font>
    <font>
      <sz val="10"/>
      <color theme="1"/>
      <name val="Times New Roman"/>
      <family val="1"/>
    </font>
    <font>
      <b/>
      <sz val="14"/>
      <color rgb="FF000000"/>
      <name val="Calibri"/>
      <family val="2"/>
    </font>
    <font>
      <sz val="14"/>
      <color rgb="FF000000"/>
      <name val="Calibri"/>
      <family val="2"/>
    </font>
    <font>
      <b/>
      <sz val="14"/>
      <color theme="1"/>
      <name val="Calibri"/>
      <family val="2"/>
    </font>
    <font>
      <b/>
      <i/>
      <sz val="11"/>
      <name val="Calibri"/>
      <family val="2"/>
      <scheme val="minor"/>
    </font>
    <font>
      <sz val="8"/>
      <name val="Calibri"/>
      <family val="2"/>
      <scheme val="minor"/>
    </font>
    <font>
      <i/>
      <sz val="14"/>
      <name val="Calibri"/>
      <family val="2"/>
      <scheme val="minor"/>
    </font>
    <font>
      <i/>
      <sz val="10"/>
      <name val="Calibri"/>
      <family val="2"/>
      <scheme val="minor"/>
    </font>
    <font>
      <b/>
      <sz val="12"/>
      <name val="Calibri"/>
      <family val="2"/>
      <scheme val="minor"/>
    </font>
    <font>
      <b/>
      <sz val="12"/>
      <color theme="1"/>
      <name val="Arial Narrow"/>
      <family val="2"/>
    </font>
    <font>
      <b/>
      <sz val="12"/>
      <color theme="1"/>
      <name val="Calibri"/>
      <family val="2"/>
      <scheme val="minor"/>
    </font>
    <font>
      <b/>
      <sz val="12"/>
      <color indexed="8"/>
      <name val="Calibri"/>
      <family val="2"/>
      <scheme val="minor"/>
    </font>
    <font>
      <b/>
      <sz val="12"/>
      <color rgb="FF000000"/>
      <name val="Calibri"/>
      <family val="2"/>
    </font>
    <font>
      <b/>
      <sz val="10"/>
      <color rgb="FF000000"/>
      <name val="Calibri"/>
      <family val="2"/>
    </font>
    <font>
      <sz val="10"/>
      <name val="Calibri"/>
      <family val="2"/>
      <scheme val="minor"/>
    </font>
    <font>
      <sz val="12"/>
      <name val="Calibri"/>
      <family val="2"/>
      <scheme val="minor"/>
    </font>
    <font>
      <sz val="12"/>
      <color rgb="FF000000"/>
      <name val="Calibri"/>
      <family val="2"/>
    </font>
    <font>
      <sz val="11"/>
      <name val="Calibri"/>
      <family val="2"/>
    </font>
    <font>
      <sz val="11"/>
      <name val="Wingdings 2"/>
      <family val="1"/>
      <charset val="2"/>
    </font>
    <font>
      <sz val="12"/>
      <name val="Wingdings 2"/>
      <family val="1"/>
      <charset val="2"/>
    </font>
    <font>
      <sz val="14"/>
      <name val="Arial Narrow"/>
      <family val="2"/>
    </font>
    <font>
      <b/>
      <sz val="16"/>
      <name val="Arial Narrow"/>
      <family val="2"/>
    </font>
    <font>
      <sz val="14"/>
      <color rgb="FFFF0000"/>
      <name val="Arial"/>
      <family val="2"/>
    </font>
    <font>
      <u/>
      <sz val="14"/>
      <color theme="10"/>
      <name val="Calibri"/>
      <family val="2"/>
      <scheme val="minor"/>
    </font>
    <font>
      <b/>
      <sz val="12"/>
      <color rgb="FFC00000"/>
      <name val="Arial Narrow"/>
      <family val="2"/>
    </font>
    <font>
      <b/>
      <sz val="12"/>
      <color rgb="FFC00000"/>
      <name val="Calibri"/>
      <family val="2"/>
      <scheme val="minor"/>
    </font>
    <font>
      <b/>
      <sz val="12"/>
      <color rgb="FFFF0000"/>
      <name val="Calibri"/>
      <family val="2"/>
      <scheme val="minor"/>
    </font>
    <font>
      <sz val="12"/>
      <color theme="1"/>
      <name val="Times New Roman"/>
      <family val="1"/>
    </font>
    <font>
      <sz val="11"/>
      <color rgb="FFC00000"/>
      <name val="Calibri"/>
      <family val="2"/>
      <scheme val="minor"/>
    </font>
    <font>
      <b/>
      <sz val="11"/>
      <color rgb="FFC00000"/>
      <name val="Calibri"/>
      <family val="2"/>
      <scheme val="minor"/>
    </font>
  </fonts>
  <fills count="48">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CFF"/>
        <bgColor indexed="64"/>
      </patternFill>
    </fill>
    <fill>
      <patternFill patternType="solid">
        <fgColor theme="6" tint="0.59999389629810485"/>
        <bgColor indexed="64"/>
      </patternFill>
    </fill>
    <fill>
      <patternFill patternType="solid">
        <fgColor rgb="FFB0DA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FBD1F8"/>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E8EEF4"/>
        <bgColor indexed="64"/>
      </patternFill>
    </fill>
    <fill>
      <patternFill patternType="solid">
        <fgColor theme="6" tint="0.79998168889431442"/>
        <bgColor indexed="64"/>
      </patternFill>
    </fill>
    <fill>
      <patternFill patternType="solid">
        <fgColor rgb="FFFFFFCC"/>
        <bgColor indexed="64"/>
      </patternFill>
    </fill>
    <fill>
      <patternFill patternType="solid">
        <fgColor rgb="FFBDD7EE"/>
        <bgColor indexed="64"/>
      </patternFill>
    </fill>
    <fill>
      <patternFill patternType="solid">
        <fgColor rgb="FFDBDBDB"/>
        <bgColor indexed="64"/>
      </patternFill>
    </fill>
    <fill>
      <patternFill patternType="solid">
        <fgColor rgb="FF92D050"/>
        <bgColor indexed="64"/>
      </patternFill>
    </fill>
    <fill>
      <patternFill patternType="solid">
        <fgColor rgb="FFBCE0EA"/>
        <bgColor indexed="64"/>
      </patternFill>
    </fill>
    <fill>
      <patternFill patternType="solid">
        <fgColor rgb="FFFFFF66"/>
        <bgColor indexed="64"/>
      </patternFill>
    </fill>
    <fill>
      <patternFill patternType="solid">
        <fgColor theme="8" tint="0.39997558519241921"/>
        <bgColor indexed="64"/>
      </patternFill>
    </fill>
    <fill>
      <patternFill patternType="solid">
        <fgColor theme="1" tint="0.49998474074526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bottom/>
      <diagonal/>
    </border>
    <border>
      <left style="medium">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auto="1"/>
      </left>
      <right/>
      <top/>
      <bottom/>
      <diagonal/>
    </border>
    <border>
      <left style="thin">
        <color indexed="64"/>
      </left>
      <right/>
      <top style="thick">
        <color indexed="64"/>
      </top>
      <bottom style="thin">
        <color indexed="64"/>
      </bottom>
      <diagonal/>
    </border>
    <border>
      <left/>
      <right/>
      <top/>
      <bottom style="thick">
        <color indexed="64"/>
      </bottom>
      <diagonal/>
    </border>
    <border>
      <left/>
      <right/>
      <top style="thick">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ck">
        <color indexed="64"/>
      </left>
      <right/>
      <top style="thick">
        <color indexed="64"/>
      </top>
      <bottom/>
      <diagonal/>
    </border>
    <border>
      <left/>
      <right style="double">
        <color indexed="64"/>
      </right>
      <top style="double">
        <color indexed="64"/>
      </top>
      <bottom style="double">
        <color indexed="64"/>
      </bottom>
      <diagonal/>
    </border>
    <border>
      <left style="thick">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ck">
        <color indexed="64"/>
      </left>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medium">
        <color rgb="FFD4D4D4"/>
      </left>
      <right style="medium">
        <color rgb="FFD4D4D4"/>
      </right>
      <top style="medium">
        <color rgb="FFD4D4D4"/>
      </top>
      <bottom style="medium">
        <color rgb="FFD4D4D4"/>
      </bottom>
      <diagonal/>
    </border>
    <border>
      <left style="medium">
        <color rgb="FFE8EEF4"/>
      </left>
      <right style="medium">
        <color rgb="FFE8EEF4"/>
      </right>
      <top style="medium">
        <color rgb="FFE8EEF4"/>
      </top>
      <bottom/>
      <diagonal/>
    </border>
    <border>
      <left style="medium">
        <color rgb="FF999999"/>
      </left>
      <right style="medium">
        <color rgb="FF999999"/>
      </right>
      <top style="medium">
        <color rgb="FF999999"/>
      </top>
      <bottom style="medium">
        <color rgb="FF999999"/>
      </bottom>
      <diagonal/>
    </border>
    <border>
      <left style="medium">
        <color rgb="FFE8EEF4"/>
      </left>
      <right style="medium">
        <color rgb="FFE8EEF4"/>
      </right>
      <top style="medium">
        <color rgb="FFE8EEF4"/>
      </top>
      <bottom style="medium">
        <color rgb="FFE8EEF4"/>
      </bottom>
      <diagonal/>
    </border>
    <border>
      <left/>
      <right/>
      <top/>
      <bottom style="medium">
        <color rgb="FFE8EEF4"/>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double">
        <color indexed="64"/>
      </bottom>
      <diagonal/>
    </border>
    <border>
      <left style="medium">
        <color indexed="64"/>
      </left>
      <right style="medium">
        <color indexed="64"/>
      </right>
      <top/>
      <bottom style="medium">
        <color rgb="FF000000"/>
      </bottom>
      <diagonal/>
    </border>
    <border>
      <left/>
      <right/>
      <top/>
      <bottom style="medium">
        <color indexed="64"/>
      </bottom>
      <diagonal/>
    </border>
    <border>
      <left/>
      <right/>
      <top style="medium">
        <color indexed="64"/>
      </top>
      <bottom/>
      <diagonal/>
    </border>
    <border>
      <left/>
      <right/>
      <top style="medium">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37">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164" fontId="15" fillId="0" borderId="0"/>
    <xf numFmtId="37" fontId="16" fillId="0" borderId="6"/>
    <xf numFmtId="167" fontId="15" fillId="0" borderId="0"/>
    <xf numFmtId="168" fontId="15" fillId="0" borderId="0" applyProtection="0">
      <protection locked="0"/>
    </xf>
    <xf numFmtId="168" fontId="15" fillId="0" borderId="0"/>
    <xf numFmtId="169" fontId="15" fillId="0" borderId="0"/>
    <xf numFmtId="0" fontId="16" fillId="0" borderId="0"/>
    <xf numFmtId="0" fontId="20" fillId="0" borderId="0" applyNumberFormat="0" applyFill="0" applyBorder="0" applyAlignment="0" applyProtection="0">
      <alignment vertical="top"/>
      <protection locked="0"/>
    </xf>
    <xf numFmtId="0" fontId="23" fillId="0" borderId="0" applyNumberFormat="0" applyFill="0" applyBorder="0" applyAlignment="0" applyProtection="0"/>
    <xf numFmtId="0" fontId="26" fillId="0" borderId="0"/>
    <xf numFmtId="0" fontId="28" fillId="0" borderId="0" applyNumberFormat="0" applyFill="0" applyBorder="0" applyAlignment="0" applyProtection="0">
      <alignment vertical="top"/>
      <protection locked="0"/>
    </xf>
    <xf numFmtId="0" fontId="29" fillId="0" borderId="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2" borderId="0" applyNumberFormat="0" applyBorder="0" applyAlignment="0" applyProtection="0"/>
    <xf numFmtId="0" fontId="30" fillId="15" borderId="0" applyNumberFormat="0" applyBorder="0" applyAlignment="0" applyProtection="0"/>
    <xf numFmtId="0" fontId="30" fillId="18" borderId="0" applyNumberFormat="0" applyBorder="0" applyAlignment="0" applyProtection="0"/>
    <xf numFmtId="0" fontId="31" fillId="19"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6" borderId="0" applyNumberFormat="0" applyBorder="0" applyAlignment="0" applyProtection="0"/>
    <xf numFmtId="0" fontId="32" fillId="10" borderId="0" applyNumberFormat="0" applyBorder="0" applyAlignment="0" applyProtection="0"/>
    <xf numFmtId="0" fontId="33" fillId="27" borderId="10" applyNumberFormat="0" applyAlignment="0" applyProtection="0"/>
    <xf numFmtId="0" fontId="34" fillId="28" borderId="11" applyNumberFormat="0" applyAlignment="0" applyProtection="0"/>
    <xf numFmtId="43" fontId="29" fillId="0" borderId="0" applyFont="0" applyFill="0" applyBorder="0" applyAlignment="0" applyProtection="0"/>
    <xf numFmtId="0" fontId="35" fillId="0" borderId="0" applyNumberFormat="0" applyFill="0" applyBorder="0" applyAlignment="0" applyProtection="0"/>
    <xf numFmtId="0" fontId="36" fillId="11" borderId="0" applyNumberFormat="0" applyBorder="0" applyAlignment="0" applyProtection="0"/>
    <xf numFmtId="0" fontId="37" fillId="0" borderId="12" applyNumberFormat="0" applyFill="0" applyAlignment="0" applyProtection="0"/>
    <xf numFmtId="0" fontId="38" fillId="0" borderId="13" applyNumberFormat="0" applyFill="0" applyAlignment="0" applyProtection="0"/>
    <xf numFmtId="0" fontId="39" fillId="0" borderId="14" applyNumberFormat="0" applyFill="0" applyAlignment="0" applyProtection="0"/>
    <xf numFmtId="0" fontId="39" fillId="0" borderId="0" applyNumberFormat="0" applyFill="0" applyBorder="0" applyAlignment="0" applyProtection="0"/>
    <xf numFmtId="0" fontId="40" fillId="14" borderId="10" applyNumberFormat="0" applyAlignment="0" applyProtection="0"/>
    <xf numFmtId="0" fontId="41" fillId="0" borderId="15" applyNumberFormat="0" applyFill="0" applyAlignment="0" applyProtection="0"/>
    <xf numFmtId="0" fontId="42" fillId="29" borderId="0" applyNumberFormat="0" applyBorder="0" applyAlignment="0" applyProtection="0"/>
    <xf numFmtId="0" fontId="29" fillId="0" borderId="0"/>
    <xf numFmtId="0" fontId="29" fillId="30" borderId="16" applyNumberFormat="0" applyFont="0" applyAlignment="0" applyProtection="0"/>
    <xf numFmtId="0" fontId="43" fillId="27" borderId="17" applyNumberFormat="0" applyAlignment="0" applyProtection="0"/>
    <xf numFmtId="0" fontId="44" fillId="0" borderId="0" applyNumberFormat="0" applyFill="0" applyBorder="0" applyAlignment="0" applyProtection="0"/>
    <xf numFmtId="0" fontId="45" fillId="0" borderId="18" applyNumberFormat="0" applyFill="0" applyAlignment="0" applyProtection="0"/>
    <xf numFmtId="0" fontId="46" fillId="0" borderId="0" applyNumberForma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0" fontId="29" fillId="0" borderId="0"/>
    <xf numFmtId="0" fontId="29" fillId="0" borderId="0"/>
    <xf numFmtId="0" fontId="47" fillId="0" borderId="0">
      <alignment vertical="top"/>
    </xf>
    <xf numFmtId="9" fontId="8" fillId="0" borderId="0" applyFont="0" applyFill="0" applyBorder="0" applyAlignment="0" applyProtection="0"/>
    <xf numFmtId="0" fontId="29" fillId="0" borderId="0"/>
    <xf numFmtId="22" fontId="47" fillId="0" borderId="0" applyFont="0" applyFill="0" applyBorder="0" applyAlignment="0" applyProtection="0"/>
    <xf numFmtId="43" fontId="29" fillId="0" borderId="0" applyFont="0" applyFill="0" applyBorder="0" applyAlignment="0" applyProtection="0"/>
    <xf numFmtId="6" fontId="48"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29" fillId="0" borderId="0"/>
    <xf numFmtId="0" fontId="47" fillId="0" borderId="0">
      <alignment vertical="top"/>
    </xf>
    <xf numFmtId="0" fontId="47" fillId="0" borderId="0">
      <alignment vertical="top"/>
    </xf>
    <xf numFmtId="0" fontId="47" fillId="0" borderId="0">
      <alignment vertical="top"/>
    </xf>
    <xf numFmtId="0" fontId="7" fillId="0" borderId="0"/>
    <xf numFmtId="170" fontId="48" fillId="0" borderId="0" applyFont="0" applyFill="0" applyBorder="0" applyAlignment="0" applyProtection="0"/>
    <xf numFmtId="9" fontId="29" fillId="0" borderId="0" applyFont="0" applyFill="0" applyBorder="0" applyAlignment="0" applyProtection="0"/>
    <xf numFmtId="0" fontId="8" fillId="0" borderId="0"/>
    <xf numFmtId="43" fontId="8" fillId="0" borderId="0" applyFont="0" applyFill="0" applyBorder="0" applyAlignment="0" applyProtection="0"/>
    <xf numFmtId="164" fontId="15" fillId="0" borderId="0"/>
    <xf numFmtId="0" fontId="20" fillId="0" borderId="0" applyNumberFormat="0" applyFill="0" applyBorder="0" applyAlignment="0" applyProtection="0">
      <alignment vertical="top"/>
      <protection locked="0"/>
    </xf>
    <xf numFmtId="0" fontId="23" fillId="0" borderId="0" applyNumberFormat="0" applyFill="0" applyBorder="0" applyAlignment="0" applyProtection="0"/>
    <xf numFmtId="0" fontId="40" fillId="14" borderId="19" applyNumberFormat="0" applyAlignment="0" applyProtection="0"/>
    <xf numFmtId="0" fontId="33" fillId="27" borderId="19" applyNumberFormat="0" applyAlignment="0" applyProtection="0"/>
    <xf numFmtId="0" fontId="29" fillId="30" borderId="20" applyNumberFormat="0" applyFont="0" applyAlignment="0" applyProtection="0"/>
    <xf numFmtId="0" fontId="40" fillId="14" borderId="61" applyNumberFormat="0" applyAlignment="0" applyProtection="0"/>
    <xf numFmtId="0" fontId="33" fillId="27" borderId="57" applyNumberFormat="0" applyAlignment="0" applyProtection="0"/>
    <xf numFmtId="0" fontId="40" fillId="14" borderId="57" applyNumberFormat="0" applyAlignment="0" applyProtection="0"/>
    <xf numFmtId="0" fontId="29" fillId="30" borderId="58" applyNumberFormat="0" applyFont="0" applyAlignment="0" applyProtection="0"/>
    <xf numFmtId="0" fontId="43" fillId="27" borderId="59" applyNumberFormat="0" applyAlignment="0" applyProtection="0"/>
    <xf numFmtId="0" fontId="45" fillId="0" borderId="60" applyNumberFormat="0" applyFill="0" applyAlignment="0" applyProtection="0"/>
    <xf numFmtId="0" fontId="29" fillId="30" borderId="62" applyNumberFormat="0" applyFont="0" applyAlignment="0" applyProtection="0"/>
    <xf numFmtId="0" fontId="45" fillId="0" borderId="64" applyNumberFormat="0" applyFill="0" applyAlignment="0" applyProtection="0"/>
    <xf numFmtId="0" fontId="43" fillId="27" borderId="63" applyNumberFormat="0" applyAlignment="0" applyProtection="0"/>
    <xf numFmtId="0" fontId="33" fillId="27" borderId="61" applyNumberFormat="0" applyAlignment="0" applyProtection="0"/>
    <xf numFmtId="0" fontId="5" fillId="0" borderId="0"/>
    <xf numFmtId="0" fontId="40" fillId="14" borderId="57" applyNumberFormat="0" applyAlignment="0" applyProtection="0"/>
    <xf numFmtId="0" fontId="33" fillId="27" borderId="57" applyNumberFormat="0" applyAlignment="0" applyProtection="0"/>
    <xf numFmtId="0" fontId="29" fillId="30" borderId="58" applyNumberFormat="0" applyFont="0" applyAlignment="0" applyProtection="0"/>
    <xf numFmtId="0" fontId="40" fillId="14" borderId="61" applyNumberFormat="0" applyAlignment="0" applyProtection="0"/>
    <xf numFmtId="0" fontId="33" fillId="27" borderId="61" applyNumberFormat="0" applyAlignment="0" applyProtection="0"/>
    <xf numFmtId="0" fontId="29" fillId="30" borderId="62" applyNumberFormat="0" applyFont="0" applyAlignment="0" applyProtection="0"/>
    <xf numFmtId="0" fontId="33" fillId="27" borderId="61" applyNumberFormat="0" applyAlignment="0" applyProtection="0"/>
    <xf numFmtId="0" fontId="40" fillId="14" borderId="61" applyNumberFormat="0" applyAlignment="0" applyProtection="0"/>
    <xf numFmtId="0" fontId="29" fillId="30" borderId="62" applyNumberFormat="0" applyFont="0" applyAlignment="0" applyProtection="0"/>
    <xf numFmtId="0" fontId="43" fillId="27" borderId="63" applyNumberFormat="0" applyAlignment="0" applyProtection="0"/>
    <xf numFmtId="0" fontId="45" fillId="0" borderId="64" applyNumberFormat="0" applyFill="0" applyAlignment="0" applyProtection="0"/>
    <xf numFmtId="0" fontId="40" fillId="14" borderId="61" applyNumberFormat="0" applyAlignment="0" applyProtection="0"/>
    <xf numFmtId="0" fontId="33" fillId="27" borderId="61" applyNumberFormat="0" applyAlignment="0" applyProtection="0"/>
    <xf numFmtId="0" fontId="29" fillId="30" borderId="62" applyNumberFormat="0" applyFont="0" applyAlignment="0" applyProtection="0"/>
    <xf numFmtId="0" fontId="4" fillId="0" borderId="0"/>
    <xf numFmtId="0" fontId="4" fillId="0" borderId="0"/>
  </cellStyleXfs>
  <cellXfs count="847">
    <xf numFmtId="0" fontId="0" fillId="0" borderId="0" xfId="0"/>
    <xf numFmtId="0" fontId="9" fillId="0" borderId="0" xfId="0" applyFont="1"/>
    <xf numFmtId="0" fontId="9" fillId="0" borderId="2" xfId="0" applyFont="1" applyBorder="1" applyAlignment="1">
      <alignment wrapText="1"/>
    </xf>
    <xf numFmtId="0" fontId="0" fillId="0" borderId="2" xfId="0" applyBorder="1"/>
    <xf numFmtId="165" fontId="8" fillId="0" borderId="0" xfId="1" applyNumberFormat="1" applyFont="1"/>
    <xf numFmtId="10" fontId="8" fillId="0" borderId="0" xfId="3" applyNumberFormat="1" applyFont="1"/>
    <xf numFmtId="9" fontId="8" fillId="0" borderId="0" xfId="3" applyFont="1"/>
    <xf numFmtId="165" fontId="8" fillId="0" borderId="0" xfId="1" applyNumberFormat="1" applyFont="1"/>
    <xf numFmtId="165" fontId="8" fillId="0" borderId="6" xfId="1" applyNumberFormat="1" applyFont="1" applyBorder="1"/>
    <xf numFmtId="165" fontId="8" fillId="0" borderId="0" xfId="1" applyNumberFormat="1" applyFont="1"/>
    <xf numFmtId="165" fontId="9" fillId="0" borderId="0" xfId="1" applyNumberFormat="1" applyFont="1"/>
    <xf numFmtId="165" fontId="9" fillId="3" borderId="7" xfId="1" applyNumberFormat="1" applyFont="1" applyFill="1" applyBorder="1"/>
    <xf numFmtId="165" fontId="0" fillId="0" borderId="0" xfId="0" applyNumberFormat="1"/>
    <xf numFmtId="165" fontId="8" fillId="0" borderId="0" xfId="1" applyNumberFormat="1" applyFont="1" applyBorder="1"/>
    <xf numFmtId="165" fontId="9" fillId="0" borderId="0" xfId="1" applyNumberFormat="1" applyFont="1" applyFill="1" applyBorder="1"/>
    <xf numFmtId="0" fontId="0" fillId="0" borderId="0" xfId="0" applyFont="1"/>
    <xf numFmtId="165" fontId="8" fillId="0" borderId="3" xfId="1" applyNumberFormat="1" applyFont="1" applyFill="1" applyBorder="1"/>
    <xf numFmtId="165" fontId="8" fillId="0" borderId="0" xfId="1" applyNumberFormat="1" applyFont="1" applyFill="1" applyBorder="1"/>
    <xf numFmtId="165" fontId="8" fillId="0" borderId="0" xfId="1" applyNumberFormat="1" applyFont="1"/>
    <xf numFmtId="0" fontId="13" fillId="0" borderId="0" xfId="0" applyFont="1"/>
    <xf numFmtId="0" fontId="9" fillId="0" borderId="1" xfId="0" applyFont="1" applyBorder="1" applyAlignment="1">
      <alignment horizontal="center"/>
    </xf>
    <xf numFmtId="5" fontId="0" fillId="0" borderId="1" xfId="2" applyNumberFormat="1" applyFont="1" applyBorder="1"/>
    <xf numFmtId="166" fontId="9" fillId="2" borderId="1" xfId="0" applyNumberFormat="1" applyFont="1" applyFill="1" applyBorder="1"/>
    <xf numFmtId="166" fontId="9" fillId="0" borderId="1" xfId="2" applyNumberFormat="1" applyFont="1" applyFill="1" applyBorder="1"/>
    <xf numFmtId="5" fontId="0" fillId="0" borderId="1" xfId="0" applyNumberFormat="1" applyBorder="1"/>
    <xf numFmtId="0" fontId="0" fillId="0" borderId="0" xfId="0" applyAlignment="1">
      <alignment horizontal="center"/>
    </xf>
    <xf numFmtId="166" fontId="9" fillId="2" borderId="1" xfId="2" applyNumberFormat="1" applyFont="1" applyFill="1" applyBorder="1"/>
    <xf numFmtId="5" fontId="0" fillId="0" borderId="1" xfId="2" applyNumberFormat="1" applyFont="1" applyFill="1" applyBorder="1"/>
    <xf numFmtId="165" fontId="9" fillId="0" borderId="7" xfId="1" applyNumberFormat="1" applyFont="1" applyFill="1" applyBorder="1"/>
    <xf numFmtId="165" fontId="8" fillId="0" borderId="0" xfId="1" applyNumberFormat="1" applyFont="1" applyFill="1"/>
    <xf numFmtId="10" fontId="8" fillId="0" borderId="0" xfId="3" applyNumberFormat="1" applyFont="1" applyFill="1"/>
    <xf numFmtId="9" fontId="8" fillId="0" borderId="0" xfId="3" applyFont="1" applyFill="1"/>
    <xf numFmtId="3" fontId="19" fillId="0" borderId="0" xfId="4" applyNumberFormat="1" applyFont="1"/>
    <xf numFmtId="164" fontId="15" fillId="0" borderId="0" xfId="4"/>
    <xf numFmtId="3" fontId="19" fillId="0" borderId="0" xfId="4" applyNumberFormat="1" applyFont="1" applyFill="1"/>
    <xf numFmtId="164" fontId="19" fillId="0" borderId="0" xfId="4" applyFont="1" applyFill="1"/>
    <xf numFmtId="164" fontId="15" fillId="0" borderId="0" xfId="4" applyFill="1"/>
    <xf numFmtId="3" fontId="19" fillId="0" borderId="0" xfId="4" applyNumberFormat="1" applyFont="1" applyFill="1" applyAlignment="1">
      <alignment horizontal="center"/>
    </xf>
    <xf numFmtId="164" fontId="21" fillId="0" borderId="0" xfId="10" applyNumberFormat="1" applyFont="1" applyFill="1" applyBorder="1"/>
    <xf numFmtId="3" fontId="19" fillId="0" borderId="0" xfId="4" applyNumberFormat="1" applyFont="1" applyFill="1" applyAlignment="1"/>
    <xf numFmtId="164" fontId="15" fillId="0" borderId="0" xfId="4" applyFont="1" applyFill="1"/>
    <xf numFmtId="164" fontId="15" fillId="0" borderId="0" xfId="4" applyFont="1"/>
    <xf numFmtId="164" fontId="21" fillId="0" borderId="0" xfId="10" applyNumberFormat="1" applyFont="1" applyBorder="1"/>
    <xf numFmtId="164" fontId="19" fillId="0" borderId="0" xfId="4" applyFont="1"/>
    <xf numFmtId="3" fontId="19" fillId="0" borderId="0" xfId="4" applyNumberFormat="1" applyFont="1" applyAlignment="1">
      <alignment horizontal="center"/>
    </xf>
    <xf numFmtId="3" fontId="19" fillId="0" borderId="0" xfId="4" applyNumberFormat="1" applyFont="1" applyAlignment="1"/>
    <xf numFmtId="166" fontId="9" fillId="8" borderId="1" xfId="0" applyNumberFormat="1" applyFont="1" applyFill="1" applyBorder="1"/>
    <xf numFmtId="165" fontId="51" fillId="0" borderId="0" xfId="1" applyNumberFormat="1" applyFont="1"/>
    <xf numFmtId="9" fontId="51" fillId="0" borderId="0" xfId="3" applyFont="1"/>
    <xf numFmtId="0" fontId="51" fillId="0" borderId="0" xfId="0" applyFont="1"/>
    <xf numFmtId="165" fontId="51" fillId="0" borderId="0" xfId="1" applyNumberFormat="1" applyFont="1" applyBorder="1"/>
    <xf numFmtId="171" fontId="8" fillId="0" borderId="0" xfId="3" applyNumberFormat="1" applyFont="1"/>
    <xf numFmtId="0" fontId="0" fillId="0" borderId="0" xfId="0" applyFont="1" applyAlignment="1">
      <alignment horizontal="right"/>
    </xf>
    <xf numFmtId="0" fontId="0" fillId="0" borderId="0" xfId="0" applyAlignment="1">
      <alignment horizontal="left" wrapText="1"/>
    </xf>
    <xf numFmtId="164" fontId="15" fillId="0" borderId="0" xfId="4" applyFill="1" applyAlignment="1">
      <alignment wrapText="1"/>
    </xf>
    <xf numFmtId="0" fontId="52" fillId="0" borderId="0" xfId="0" applyFont="1"/>
    <xf numFmtId="0" fontId="0" fillId="0" borderId="0" xfId="0" applyAlignment="1">
      <alignment wrapText="1"/>
    </xf>
    <xf numFmtId="164" fontId="15" fillId="0" borderId="0" xfId="4" applyAlignment="1">
      <alignment wrapText="1"/>
    </xf>
    <xf numFmtId="3" fontId="19" fillId="0" borderId="0" xfId="4" applyNumberFormat="1" applyFont="1" applyFill="1" applyAlignment="1">
      <alignment wrapText="1"/>
    </xf>
    <xf numFmtId="164" fontId="19" fillId="0" borderId="0" xfId="4" applyFont="1" applyFill="1" applyAlignment="1">
      <alignment wrapText="1"/>
    </xf>
    <xf numFmtId="164" fontId="15" fillId="6" borderId="0" xfId="4" applyFill="1" applyAlignment="1">
      <alignment wrapText="1"/>
    </xf>
    <xf numFmtId="164" fontId="15" fillId="0" borderId="0" xfId="4" applyFont="1" applyFill="1" applyAlignment="1">
      <alignment wrapText="1"/>
    </xf>
    <xf numFmtId="164" fontId="15" fillId="0" borderId="0" xfId="4" applyFont="1" applyAlignment="1">
      <alignment wrapText="1"/>
    </xf>
    <xf numFmtId="164" fontId="21" fillId="0" borderId="0" xfId="10" applyNumberFormat="1" applyFont="1" applyBorder="1" applyAlignment="1">
      <alignment wrapText="1"/>
    </xf>
    <xf numFmtId="3" fontId="19" fillId="0" borderId="0" xfId="4" applyNumberFormat="1" applyFont="1" applyAlignment="1">
      <alignment wrapText="1"/>
    </xf>
    <xf numFmtId="0" fontId="9" fillId="0" borderId="0" xfId="0" applyFont="1" applyAlignment="1">
      <alignment horizontal="right"/>
    </xf>
    <xf numFmtId="164" fontId="55" fillId="0" borderId="0" xfId="4" applyFont="1" applyFill="1" applyAlignment="1">
      <alignment horizontal="center"/>
    </xf>
    <xf numFmtId="164" fontId="56" fillId="0" borderId="0" xfId="4" applyFont="1" applyFill="1"/>
    <xf numFmtId="164" fontId="55" fillId="0" borderId="0" xfId="4" applyFont="1" applyFill="1"/>
    <xf numFmtId="164" fontId="55" fillId="0" borderId="28" xfId="4" applyFont="1" applyFill="1" applyBorder="1"/>
    <xf numFmtId="164" fontId="27" fillId="0" borderId="30" xfId="4" applyFont="1" applyFill="1" applyBorder="1" applyAlignment="1">
      <alignment horizontal="center" wrapText="1"/>
    </xf>
    <xf numFmtId="164" fontId="55" fillId="0" borderId="30" xfId="4" applyFont="1" applyFill="1" applyBorder="1" applyAlignment="1">
      <alignment horizontal="center"/>
    </xf>
    <xf numFmtId="0" fontId="58" fillId="0" borderId="0" xfId="0" applyFont="1" applyFill="1" applyAlignment="1"/>
    <xf numFmtId="3" fontId="55" fillId="0" borderId="28" xfId="4" applyNumberFormat="1" applyFont="1" applyFill="1" applyBorder="1"/>
    <xf numFmtId="164" fontId="55" fillId="0" borderId="0" xfId="4" applyFont="1" applyFill="1" applyBorder="1"/>
    <xf numFmtId="3" fontId="55" fillId="0" borderId="0" xfId="4" applyNumberFormat="1" applyFont="1" applyFill="1" applyBorder="1" applyAlignment="1">
      <alignment horizontal="right"/>
    </xf>
    <xf numFmtId="0" fontId="57" fillId="0" borderId="0" xfId="0" applyFont="1" applyFill="1" applyBorder="1" applyAlignment="1">
      <alignment horizontal="right"/>
    </xf>
    <xf numFmtId="3" fontId="55" fillId="0" borderId="0" xfId="4" applyNumberFormat="1" applyFont="1" applyFill="1" applyBorder="1"/>
    <xf numFmtId="164" fontId="55" fillId="0" borderId="30" xfId="4" applyFont="1" applyFill="1" applyBorder="1"/>
    <xf numFmtId="3" fontId="55" fillId="0" borderId="30" xfId="4" applyNumberFormat="1" applyFont="1" applyFill="1" applyBorder="1"/>
    <xf numFmtId="164" fontId="55" fillId="0" borderId="0" xfId="4" applyFont="1" applyFill="1" applyBorder="1" applyAlignment="1">
      <alignment horizontal="center"/>
    </xf>
    <xf numFmtId="164" fontId="55" fillId="0" borderId="35" xfId="4" applyFont="1" applyFill="1" applyBorder="1"/>
    <xf numFmtId="3" fontId="55" fillId="0" borderId="35" xfId="4" applyNumberFormat="1" applyFont="1" applyFill="1" applyBorder="1"/>
    <xf numFmtId="164" fontId="55" fillId="0" borderId="40" xfId="4" applyFont="1" applyFill="1" applyBorder="1"/>
    <xf numFmtId="0" fontId="0" fillId="0" borderId="33" xfId="0" applyFill="1" applyBorder="1" applyAlignment="1">
      <alignment horizontal="center" vertical="center" textRotation="45" shrinkToFit="1"/>
    </xf>
    <xf numFmtId="0" fontId="0" fillId="0" borderId="33" xfId="0" applyFill="1" applyBorder="1" applyAlignment="1">
      <alignment textRotation="45" shrinkToFit="1"/>
    </xf>
    <xf numFmtId="0" fontId="0" fillId="0" borderId="33" xfId="0" applyFill="1" applyBorder="1" applyAlignment="1">
      <alignment textRotation="39" shrinkToFit="1"/>
    </xf>
    <xf numFmtId="0" fontId="0" fillId="0" borderId="5" xfId="0" applyFill="1" applyBorder="1" applyAlignment="1">
      <alignment horizontal="center" vertical="center" textRotation="45" shrinkToFit="1"/>
    </xf>
    <xf numFmtId="0" fontId="0" fillId="0" borderId="33" xfId="0" applyFill="1" applyBorder="1" applyAlignment="1">
      <alignment shrinkToFit="1"/>
    </xf>
    <xf numFmtId="0" fontId="0" fillId="0" borderId="33" xfId="0" applyFill="1" applyBorder="1" applyAlignment="1">
      <alignment vertical="center" shrinkToFit="1"/>
    </xf>
    <xf numFmtId="164" fontId="59" fillId="0" borderId="33" xfId="4" applyFont="1" applyFill="1" applyBorder="1" applyAlignment="1">
      <alignment wrapText="1"/>
    </xf>
    <xf numFmtId="164" fontId="55" fillId="0" borderId="42" xfId="4" applyFont="1" applyFill="1" applyBorder="1"/>
    <xf numFmtId="164" fontId="55" fillId="0" borderId="29" xfId="4" applyFont="1" applyFill="1" applyBorder="1"/>
    <xf numFmtId="164" fontId="55" fillId="0" borderId="41" xfId="4" applyFont="1" applyFill="1" applyBorder="1"/>
    <xf numFmtId="164" fontId="55" fillId="0" borderId="41" xfId="4" applyFont="1" applyFill="1" applyBorder="1" applyAlignment="1">
      <alignment horizontal="center"/>
    </xf>
    <xf numFmtId="164" fontId="55" fillId="0" borderId="44" xfId="4" applyFont="1" applyFill="1" applyBorder="1"/>
    <xf numFmtId="0" fontId="0" fillId="0" borderId="0" xfId="0" applyAlignment="1">
      <alignment horizontal="right"/>
    </xf>
    <xf numFmtId="0" fontId="11" fillId="0" borderId="0" xfId="0" applyFont="1"/>
    <xf numFmtId="0" fontId="63" fillId="0" borderId="0" xfId="0" applyFont="1"/>
    <xf numFmtId="0" fontId="25" fillId="0" borderId="0" xfId="0" applyFont="1" applyFill="1"/>
    <xf numFmtId="165" fontId="25" fillId="0" borderId="0" xfId="1" applyNumberFormat="1" applyFont="1"/>
    <xf numFmtId="0" fontId="25" fillId="0" borderId="0" xfId="0" applyFont="1"/>
    <xf numFmtId="171" fontId="8" fillId="0" borderId="0" xfId="2" applyNumberFormat="1" applyFont="1" applyFill="1"/>
    <xf numFmtId="171" fontId="8" fillId="0" borderId="0" xfId="2" applyNumberFormat="1" applyFont="1"/>
    <xf numFmtId="171" fontId="8" fillId="0" borderId="6" xfId="2" applyNumberFormat="1" applyFont="1" applyBorder="1"/>
    <xf numFmtId="171" fontId="8" fillId="0" borderId="0" xfId="2" applyNumberFormat="1" applyFont="1" applyFill="1" applyBorder="1"/>
    <xf numFmtId="171" fontId="9" fillId="0" borderId="0" xfId="2" applyNumberFormat="1" applyFont="1" applyFill="1" applyBorder="1"/>
    <xf numFmtId="171" fontId="9" fillId="0" borderId="7" xfId="2" applyNumberFormat="1" applyFont="1" applyFill="1" applyBorder="1"/>
    <xf numFmtId="171" fontId="8" fillId="0" borderId="0" xfId="1" applyNumberFormat="1" applyFont="1"/>
    <xf numFmtId="171" fontId="9" fillId="0" borderId="7" xfId="1" applyNumberFormat="1" applyFont="1" applyFill="1" applyBorder="1"/>
    <xf numFmtId="171" fontId="8" fillId="0" borderId="0" xfId="1" applyNumberFormat="1" applyFont="1" applyFill="1"/>
    <xf numFmtId="0" fontId="17" fillId="0" borderId="0" xfId="0" applyFont="1" applyAlignment="1">
      <alignment horizontal="right"/>
    </xf>
    <xf numFmtId="0" fontId="61" fillId="0" borderId="0" xfId="0" applyFont="1"/>
    <xf numFmtId="171" fontId="8" fillId="0" borderId="48" xfId="1" applyNumberFormat="1" applyFont="1" applyFill="1" applyBorder="1"/>
    <xf numFmtId="171" fontId="9" fillId="0" borderId="48" xfId="1" applyNumberFormat="1" applyFont="1" applyFill="1" applyBorder="1"/>
    <xf numFmtId="6" fontId="9" fillId="3" borderId="48" xfId="1" applyNumberFormat="1" applyFont="1" applyFill="1" applyBorder="1"/>
    <xf numFmtId="171" fontId="8" fillId="0" borderId="48" xfId="1" applyNumberFormat="1" applyFont="1" applyBorder="1"/>
    <xf numFmtId="171" fontId="9" fillId="3" borderId="48" xfId="1" applyNumberFormat="1" applyFont="1" applyFill="1" applyBorder="1"/>
    <xf numFmtId="0" fontId="0" fillId="0" borderId="0" xfId="0" applyFill="1" applyAlignment="1">
      <alignment horizontal="right"/>
    </xf>
    <xf numFmtId="0" fontId="9" fillId="3" borderId="48" xfId="0" applyFont="1" applyFill="1" applyBorder="1" applyAlignment="1">
      <alignment horizontal="right"/>
    </xf>
    <xf numFmtId="9" fontId="9" fillId="3" borderId="48" xfId="1" applyNumberFormat="1" applyFont="1" applyFill="1" applyBorder="1"/>
    <xf numFmtId="9" fontId="9" fillId="3" borderId="48" xfId="0" applyNumberFormat="1" applyFont="1" applyFill="1" applyBorder="1"/>
    <xf numFmtId="0" fontId="51" fillId="0" borderId="0" xfId="0" applyFont="1" applyAlignment="1">
      <alignment horizontal="right"/>
    </xf>
    <xf numFmtId="6" fontId="9" fillId="0" borderId="48" xfId="1" applyNumberFormat="1" applyFont="1" applyBorder="1"/>
    <xf numFmtId="0" fontId="25" fillId="0" borderId="0" xfId="0" applyFont="1" applyAlignment="1">
      <alignment horizontal="right"/>
    </xf>
    <xf numFmtId="0" fontId="0" fillId="33" borderId="0" xfId="0" applyFill="1"/>
    <xf numFmtId="165" fontId="8" fillId="33" borderId="0" xfId="1" applyNumberFormat="1" applyFont="1" applyFill="1"/>
    <xf numFmtId="0" fontId="0" fillId="33" borderId="0" xfId="0" applyFill="1" applyAlignment="1">
      <alignment horizontal="right"/>
    </xf>
    <xf numFmtId="0" fontId="9" fillId="33" borderId="0" xfId="0" applyFont="1" applyFill="1" applyAlignment="1">
      <alignment horizontal="right"/>
    </xf>
    <xf numFmtId="165" fontId="9" fillId="33" borderId="0" xfId="1" applyNumberFormat="1" applyFont="1" applyFill="1"/>
    <xf numFmtId="165" fontId="9" fillId="33" borderId="0" xfId="1" applyNumberFormat="1" applyFont="1" applyFill="1" applyBorder="1"/>
    <xf numFmtId="0" fontId="9" fillId="33" borderId="0" xfId="0" applyFont="1" applyFill="1"/>
    <xf numFmtId="0" fontId="61" fillId="2" borderId="49" xfId="0" applyFont="1" applyFill="1" applyBorder="1" applyAlignment="1">
      <alignment horizontal="center" wrapText="1"/>
    </xf>
    <xf numFmtId="165" fontId="61" fillId="8" borderId="48" xfId="1" applyNumberFormat="1" applyFont="1" applyFill="1" applyBorder="1" applyAlignment="1">
      <alignment horizontal="center" wrapText="1"/>
    </xf>
    <xf numFmtId="165" fontId="61" fillId="0" borderId="0" xfId="1" applyNumberFormat="1" applyFont="1"/>
    <xf numFmtId="0" fontId="61" fillId="2" borderId="1" xfId="0" applyFont="1" applyFill="1" applyBorder="1" applyAlignment="1">
      <alignment horizontal="center" wrapText="1"/>
    </xf>
    <xf numFmtId="0" fontId="61" fillId="8" borderId="48" xfId="0" applyFont="1" applyFill="1" applyBorder="1" applyAlignment="1">
      <alignment horizontal="center" wrapText="1"/>
    </xf>
    <xf numFmtId="0" fontId="0" fillId="0" borderId="0" xfId="0" applyAlignment="1">
      <alignment horizontal="right"/>
    </xf>
    <xf numFmtId="37" fontId="8" fillId="0" borderId="6" xfId="1" applyNumberFormat="1" applyFont="1" applyBorder="1"/>
    <xf numFmtId="0" fontId="5" fillId="0" borderId="0" xfId="0" applyFont="1"/>
    <xf numFmtId="172" fontId="0" fillId="0" borderId="0" xfId="0" applyNumberFormat="1"/>
    <xf numFmtId="172" fontId="8" fillId="0" borderId="48" xfId="3" applyNumberFormat="1" applyFont="1" applyBorder="1"/>
    <xf numFmtId="0" fontId="61" fillId="0" borderId="0" xfId="0" applyFont="1" applyFill="1" applyBorder="1" applyAlignment="1">
      <alignment horizontal="left" wrapText="1"/>
    </xf>
    <xf numFmtId="3" fontId="9" fillId="0" borderId="0" xfId="3" applyNumberFormat="1" applyFont="1" applyFill="1" applyBorder="1" applyAlignment="1">
      <alignment horizontal="left"/>
    </xf>
    <xf numFmtId="10" fontId="9" fillId="0" borderId="0" xfId="0" applyNumberFormat="1" applyFont="1" applyFill="1" applyBorder="1"/>
    <xf numFmtId="0" fontId="61" fillId="0" borderId="8" xfId="0" applyFont="1" applyBorder="1"/>
    <xf numFmtId="165" fontId="8" fillId="0" borderId="8" xfId="1" applyNumberFormat="1" applyFont="1" applyBorder="1"/>
    <xf numFmtId="0" fontId="9" fillId="0" borderId="8" xfId="0" applyFont="1" applyBorder="1"/>
    <xf numFmtId="0" fontId="61" fillId="0" borderId="0" xfId="0" applyFont="1" applyBorder="1"/>
    <xf numFmtId="172" fontId="11" fillId="0" borderId="0" xfId="1" applyNumberFormat="1" applyFont="1" applyBorder="1"/>
    <xf numFmtId="0" fontId="9" fillId="0" borderId="0" xfId="0" applyFont="1" applyBorder="1"/>
    <xf numFmtId="0" fontId="9" fillId="0" borderId="56" xfId="0" applyFont="1" applyBorder="1" applyAlignment="1">
      <alignment horizontal="right"/>
    </xf>
    <xf numFmtId="165" fontId="5" fillId="0" borderId="0" xfId="1" applyNumberFormat="1" applyFont="1"/>
    <xf numFmtId="0" fontId="13" fillId="2" borderId="21" xfId="0" applyFont="1" applyFill="1" applyBorder="1" applyAlignment="1">
      <alignment horizontal="center" wrapText="1"/>
    </xf>
    <xf numFmtId="0" fontId="5" fillId="2" borderId="21" xfId="0" applyFont="1" applyFill="1" applyBorder="1" applyAlignment="1">
      <alignment horizontal="center" wrapText="1"/>
    </xf>
    <xf numFmtId="0" fontId="5" fillId="0" borderId="8" xfId="0" applyFont="1" applyBorder="1"/>
    <xf numFmtId="0" fontId="5" fillId="0" borderId="21" xfId="0" applyFont="1" applyBorder="1"/>
    <xf numFmtId="165" fontId="5" fillId="0" borderId="21" xfId="1" applyNumberFormat="1" applyFont="1" applyBorder="1"/>
    <xf numFmtId="9" fontId="5" fillId="0" borderId="22" xfId="3" applyFont="1" applyBorder="1"/>
    <xf numFmtId="9" fontId="5" fillId="0" borderId="23" xfId="3" applyFont="1" applyBorder="1"/>
    <xf numFmtId="165" fontId="5" fillId="0" borderId="23" xfId="1" applyNumberFormat="1" applyFont="1" applyBorder="1"/>
    <xf numFmtId="10" fontId="5" fillId="0" borderId="23" xfId="3" applyNumberFormat="1" applyFont="1" applyBorder="1"/>
    <xf numFmtId="165" fontId="5" fillId="0" borderId="26" xfId="1" applyNumberFormat="1" applyFont="1" applyBorder="1"/>
    <xf numFmtId="0" fontId="13" fillId="0" borderId="21" xfId="0" applyFont="1" applyBorder="1" applyAlignment="1">
      <alignment horizontal="right"/>
    </xf>
    <xf numFmtId="165" fontId="5" fillId="0" borderId="4" xfId="1" applyNumberFormat="1" applyFont="1" applyBorder="1"/>
    <xf numFmtId="165" fontId="5" fillId="0" borderId="21" xfId="1" applyNumberFormat="1" applyFont="1" applyFill="1" applyBorder="1"/>
    <xf numFmtId="9" fontId="5" fillId="0" borderId="23" xfId="3" applyFont="1" applyFill="1" applyBorder="1"/>
    <xf numFmtId="171" fontId="5" fillId="0" borderId="0" xfId="0" applyNumberFormat="1" applyFont="1" applyAlignment="1">
      <alignment horizontal="right"/>
    </xf>
    <xf numFmtId="9" fontId="5" fillId="0" borderId="4" xfId="3" applyFont="1" applyFill="1" applyBorder="1"/>
    <xf numFmtId="0" fontId="5" fillId="0" borderId="21" xfId="0" applyFont="1" applyBorder="1" applyAlignment="1">
      <alignment horizontal="right"/>
    </xf>
    <xf numFmtId="165" fontId="5" fillId="0" borderId="24" xfId="1" applyNumberFormat="1" applyFont="1" applyFill="1" applyBorder="1"/>
    <xf numFmtId="9" fontId="5" fillId="0" borderId="6" xfId="3" applyFont="1" applyFill="1" applyBorder="1"/>
    <xf numFmtId="165" fontId="5" fillId="0" borderId="25" xfId="1" applyNumberFormat="1" applyFont="1" applyFill="1" applyBorder="1"/>
    <xf numFmtId="165" fontId="5" fillId="0" borderId="24" xfId="1" applyNumberFormat="1" applyFont="1" applyBorder="1"/>
    <xf numFmtId="165" fontId="5" fillId="0" borderId="6" xfId="1" applyNumberFormat="1" applyFont="1" applyBorder="1"/>
    <xf numFmtId="165" fontId="5" fillId="0" borderId="0" xfId="1" applyNumberFormat="1" applyFont="1" applyFill="1" applyBorder="1"/>
    <xf numFmtId="0" fontId="13" fillId="7" borderId="0" xfId="0" applyFont="1" applyFill="1" applyAlignment="1">
      <alignment horizontal="right"/>
    </xf>
    <xf numFmtId="165" fontId="13" fillId="7" borderId="0" xfId="1" applyNumberFormat="1" applyFont="1" applyFill="1"/>
    <xf numFmtId="165" fontId="13" fillId="7" borderId="0" xfId="1" applyNumberFormat="1" applyFont="1" applyFill="1" applyBorder="1"/>
    <xf numFmtId="165" fontId="13" fillId="7" borderId="7" xfId="1" applyNumberFormat="1" applyFont="1" applyFill="1" applyBorder="1"/>
    <xf numFmtId="165" fontId="13" fillId="0" borderId="0" xfId="1" applyNumberFormat="1" applyFont="1"/>
    <xf numFmtId="165" fontId="13" fillId="0" borderId="0" xfId="1" applyNumberFormat="1" applyFont="1" applyFill="1" applyBorder="1"/>
    <xf numFmtId="0" fontId="65" fillId="0" borderId="0" xfId="0" applyFont="1"/>
    <xf numFmtId="165" fontId="5" fillId="0" borderId="0" xfId="0" applyNumberFormat="1" applyFont="1"/>
    <xf numFmtId="165" fontId="5" fillId="0" borderId="0" xfId="1" applyNumberFormat="1" applyFont="1" applyBorder="1"/>
    <xf numFmtId="0" fontId="13" fillId="0" borderId="0" xfId="0" applyFont="1" applyFill="1" applyBorder="1"/>
    <xf numFmtId="0" fontId="5" fillId="0" borderId="0" xfId="0" applyFont="1" applyFill="1" applyBorder="1"/>
    <xf numFmtId="0" fontId="5" fillId="0" borderId="0" xfId="0" applyFont="1" applyBorder="1"/>
    <xf numFmtId="0" fontId="9" fillId="0" borderId="0" xfId="0" applyFont="1" applyAlignment="1">
      <alignment horizontal="center" vertical="center" wrapText="1"/>
    </xf>
    <xf numFmtId="164" fontId="11" fillId="0" borderId="0" xfId="0" applyNumberFormat="1" applyFont="1" applyFill="1" applyBorder="1" applyAlignment="1">
      <alignment horizontal="center"/>
    </xf>
    <xf numFmtId="0" fontId="0" fillId="0" borderId="0" xfId="0" applyBorder="1"/>
    <xf numFmtId="0" fontId="0" fillId="0" borderId="0" xfId="0" applyFont="1"/>
    <xf numFmtId="165" fontId="8" fillId="0" borderId="0" xfId="1" applyNumberFormat="1" applyFont="1" applyFill="1" applyBorder="1"/>
    <xf numFmtId="0" fontId="24" fillId="0" borderId="0" xfId="0" applyFont="1" applyBorder="1" applyAlignment="1">
      <alignment horizontal="center"/>
    </xf>
    <xf numFmtId="5" fontId="25" fillId="0" borderId="0" xfId="2" applyNumberFormat="1" applyFont="1" applyBorder="1"/>
    <xf numFmtId="5" fontId="25" fillId="0" borderId="0" xfId="2" applyNumberFormat="1" applyFont="1" applyFill="1" applyBorder="1"/>
    <xf numFmtId="5" fontId="25" fillId="0" borderId="0" xfId="2" applyNumberFormat="1" applyFont="1" applyBorder="1" applyAlignment="1"/>
    <xf numFmtId="5" fontId="25" fillId="0" borderId="0" xfId="2" applyNumberFormat="1" applyFont="1" applyFill="1" applyBorder="1" applyAlignment="1"/>
    <xf numFmtId="0" fontId="22" fillId="31" borderId="0" xfId="0" applyFont="1" applyFill="1"/>
    <xf numFmtId="0" fontId="0" fillId="31" borderId="0" xfId="0" applyFill="1"/>
    <xf numFmtId="0" fontId="0" fillId="0" borderId="0" xfId="0" applyFill="1" applyBorder="1"/>
    <xf numFmtId="0" fontId="61" fillId="2" borderId="49" xfId="0" applyFont="1" applyFill="1" applyBorder="1" applyAlignment="1">
      <alignment horizontal="right" wrapText="1"/>
    </xf>
    <xf numFmtId="0" fontId="13" fillId="0" borderId="67" xfId="0" applyFont="1" applyFill="1" applyBorder="1" applyAlignment="1">
      <alignment horizontal="center" wrapText="1"/>
    </xf>
    <xf numFmtId="0" fontId="13" fillId="0" borderId="50" xfId="0" applyFont="1" applyFill="1" applyBorder="1" applyAlignment="1">
      <alignment horizontal="center" wrapText="1"/>
    </xf>
    <xf numFmtId="172" fontId="13" fillId="0" borderId="50" xfId="0" applyNumberFormat="1" applyFont="1" applyFill="1" applyBorder="1" applyAlignment="1">
      <alignment horizontal="center" wrapText="1"/>
    </xf>
    <xf numFmtId="0" fontId="13" fillId="0" borderId="50" xfId="0" applyFont="1" applyFill="1" applyBorder="1" applyAlignment="1" applyProtection="1">
      <alignment horizontal="center" wrapText="1"/>
      <protection locked="0"/>
    </xf>
    <xf numFmtId="0" fontId="6" fillId="0" borderId="69" xfId="0" applyFont="1" applyFill="1" applyBorder="1" applyAlignment="1">
      <alignment horizontal="center"/>
    </xf>
    <xf numFmtId="3" fontId="62" fillId="0" borderId="56" xfId="0" applyNumberFormat="1" applyFont="1" applyFill="1" applyBorder="1"/>
    <xf numFmtId="172" fontId="13" fillId="0" borderId="56" xfId="3" applyNumberFormat="1" applyFont="1" applyFill="1" applyBorder="1"/>
    <xf numFmtId="0" fontId="54" fillId="0" borderId="71" xfId="0" applyFont="1" applyFill="1" applyBorder="1" applyAlignment="1">
      <alignment horizontal="right"/>
    </xf>
    <xf numFmtId="3" fontId="54" fillId="0" borderId="26" xfId="0" applyNumberFormat="1" applyFont="1" applyFill="1" applyBorder="1"/>
    <xf numFmtId="172" fontId="54" fillId="0" borderId="26" xfId="3" applyNumberFormat="1" applyFont="1" applyFill="1" applyBorder="1"/>
    <xf numFmtId="3" fontId="54" fillId="0" borderId="26" xfId="3" applyNumberFormat="1" applyFont="1" applyFill="1" applyBorder="1"/>
    <xf numFmtId="172" fontId="13" fillId="0" borderId="26" xfId="3" applyNumberFormat="1" applyFont="1" applyFill="1" applyBorder="1"/>
    <xf numFmtId="3" fontId="54" fillId="0" borderId="26" xfId="0" applyNumberFormat="1" applyFont="1" applyFill="1" applyBorder="1" applyProtection="1">
      <protection locked="0"/>
    </xf>
    <xf numFmtId="0" fontId="0" fillId="0" borderId="0" xfId="0" applyFill="1" applyAlignment="1">
      <alignment horizontal="center"/>
    </xf>
    <xf numFmtId="0" fontId="0" fillId="0" borderId="0" xfId="0" applyFill="1"/>
    <xf numFmtId="172" fontId="0" fillId="0" borderId="0" xfId="0" applyNumberFormat="1" applyFill="1"/>
    <xf numFmtId="0" fontId="13" fillId="0" borderId="69" xfId="0" applyFont="1" applyFill="1" applyBorder="1" applyAlignment="1">
      <alignment horizontal="center" wrapText="1"/>
    </xf>
    <xf numFmtId="172" fontId="13" fillId="0" borderId="70" xfId="0" applyNumberFormat="1" applyFont="1" applyFill="1" applyBorder="1" applyAlignment="1">
      <alignment horizontal="center" wrapText="1"/>
    </xf>
    <xf numFmtId="172" fontId="13" fillId="0" borderId="70" xfId="3" applyNumberFormat="1" applyFont="1" applyFill="1" applyBorder="1"/>
    <xf numFmtId="172" fontId="54" fillId="0" borderId="72" xfId="3" applyNumberFormat="1" applyFont="1" applyFill="1" applyBorder="1"/>
    <xf numFmtId="0" fontId="9" fillId="34" borderId="1" xfId="0" applyFont="1" applyFill="1" applyBorder="1" applyAlignment="1">
      <alignment horizontal="center"/>
    </xf>
    <xf numFmtId="0" fontId="0" fillId="34" borderId="1" xfId="0" applyFill="1" applyBorder="1" applyAlignment="1">
      <alignment horizontal="center"/>
    </xf>
    <xf numFmtId="0" fontId="22" fillId="0" borderId="0" xfId="0" applyFont="1"/>
    <xf numFmtId="172" fontId="13" fillId="0" borderId="68" xfId="0" applyNumberFormat="1" applyFont="1" applyFill="1" applyBorder="1" applyAlignment="1">
      <alignment horizontal="center" wrapText="1"/>
    </xf>
    <xf numFmtId="3" fontId="13" fillId="0" borderId="65" xfId="3" applyNumberFormat="1" applyFont="1" applyFill="1" applyBorder="1"/>
    <xf numFmtId="172" fontId="13" fillId="0" borderId="65" xfId="3" applyNumberFormat="1" applyFont="1" applyFill="1" applyBorder="1"/>
    <xf numFmtId="3" fontId="62" fillId="0" borderId="65" xfId="0" applyNumberFormat="1" applyFont="1" applyFill="1" applyBorder="1"/>
    <xf numFmtId="3" fontId="53" fillId="0" borderId="65" xfId="0" applyNumberFormat="1" applyFont="1" applyFill="1" applyBorder="1" applyProtection="1">
      <protection locked="0"/>
    </xf>
    <xf numFmtId="172" fontId="0" fillId="0" borderId="0" xfId="0" applyNumberFormat="1" applyFill="1" applyBorder="1"/>
    <xf numFmtId="172" fontId="0" fillId="0" borderId="74" xfId="0" applyNumberFormat="1" applyFill="1" applyBorder="1"/>
    <xf numFmtId="0" fontId="0" fillId="0" borderId="75" xfId="0" applyFill="1" applyBorder="1" applyAlignment="1">
      <alignment horizontal="center"/>
    </xf>
    <xf numFmtId="0" fontId="0" fillId="0" borderId="76" xfId="0" applyFill="1" applyBorder="1"/>
    <xf numFmtId="172" fontId="0" fillId="0" borderId="76" xfId="0" applyNumberFormat="1" applyFill="1" applyBorder="1"/>
    <xf numFmtId="0" fontId="0" fillId="0" borderId="0" xfId="0" applyAlignment="1">
      <alignment horizontal="right"/>
    </xf>
    <xf numFmtId="3" fontId="0" fillId="0" borderId="0" xfId="0" applyNumberFormat="1"/>
    <xf numFmtId="3" fontId="9" fillId="0" borderId="0" xfId="0" applyNumberFormat="1" applyFont="1"/>
    <xf numFmtId="3" fontId="0" fillId="0" borderId="0" xfId="0" applyNumberFormat="1" applyFont="1"/>
    <xf numFmtId="9" fontId="0" fillId="0" borderId="0" xfId="0" applyNumberFormat="1"/>
    <xf numFmtId="171" fontId="0" fillId="0" borderId="0" xfId="0" applyNumberFormat="1"/>
    <xf numFmtId="173" fontId="0" fillId="0" borderId="0" xfId="0" applyNumberFormat="1" applyAlignment="1">
      <alignment horizontal="center"/>
    </xf>
    <xf numFmtId="6" fontId="9" fillId="0" borderId="0" xfId="0" applyNumberFormat="1" applyFont="1"/>
    <xf numFmtId="0" fontId="69" fillId="2" borderId="1" xfId="0" applyFont="1" applyFill="1" applyBorder="1" applyAlignment="1">
      <alignment horizontal="center" wrapText="1"/>
    </xf>
    <xf numFmtId="165" fontId="66" fillId="0" borderId="0" xfId="1" applyNumberFormat="1" applyFont="1"/>
    <xf numFmtId="10" fontId="66" fillId="0" borderId="0" xfId="3" applyNumberFormat="1" applyFont="1"/>
    <xf numFmtId="0" fontId="59" fillId="0" borderId="81" xfId="95" applyFont="1" applyBorder="1" applyAlignment="1">
      <alignment wrapText="1"/>
    </xf>
    <xf numFmtId="0" fontId="72" fillId="0" borderId="75" xfId="95" applyFont="1" applyBorder="1" applyAlignment="1">
      <alignment horizontal="center"/>
    </xf>
    <xf numFmtId="0" fontId="72" fillId="0" borderId="76" xfId="95" applyFont="1" applyBorder="1" applyAlignment="1">
      <alignment horizontal="center" wrapText="1"/>
    </xf>
    <xf numFmtId="0" fontId="72" fillId="0" borderId="82" xfId="95" quotePrefix="1" applyFont="1" applyFill="1" applyBorder="1" applyAlignment="1">
      <alignment horizontal="center"/>
    </xf>
    <xf numFmtId="0" fontId="27" fillId="0" borderId="0" xfId="95" applyFont="1" applyBorder="1"/>
    <xf numFmtId="0" fontId="27" fillId="0" borderId="0" xfId="95" applyFont="1"/>
    <xf numFmtId="0" fontId="59" fillId="32" borderId="83" xfId="95" applyFont="1" applyFill="1" applyBorder="1" applyAlignment="1">
      <alignment horizontal="center" vertical="center"/>
    </xf>
    <xf numFmtId="0" fontId="26" fillId="35" borderId="84" xfId="95" applyFont="1" applyFill="1" applyBorder="1" applyAlignment="1">
      <alignment horizontal="center"/>
    </xf>
    <xf numFmtId="171" fontId="26" fillId="35" borderId="4" xfId="43" applyNumberFormat="1" applyFont="1" applyFill="1" applyBorder="1"/>
    <xf numFmtId="171" fontId="26" fillId="35" borderId="85" xfId="95" applyNumberFormat="1" applyFont="1" applyFill="1" applyBorder="1"/>
    <xf numFmtId="171" fontId="26" fillId="35" borderId="70" xfId="95" applyNumberFormat="1" applyFont="1" applyFill="1" applyBorder="1"/>
    <xf numFmtId="0" fontId="59" fillId="31" borderId="83" xfId="95" applyFont="1" applyFill="1" applyBorder="1" applyAlignment="1">
      <alignment horizontal="center" vertical="center"/>
    </xf>
    <xf numFmtId="0" fontId="26" fillId="0" borderId="69" xfId="95" applyFont="1" applyBorder="1" applyAlignment="1">
      <alignment horizontal="center"/>
    </xf>
    <xf numFmtId="171" fontId="26" fillId="0" borderId="65" xfId="43" applyNumberFormat="1" applyFont="1" applyBorder="1"/>
    <xf numFmtId="171" fontId="26" fillId="0" borderId="70" xfId="95" applyNumberFormat="1" applyFont="1" applyFill="1" applyBorder="1"/>
    <xf numFmtId="0" fontId="27" fillId="0" borderId="0" xfId="95" applyFont="1" applyBorder="1" applyAlignment="1">
      <alignment horizontal="center"/>
    </xf>
    <xf numFmtId="0" fontId="26" fillId="35" borderId="69" xfId="95" applyFont="1" applyFill="1" applyBorder="1" applyAlignment="1">
      <alignment horizontal="center"/>
    </xf>
    <xf numFmtId="171" fontId="26" fillId="35" borderId="65" xfId="43" applyNumberFormat="1" applyFont="1" applyFill="1" applyBorder="1"/>
    <xf numFmtId="0" fontId="59" fillId="0" borderId="83" xfId="95" applyFont="1" applyFill="1" applyBorder="1" applyAlignment="1">
      <alignment horizontal="center" vertical="center"/>
    </xf>
    <xf numFmtId="0" fontId="26" fillId="31" borderId="69" xfId="95" applyFont="1" applyFill="1" applyBorder="1" applyAlignment="1">
      <alignment horizontal="center"/>
    </xf>
    <xf numFmtId="0" fontId="26" fillId="0" borderId="69" xfId="95" applyFont="1" applyFill="1" applyBorder="1" applyAlignment="1">
      <alignment horizontal="center"/>
    </xf>
    <xf numFmtId="171" fontId="26" fillId="0" borderId="65" xfId="43" applyNumberFormat="1" applyFont="1" applyFill="1" applyBorder="1"/>
    <xf numFmtId="0" fontId="26" fillId="35" borderId="86" xfId="95" applyFont="1" applyFill="1" applyBorder="1" applyAlignment="1">
      <alignment horizontal="center"/>
    </xf>
    <xf numFmtId="171" fontId="26" fillId="35" borderId="55" xfId="43" applyNumberFormat="1" applyFont="1" applyFill="1" applyBorder="1"/>
    <xf numFmtId="171" fontId="26" fillId="35" borderId="87" xfId="95" applyNumberFormat="1" applyFont="1" applyFill="1" applyBorder="1"/>
    <xf numFmtId="0" fontId="27" fillId="0" borderId="88" xfId="95" applyFont="1" applyBorder="1"/>
    <xf numFmtId="0" fontId="72" fillId="0" borderId="89" xfId="95" applyFont="1" applyBorder="1"/>
    <xf numFmtId="171" fontId="72" fillId="0" borderId="79" xfId="43" applyNumberFormat="1" applyFont="1" applyBorder="1"/>
    <xf numFmtId="171" fontId="72" fillId="0" borderId="80" xfId="95" applyNumberFormat="1" applyFont="1" applyFill="1" applyBorder="1"/>
    <xf numFmtId="0" fontId="26" fillId="0" borderId="0" xfId="95" applyFont="1"/>
    <xf numFmtId="171" fontId="26" fillId="0" borderId="0" xfId="95" applyNumberFormat="1" applyFont="1" applyBorder="1"/>
    <xf numFmtId="171" fontId="27" fillId="0" borderId="0" xfId="95" applyNumberFormat="1" applyFont="1" applyBorder="1"/>
    <xf numFmtId="171" fontId="27" fillId="0" borderId="0" xfId="95" applyNumberFormat="1" applyFont="1" applyFill="1" applyBorder="1" applyAlignment="1">
      <alignment horizontal="left"/>
    </xf>
    <xf numFmtId="40" fontId="27" fillId="0" borderId="0" xfId="95" applyNumberFormat="1" applyFont="1" applyFill="1" applyBorder="1"/>
    <xf numFmtId="0" fontId="27" fillId="0" borderId="0" xfId="95" applyFont="1" applyFill="1" applyBorder="1"/>
    <xf numFmtId="0" fontId="73" fillId="0" borderId="0" xfId="95" applyFont="1" applyFill="1" applyBorder="1"/>
    <xf numFmtId="0" fontId="74" fillId="0" borderId="0" xfId="95" applyFont="1" applyFill="1" applyBorder="1"/>
    <xf numFmtId="4" fontId="27" fillId="0" borderId="0" xfId="95" applyNumberFormat="1" applyFont="1" applyFill="1" applyBorder="1"/>
    <xf numFmtId="0" fontId="75" fillId="0" borderId="0" xfId="95" applyFont="1" applyFill="1" applyBorder="1"/>
    <xf numFmtId="0" fontId="76" fillId="0" borderId="0" xfId="95" applyFont="1" applyFill="1" applyBorder="1"/>
    <xf numFmtId="0" fontId="27" fillId="0" borderId="0" xfId="95" applyFont="1" applyFill="1"/>
    <xf numFmtId="0" fontId="9" fillId="34" borderId="54" xfId="0" applyFont="1" applyFill="1" applyBorder="1" applyAlignment="1">
      <alignment horizontal="center"/>
    </xf>
    <xf numFmtId="5" fontId="0" fillId="0" borderId="54" xfId="0" applyNumberFormat="1" applyBorder="1"/>
    <xf numFmtId="3" fontId="11" fillId="0" borderId="0" xfId="0" applyNumberFormat="1" applyFont="1" applyFill="1" applyBorder="1"/>
    <xf numFmtId="164" fontId="15" fillId="0" borderId="0" xfId="4" applyFont="1" applyFill="1" applyAlignment="1">
      <alignment horizontal="center" vertical="top"/>
    </xf>
    <xf numFmtId="164" fontId="19" fillId="0" borderId="0" xfId="4" applyFont="1" applyFill="1" applyAlignment="1">
      <alignment horizontal="center" vertical="top"/>
    </xf>
    <xf numFmtId="164" fontId="27" fillId="0" borderId="0" xfId="4" applyFont="1" applyFill="1" applyAlignment="1">
      <alignment horizontal="center"/>
    </xf>
    <xf numFmtId="164" fontId="19" fillId="0" borderId="45" xfId="4" applyFont="1" applyFill="1" applyBorder="1"/>
    <xf numFmtId="164" fontId="15" fillId="0" borderId="46" xfId="4" applyFont="1" applyFill="1" applyBorder="1"/>
    <xf numFmtId="164" fontId="15" fillId="0" borderId="47" xfId="4" applyFont="1" applyFill="1" applyBorder="1"/>
    <xf numFmtId="164" fontId="19" fillId="0" borderId="4" xfId="4" applyFont="1" applyFill="1" applyBorder="1" applyAlignment="1">
      <alignment horizontal="center"/>
    </xf>
    <xf numFmtId="164" fontId="15" fillId="0" borderId="0" xfId="4" applyFont="1" applyFill="1" applyAlignment="1">
      <alignment horizontal="center"/>
    </xf>
    <xf numFmtId="3" fontId="19" fillId="5" borderId="0" xfId="4" applyNumberFormat="1" applyFont="1" applyFill="1" applyAlignment="1"/>
    <xf numFmtId="164" fontId="15" fillId="0" borderId="0" xfId="4" applyFont="1" applyFill="1" applyAlignment="1">
      <alignment horizontal="right"/>
    </xf>
    <xf numFmtId="0" fontId="19" fillId="0" borderId="0" xfId="0" applyFont="1" applyAlignment="1"/>
    <xf numFmtId="0" fontId="15" fillId="0" borderId="0" xfId="0" applyFont="1" applyFill="1" applyBorder="1" applyAlignment="1">
      <alignment horizontal="left"/>
    </xf>
    <xf numFmtId="0" fontId="80" fillId="0" borderId="0" xfId="0" applyFont="1" applyAlignment="1">
      <alignment horizontal="left" vertical="center"/>
    </xf>
    <xf numFmtId="0" fontId="0" fillId="0" borderId="0" xfId="0" applyAlignment="1">
      <alignment vertical="center"/>
    </xf>
    <xf numFmtId="0" fontId="80" fillId="0" borderId="0" xfId="0" applyFont="1" applyAlignment="1">
      <alignment vertical="center"/>
    </xf>
    <xf numFmtId="0" fontId="81" fillId="0" borderId="0" xfId="0" applyFont="1" applyAlignment="1">
      <alignment vertical="center"/>
    </xf>
    <xf numFmtId="0" fontId="79" fillId="0" borderId="0" xfId="0" applyFont="1" applyAlignment="1">
      <alignment vertical="center"/>
    </xf>
    <xf numFmtId="0" fontId="0" fillId="37" borderId="0" xfId="0" applyFill="1" applyAlignment="1">
      <alignment horizontal="left" vertical="center" indent="1"/>
    </xf>
    <xf numFmtId="0" fontId="79" fillId="0" borderId="90" xfId="0" applyFont="1" applyBorder="1" applyAlignment="1">
      <alignment horizontal="left" vertical="center" indent="1"/>
    </xf>
    <xf numFmtId="0" fontId="23" fillId="0" borderId="90" xfId="12" applyBorder="1" applyAlignment="1">
      <alignment horizontal="left" vertical="center" indent="1"/>
    </xf>
    <xf numFmtId="0" fontId="82" fillId="0" borderId="90" xfId="0" applyFont="1" applyBorder="1" applyAlignment="1">
      <alignment horizontal="left" vertical="center" indent="1"/>
    </xf>
    <xf numFmtId="0" fontId="83" fillId="0" borderId="90" xfId="0" applyFont="1" applyBorder="1" applyAlignment="1">
      <alignment horizontal="left" vertical="center" indent="1"/>
    </xf>
    <xf numFmtId="0" fontId="0" fillId="0" borderId="0" xfId="0" applyAlignment="1">
      <alignment horizontal="left" vertical="center" indent="2"/>
    </xf>
    <xf numFmtId="0" fontId="23" fillId="0" borderId="0" xfId="12" applyAlignment="1">
      <alignment horizontal="left" vertical="center" indent="2"/>
    </xf>
    <xf numFmtId="0" fontId="79" fillId="0" borderId="91" xfId="0" applyFont="1" applyBorder="1" applyAlignment="1">
      <alignment vertical="center"/>
    </xf>
    <xf numFmtId="0" fontId="23" fillId="0" borderId="92" xfId="12" applyBorder="1" applyAlignment="1">
      <alignment horizontal="left" vertical="center" indent="1"/>
    </xf>
    <xf numFmtId="0" fontId="84" fillId="0" borderId="0" xfId="0" applyFont="1" applyAlignment="1">
      <alignment vertical="center"/>
    </xf>
    <xf numFmtId="0" fontId="85" fillId="38" borderId="93" xfId="0" applyFont="1" applyFill="1" applyBorder="1" applyAlignment="1">
      <alignment horizontal="left" vertical="center" wrapText="1"/>
    </xf>
    <xf numFmtId="0" fontId="86" fillId="0" borderId="93" xfId="0" applyFont="1" applyBorder="1" applyAlignment="1">
      <alignment vertical="center" wrapText="1"/>
    </xf>
    <xf numFmtId="4" fontId="86" fillId="0" borderId="93" xfId="0" applyNumberFormat="1" applyFont="1" applyBorder="1" applyAlignment="1">
      <alignment horizontal="right" vertical="center" wrapText="1"/>
    </xf>
    <xf numFmtId="0" fontId="86" fillId="0" borderId="93" xfId="0" applyFont="1" applyBorder="1" applyAlignment="1">
      <alignment horizontal="right" vertical="center" wrapText="1"/>
    </xf>
    <xf numFmtId="0" fontId="0" fillId="0" borderId="0" xfId="0" applyAlignment="1">
      <alignment horizontal="left" vertical="center" indent="1"/>
    </xf>
    <xf numFmtId="0" fontId="83" fillId="0" borderId="0" xfId="0" applyFont="1" applyAlignment="1">
      <alignment horizontal="left" vertical="center" indent="1"/>
    </xf>
    <xf numFmtId="0" fontId="79" fillId="0" borderId="0" xfId="0" applyFont="1" applyAlignment="1">
      <alignment horizontal="left" vertical="center" indent="1"/>
    </xf>
    <xf numFmtId="3" fontId="55" fillId="36" borderId="28" xfId="4" applyNumberFormat="1" applyFont="1" applyFill="1" applyBorder="1"/>
    <xf numFmtId="3" fontId="55" fillId="36" borderId="29" xfId="4" applyNumberFormat="1" applyFont="1" applyFill="1" applyBorder="1"/>
    <xf numFmtId="164" fontId="55" fillId="36" borderId="0" xfId="4" applyFont="1" applyFill="1"/>
    <xf numFmtId="164" fontId="55" fillId="36" borderId="0" xfId="4" applyFont="1" applyFill="1" applyBorder="1"/>
    <xf numFmtId="164" fontId="55" fillId="36" borderId="40" xfId="4" applyFont="1" applyFill="1" applyBorder="1"/>
    <xf numFmtId="164" fontId="55" fillId="36" borderId="37" xfId="4" applyFont="1" applyFill="1" applyBorder="1"/>
    <xf numFmtId="164" fontId="56" fillId="39" borderId="0" xfId="4" applyFont="1" applyFill="1" applyAlignment="1">
      <alignment horizontal="center" wrapText="1"/>
    </xf>
    <xf numFmtId="164" fontId="55" fillId="39" borderId="35" xfId="4" applyFont="1" applyFill="1" applyBorder="1"/>
    <xf numFmtId="164" fontId="55" fillId="39" borderId="28" xfId="4" applyFont="1" applyFill="1" applyBorder="1"/>
    <xf numFmtId="3" fontId="55" fillId="39" borderId="28" xfId="4" applyNumberFormat="1" applyFont="1" applyFill="1" applyBorder="1"/>
    <xf numFmtId="164" fontId="27" fillId="39" borderId="30" xfId="4" applyFont="1" applyFill="1" applyBorder="1" applyAlignment="1">
      <alignment horizontal="center" wrapText="1"/>
    </xf>
    <xf numFmtId="164" fontId="55" fillId="39" borderId="0" xfId="4" applyFont="1" applyFill="1"/>
    <xf numFmtId="3" fontId="55" fillId="39" borderId="0" xfId="4" applyNumberFormat="1" applyFont="1" applyFill="1" applyBorder="1"/>
    <xf numFmtId="164" fontId="55" fillId="39" borderId="30" xfId="4" applyFont="1" applyFill="1" applyBorder="1"/>
    <xf numFmtId="164" fontId="55" fillId="39" borderId="0" xfId="4" applyFont="1" applyFill="1" applyBorder="1"/>
    <xf numFmtId="164" fontId="55" fillId="39" borderId="40" xfId="4" applyFont="1" applyFill="1" applyBorder="1"/>
    <xf numFmtId="3" fontId="55" fillId="39" borderId="35" xfId="4" applyNumberFormat="1" applyFont="1" applyFill="1" applyBorder="1"/>
    <xf numFmtId="164" fontId="55" fillId="39" borderId="28" xfId="4" applyNumberFormat="1" applyFont="1" applyFill="1" applyBorder="1"/>
    <xf numFmtId="164" fontId="55" fillId="39" borderId="30" xfId="4" applyFont="1" applyFill="1" applyBorder="1" applyAlignment="1">
      <alignment horizontal="center"/>
    </xf>
    <xf numFmtId="164" fontId="55" fillId="39" borderId="31" xfId="4" applyNumberFormat="1" applyFont="1" applyFill="1" applyBorder="1"/>
    <xf numFmtId="0" fontId="3" fillId="0" borderId="21" xfId="0" applyFont="1" applyBorder="1"/>
    <xf numFmtId="0" fontId="3" fillId="0" borderId="21" xfId="0" applyFont="1" applyFill="1" applyBorder="1" applyAlignment="1">
      <alignment horizontal="right"/>
    </xf>
    <xf numFmtId="0" fontId="3" fillId="2" borderId="21" xfId="0" applyFont="1" applyFill="1" applyBorder="1" applyAlignment="1">
      <alignment horizontal="center" wrapText="1"/>
    </xf>
    <xf numFmtId="164" fontId="23" fillId="0" borderId="0" xfId="12" applyNumberFormat="1" applyFill="1" applyAlignment="1">
      <alignment wrapText="1"/>
    </xf>
    <xf numFmtId="0" fontId="9" fillId="0" borderId="1" xfId="0" applyFont="1" applyFill="1" applyBorder="1" applyAlignment="1">
      <alignment horizontal="center"/>
    </xf>
    <xf numFmtId="5" fontId="0" fillId="0" borderId="1" xfId="0" applyNumberFormat="1" applyFill="1" applyBorder="1"/>
    <xf numFmtId="0" fontId="55" fillId="0" borderId="0" xfId="0" applyFont="1" applyFill="1"/>
    <xf numFmtId="0" fontId="22" fillId="0" borderId="0" xfId="0" applyFont="1" applyFill="1"/>
    <xf numFmtId="5" fontId="0" fillId="0" borderId="54" xfId="0" applyNumberFormat="1" applyFill="1" applyBorder="1"/>
    <xf numFmtId="10" fontId="0" fillId="0" borderId="0" xfId="0" applyNumberFormat="1"/>
    <xf numFmtId="42" fontId="0" fillId="0" borderId="0" xfId="0" applyNumberFormat="1"/>
    <xf numFmtId="165" fontId="0" fillId="0" borderId="0" xfId="1" applyNumberFormat="1" applyFont="1"/>
    <xf numFmtId="0" fontId="88" fillId="0" borderId="0" xfId="0" applyFont="1"/>
    <xf numFmtId="0" fontId="89" fillId="0" borderId="0" xfId="0" applyFont="1"/>
    <xf numFmtId="0" fontId="89" fillId="33" borderId="0" xfId="0" applyFont="1" applyFill="1"/>
    <xf numFmtId="164" fontId="23" fillId="6" borderId="0" xfId="12" applyNumberFormat="1" applyFill="1" applyAlignment="1" applyProtection="1">
      <alignment wrapText="1"/>
    </xf>
    <xf numFmtId="171" fontId="9" fillId="0" borderId="48" xfId="1" applyNumberFormat="1" applyFont="1" applyBorder="1"/>
    <xf numFmtId="10" fontId="8" fillId="0" borderId="0" xfId="1" applyNumberFormat="1" applyFont="1"/>
    <xf numFmtId="42" fontId="0" fillId="0" borderId="0" xfId="0" applyNumberFormat="1" applyBorder="1"/>
    <xf numFmtId="171" fontId="8" fillId="0" borderId="65" xfId="1" applyNumberFormat="1" applyFont="1" applyBorder="1"/>
    <xf numFmtId="0" fontId="90" fillId="0" borderId="66" xfId="0" quotePrefix="1" applyFont="1" applyFill="1" applyBorder="1" applyAlignment="1">
      <alignment horizontal="center" wrapText="1"/>
    </xf>
    <xf numFmtId="166" fontId="11" fillId="0" borderId="0" xfId="0" applyNumberFormat="1" applyFont="1"/>
    <xf numFmtId="10" fontId="61" fillId="0" borderId="0" xfId="0" applyNumberFormat="1" applyFont="1"/>
    <xf numFmtId="10" fontId="0" fillId="0" borderId="0" xfId="0" applyNumberFormat="1" applyFont="1"/>
    <xf numFmtId="10" fontId="9" fillId="0" borderId="0" xfId="0" applyNumberFormat="1" applyFont="1"/>
    <xf numFmtId="10" fontId="9" fillId="33" borderId="0" xfId="0" applyNumberFormat="1" applyFont="1" applyFill="1"/>
    <xf numFmtId="10" fontId="0" fillId="33" borderId="0" xfId="0" applyNumberFormat="1" applyFill="1"/>
    <xf numFmtId="165" fontId="8" fillId="0" borderId="95" xfId="1" applyNumberFormat="1" applyFont="1" applyBorder="1"/>
    <xf numFmtId="174" fontId="61" fillId="2" borderId="1" xfId="0" applyNumberFormat="1" applyFont="1" applyFill="1" applyBorder="1" applyAlignment="1">
      <alignment horizontal="center" wrapText="1"/>
    </xf>
    <xf numFmtId="174" fontId="8" fillId="0" borderId="0" xfId="3" applyNumberFormat="1" applyFont="1"/>
    <xf numFmtId="174" fontId="8" fillId="0" borderId="0" xfId="1" applyNumberFormat="1" applyFont="1"/>
    <xf numFmtId="174" fontId="9" fillId="0" borderId="0" xfId="1" applyNumberFormat="1" applyFont="1"/>
    <xf numFmtId="174" fontId="9" fillId="33" borderId="0" xfId="1" applyNumberFormat="1" applyFont="1" applyFill="1"/>
    <xf numFmtId="174" fontId="8" fillId="33" borderId="0" xfId="1" applyNumberFormat="1" applyFont="1" applyFill="1"/>
    <xf numFmtId="174" fontId="61" fillId="2" borderId="49" xfId="0" applyNumberFormat="1" applyFont="1" applyFill="1" applyBorder="1" applyAlignment="1">
      <alignment horizontal="center" wrapText="1"/>
    </xf>
    <xf numFmtId="41" fontId="8" fillId="0" borderId="65" xfId="1" applyNumberFormat="1" applyFont="1" applyBorder="1"/>
    <xf numFmtId="41" fontId="9" fillId="3" borderId="48" xfId="1" applyNumberFormat="1" applyFont="1" applyFill="1" applyBorder="1"/>
    <xf numFmtId="164" fontId="11" fillId="0" borderId="0" xfId="0" applyNumberFormat="1" applyFont="1" applyFill="1" applyBorder="1" applyAlignment="1">
      <alignment horizontal="center" wrapText="1"/>
    </xf>
    <xf numFmtId="0" fontId="12" fillId="0" borderId="1" xfId="0" applyFont="1" applyFill="1" applyBorder="1" applyAlignment="1">
      <alignment horizontal="center"/>
    </xf>
    <xf numFmtId="5" fontId="11" fillId="0" borderId="1" xfId="2" applyNumberFormat="1" applyFont="1" applyFill="1" applyBorder="1"/>
    <xf numFmtId="166" fontId="12" fillId="0" borderId="1" xfId="2" applyNumberFormat="1" applyFont="1" applyFill="1" applyBorder="1"/>
    <xf numFmtId="5" fontId="11" fillId="0" borderId="1" xfId="0" applyNumberFormat="1" applyFont="1" applyFill="1" applyBorder="1"/>
    <xf numFmtId="5" fontId="11" fillId="0" borderId="54" xfId="0" applyNumberFormat="1" applyFont="1" applyFill="1" applyBorder="1"/>
    <xf numFmtId="166" fontId="12" fillId="2" borderId="1" xfId="0" applyNumberFormat="1" applyFont="1" applyFill="1" applyBorder="1"/>
    <xf numFmtId="0" fontId="91" fillId="0" borderId="0" xfId="0" applyFont="1"/>
    <xf numFmtId="165" fontId="62" fillId="0" borderId="0" xfId="0" applyNumberFormat="1" applyFont="1" applyFill="1"/>
    <xf numFmtId="6" fontId="62" fillId="0" borderId="0" xfId="0" applyNumberFormat="1" applyFont="1" applyFill="1"/>
    <xf numFmtId="0" fontId="62" fillId="0" borderId="0" xfId="0" applyFont="1" applyFill="1"/>
    <xf numFmtId="44" fontId="62" fillId="0" borderId="0" xfId="0" applyNumberFormat="1" applyFont="1" applyFill="1"/>
    <xf numFmtId="164" fontId="15" fillId="0" borderId="0" xfId="4" applyFont="1" applyFill="1" applyBorder="1"/>
    <xf numFmtId="3" fontId="19" fillId="0" borderId="0" xfId="4" applyNumberFormat="1" applyFont="1" applyFill="1" applyBorder="1" applyAlignment="1"/>
    <xf numFmtId="164" fontId="19" fillId="0" borderId="0" xfId="4" applyFont="1" applyFill="1" applyBorder="1"/>
    <xf numFmtId="3" fontId="19" fillId="0" borderId="0" xfId="4" applyNumberFormat="1" applyFont="1" applyFill="1" applyBorder="1"/>
    <xf numFmtId="3" fontId="15" fillId="0" borderId="0" xfId="0" applyNumberFormat="1" applyFont="1" applyFill="1" applyBorder="1"/>
    <xf numFmtId="3" fontId="87" fillId="0" borderId="0" xfId="0" applyNumberFormat="1" applyFont="1" applyFill="1" applyBorder="1"/>
    <xf numFmtId="164" fontId="19" fillId="0" borderId="0" xfId="4" applyNumberFormat="1" applyFont="1" applyFill="1" applyBorder="1"/>
    <xf numFmtId="174" fontId="0" fillId="0" borderId="0" xfId="1" applyNumberFormat="1" applyFont="1"/>
    <xf numFmtId="0" fontId="13" fillId="0" borderId="65" xfId="0" applyFont="1" applyFill="1" applyBorder="1" applyAlignment="1">
      <alignment horizontal="center" wrapText="1"/>
    </xf>
    <xf numFmtId="172" fontId="13" fillId="0" borderId="65" xfId="0" applyNumberFormat="1" applyFont="1" applyFill="1" applyBorder="1" applyAlignment="1">
      <alignment horizontal="center" wrapText="1"/>
    </xf>
    <xf numFmtId="0" fontId="3" fillId="0" borderId="69" xfId="0" applyFont="1" applyFill="1" applyBorder="1" applyAlignment="1">
      <alignment horizontal="center"/>
    </xf>
    <xf numFmtId="0" fontId="9" fillId="0" borderId="0" xfId="0" applyFont="1" applyFill="1" applyBorder="1" applyAlignment="1">
      <alignment horizontal="right"/>
    </xf>
    <xf numFmtId="3" fontId="52" fillId="0" borderId="0" xfId="0" applyNumberFormat="1" applyFont="1"/>
    <xf numFmtId="5" fontId="11" fillId="0" borderId="65" xfId="0" applyNumberFormat="1" applyFont="1" applyFill="1" applyBorder="1"/>
    <xf numFmtId="0" fontId="11" fillId="0" borderId="0" xfId="0" applyFont="1" applyFill="1"/>
    <xf numFmtId="172" fontId="0" fillId="0" borderId="48" xfId="3" applyNumberFormat="1" applyFont="1" applyBorder="1"/>
    <xf numFmtId="42" fontId="8" fillId="0" borderId="48" xfId="1" applyNumberFormat="1" applyFont="1" applyFill="1" applyBorder="1"/>
    <xf numFmtId="42" fontId="9" fillId="3" borderId="48" xfId="1" applyNumberFormat="1" applyFont="1" applyFill="1" applyBorder="1"/>
    <xf numFmtId="6" fontId="11" fillId="0" borderId="65" xfId="1" applyNumberFormat="1" applyFont="1" applyFill="1" applyBorder="1"/>
    <xf numFmtId="6" fontId="12" fillId="36" borderId="65" xfId="1" applyNumberFormat="1" applyFont="1" applyFill="1" applyBorder="1"/>
    <xf numFmtId="6" fontId="12" fillId="0" borderId="65" xfId="1" applyNumberFormat="1" applyFont="1" applyFill="1" applyBorder="1"/>
    <xf numFmtId="9" fontId="12" fillId="0" borderId="65" xfId="1" applyNumberFormat="1" applyFont="1" applyFill="1" applyBorder="1"/>
    <xf numFmtId="42" fontId="12" fillId="0" borderId="65" xfId="1" applyNumberFormat="1" applyFont="1" applyFill="1" applyBorder="1"/>
    <xf numFmtId="165" fontId="92" fillId="0" borderId="0" xfId="1" applyNumberFormat="1" applyFont="1" applyFill="1"/>
    <xf numFmtId="165" fontId="92" fillId="0" borderId="0" xfId="1" applyNumberFormat="1" applyFont="1"/>
    <xf numFmtId="165" fontId="11" fillId="0" borderId="0" xfId="0" applyNumberFormat="1" applyFont="1" applyFill="1"/>
    <xf numFmtId="0" fontId="11" fillId="0" borderId="0" xfId="0" applyFont="1" applyFill="1" applyBorder="1"/>
    <xf numFmtId="165" fontId="3" fillId="0" borderId="21" xfId="1" applyNumberFormat="1" applyFont="1" applyBorder="1"/>
    <xf numFmtId="172" fontId="12" fillId="0" borderId="65" xfId="1" applyNumberFormat="1" applyFont="1" applyFill="1" applyBorder="1"/>
    <xf numFmtId="171" fontId="12" fillId="0" borderId="65" xfId="1" applyNumberFormat="1" applyFont="1" applyFill="1" applyBorder="1"/>
    <xf numFmtId="6" fontId="12" fillId="0" borderId="65" xfId="0" applyNumberFormat="1" applyFont="1" applyFill="1" applyBorder="1"/>
    <xf numFmtId="6" fontId="12" fillId="0" borderId="65" xfId="53" applyNumberFormat="1" applyFont="1" applyFill="1" applyBorder="1" applyAlignment="1">
      <alignment horizontal="right"/>
    </xf>
    <xf numFmtId="6" fontId="12" fillId="0" borderId="65" xfId="53" applyNumberFormat="1" applyFont="1" applyFill="1" applyBorder="1" applyAlignment="1" applyProtection="1">
      <alignment horizontal="right"/>
      <protection locked="0"/>
    </xf>
    <xf numFmtId="6" fontId="12" fillId="0" borderId="65" xfId="1" applyNumberFormat="1" applyFont="1" applyFill="1" applyBorder="1" applyProtection="1">
      <protection locked="0"/>
    </xf>
    <xf numFmtId="165" fontId="12" fillId="0" borderId="65" xfId="0" applyNumberFormat="1" applyFont="1" applyFill="1" applyBorder="1"/>
    <xf numFmtId="6" fontId="11" fillId="0" borderId="0" xfId="0" applyNumberFormat="1" applyFont="1"/>
    <xf numFmtId="6" fontId="11" fillId="0" borderId="0" xfId="0" applyNumberFormat="1" applyFont="1" applyFill="1"/>
    <xf numFmtId="0" fontId="11" fillId="31" borderId="0" xfId="0" applyFont="1" applyFill="1"/>
    <xf numFmtId="165" fontId="8" fillId="0" borderId="65" xfId="1" applyNumberFormat="1" applyFont="1" applyBorder="1"/>
    <xf numFmtId="0" fontId="95" fillId="41" borderId="98" xfId="0" applyFont="1" applyFill="1" applyBorder="1" applyAlignment="1">
      <alignment horizontal="center" vertical="center" wrapText="1"/>
    </xf>
    <xf numFmtId="0" fontId="95" fillId="41" borderId="99" xfId="0" applyFont="1" applyFill="1" applyBorder="1" applyAlignment="1">
      <alignment horizontal="center" vertical="center" wrapText="1"/>
    </xf>
    <xf numFmtId="0" fontId="95" fillId="0" borderId="97" xfId="0" applyFont="1" applyBorder="1" applyAlignment="1">
      <alignment vertical="center"/>
    </xf>
    <xf numFmtId="0" fontId="95" fillId="0" borderId="99" xfId="0" applyFont="1" applyBorder="1" applyAlignment="1">
      <alignment vertical="center"/>
    </xf>
    <xf numFmtId="9" fontId="95" fillId="0" borderId="100" xfId="0" applyNumberFormat="1" applyFont="1" applyBorder="1" applyAlignment="1">
      <alignment horizontal="right" vertical="center"/>
    </xf>
    <xf numFmtId="0" fontId="95" fillId="0" borderId="100" xfId="0" applyFont="1" applyBorder="1" applyAlignment="1">
      <alignment vertical="center"/>
    </xf>
    <xf numFmtId="10" fontId="95" fillId="0" borderId="100" xfId="0" applyNumberFormat="1" applyFont="1" applyBorder="1" applyAlignment="1">
      <alignment horizontal="right" vertical="center"/>
    </xf>
    <xf numFmtId="0" fontId="95" fillId="0" borderId="101" xfId="0" applyFont="1" applyBorder="1" applyAlignment="1">
      <alignment vertical="center"/>
    </xf>
    <xf numFmtId="0" fontId="94" fillId="0" borderId="97" xfId="0" applyFont="1" applyBorder="1" applyAlignment="1">
      <alignment horizontal="right" vertical="center"/>
    </xf>
    <xf numFmtId="0" fontId="95" fillId="0" borderId="97" xfId="0" applyFont="1" applyBorder="1" applyAlignment="1">
      <alignment horizontal="right" vertical="center"/>
    </xf>
    <xf numFmtId="9" fontId="95" fillId="0" borderId="99" xfId="0" applyNumberFormat="1" applyFont="1" applyBorder="1" applyAlignment="1">
      <alignment horizontal="right" vertical="center"/>
    </xf>
    <xf numFmtId="0" fontId="95" fillId="0" borderId="103" xfId="0" applyFont="1" applyBorder="1" applyAlignment="1">
      <alignment vertical="center"/>
    </xf>
    <xf numFmtId="0" fontId="93" fillId="0" borderId="0" xfId="0" applyFont="1"/>
    <xf numFmtId="0" fontId="94" fillId="42" borderId="0" xfId="0" applyFont="1" applyFill="1" applyAlignment="1">
      <alignment horizontal="right" vertical="center"/>
    </xf>
    <xf numFmtId="0" fontId="94" fillId="42" borderId="0" xfId="0" applyFont="1" applyFill="1" applyAlignment="1">
      <alignment vertical="center"/>
    </xf>
    <xf numFmtId="0" fontId="94" fillId="42" borderId="104" xfId="0" applyFont="1" applyFill="1" applyBorder="1" applyAlignment="1">
      <alignment vertical="center"/>
    </xf>
    <xf numFmtId="0" fontId="94" fillId="0" borderId="0" xfId="0" applyFont="1" applyAlignment="1">
      <alignment vertical="center"/>
    </xf>
    <xf numFmtId="0" fontId="96" fillId="0" borderId="0" xfId="0" applyFont="1" applyAlignment="1">
      <alignment vertical="center"/>
    </xf>
    <xf numFmtId="0" fontId="94" fillId="0" borderId="105" xfId="0" applyFont="1" applyBorder="1" applyAlignment="1">
      <alignment vertical="center"/>
    </xf>
    <xf numFmtId="0" fontId="3" fillId="0" borderId="0" xfId="0" applyFont="1"/>
    <xf numFmtId="0" fontId="13" fillId="2" borderId="65" xfId="0" applyFont="1" applyFill="1" applyBorder="1" applyAlignment="1">
      <alignment horizontal="center" wrapText="1"/>
    </xf>
    <xf numFmtId="0" fontId="3" fillId="2" borderId="65" xfId="0" applyFont="1" applyFill="1" applyBorder="1" applyAlignment="1">
      <alignment horizontal="center" wrapText="1"/>
    </xf>
    <xf numFmtId="0" fontId="3" fillId="0" borderId="8" xfId="0" applyFont="1" applyBorder="1"/>
    <xf numFmtId="0" fontId="3" fillId="0" borderId="65" xfId="0" applyFont="1" applyBorder="1"/>
    <xf numFmtId="165" fontId="3" fillId="0" borderId="65" xfId="1" applyNumberFormat="1" applyFont="1" applyBorder="1"/>
    <xf numFmtId="9" fontId="3" fillId="0" borderId="55" xfId="3" applyFont="1" applyBorder="1"/>
    <xf numFmtId="9" fontId="3" fillId="0" borderId="23" xfId="3" applyFont="1" applyBorder="1"/>
    <xf numFmtId="165" fontId="3" fillId="0" borderId="23" xfId="1" applyNumberFormat="1" applyFont="1" applyBorder="1"/>
    <xf numFmtId="10" fontId="3" fillId="0" borderId="23" xfId="3" applyNumberFormat="1" applyFont="1" applyBorder="1"/>
    <xf numFmtId="165" fontId="3" fillId="0" borderId="26" xfId="1" applyNumberFormat="1" applyFont="1" applyBorder="1"/>
    <xf numFmtId="0" fontId="13" fillId="0" borderId="65" xfId="0" applyFont="1" applyBorder="1" applyAlignment="1">
      <alignment horizontal="right"/>
    </xf>
    <xf numFmtId="165" fontId="3" fillId="0" borderId="4" xfId="1" applyNumberFormat="1" applyFont="1" applyBorder="1"/>
    <xf numFmtId="0" fontId="3" fillId="0" borderId="65" xfId="0" applyFont="1" applyFill="1" applyBorder="1" applyAlignment="1">
      <alignment horizontal="right"/>
    </xf>
    <xf numFmtId="165" fontId="3" fillId="0" borderId="65" xfId="1" applyNumberFormat="1" applyFont="1" applyFill="1" applyBorder="1"/>
    <xf numFmtId="9" fontId="3" fillId="0" borderId="23" xfId="3" applyFont="1" applyFill="1" applyBorder="1"/>
    <xf numFmtId="171" fontId="3" fillId="0" borderId="0" xfId="0" applyNumberFormat="1" applyFont="1" applyAlignment="1">
      <alignment horizontal="right"/>
    </xf>
    <xf numFmtId="9" fontId="3" fillId="0" borderId="4" xfId="3" applyFont="1" applyFill="1" applyBorder="1"/>
    <xf numFmtId="0" fontId="3" fillId="0" borderId="65" xfId="0" applyFont="1" applyBorder="1" applyAlignment="1">
      <alignment horizontal="right"/>
    </xf>
    <xf numFmtId="165" fontId="3" fillId="0" borderId="54" xfId="1" applyNumberFormat="1" applyFont="1" applyFill="1" applyBorder="1"/>
    <xf numFmtId="9" fontId="3" fillId="0" borderId="6" xfId="3" applyFont="1" applyFill="1" applyBorder="1"/>
    <xf numFmtId="165" fontId="3" fillId="0" borderId="52" xfId="1" applyNumberFormat="1" applyFont="1" applyFill="1" applyBorder="1"/>
    <xf numFmtId="165" fontId="3" fillId="0" borderId="54" xfId="1" applyNumberFormat="1" applyFont="1" applyBorder="1"/>
    <xf numFmtId="165" fontId="3" fillId="0" borderId="6" xfId="1" applyNumberFormat="1" applyFont="1" applyBorder="1"/>
    <xf numFmtId="165" fontId="3" fillId="0" borderId="0" xfId="1" applyNumberFormat="1" applyFont="1"/>
    <xf numFmtId="165" fontId="3" fillId="0" borderId="0" xfId="1" applyNumberFormat="1" applyFont="1" applyFill="1" applyBorder="1"/>
    <xf numFmtId="6" fontId="11" fillId="0" borderId="0" xfId="0" applyNumberFormat="1" applyFont="1" applyFill="1" applyBorder="1" applyAlignment="1">
      <alignment horizontal="center" wrapText="1"/>
    </xf>
    <xf numFmtId="6" fontId="12" fillId="40" borderId="65" xfId="1" applyNumberFormat="1" applyFont="1" applyFill="1" applyBorder="1"/>
    <xf numFmtId="172" fontId="12" fillId="0" borderId="65" xfId="0" applyNumberFormat="1" applyFont="1" applyFill="1" applyBorder="1" applyAlignment="1">
      <alignment horizontal="center"/>
    </xf>
    <xf numFmtId="0" fontId="12" fillId="0" borderId="0" xfId="0" applyFont="1"/>
    <xf numFmtId="6" fontId="12" fillId="0" borderId="55" xfId="1" applyNumberFormat="1" applyFont="1" applyFill="1" applyBorder="1"/>
    <xf numFmtId="9" fontId="97" fillId="0" borderId="65" xfId="1" applyNumberFormat="1" applyFont="1" applyFill="1" applyBorder="1"/>
    <xf numFmtId="9" fontId="12" fillId="0" borderId="65" xfId="0" applyNumberFormat="1" applyFont="1" applyFill="1" applyBorder="1" applyAlignment="1">
      <alignment horizontal="center"/>
    </xf>
    <xf numFmtId="165" fontId="92" fillId="0" borderId="0" xfId="1" applyNumberFormat="1" applyFont="1" applyBorder="1"/>
    <xf numFmtId="9" fontId="92" fillId="0" borderId="0" xfId="1" applyNumberFormat="1" applyFont="1" applyBorder="1"/>
    <xf numFmtId="165" fontId="99" fillId="0" borderId="0" xfId="1" applyNumberFormat="1" applyFont="1" applyBorder="1"/>
    <xf numFmtId="165" fontId="11" fillId="0" borderId="0" xfId="1" applyNumberFormat="1" applyFont="1"/>
    <xf numFmtId="165" fontId="92" fillId="0" borderId="0" xfId="0" applyNumberFormat="1" applyFont="1"/>
    <xf numFmtId="0" fontId="99" fillId="0" borderId="0" xfId="0" applyFont="1" applyBorder="1" applyAlignment="1">
      <alignment horizontal="right"/>
    </xf>
    <xf numFmtId="0" fontId="101" fillId="0" borderId="0" xfId="0" applyFont="1" applyFill="1" applyBorder="1"/>
    <xf numFmtId="165" fontId="11" fillId="0" borderId="0" xfId="1" applyNumberFormat="1" applyFont="1" applyFill="1" applyBorder="1"/>
    <xf numFmtId="0" fontId="62" fillId="0" borderId="0" xfId="0" applyFont="1" applyFill="1" applyBorder="1"/>
    <xf numFmtId="164" fontId="62" fillId="0" borderId="0" xfId="0" applyNumberFormat="1" applyFont="1" applyFill="1" applyBorder="1" applyAlignment="1">
      <alignment horizontal="center" wrapText="1"/>
    </xf>
    <xf numFmtId="0" fontId="62" fillId="0" borderId="0" xfId="0" applyFont="1"/>
    <xf numFmtId="172" fontId="12" fillId="0" borderId="55" xfId="1" applyNumberFormat="1" applyFont="1" applyFill="1" applyBorder="1"/>
    <xf numFmtId="6" fontId="12" fillId="36" borderId="55" xfId="1" applyNumberFormat="1" applyFont="1" applyFill="1" applyBorder="1"/>
    <xf numFmtId="6" fontId="12" fillId="0" borderId="55" xfId="53" applyNumberFormat="1" applyFont="1" applyFill="1" applyBorder="1" applyAlignment="1">
      <alignment horizontal="right"/>
    </xf>
    <xf numFmtId="172" fontId="12" fillId="0" borderId="55" xfId="0" applyNumberFormat="1" applyFont="1" applyFill="1" applyBorder="1" applyAlignment="1">
      <alignment horizontal="center"/>
    </xf>
    <xf numFmtId="6" fontId="11" fillId="0" borderId="0" xfId="0" applyNumberFormat="1" applyFont="1" applyFill="1" applyBorder="1"/>
    <xf numFmtId="0" fontId="102" fillId="2" borderId="1" xfId="0" applyFont="1" applyFill="1" applyBorder="1" applyAlignment="1">
      <alignment horizontal="center" wrapText="1"/>
    </xf>
    <xf numFmtId="0" fontId="94" fillId="4" borderId="0" xfId="0" applyFont="1" applyFill="1" applyAlignment="1">
      <alignment vertical="center" wrapText="1"/>
    </xf>
    <xf numFmtId="165" fontId="5" fillId="4" borderId="0" xfId="1" applyNumberFormat="1" applyFont="1" applyFill="1"/>
    <xf numFmtId="0" fontId="64" fillId="0" borderId="0" xfId="0" applyFont="1"/>
    <xf numFmtId="165" fontId="64" fillId="0" borderId="0" xfId="1" applyNumberFormat="1" applyFont="1"/>
    <xf numFmtId="0" fontId="64" fillId="2" borderId="21" xfId="0" applyFont="1" applyFill="1" applyBorder="1" applyAlignment="1">
      <alignment horizontal="center" wrapText="1"/>
    </xf>
    <xf numFmtId="0" fontId="64" fillId="0" borderId="8" xfId="0" applyFont="1" applyBorder="1"/>
    <xf numFmtId="0" fontId="64" fillId="0" borderId="21" xfId="0" applyFont="1" applyBorder="1"/>
    <xf numFmtId="165" fontId="64" fillId="0" borderId="21" xfId="1" applyNumberFormat="1" applyFont="1" applyBorder="1"/>
    <xf numFmtId="165" fontId="64" fillId="0" borderId="26" xfId="1" applyNumberFormat="1" applyFont="1" applyBorder="1"/>
    <xf numFmtId="0" fontId="103" fillId="0" borderId="21" xfId="0" applyFont="1" applyBorder="1" applyAlignment="1">
      <alignment horizontal="right"/>
    </xf>
    <xf numFmtId="165" fontId="64" fillId="0" borderId="4" xfId="1" applyNumberFormat="1" applyFont="1" applyBorder="1"/>
    <xf numFmtId="0" fontId="64" fillId="0" borderId="21" xfId="0" applyFont="1" applyFill="1" applyBorder="1" applyAlignment="1">
      <alignment horizontal="right"/>
    </xf>
    <xf numFmtId="165" fontId="64" fillId="0" borderId="21" xfId="1" applyNumberFormat="1" applyFont="1" applyFill="1" applyBorder="1"/>
    <xf numFmtId="171" fontId="64" fillId="0" borderId="0" xfId="0" applyNumberFormat="1" applyFont="1" applyAlignment="1">
      <alignment horizontal="right"/>
    </xf>
    <xf numFmtId="0" fontId="64" fillId="0" borderId="21" xfId="0" applyFont="1" applyBorder="1" applyAlignment="1">
      <alignment horizontal="right"/>
    </xf>
    <xf numFmtId="165" fontId="64" fillId="0" borderId="24" xfId="1" applyNumberFormat="1" applyFont="1" applyFill="1" applyBorder="1"/>
    <xf numFmtId="9" fontId="64" fillId="0" borderId="6" xfId="3" applyFont="1" applyFill="1" applyBorder="1"/>
    <xf numFmtId="165" fontId="64" fillId="0" borderId="25" xfId="1" applyNumberFormat="1" applyFont="1" applyFill="1" applyBorder="1"/>
    <xf numFmtId="165" fontId="64" fillId="0" borderId="24" xfId="1" applyNumberFormat="1" applyFont="1" applyBorder="1"/>
    <xf numFmtId="165" fontId="64" fillId="0" borderId="6" xfId="1" applyNumberFormat="1" applyFont="1" applyBorder="1"/>
    <xf numFmtId="165" fontId="64" fillId="0" borderId="0" xfId="1" applyNumberFormat="1" applyFont="1" applyFill="1" applyBorder="1"/>
    <xf numFmtId="0" fontId="103" fillId="7" borderId="0" xfId="0" applyFont="1" applyFill="1" applyAlignment="1">
      <alignment horizontal="right"/>
    </xf>
    <xf numFmtId="165" fontId="103" fillId="7" borderId="0" xfId="1" applyNumberFormat="1" applyFont="1" applyFill="1"/>
    <xf numFmtId="165" fontId="103" fillId="7" borderId="0" xfId="1" applyNumberFormat="1" applyFont="1" applyFill="1" applyBorder="1"/>
    <xf numFmtId="0" fontId="103" fillId="0" borderId="0" xfId="0" applyFont="1"/>
    <xf numFmtId="0" fontId="105" fillId="4" borderId="0" xfId="0" applyFont="1" applyFill="1" applyAlignment="1">
      <alignment vertical="center" wrapText="1"/>
    </xf>
    <xf numFmtId="165" fontId="64" fillId="0" borderId="65" xfId="1" applyNumberFormat="1" applyFont="1" applyBorder="1"/>
    <xf numFmtId="0" fontId="106" fillId="0" borderId="0" xfId="0" applyFont="1" applyAlignment="1">
      <alignment horizontal="right" vertical="center"/>
    </xf>
    <xf numFmtId="9" fontId="64" fillId="0" borderId="65" xfId="3" applyFont="1" applyBorder="1"/>
    <xf numFmtId="10" fontId="64" fillId="0" borderId="65" xfId="3" applyNumberFormat="1" applyFont="1" applyBorder="1"/>
    <xf numFmtId="9" fontId="64" fillId="0" borderId="65" xfId="3" applyFont="1" applyFill="1" applyBorder="1"/>
    <xf numFmtId="0" fontId="64" fillId="0" borderId="0" xfId="0" applyFont="1" applyAlignment="1">
      <alignment horizontal="right"/>
    </xf>
    <xf numFmtId="165" fontId="64" fillId="0" borderId="0" xfId="0" applyNumberFormat="1" applyFont="1"/>
    <xf numFmtId="0" fontId="64" fillId="0" borderId="0" xfId="0" applyFont="1" applyAlignment="1">
      <alignment horizontal="center"/>
    </xf>
    <xf numFmtId="164" fontId="15" fillId="43" borderId="0" xfId="4" applyFont="1" applyFill="1"/>
    <xf numFmtId="0" fontId="107" fillId="0" borderId="0" xfId="0" applyFont="1"/>
    <xf numFmtId="0" fontId="23" fillId="0" borderId="0" xfId="12"/>
    <xf numFmtId="164" fontId="27" fillId="0" borderId="0" xfId="4" applyFont="1" applyFill="1" applyAlignment="1">
      <alignment horizontal="center" wrapText="1"/>
    </xf>
    <xf numFmtId="164" fontId="15" fillId="0" borderId="51" xfId="4" applyFont="1" applyFill="1" applyBorder="1"/>
    <xf numFmtId="164" fontId="19" fillId="0" borderId="4" xfId="4" applyFont="1" applyFill="1" applyBorder="1" applyAlignment="1">
      <alignment horizontal="center" wrapText="1"/>
    </xf>
    <xf numFmtId="0" fontId="61" fillId="2" borderId="65" xfId="0" applyFont="1" applyFill="1" applyBorder="1" applyAlignment="1">
      <alignment horizontal="center" wrapText="1"/>
    </xf>
    <xf numFmtId="0" fontId="61" fillId="2" borderId="55" xfId="0" applyFont="1" applyFill="1" applyBorder="1" applyAlignment="1">
      <alignment horizontal="center" wrapText="1"/>
    </xf>
    <xf numFmtId="0" fontId="61" fillId="4" borderId="49" xfId="0" applyFont="1" applyFill="1" applyBorder="1" applyAlignment="1">
      <alignment horizontal="center" wrapText="1"/>
    </xf>
    <xf numFmtId="171" fontId="8" fillId="4" borderId="48" xfId="1" applyNumberFormat="1" applyFont="1" applyFill="1" applyBorder="1"/>
    <xf numFmtId="165" fontId="99" fillId="0" borderId="0" xfId="1" applyNumberFormat="1" applyFont="1" applyFill="1" applyBorder="1"/>
    <xf numFmtId="0" fontId="99" fillId="0" borderId="0" xfId="0" applyFont="1" applyFill="1" applyBorder="1" applyAlignment="1">
      <alignment horizontal="right"/>
    </xf>
    <xf numFmtId="0" fontId="91" fillId="0" borderId="0" xfId="0" applyFont="1" applyFill="1"/>
    <xf numFmtId="6" fontId="108" fillId="0" borderId="0" xfId="0" applyNumberFormat="1" applyFont="1" applyFill="1"/>
    <xf numFmtId="0" fontId="59" fillId="0" borderId="106" xfId="95" applyFont="1" applyBorder="1" applyAlignment="1">
      <alignment horizontal="center" wrapText="1"/>
    </xf>
    <xf numFmtId="0" fontId="26" fillId="0" borderId="86" xfId="95" applyFont="1" applyFill="1" applyBorder="1" applyAlignment="1">
      <alignment horizontal="center"/>
    </xf>
    <xf numFmtId="165" fontId="103" fillId="0" borderId="0" xfId="1" applyNumberFormat="1" applyFont="1" applyFill="1"/>
    <xf numFmtId="165" fontId="103" fillId="0" borderId="0" xfId="1" applyNumberFormat="1" applyFont="1" applyFill="1" applyBorder="1"/>
    <xf numFmtId="0" fontId="104" fillId="0" borderId="0" xfId="0" applyFont="1" applyAlignment="1">
      <alignment horizontal="right"/>
    </xf>
    <xf numFmtId="165" fontId="103" fillId="0" borderId="52" xfId="1" applyNumberFormat="1" applyFont="1" applyBorder="1"/>
    <xf numFmtId="0" fontId="109" fillId="0" borderId="107" xfId="0" applyFont="1" applyBorder="1" applyAlignment="1">
      <alignment vertical="center"/>
    </xf>
    <xf numFmtId="0" fontId="90" fillId="0" borderId="23" xfId="0" quotePrefix="1" applyFont="1" applyFill="1" applyBorder="1" applyAlignment="1">
      <alignment horizontal="center" wrapText="1"/>
    </xf>
    <xf numFmtId="0" fontId="110" fillId="0" borderId="107" xfId="0" applyFont="1" applyBorder="1" applyAlignment="1">
      <alignment horizontal="center"/>
    </xf>
    <xf numFmtId="6" fontId="12" fillId="0" borderId="107" xfId="0" applyNumberFormat="1" applyFont="1" applyBorder="1"/>
    <xf numFmtId="9" fontId="12" fillId="0" borderId="107" xfId="1" applyNumberFormat="1" applyFont="1" applyFill="1" applyBorder="1"/>
    <xf numFmtId="38" fontId="12" fillId="0" borderId="107" xfId="1" applyNumberFormat="1" applyFont="1" applyFill="1" applyBorder="1"/>
    <xf numFmtId="38" fontId="12" fillId="0" borderId="108" xfId="1" applyNumberFormat="1" applyFont="1" applyFill="1" applyBorder="1"/>
    <xf numFmtId="9" fontId="12" fillId="0" borderId="108" xfId="1" applyNumberFormat="1" applyFont="1" applyFill="1" applyBorder="1"/>
    <xf numFmtId="6" fontId="12" fillId="0" borderId="107" xfId="1" applyNumberFormat="1" applyFont="1" applyFill="1" applyBorder="1"/>
    <xf numFmtId="6" fontId="12" fillId="0" borderId="108" xfId="1" applyNumberFormat="1" applyFont="1" applyFill="1" applyBorder="1"/>
    <xf numFmtId="0" fontId="11" fillId="0" borderId="0" xfId="0" applyFont="1" applyAlignment="1">
      <alignment horizontal="right"/>
    </xf>
    <xf numFmtId="0" fontId="11" fillId="0" borderId="0" xfId="0" applyFont="1" applyFill="1" applyAlignment="1">
      <alignment horizontal="right"/>
    </xf>
    <xf numFmtId="6" fontId="8" fillId="0" borderId="107" xfId="1" applyNumberFormat="1" applyFont="1" applyBorder="1"/>
    <xf numFmtId="0" fontId="61" fillId="44" borderId="0" xfId="0" applyFont="1" applyFill="1" applyAlignment="1">
      <alignment horizontal="center" wrapText="1"/>
    </xf>
    <xf numFmtId="0" fontId="61" fillId="44" borderId="0" xfId="0" applyFont="1" applyFill="1"/>
    <xf numFmtId="165" fontId="8" fillId="0" borderId="107" xfId="1" applyNumberFormat="1" applyFont="1" applyBorder="1"/>
    <xf numFmtId="165" fontId="9" fillId="3" borderId="107" xfId="0" applyNumberFormat="1" applyFont="1" applyFill="1" applyBorder="1"/>
    <xf numFmtId="172" fontId="8" fillId="0" borderId="0" xfId="3" applyNumberFormat="1" applyFont="1" applyBorder="1"/>
    <xf numFmtId="172" fontId="8" fillId="0" borderId="107" xfId="3" applyNumberFormat="1" applyFont="1" applyBorder="1"/>
    <xf numFmtId="9" fontId="9" fillId="3" borderId="107" xfId="0" applyNumberFormat="1" applyFont="1" applyFill="1" applyBorder="1"/>
    <xf numFmtId="165" fontId="61" fillId="8" borderId="107" xfId="1" applyNumberFormat="1" applyFont="1" applyFill="1" applyBorder="1" applyAlignment="1">
      <alignment horizontal="center" wrapText="1"/>
    </xf>
    <xf numFmtId="0" fontId="61" fillId="0" borderId="0" xfId="0" applyFont="1" applyFill="1" applyBorder="1" applyAlignment="1">
      <alignment horizontal="center" wrapText="1"/>
    </xf>
    <xf numFmtId="165" fontId="61" fillId="0" borderId="0" xfId="1" applyNumberFormat="1" applyFont="1" applyFill="1" applyBorder="1" applyAlignment="1">
      <alignment horizontal="center" wrapText="1"/>
    </xf>
    <xf numFmtId="171" fontId="9" fillId="0" borderId="0" xfId="1" applyNumberFormat="1" applyFont="1" applyFill="1" applyBorder="1"/>
    <xf numFmtId="9" fontId="9" fillId="0" borderId="0" xfId="0" applyNumberFormat="1" applyFont="1" applyFill="1" applyBorder="1"/>
    <xf numFmtId="165" fontId="8" fillId="0" borderId="0" xfId="1" applyNumberFormat="1" applyFont="1" applyAlignment="1">
      <alignment horizontal="right"/>
    </xf>
    <xf numFmtId="165" fontId="22" fillId="0" borderId="0" xfId="1" applyNumberFormat="1" applyFont="1"/>
    <xf numFmtId="0" fontId="11" fillId="0" borderId="0" xfId="0" applyFont="1" applyFill="1" applyAlignment="1">
      <alignment horizontal="center"/>
    </xf>
    <xf numFmtId="165" fontId="64" fillId="0" borderId="107" xfId="1" applyNumberFormat="1" applyFont="1" applyBorder="1"/>
    <xf numFmtId="39" fontId="64" fillId="0" borderId="0" xfId="0" applyNumberFormat="1" applyFont="1"/>
    <xf numFmtId="0" fontId="9" fillId="0" borderId="65" xfId="0" applyFont="1" applyFill="1" applyBorder="1" applyAlignment="1">
      <alignment horizontal="center"/>
    </xf>
    <xf numFmtId="0" fontId="9" fillId="7" borderId="107" xfId="0" applyFont="1" applyFill="1" applyBorder="1" applyAlignment="1">
      <alignment horizontal="center"/>
    </xf>
    <xf numFmtId="5" fontId="11" fillId="0" borderId="65" xfId="2" applyNumberFormat="1" applyFont="1" applyFill="1" applyBorder="1"/>
    <xf numFmtId="166" fontId="12" fillId="0" borderId="65" xfId="2" applyNumberFormat="1" applyFont="1" applyFill="1" applyBorder="1"/>
    <xf numFmtId="0" fontId="11" fillId="0" borderId="0" xfId="0" applyFont="1" applyBorder="1"/>
    <xf numFmtId="4" fontId="26" fillId="35" borderId="4" xfId="43" applyNumberFormat="1" applyFont="1" applyFill="1" applyBorder="1"/>
    <xf numFmtId="4" fontId="26" fillId="35" borderId="111" xfId="43" applyNumberFormat="1" applyFont="1" applyFill="1" applyBorder="1"/>
    <xf numFmtId="4" fontId="26" fillId="35" borderId="85" xfId="95" applyNumberFormat="1" applyFont="1" applyFill="1" applyBorder="1"/>
    <xf numFmtId="4" fontId="26" fillId="0" borderId="65" xfId="43" applyNumberFormat="1" applyFont="1" applyFill="1" applyBorder="1"/>
    <xf numFmtId="4" fontId="26" fillId="0" borderId="65" xfId="43" applyNumberFormat="1" applyFont="1" applyBorder="1"/>
    <xf numFmtId="4" fontId="26" fillId="0" borderId="110" xfId="43" applyNumberFormat="1" applyFont="1" applyBorder="1"/>
    <xf numFmtId="4" fontId="26" fillId="35" borderId="65" xfId="43" applyNumberFormat="1" applyFont="1" applyFill="1" applyBorder="1"/>
    <xf numFmtId="4" fontId="26" fillId="35" borderId="110" xfId="43" applyNumberFormat="1" applyFont="1" applyFill="1" applyBorder="1"/>
    <xf numFmtId="4" fontId="26" fillId="0" borderId="110" xfId="43" applyNumberFormat="1" applyFont="1" applyFill="1" applyBorder="1"/>
    <xf numFmtId="4" fontId="26" fillId="0" borderId="55" xfId="43" applyNumberFormat="1" applyFont="1" applyFill="1" applyBorder="1"/>
    <xf numFmtId="4" fontId="26" fillId="0" borderId="112" xfId="43" applyNumberFormat="1" applyFont="1" applyFill="1" applyBorder="1"/>
    <xf numFmtId="4" fontId="72" fillId="0" borderId="79" xfId="43" applyNumberFormat="1" applyFont="1" applyBorder="1"/>
    <xf numFmtId="4" fontId="72" fillId="0" borderId="77" xfId="43" applyNumberFormat="1" applyFont="1" applyBorder="1"/>
    <xf numFmtId="4" fontId="72" fillId="0" borderId="80" xfId="95" applyNumberFormat="1" applyFont="1" applyFill="1" applyBorder="1"/>
    <xf numFmtId="0" fontId="111" fillId="0" borderId="0" xfId="0" applyFont="1" applyAlignment="1">
      <alignment horizontal="center"/>
    </xf>
    <xf numFmtId="0" fontId="27" fillId="0" borderId="75" xfId="95" applyFont="1" applyBorder="1" applyAlignment="1">
      <alignment horizontal="center"/>
    </xf>
    <xf numFmtId="0" fontId="27" fillId="0" borderId="75" xfId="95" applyFont="1" applyBorder="1"/>
    <xf numFmtId="0" fontId="59" fillId="0" borderId="0" xfId="95" applyFont="1" applyBorder="1" applyAlignment="1">
      <alignment horizontal="center" wrapText="1"/>
    </xf>
    <xf numFmtId="4" fontId="113" fillId="0" borderId="107" xfId="95" applyNumberFormat="1" applyFont="1" applyBorder="1"/>
    <xf numFmtId="4" fontId="114" fillId="0" borderId="0" xfId="95" applyNumberFormat="1" applyFont="1"/>
    <xf numFmtId="164" fontId="12" fillId="0" borderId="0" xfId="0" applyNumberFormat="1" applyFont="1" applyFill="1" applyBorder="1" applyAlignment="1">
      <alignment horizontal="center"/>
    </xf>
    <xf numFmtId="39" fontId="64" fillId="0" borderId="65" xfId="1" applyNumberFormat="1" applyFont="1" applyBorder="1"/>
    <xf numFmtId="39" fontId="64" fillId="0" borderId="21" xfId="1" applyNumberFormat="1" applyFont="1" applyBorder="1"/>
    <xf numFmtId="39" fontId="64" fillId="0" borderId="4" xfId="1" applyNumberFormat="1" applyFont="1" applyBorder="1"/>
    <xf numFmtId="0" fontId="64" fillId="0" borderId="107" xfId="0" applyFont="1" applyBorder="1"/>
    <xf numFmtId="165" fontId="64" fillId="0" borderId="109" xfId="1" applyNumberFormat="1" applyFont="1" applyBorder="1"/>
    <xf numFmtId="9" fontId="64" fillId="0" borderId="107" xfId="3" applyFont="1" applyBorder="1"/>
    <xf numFmtId="39" fontId="64" fillId="0" borderId="21" xfId="1" applyNumberFormat="1" applyFont="1" applyFill="1" applyBorder="1"/>
    <xf numFmtId="39" fontId="103" fillId="7" borderId="7" xfId="1" applyNumberFormat="1" applyFont="1" applyFill="1" applyBorder="1"/>
    <xf numFmtId="4" fontId="64" fillId="4" borderId="0" xfId="1" applyNumberFormat="1" applyFont="1" applyFill="1"/>
    <xf numFmtId="4" fontId="64" fillId="0" borderId="0" xfId="0" applyNumberFormat="1" applyFont="1"/>
    <xf numFmtId="4" fontId="103" fillId="0" borderId="0" xfId="0" applyNumberFormat="1" applyFont="1"/>
    <xf numFmtId="171" fontId="115" fillId="0" borderId="65" xfId="43" applyNumberFormat="1" applyFont="1" applyFill="1" applyBorder="1"/>
    <xf numFmtId="171" fontId="115" fillId="35" borderId="65" xfId="43" applyNumberFormat="1" applyFont="1" applyFill="1" applyBorder="1"/>
    <xf numFmtId="171" fontId="115" fillId="0" borderId="65" xfId="43" applyNumberFormat="1" applyFont="1" applyBorder="1"/>
    <xf numFmtId="0" fontId="112" fillId="0" borderId="0" xfId="95" applyFont="1" applyFill="1"/>
    <xf numFmtId="0" fontId="11" fillId="45" borderId="0" xfId="0" applyFont="1" applyFill="1"/>
    <xf numFmtId="0" fontId="61" fillId="0" borderId="0" xfId="0" applyFont="1" applyAlignment="1">
      <alignment wrapText="1"/>
    </xf>
    <xf numFmtId="165" fontId="61" fillId="0" borderId="0" xfId="1" applyNumberFormat="1" applyFont="1" applyAlignment="1">
      <alignment wrapText="1"/>
    </xf>
    <xf numFmtId="0" fontId="61" fillId="0" borderId="0" xfId="0" applyFont="1" applyAlignment="1">
      <alignment horizontal="center"/>
    </xf>
    <xf numFmtId="165" fontId="9" fillId="0" borderId="0" xfId="0" applyNumberFormat="1" applyFont="1"/>
    <xf numFmtId="165" fontId="8" fillId="0" borderId="0" xfId="1" applyNumberFormat="1" applyFont="1" applyAlignment="1">
      <alignment horizontal="left" vertical="top"/>
    </xf>
    <xf numFmtId="165" fontId="90" fillId="0" borderId="0" xfId="0" applyNumberFormat="1" applyFont="1"/>
    <xf numFmtId="165" fontId="22" fillId="0" borderId="0" xfId="0" applyNumberFormat="1" applyFont="1"/>
    <xf numFmtId="165" fontId="22" fillId="0" borderId="0" xfId="1" applyNumberFormat="1" applyFont="1" applyAlignment="1">
      <alignment horizontal="right"/>
    </xf>
    <xf numFmtId="38" fontId="0" fillId="0" borderId="0" xfId="0" applyNumberFormat="1"/>
    <xf numFmtId="38" fontId="9" fillId="0" borderId="0" xfId="0" applyNumberFormat="1" applyFont="1"/>
    <xf numFmtId="0" fontId="89" fillId="0" borderId="113" xfId="0" applyFont="1" applyBorder="1"/>
    <xf numFmtId="0" fontId="116" fillId="0" borderId="0" xfId="12" applyFont="1"/>
    <xf numFmtId="0" fontId="116" fillId="0" borderId="0" xfId="12" applyFont="1" applyAlignment="1">
      <alignment horizontal="left" indent="2"/>
    </xf>
    <xf numFmtId="0" fontId="9" fillId="7" borderId="109" xfId="0" applyFont="1" applyFill="1" applyBorder="1" applyAlignment="1">
      <alignment horizontal="center"/>
    </xf>
    <xf numFmtId="0" fontId="61" fillId="2" borderId="107" xfId="0" applyFont="1" applyFill="1" applyBorder="1" applyAlignment="1">
      <alignment horizontal="center" wrapText="1"/>
    </xf>
    <xf numFmtId="171" fontId="0" fillId="0" borderId="107" xfId="1" applyNumberFormat="1" applyFont="1" applyBorder="1"/>
    <xf numFmtId="9" fontId="8" fillId="0" borderId="48" xfId="3" applyNumberFormat="1" applyFont="1" applyBorder="1"/>
    <xf numFmtId="6" fontId="12" fillId="0" borderId="107" xfId="1" applyNumberFormat="1" applyFont="1" applyFill="1" applyBorder="1" applyProtection="1">
      <protection locked="0"/>
    </xf>
    <xf numFmtId="0" fontId="12" fillId="46" borderId="107" xfId="0" applyFont="1" applyFill="1" applyBorder="1" applyAlignment="1">
      <alignment horizontal="center" vertical="center" wrapText="1"/>
    </xf>
    <xf numFmtId="0" fontId="12" fillId="46" borderId="4" xfId="0" applyFont="1" applyFill="1" applyBorder="1" applyAlignment="1">
      <alignment horizontal="center" vertical="center"/>
    </xf>
    <xf numFmtId="0" fontId="110" fillId="36" borderId="110" xfId="0" applyFont="1" applyFill="1" applyBorder="1" applyAlignment="1">
      <alignment horizontal="center"/>
    </xf>
    <xf numFmtId="0" fontId="12" fillId="36" borderId="4" xfId="0" applyFont="1" applyFill="1" applyBorder="1" applyAlignment="1">
      <alignment horizontal="center"/>
    </xf>
    <xf numFmtId="0" fontId="110" fillId="36" borderId="107" xfId="0" applyFont="1" applyFill="1" applyBorder="1" applyAlignment="1">
      <alignment horizontal="center"/>
    </xf>
    <xf numFmtId="0" fontId="12" fillId="36" borderId="107" xfId="0" applyFont="1" applyFill="1" applyBorder="1" applyAlignment="1">
      <alignment horizontal="center"/>
    </xf>
    <xf numFmtId="0" fontId="110" fillId="36" borderId="26" xfId="0" applyFont="1" applyFill="1" applyBorder="1" applyAlignment="1">
      <alignment horizontal="center"/>
    </xf>
    <xf numFmtId="0" fontId="12" fillId="36" borderId="26" xfId="0" applyFont="1" applyFill="1" applyBorder="1" applyAlignment="1">
      <alignment horizontal="center"/>
    </xf>
    <xf numFmtId="0" fontId="102" fillId="0" borderId="66" xfId="0" applyFont="1" applyBorder="1" applyAlignment="1">
      <alignment horizontal="center" wrapText="1"/>
    </xf>
    <xf numFmtId="0" fontId="102" fillId="40" borderId="66" xfId="0" applyFont="1" applyFill="1" applyBorder="1" applyAlignment="1">
      <alignment horizontal="center" wrapText="1"/>
    </xf>
    <xf numFmtId="0" fontId="117" fillId="0" borderId="66" xfId="0" applyFont="1" applyBorder="1" applyAlignment="1">
      <alignment horizontal="center" wrapText="1"/>
    </xf>
    <xf numFmtId="0" fontId="103" fillId="0" borderId="23" xfId="0" applyFont="1" applyBorder="1" applyAlignment="1">
      <alignment horizontal="center" wrapText="1"/>
    </xf>
    <xf numFmtId="0" fontId="103" fillId="0" borderId="114" xfId="0" applyFont="1" applyBorder="1" applyAlignment="1">
      <alignment horizontal="center" wrapText="1"/>
    </xf>
    <xf numFmtId="0" fontId="103" fillId="40" borderId="23" xfId="0" applyFont="1" applyFill="1" applyBorder="1" applyAlignment="1">
      <alignment horizontal="center" wrapText="1"/>
    </xf>
    <xf numFmtId="0" fontId="118" fillId="0" borderId="114" xfId="0" applyFont="1" applyBorder="1" applyAlignment="1">
      <alignment horizontal="center" wrapText="1"/>
    </xf>
    <xf numFmtId="0" fontId="103" fillId="47" borderId="115" xfId="0" applyFont="1" applyFill="1" applyBorder="1" applyAlignment="1">
      <alignment horizontal="center" wrapText="1"/>
    </xf>
    <xf numFmtId="0" fontId="103" fillId="47" borderId="23" xfId="0" applyFont="1" applyFill="1" applyBorder="1" applyAlignment="1">
      <alignment horizontal="center" wrapText="1"/>
    </xf>
    <xf numFmtId="0" fontId="119" fillId="47" borderId="23" xfId="0" applyFont="1" applyFill="1" applyBorder="1" applyAlignment="1">
      <alignment horizontal="center" wrapText="1"/>
    </xf>
    <xf numFmtId="0" fontId="59" fillId="36" borderId="66" xfId="0" applyFont="1" applyFill="1" applyBorder="1" applyAlignment="1">
      <alignment horizontal="center" wrapText="1"/>
    </xf>
    <xf numFmtId="0" fontId="59" fillId="0" borderId="66" xfId="0" applyFont="1" applyBorder="1" applyAlignment="1">
      <alignment horizontal="center" wrapText="1"/>
    </xf>
    <xf numFmtId="0" fontId="101" fillId="36" borderId="114" xfId="0" applyFont="1" applyFill="1" applyBorder="1" applyAlignment="1">
      <alignment horizontal="center" wrapText="1"/>
    </xf>
    <xf numFmtId="0" fontId="101" fillId="0" borderId="114" xfId="0" applyFont="1" applyBorder="1" applyAlignment="1">
      <alignment horizontal="center" wrapText="1"/>
    </xf>
    <xf numFmtId="0" fontId="101" fillId="36" borderId="23" xfId="0" applyFont="1" applyFill="1" applyBorder="1" applyAlignment="1">
      <alignment horizontal="center" wrapText="1"/>
    </xf>
    <xf numFmtId="0" fontId="101" fillId="47" borderId="23" xfId="0" applyFont="1" applyFill="1" applyBorder="1" applyAlignment="1">
      <alignment horizontal="center" wrapText="1"/>
    </xf>
    <xf numFmtId="6" fontId="101" fillId="0" borderId="65" xfId="1" applyNumberFormat="1" applyFont="1" applyFill="1" applyBorder="1"/>
    <xf numFmtId="38" fontId="101" fillId="0" borderId="65" xfId="0" applyNumberFormat="1" applyFont="1" applyFill="1" applyBorder="1"/>
    <xf numFmtId="0" fontId="61" fillId="2" borderId="21" xfId="0" applyFont="1" applyFill="1" applyBorder="1" applyAlignment="1">
      <alignment horizontal="center" wrapText="1"/>
    </xf>
    <xf numFmtId="0" fontId="59" fillId="0" borderId="73" xfId="95" applyFont="1" applyBorder="1" applyAlignment="1">
      <alignment horizontal="center"/>
    </xf>
    <xf numFmtId="0" fontId="27" fillId="0" borderId="73" xfId="95" applyFont="1" applyBorder="1" applyAlignment="1">
      <alignment horizontal="center"/>
    </xf>
    <xf numFmtId="3" fontId="19" fillId="5" borderId="0" xfId="4" applyNumberFormat="1" applyFont="1" applyFill="1" applyBorder="1" applyAlignment="1"/>
    <xf numFmtId="164" fontId="19" fillId="36" borderId="107" xfId="4" applyFont="1" applyFill="1" applyBorder="1"/>
    <xf numFmtId="3" fontId="19" fillId="0" borderId="107" xfId="4" applyNumberFormat="1" applyFont="1" applyFill="1" applyBorder="1"/>
    <xf numFmtId="3" fontId="87" fillId="0" borderId="107" xfId="0" applyNumberFormat="1" applyFont="1" applyFill="1" applyBorder="1"/>
    <xf numFmtId="164" fontId="19" fillId="0" borderId="107" xfId="4" applyFont="1" applyFill="1" applyBorder="1"/>
    <xf numFmtId="3" fontId="15" fillId="0" borderId="107" xfId="0" applyNumberFormat="1" applyFont="1" applyBorder="1"/>
    <xf numFmtId="3" fontId="19" fillId="36" borderId="107" xfId="4" applyNumberFormat="1" applyFont="1" applyFill="1" applyBorder="1"/>
    <xf numFmtId="3" fontId="19" fillId="0" borderId="107" xfId="4" applyNumberFormat="1" applyFont="1" applyFill="1" applyBorder="1" applyAlignment="1">
      <alignment horizontal="right"/>
    </xf>
    <xf numFmtId="164" fontId="15" fillId="36" borderId="107" xfId="4" applyFill="1" applyBorder="1"/>
    <xf numFmtId="3" fontId="19" fillId="0" borderId="107" xfId="0" applyNumberFormat="1" applyFont="1" applyBorder="1"/>
    <xf numFmtId="164" fontId="19" fillId="0" borderId="107" xfId="4" applyFont="1" applyBorder="1"/>
    <xf numFmtId="3" fontId="19" fillId="36" borderId="110" xfId="4" applyNumberFormat="1" applyFont="1" applyFill="1" applyBorder="1"/>
    <xf numFmtId="0" fontId="120" fillId="36" borderId="116" xfId="0" applyFont="1" applyFill="1" applyBorder="1"/>
    <xf numFmtId="3" fontId="19" fillId="36" borderId="109" xfId="4" applyNumberFormat="1" applyFont="1" applyFill="1" applyBorder="1"/>
    <xf numFmtId="3" fontId="19" fillId="36" borderId="107" xfId="0" applyNumberFormat="1" applyFont="1" applyFill="1" applyBorder="1"/>
    <xf numFmtId="164" fontId="15" fillId="0" borderId="107" xfId="4" applyBorder="1"/>
    <xf numFmtId="3" fontId="19" fillId="0" borderId="107" xfId="4" applyNumberFormat="1" applyFont="1" applyBorder="1"/>
    <xf numFmtId="3" fontId="15" fillId="36" borderId="107" xfId="0" applyNumberFormat="1" applyFont="1" applyFill="1" applyBorder="1"/>
    <xf numFmtId="3" fontId="19" fillId="0" borderId="110" xfId="4" applyNumberFormat="1" applyFont="1" applyBorder="1"/>
    <xf numFmtId="0" fontId="120" fillId="0" borderId="116" xfId="0" applyFont="1" applyBorder="1"/>
    <xf numFmtId="3" fontId="19" fillId="0" borderId="109" xfId="4" applyNumberFormat="1" applyFont="1" applyBorder="1"/>
    <xf numFmtId="3" fontId="19" fillId="0" borderId="107" xfId="4" applyNumberFormat="1" applyFont="1" applyBorder="1" applyAlignment="1">
      <alignment horizontal="right"/>
    </xf>
    <xf numFmtId="0" fontId="120" fillId="0" borderId="107" xfId="0" applyFont="1" applyBorder="1" applyAlignment="1">
      <alignment horizontal="right"/>
    </xf>
    <xf numFmtId="3" fontId="19" fillId="31" borderId="107" xfId="4" applyNumberFormat="1" applyFont="1" applyFill="1" applyBorder="1"/>
    <xf numFmtId="3" fontId="19" fillId="0" borderId="110" xfId="4" applyNumberFormat="1" applyFont="1" applyBorder="1" applyAlignment="1">
      <alignment horizontal="right"/>
    </xf>
    <xf numFmtId="0" fontId="120" fillId="0" borderId="116" xfId="0" applyFont="1" applyBorder="1" applyAlignment="1">
      <alignment horizontal="right"/>
    </xf>
    <xf numFmtId="0" fontId="120" fillId="0" borderId="109" xfId="0" applyFont="1" applyBorder="1" applyAlignment="1">
      <alignment horizontal="right"/>
    </xf>
    <xf numFmtId="164" fontId="19" fillId="0" borderId="110" xfId="4" applyFont="1" applyBorder="1"/>
    <xf numFmtId="3" fontId="19" fillId="31" borderId="110" xfId="4" applyNumberFormat="1" applyFont="1" applyFill="1" applyBorder="1"/>
    <xf numFmtId="164" fontId="19" fillId="0" borderId="108" xfId="4" applyFont="1" applyBorder="1"/>
    <xf numFmtId="164" fontId="15" fillId="0" borderId="108" xfId="4" applyBorder="1"/>
    <xf numFmtId="3" fontId="19" fillId="0" borderId="108" xfId="4" applyNumberFormat="1" applyFont="1" applyBorder="1"/>
    <xf numFmtId="3" fontId="19" fillId="0" borderId="111" xfId="4" applyNumberFormat="1" applyFont="1" applyBorder="1" applyAlignment="1">
      <alignment horizontal="right"/>
    </xf>
    <xf numFmtId="0" fontId="120" fillId="0" borderId="6" xfId="0" applyFont="1" applyBorder="1" applyAlignment="1">
      <alignment horizontal="right"/>
    </xf>
    <xf numFmtId="0" fontId="120" fillId="0" borderId="117" xfId="0" applyFont="1" applyBorder="1" applyAlignment="1">
      <alignment horizontal="right"/>
    </xf>
    <xf numFmtId="3" fontId="19" fillId="0" borderId="108" xfId="0" applyNumberFormat="1" applyFont="1" applyBorder="1"/>
    <xf numFmtId="3" fontId="19" fillId="36" borderId="108" xfId="0" applyNumberFormat="1" applyFont="1" applyFill="1" applyBorder="1"/>
    <xf numFmtId="3" fontId="15" fillId="0" borderId="4" xfId="0" applyNumberFormat="1" applyFont="1" applyBorder="1"/>
    <xf numFmtId="0" fontId="120" fillId="36" borderId="107" xfId="0" applyFont="1" applyFill="1" applyBorder="1"/>
    <xf numFmtId="0" fontId="64" fillId="0" borderId="107" xfId="0" applyFont="1" applyFill="1" applyBorder="1" applyAlignment="1">
      <alignment horizontal="right"/>
    </xf>
    <xf numFmtId="0" fontId="9" fillId="34" borderId="107" xfId="0" applyFont="1" applyFill="1" applyBorder="1" applyAlignment="1">
      <alignment horizontal="center" wrapText="1"/>
    </xf>
    <xf numFmtId="0" fontId="9" fillId="4" borderId="107" xfId="0" applyFont="1" applyFill="1" applyBorder="1" applyAlignment="1">
      <alignment horizontal="center"/>
    </xf>
    <xf numFmtId="5" fontId="121" fillId="0" borderId="107" xfId="2" applyNumberFormat="1" applyFont="1" applyFill="1" applyBorder="1" applyProtection="1">
      <protection locked="0"/>
    </xf>
    <xf numFmtId="5" fontId="11" fillId="7" borderId="107" xfId="2" applyNumberFormat="1" applyFont="1" applyFill="1" applyBorder="1"/>
    <xf numFmtId="166" fontId="12" fillId="8" borderId="107" xfId="0" applyNumberFormat="1" applyFont="1" applyFill="1" applyBorder="1"/>
    <xf numFmtId="166" fontId="12" fillId="7" borderId="107" xfId="2" applyNumberFormat="1" applyFont="1" applyFill="1" applyBorder="1"/>
    <xf numFmtId="5" fontId="11" fillId="7" borderId="107" xfId="0" applyNumberFormat="1" applyFont="1" applyFill="1" applyBorder="1"/>
    <xf numFmtId="5" fontId="121" fillId="7" borderId="107" xfId="2" applyNumberFormat="1" applyFont="1" applyFill="1" applyBorder="1"/>
    <xf numFmtId="166" fontId="122" fillId="8" borderId="107" xfId="0" applyNumberFormat="1" applyFont="1" applyFill="1" applyBorder="1"/>
    <xf numFmtId="166" fontId="122" fillId="7" borderId="107" xfId="2" applyNumberFormat="1" applyFont="1" applyFill="1" applyBorder="1"/>
    <xf numFmtId="5" fontId="121" fillId="7" borderId="107" xfId="0" applyNumberFormat="1" applyFont="1" applyFill="1" applyBorder="1"/>
    <xf numFmtId="5" fontId="0" fillId="0" borderId="0" xfId="0" applyNumberFormat="1"/>
    <xf numFmtId="0" fontId="9" fillId="34" borderId="107" xfId="0" applyFont="1" applyFill="1" applyBorder="1" applyAlignment="1">
      <alignment horizontal="center"/>
    </xf>
    <xf numFmtId="0" fontId="9" fillId="0" borderId="107" xfId="0" applyFont="1" applyBorder="1" applyAlignment="1">
      <alignment horizontal="center"/>
    </xf>
    <xf numFmtId="5" fontId="0" fillId="0" borderId="107" xfId="2" applyNumberFormat="1" applyFont="1" applyBorder="1"/>
    <xf numFmtId="5" fontId="0" fillId="0" borderId="107" xfId="2" applyNumberFormat="1" applyFont="1" applyBorder="1" applyAlignment="1">
      <alignment horizontal="center"/>
    </xf>
    <xf numFmtId="5" fontId="0" fillId="0" borderId="107" xfId="2" applyNumberFormat="1" applyFont="1" applyFill="1" applyBorder="1"/>
    <xf numFmtId="5" fontId="8" fillId="0" borderId="107" xfId="2" applyNumberFormat="1" applyFont="1" applyBorder="1" applyAlignment="1"/>
    <xf numFmtId="0" fontId="9" fillId="0" borderId="107" xfId="0" applyFont="1" applyFill="1" applyBorder="1" applyAlignment="1">
      <alignment horizontal="center"/>
    </xf>
    <xf numFmtId="5" fontId="11" fillId="0" borderId="107" xfId="2" applyNumberFormat="1" applyFont="1" applyFill="1" applyBorder="1" applyProtection="1">
      <protection locked="0"/>
    </xf>
    <xf numFmtId="5" fontId="11" fillId="0" borderId="107" xfId="2" applyNumberFormat="1" applyFont="1" applyFill="1" applyBorder="1" applyAlignment="1" applyProtection="1">
      <protection locked="0"/>
    </xf>
    <xf numFmtId="0" fontId="12" fillId="0" borderId="107" xfId="0" applyFont="1" applyFill="1" applyBorder="1" applyAlignment="1">
      <alignment horizontal="center"/>
    </xf>
    <xf numFmtId="5" fontId="12" fillId="0" borderId="107" xfId="2" applyNumberFormat="1" applyFont="1" applyFill="1" applyBorder="1" applyAlignment="1" applyProtection="1">
      <protection locked="0"/>
    </xf>
    <xf numFmtId="0" fontId="9" fillId="6" borderId="107" xfId="0" applyFont="1" applyFill="1" applyBorder="1" applyAlignment="1">
      <alignment horizontal="center"/>
    </xf>
    <xf numFmtId="5" fontId="0" fillId="6" borderId="107" xfId="2" applyNumberFormat="1" applyFont="1" applyFill="1" applyBorder="1"/>
    <xf numFmtId="5" fontId="8" fillId="6" borderId="107" xfId="2" applyNumberFormat="1" applyFont="1" applyFill="1" applyBorder="1" applyAlignment="1"/>
    <xf numFmtId="0" fontId="9" fillId="34" borderId="110" xfId="0" applyFont="1" applyFill="1" applyBorder="1" applyAlignment="1">
      <alignment horizontal="center" wrapText="1"/>
    </xf>
    <xf numFmtId="5" fontId="0" fillId="0" borderId="110" xfId="2" applyNumberFormat="1" applyFont="1" applyBorder="1" applyAlignment="1">
      <alignment horizontal="center"/>
    </xf>
    <xf numFmtId="5" fontId="8" fillId="0" borderId="110" xfId="2" applyNumberFormat="1" applyFont="1" applyBorder="1" applyAlignment="1"/>
    <xf numFmtId="5" fontId="11" fillId="0" borderId="110" xfId="2" applyNumberFormat="1" applyFont="1" applyFill="1" applyBorder="1" applyAlignment="1" applyProtection="1">
      <protection locked="0"/>
    </xf>
    <xf numFmtId="5" fontId="12" fillId="0" borderId="110" xfId="2" applyNumberFormat="1" applyFont="1" applyFill="1" applyBorder="1" applyAlignment="1" applyProtection="1">
      <protection locked="0"/>
    </xf>
    <xf numFmtId="5" fontId="11" fillId="0" borderId="110" xfId="2" applyNumberFormat="1" applyFont="1" applyFill="1" applyBorder="1" applyProtection="1">
      <protection locked="0"/>
    </xf>
    <xf numFmtId="5" fontId="121" fillId="0" borderId="110" xfId="2" applyNumberFormat="1" applyFont="1" applyFill="1" applyBorder="1" applyProtection="1">
      <protection locked="0"/>
    </xf>
    <xf numFmtId="5" fontId="8" fillId="6" borderId="110" xfId="2" applyNumberFormat="1" applyFont="1" applyFill="1" applyBorder="1" applyAlignment="1"/>
    <xf numFmtId="0" fontId="9" fillId="34" borderId="118" xfId="0" applyFont="1" applyFill="1" applyBorder="1" applyAlignment="1">
      <alignment horizontal="center"/>
    </xf>
    <xf numFmtId="5" fontId="0" fillId="0" borderId="119" xfId="0" applyNumberFormat="1" applyBorder="1"/>
    <xf numFmtId="5" fontId="0" fillId="0" borderId="119" xfId="0" applyNumberFormat="1" applyFill="1" applyBorder="1"/>
    <xf numFmtId="5" fontId="11" fillId="0" borderId="119" xfId="0" applyNumberFormat="1" applyFont="1" applyFill="1" applyBorder="1"/>
    <xf numFmtId="5" fontId="8" fillId="6" borderId="120" xfId="2" applyNumberFormat="1" applyFont="1" applyFill="1" applyBorder="1" applyAlignment="1"/>
    <xf numFmtId="166" fontId="9" fillId="2" borderId="107" xfId="2" applyNumberFormat="1" applyFont="1" applyFill="1" applyBorder="1"/>
    <xf numFmtId="5" fontId="11" fillId="0" borderId="107" xfId="2" applyNumberFormat="1" applyFont="1" applyBorder="1"/>
    <xf numFmtId="166" fontId="12" fillId="2" borderId="107" xfId="2" applyNumberFormat="1" applyFont="1" applyFill="1" applyBorder="1"/>
    <xf numFmtId="5" fontId="121" fillId="0" borderId="107" xfId="2" applyNumberFormat="1" applyFont="1" applyBorder="1"/>
    <xf numFmtId="0" fontId="9" fillId="34" borderId="110" xfId="0" applyFont="1" applyFill="1" applyBorder="1" applyAlignment="1">
      <alignment horizontal="center"/>
    </xf>
    <xf numFmtId="5" fontId="0" fillId="0" borderId="110" xfId="0" applyNumberFormat="1" applyBorder="1"/>
    <xf numFmtId="5" fontId="0" fillId="0" borderId="110" xfId="2" applyNumberFormat="1" applyFont="1" applyBorder="1"/>
    <xf numFmtId="5" fontId="11" fillId="0" borderId="110" xfId="2" applyNumberFormat="1" applyFont="1" applyBorder="1"/>
    <xf numFmtId="5" fontId="121" fillId="0" borderId="110" xfId="2" applyNumberFormat="1" applyFont="1" applyBorder="1"/>
    <xf numFmtId="166" fontId="9" fillId="0" borderId="119" xfId="2" applyNumberFormat="1" applyFont="1" applyFill="1" applyBorder="1"/>
    <xf numFmtId="166" fontId="12" fillId="0" borderId="119" xfId="2" applyNumberFormat="1" applyFont="1" applyFill="1" applyBorder="1"/>
    <xf numFmtId="5" fontId="11" fillId="0" borderId="119" xfId="2" applyNumberFormat="1" applyFont="1" applyBorder="1"/>
    <xf numFmtId="5" fontId="121" fillId="0" borderId="119" xfId="2" applyNumberFormat="1" applyFont="1" applyBorder="1"/>
    <xf numFmtId="5" fontId="121" fillId="0" borderId="120" xfId="2" applyNumberFormat="1" applyFont="1" applyBorder="1"/>
    <xf numFmtId="166" fontId="12" fillId="7" borderId="119" xfId="2" applyNumberFormat="1" applyFont="1" applyFill="1" applyBorder="1"/>
    <xf numFmtId="166" fontId="122" fillId="7" borderId="119" xfId="2" applyNumberFormat="1" applyFont="1" applyFill="1" applyBorder="1"/>
    <xf numFmtId="166" fontId="122" fillId="7" borderId="120" xfId="2" applyNumberFormat="1" applyFont="1" applyFill="1" applyBorder="1"/>
    <xf numFmtId="5" fontId="12" fillId="2" borderId="107" xfId="2" applyNumberFormat="1" applyFont="1" applyFill="1" applyBorder="1"/>
    <xf numFmtId="5" fontId="122" fillId="2" borderId="107" xfId="2" applyNumberFormat="1" applyFont="1" applyFill="1" applyBorder="1"/>
    <xf numFmtId="0" fontId="2" fillId="0" borderId="0" xfId="0" applyFont="1"/>
    <xf numFmtId="0" fontId="3" fillId="0" borderId="73" xfId="0" applyFont="1" applyFill="1" applyBorder="1" applyAlignment="1">
      <alignment vertical="top" wrapText="1"/>
    </xf>
    <xf numFmtId="0" fontId="3" fillId="0" borderId="0" xfId="0" applyFont="1" applyFill="1" applyBorder="1" applyAlignment="1">
      <alignment vertical="top" wrapText="1"/>
    </xf>
    <xf numFmtId="49" fontId="67" fillId="0" borderId="77" xfId="0" applyNumberFormat="1" applyFont="1" applyFill="1" applyBorder="1" applyAlignment="1">
      <alignment horizontal="center"/>
    </xf>
    <xf numFmtId="49" fontId="67" fillId="0" borderId="78" xfId="0" applyNumberFormat="1" applyFont="1" applyFill="1" applyBorder="1" applyAlignment="1">
      <alignment horizontal="center"/>
    </xf>
    <xf numFmtId="0" fontId="67" fillId="0" borderId="77" xfId="0" applyFont="1" applyFill="1" applyBorder="1" applyAlignment="1">
      <alignment horizontal="center"/>
    </xf>
    <xf numFmtId="0" fontId="67" fillId="0" borderId="78" xfId="0" applyFont="1" applyFill="1" applyBorder="1" applyAlignment="1">
      <alignment horizontal="center"/>
    </xf>
    <xf numFmtId="0" fontId="77" fillId="0" borderId="77" xfId="0" applyFont="1" applyFill="1" applyBorder="1" applyAlignment="1">
      <alignment horizontal="center"/>
    </xf>
    <xf numFmtId="0" fontId="77" fillId="0" borderId="78" xfId="0" applyFont="1" applyFill="1" applyBorder="1" applyAlignment="1">
      <alignment horizontal="center"/>
    </xf>
    <xf numFmtId="0" fontId="67" fillId="0" borderId="79" xfId="0" applyFont="1" applyFill="1" applyBorder="1" applyAlignment="1">
      <alignment horizontal="center"/>
    </xf>
    <xf numFmtId="0" fontId="67" fillId="0" borderId="80" xfId="0" applyFont="1" applyFill="1" applyBorder="1" applyAlignment="1">
      <alignment horizontal="center"/>
    </xf>
    <xf numFmtId="0" fontId="13" fillId="0" borderId="67" xfId="0" applyFont="1" applyFill="1" applyBorder="1" applyAlignment="1">
      <alignment horizontal="center"/>
    </xf>
    <xf numFmtId="0" fontId="13" fillId="0" borderId="50" xfId="0" applyFont="1" applyFill="1" applyBorder="1" applyAlignment="1"/>
    <xf numFmtId="0" fontId="13" fillId="0" borderId="68" xfId="0" applyFont="1" applyFill="1" applyBorder="1" applyAlignment="1"/>
    <xf numFmtId="0" fontId="9" fillId="0" borderId="53" xfId="0" applyFont="1" applyBorder="1" applyAlignment="1">
      <alignment horizontal="center"/>
    </xf>
    <xf numFmtId="0" fontId="9" fillId="0" borderId="53" xfId="0" applyFont="1" applyBorder="1" applyAlignment="1"/>
    <xf numFmtId="0" fontId="12" fillId="0" borderId="110" xfId="0" applyFont="1" applyBorder="1" applyAlignment="1">
      <alignment horizontal="right" wrapText="1"/>
    </xf>
    <xf numFmtId="0" fontId="12" fillId="0" borderId="109" xfId="0" applyFont="1" applyBorder="1" applyAlignment="1">
      <alignment horizontal="right" wrapText="1"/>
    </xf>
    <xf numFmtId="165" fontId="98" fillId="0" borderId="95" xfId="1" applyNumberFormat="1" applyFont="1" applyBorder="1" applyAlignment="1">
      <alignment horizontal="right"/>
    </xf>
    <xf numFmtId="0" fontId="100" fillId="0" borderId="0" xfId="0" applyFont="1" applyBorder="1" applyAlignment="1">
      <alignment horizontal="right"/>
    </xf>
    <xf numFmtId="0" fontId="94" fillId="8" borderId="96" xfId="0" applyFont="1" applyFill="1" applyBorder="1" applyAlignment="1">
      <alignment vertical="center" wrapText="1"/>
    </xf>
    <xf numFmtId="0" fontId="94" fillId="8" borderId="102" xfId="0" applyFont="1" applyFill="1" applyBorder="1" applyAlignment="1">
      <alignment vertical="center" wrapText="1"/>
    </xf>
    <xf numFmtId="0" fontId="13" fillId="0" borderId="8" xfId="0" applyFont="1" applyBorder="1" applyAlignment="1">
      <alignment horizontal="center" wrapText="1"/>
    </xf>
    <xf numFmtId="0" fontId="13" fillId="0" borderId="27" xfId="0" applyFont="1" applyBorder="1" applyAlignment="1">
      <alignment horizontal="center" wrapText="1"/>
    </xf>
    <xf numFmtId="0" fontId="13" fillId="8" borderId="55" xfId="0" applyFont="1" applyFill="1" applyBorder="1" applyAlignment="1">
      <alignment wrapText="1"/>
    </xf>
    <xf numFmtId="0" fontId="3" fillId="0" borderId="4" xfId="0" applyFont="1" applyBorder="1" applyAlignment="1">
      <alignment wrapText="1"/>
    </xf>
    <xf numFmtId="0" fontId="13" fillId="8" borderId="22" xfId="0" applyFont="1" applyFill="1" applyBorder="1" applyAlignment="1">
      <alignment wrapText="1"/>
    </xf>
    <xf numFmtId="0" fontId="5" fillId="0" borderId="4" xfId="0" applyFont="1" applyBorder="1" applyAlignment="1">
      <alignment wrapText="1"/>
    </xf>
    <xf numFmtId="0" fontId="94" fillId="41" borderId="96" xfId="0" applyFont="1" applyFill="1" applyBorder="1" applyAlignment="1">
      <alignment horizontal="center" vertical="center" wrapText="1"/>
    </xf>
    <xf numFmtId="0" fontId="94" fillId="41" borderId="97" xfId="0" applyFont="1" applyFill="1" applyBorder="1" applyAlignment="1">
      <alignment horizontal="center" vertical="center" wrapText="1"/>
    </xf>
    <xf numFmtId="0" fontId="95" fillId="41" borderId="96" xfId="0" applyFont="1" applyFill="1" applyBorder="1" applyAlignment="1">
      <alignment horizontal="center" vertical="center" wrapText="1"/>
    </xf>
    <xf numFmtId="0" fontId="95" fillId="41" borderId="97" xfId="0" applyFont="1" applyFill="1" applyBorder="1" applyAlignment="1">
      <alignment horizontal="center" vertical="center" wrapText="1"/>
    </xf>
    <xf numFmtId="0" fontId="103" fillId="0" borderId="8" xfId="0" applyFont="1" applyBorder="1" applyAlignment="1">
      <alignment horizontal="center" wrapText="1"/>
    </xf>
    <xf numFmtId="0" fontId="103" fillId="0" borderId="27" xfId="0" applyFont="1" applyBorder="1" applyAlignment="1">
      <alignment horizontal="center" wrapText="1"/>
    </xf>
    <xf numFmtId="0" fontId="103" fillId="8" borderId="22" xfId="0" applyFont="1" applyFill="1" applyBorder="1" applyAlignment="1">
      <alignment wrapText="1"/>
    </xf>
    <xf numFmtId="0" fontId="64" fillId="0" borderId="4" xfId="0" applyFont="1" applyBorder="1" applyAlignment="1">
      <alignment wrapText="1"/>
    </xf>
    <xf numFmtId="0" fontId="0" fillId="0" borderId="0" xfId="0" applyAlignment="1">
      <alignment horizontal="left" wrapText="1"/>
    </xf>
    <xf numFmtId="0" fontId="0" fillId="0" borderId="0" xfId="0" applyAlignment="1"/>
    <xf numFmtId="164" fontId="19" fillId="0" borderId="28" xfId="4" applyFont="1" applyFill="1" applyBorder="1" applyAlignment="1">
      <alignment horizontal="center" wrapText="1"/>
    </xf>
    <xf numFmtId="164" fontId="15" fillId="0" borderId="28" xfId="4" applyFont="1" applyFill="1" applyBorder="1" applyAlignment="1">
      <alignment horizontal="center" wrapText="1"/>
    </xf>
    <xf numFmtId="164" fontId="19" fillId="0" borderId="0" xfId="4" applyFont="1" applyFill="1" applyAlignment="1">
      <alignment wrapText="1"/>
    </xf>
    <xf numFmtId="164" fontId="15" fillId="0" borderId="0" xfId="4" applyFont="1" applyFill="1" applyAlignment="1">
      <alignment wrapText="1"/>
    </xf>
    <xf numFmtId="164" fontId="15" fillId="0" borderId="0" xfId="4" applyFont="1" applyFill="1" applyAlignment="1">
      <alignment horizontal="right"/>
    </xf>
    <xf numFmtId="0" fontId="64" fillId="0" borderId="0" xfId="0" applyFont="1" applyAlignment="1">
      <alignment horizontal="right"/>
    </xf>
    <xf numFmtId="3" fontId="55" fillId="36" borderId="37" xfId="4" applyNumberFormat="1" applyFont="1" applyFill="1" applyBorder="1" applyAlignment="1">
      <alignment horizontal="right"/>
    </xf>
    <xf numFmtId="0" fontId="57" fillId="36" borderId="38" xfId="0" applyFont="1" applyFill="1" applyBorder="1" applyAlignment="1">
      <alignment horizontal="right"/>
    </xf>
    <xf numFmtId="0" fontId="57" fillId="36" borderId="39" xfId="0" applyFont="1" applyFill="1" applyBorder="1" applyAlignment="1">
      <alignment horizontal="right"/>
    </xf>
    <xf numFmtId="3" fontId="56" fillId="0" borderId="32" xfId="4" applyNumberFormat="1" applyFont="1" applyFill="1" applyBorder="1" applyAlignment="1">
      <alignment horizontal="center" vertical="center" textRotation="51"/>
    </xf>
    <xf numFmtId="0" fontId="0" fillId="0" borderId="9" xfId="0" applyBorder="1" applyAlignment="1">
      <alignment horizontal="center" vertical="center" textRotation="51"/>
    </xf>
    <xf numFmtId="0" fontId="0" fillId="0" borderId="36" xfId="0" applyBorder="1" applyAlignment="1">
      <alignment horizontal="center" vertical="center" textRotation="51"/>
    </xf>
    <xf numFmtId="3" fontId="55" fillId="36" borderId="29" xfId="4" applyNumberFormat="1" applyFont="1" applyFill="1" applyBorder="1" applyAlignment="1">
      <alignment horizontal="right"/>
    </xf>
    <xf numFmtId="0" fontId="57" fillId="36" borderId="30" xfId="0" applyFont="1" applyFill="1" applyBorder="1" applyAlignment="1">
      <alignment horizontal="right"/>
    </xf>
    <xf numFmtId="0" fontId="57" fillId="36" borderId="31" xfId="0" applyFont="1" applyFill="1" applyBorder="1" applyAlignment="1">
      <alignment horizontal="right"/>
    </xf>
    <xf numFmtId="3" fontId="56" fillId="0" borderId="32" xfId="4" applyNumberFormat="1" applyFont="1" applyFill="1" applyBorder="1" applyAlignment="1">
      <alignment horizontal="center" vertical="center" textRotation="45" shrinkToFit="1"/>
    </xf>
    <xf numFmtId="0" fontId="0" fillId="0" borderId="9" xfId="0" applyBorder="1" applyAlignment="1">
      <alignment horizontal="center" vertical="center" textRotation="45" shrinkToFit="1"/>
    </xf>
    <xf numFmtId="3" fontId="56" fillId="0" borderId="32" xfId="4" applyNumberFormat="1" applyFont="1" applyFill="1" applyBorder="1" applyAlignment="1">
      <alignment textRotation="39" shrinkToFit="1"/>
    </xf>
    <xf numFmtId="0" fontId="0" fillId="0" borderId="9" xfId="0" applyBorder="1" applyAlignment="1">
      <alignment textRotation="39" shrinkToFit="1"/>
    </xf>
    <xf numFmtId="3" fontId="56" fillId="0" borderId="32" xfId="4" applyNumberFormat="1" applyFont="1" applyFill="1" applyBorder="1" applyAlignment="1">
      <alignment textRotation="45"/>
    </xf>
    <xf numFmtId="0" fontId="0" fillId="0" borderId="9" xfId="0" applyBorder="1" applyAlignment="1">
      <alignment textRotation="45"/>
    </xf>
    <xf numFmtId="3" fontId="56" fillId="0" borderId="32" xfId="4" applyNumberFormat="1" applyFont="1" applyFill="1" applyBorder="1" applyAlignment="1">
      <alignment vertical="center" textRotation="45"/>
    </xf>
    <xf numFmtId="0" fontId="0" fillId="0" borderId="9" xfId="0" applyBorder="1" applyAlignment="1">
      <alignment vertical="center" textRotation="45"/>
    </xf>
    <xf numFmtId="3" fontId="56" fillId="0" borderId="32" xfId="4" applyNumberFormat="1" applyFont="1" applyFill="1" applyBorder="1" applyAlignment="1">
      <alignment horizontal="center" vertical="center" textRotation="45"/>
    </xf>
    <xf numFmtId="0" fontId="0" fillId="0" borderId="9" xfId="0" applyBorder="1" applyAlignment="1">
      <alignment horizontal="center" vertical="center" textRotation="45"/>
    </xf>
    <xf numFmtId="164" fontId="55" fillId="0" borderId="0" xfId="4" applyFont="1" applyFill="1" applyBorder="1" applyAlignment="1">
      <alignment horizontal="center" wrapText="1"/>
    </xf>
    <xf numFmtId="164" fontId="55" fillId="0" borderId="43" xfId="4" applyFont="1" applyFill="1" applyBorder="1" applyAlignment="1">
      <alignment horizontal="center" wrapText="1"/>
    </xf>
    <xf numFmtId="164" fontId="55" fillId="36" borderId="29" xfId="4" applyFont="1" applyFill="1" applyBorder="1" applyAlignment="1">
      <alignment horizontal="right"/>
    </xf>
    <xf numFmtId="3" fontId="56" fillId="0" borderId="34" xfId="4" applyNumberFormat="1" applyFont="1" applyFill="1" applyBorder="1" applyAlignment="1">
      <alignment vertical="center" textRotation="45"/>
    </xf>
    <xf numFmtId="0" fontId="60" fillId="0" borderId="9" xfId="0" applyFont="1" applyFill="1" applyBorder="1" applyAlignment="1">
      <alignment vertical="center" textRotation="45"/>
    </xf>
    <xf numFmtId="0" fontId="60" fillId="0" borderId="9" xfId="0" applyFont="1" applyBorder="1" applyAlignment="1">
      <alignment vertical="center" textRotation="45"/>
    </xf>
    <xf numFmtId="164" fontId="55" fillId="0" borderId="0" xfId="4" applyFont="1" applyFill="1" applyAlignment="1">
      <alignment horizontal="center" wrapText="1"/>
    </xf>
    <xf numFmtId="164" fontId="55" fillId="0" borderId="6" xfId="4" applyFont="1" applyFill="1" applyBorder="1" applyAlignment="1">
      <alignment horizontal="center" wrapText="1"/>
    </xf>
    <xf numFmtId="164" fontId="55" fillId="0" borderId="0" xfId="4" applyFont="1" applyFill="1" applyAlignment="1">
      <alignment wrapText="1"/>
    </xf>
    <xf numFmtId="164" fontId="55" fillId="0" borderId="0" xfId="4" applyFont="1" applyFill="1" applyBorder="1" applyAlignment="1">
      <alignment wrapText="1"/>
    </xf>
    <xf numFmtId="0" fontId="84" fillId="0" borderId="94" xfId="0" applyFont="1" applyBorder="1" applyAlignment="1">
      <alignment horizontal="center" vertical="center"/>
    </xf>
    <xf numFmtId="0" fontId="0" fillId="0" borderId="94" xfId="0" applyBorder="1"/>
  </cellXfs>
  <cellStyles count="137">
    <cellStyle name="20% - Accent1 2" xfId="16" xr:uid="{00000000-0005-0000-0000-000000000000}"/>
    <cellStyle name="20% - Accent2 2" xfId="17" xr:uid="{00000000-0005-0000-0000-000001000000}"/>
    <cellStyle name="20% - Accent3 2" xfId="18" xr:uid="{00000000-0005-0000-0000-000002000000}"/>
    <cellStyle name="20% - Accent4 2" xfId="19" xr:uid="{00000000-0005-0000-0000-000003000000}"/>
    <cellStyle name="20% - Accent5 2" xfId="20" xr:uid="{00000000-0005-0000-0000-000004000000}"/>
    <cellStyle name="20% - Accent6 2" xfId="21" xr:uid="{00000000-0005-0000-0000-000005000000}"/>
    <cellStyle name="40% - Accent1 2" xfId="22" xr:uid="{00000000-0005-0000-0000-000006000000}"/>
    <cellStyle name="40% - Accent2 2" xfId="23" xr:uid="{00000000-0005-0000-0000-000007000000}"/>
    <cellStyle name="40% - Accent3 2" xfId="24" xr:uid="{00000000-0005-0000-0000-000008000000}"/>
    <cellStyle name="40% - Accent4 2" xfId="25" xr:uid="{00000000-0005-0000-0000-000009000000}"/>
    <cellStyle name="40% - Accent5 2" xfId="26" xr:uid="{00000000-0005-0000-0000-00000A000000}"/>
    <cellStyle name="40% - Accent6 2" xfId="27" xr:uid="{00000000-0005-0000-0000-00000B000000}"/>
    <cellStyle name="60% - Accent1 2" xfId="28" xr:uid="{00000000-0005-0000-0000-00000C000000}"/>
    <cellStyle name="60% - Accent2 2" xfId="29" xr:uid="{00000000-0005-0000-0000-00000D000000}"/>
    <cellStyle name="60% - Accent3 2" xfId="30" xr:uid="{00000000-0005-0000-0000-00000E000000}"/>
    <cellStyle name="60% - Accent4 2" xfId="31" xr:uid="{00000000-0005-0000-0000-00000F000000}"/>
    <cellStyle name="60% - Accent5 2" xfId="32" xr:uid="{00000000-0005-0000-0000-000010000000}"/>
    <cellStyle name="60% - Accent6 2" xfId="33" xr:uid="{00000000-0005-0000-0000-000011000000}"/>
    <cellStyle name="Accent1 2" xfId="34" xr:uid="{00000000-0005-0000-0000-000012000000}"/>
    <cellStyle name="Accent2 2" xfId="35" xr:uid="{00000000-0005-0000-0000-000013000000}"/>
    <cellStyle name="Accent3 2" xfId="36" xr:uid="{00000000-0005-0000-0000-000014000000}"/>
    <cellStyle name="Accent4 2" xfId="37" xr:uid="{00000000-0005-0000-0000-000015000000}"/>
    <cellStyle name="Accent5 2" xfId="38" xr:uid="{00000000-0005-0000-0000-000016000000}"/>
    <cellStyle name="Accent6 2" xfId="39" xr:uid="{00000000-0005-0000-0000-000017000000}"/>
    <cellStyle name="Bad 2" xfId="40" xr:uid="{00000000-0005-0000-0000-000018000000}"/>
    <cellStyle name="ç" xfId="83" xr:uid="{00000000-0005-0000-0000-000019000000}"/>
    <cellStyle name="Calculation 2" xfId="41" xr:uid="{00000000-0005-0000-0000-00001A000000}"/>
    <cellStyle name="Calculation 2 2" xfId="108" xr:uid="{00000000-0005-0000-0000-00001B000000}"/>
    <cellStyle name="Calculation 2 2 2" xfId="122" xr:uid="{00000000-0005-0000-0000-00001C000000}"/>
    <cellStyle name="Calculation 2 2 2 2" xfId="133" xr:uid="{00000000-0005-0000-0000-00001D000000}"/>
    <cellStyle name="Calculation 2 2 3" xfId="125" xr:uid="{00000000-0005-0000-0000-00001E000000}"/>
    <cellStyle name="Calculation 2 3" xfId="111" xr:uid="{00000000-0005-0000-0000-00001F000000}"/>
    <cellStyle name="Calculation 2 3 2" xfId="127" xr:uid="{00000000-0005-0000-0000-000020000000}"/>
    <cellStyle name="Calculation 2 4" xfId="119" xr:uid="{00000000-0005-0000-0000-000021000000}"/>
    <cellStyle name="Check Cell 2" xfId="42" xr:uid="{00000000-0005-0000-0000-000022000000}"/>
    <cellStyle name="Comma" xfId="1" builtinId="3"/>
    <cellStyle name="Comma (0)" xfId="5" xr:uid="{00000000-0005-0000-0000-000024000000}"/>
    <cellStyle name="Comma 10" xfId="64" xr:uid="{00000000-0005-0000-0000-000025000000}"/>
    <cellStyle name="Comma 11" xfId="73" xr:uid="{00000000-0005-0000-0000-000026000000}"/>
    <cellStyle name="Comma 12" xfId="63" xr:uid="{00000000-0005-0000-0000-000027000000}"/>
    <cellStyle name="Comma 13" xfId="74" xr:uid="{00000000-0005-0000-0000-000028000000}"/>
    <cellStyle name="Comma 14" xfId="62" xr:uid="{00000000-0005-0000-0000-000029000000}"/>
    <cellStyle name="Comma 15" xfId="68" xr:uid="{00000000-0005-0000-0000-00002A000000}"/>
    <cellStyle name="Comma 16" xfId="61" xr:uid="{00000000-0005-0000-0000-00002B000000}"/>
    <cellStyle name="Comma 17" xfId="75" xr:uid="{00000000-0005-0000-0000-00002C000000}"/>
    <cellStyle name="Comma 18" xfId="60" xr:uid="{00000000-0005-0000-0000-00002D000000}"/>
    <cellStyle name="Comma 19" xfId="76" xr:uid="{00000000-0005-0000-0000-00002E000000}"/>
    <cellStyle name="Comma 2" xfId="43" xr:uid="{00000000-0005-0000-0000-00002F000000}"/>
    <cellStyle name="Comma 2 2" xfId="84" xr:uid="{00000000-0005-0000-0000-000030000000}"/>
    <cellStyle name="Comma 20" xfId="59" xr:uid="{00000000-0005-0000-0000-000031000000}"/>
    <cellStyle name="Comma 21" xfId="103" xr:uid="{00000000-0005-0000-0000-000032000000}"/>
    <cellStyle name="Comma 3" xfId="69" xr:uid="{00000000-0005-0000-0000-000033000000}"/>
    <cellStyle name="Comma 4" xfId="67" xr:uid="{00000000-0005-0000-0000-000034000000}"/>
    <cellStyle name="Comma 5" xfId="70" xr:uid="{00000000-0005-0000-0000-000035000000}"/>
    <cellStyle name="Comma 6" xfId="66" xr:uid="{00000000-0005-0000-0000-000036000000}"/>
    <cellStyle name="Comma 7" xfId="71" xr:uid="{00000000-0005-0000-0000-000037000000}"/>
    <cellStyle name="Comma 8" xfId="65" xr:uid="{00000000-0005-0000-0000-000038000000}"/>
    <cellStyle name="Comma 9" xfId="72" xr:uid="{00000000-0005-0000-0000-000039000000}"/>
    <cellStyle name="Currency" xfId="2" builtinId="4"/>
    <cellStyle name="Currency 2" xfId="77" xr:uid="{00000000-0005-0000-0000-00003B000000}"/>
    <cellStyle name="Currency 3" xfId="85" xr:uid="{00000000-0005-0000-0000-00003C000000}"/>
    <cellStyle name="date" xfId="6" xr:uid="{00000000-0005-0000-0000-00003D000000}"/>
    <cellStyle name="Explanatory Text 2" xfId="44" xr:uid="{00000000-0005-0000-0000-00003E000000}"/>
    <cellStyle name="F2" xfId="86" xr:uid="{00000000-0005-0000-0000-00003F000000}"/>
    <cellStyle name="F3" xfId="87" xr:uid="{00000000-0005-0000-0000-000040000000}"/>
    <cellStyle name="F4" xfId="88" xr:uid="{00000000-0005-0000-0000-000041000000}"/>
    <cellStyle name="F5" xfId="89" xr:uid="{00000000-0005-0000-0000-000042000000}"/>
    <cellStyle name="F6" xfId="90" xr:uid="{00000000-0005-0000-0000-000043000000}"/>
    <cellStyle name="F7" xfId="91" xr:uid="{00000000-0005-0000-0000-000044000000}"/>
    <cellStyle name="F8" xfId="92" xr:uid="{00000000-0005-0000-0000-000045000000}"/>
    <cellStyle name="Good 2" xfId="45" xr:uid="{00000000-0005-0000-0000-000046000000}"/>
    <cellStyle name="Heading 1 2" xfId="46" xr:uid="{00000000-0005-0000-0000-000047000000}"/>
    <cellStyle name="Heading 2 2" xfId="47" xr:uid="{00000000-0005-0000-0000-000048000000}"/>
    <cellStyle name="Heading 3 2" xfId="48" xr:uid="{00000000-0005-0000-0000-000049000000}"/>
    <cellStyle name="Heading 4 2" xfId="49" xr:uid="{00000000-0005-0000-0000-00004A000000}"/>
    <cellStyle name="Hyperlink" xfId="12" builtinId="8"/>
    <cellStyle name="Hyperlink 2" xfId="11" xr:uid="{00000000-0005-0000-0000-00004C000000}"/>
    <cellStyle name="Hyperlink 2 2" xfId="105" xr:uid="{00000000-0005-0000-0000-00004D000000}"/>
    <cellStyle name="Hyperlink 2 3" xfId="93" xr:uid="{00000000-0005-0000-0000-00004E000000}"/>
    <cellStyle name="Hyperlink 3" xfId="94" xr:uid="{00000000-0005-0000-0000-00004F000000}"/>
    <cellStyle name="Hyperlink 4" xfId="106" xr:uid="{00000000-0005-0000-0000-000050000000}"/>
    <cellStyle name="Hyperlink 5" xfId="14" xr:uid="{00000000-0005-0000-0000-000051000000}"/>
    <cellStyle name="Input 2" xfId="50" xr:uid="{00000000-0005-0000-0000-000052000000}"/>
    <cellStyle name="Input 2 2" xfId="107" xr:uid="{00000000-0005-0000-0000-000053000000}"/>
    <cellStyle name="Input 2 2 2" xfId="121" xr:uid="{00000000-0005-0000-0000-000054000000}"/>
    <cellStyle name="Input 2 2 2 2" xfId="132" xr:uid="{00000000-0005-0000-0000-000055000000}"/>
    <cellStyle name="Input 2 2 3" xfId="124" xr:uid="{00000000-0005-0000-0000-000056000000}"/>
    <cellStyle name="Input 2 3" xfId="112" xr:uid="{00000000-0005-0000-0000-000057000000}"/>
    <cellStyle name="Input 2 3 2" xfId="128" xr:uid="{00000000-0005-0000-0000-000058000000}"/>
    <cellStyle name="Input 2 4" xfId="110" xr:uid="{00000000-0005-0000-0000-000059000000}"/>
    <cellStyle name="Linked Cell 2" xfId="51" xr:uid="{00000000-0005-0000-0000-00005A000000}"/>
    <cellStyle name="Mon_Yr" xfId="7" xr:uid="{00000000-0005-0000-0000-00005B000000}"/>
    <cellStyle name="monyr" xfId="8" xr:uid="{00000000-0005-0000-0000-00005C000000}"/>
    <cellStyle name="Neutral 2" xfId="52" xr:uid="{00000000-0005-0000-0000-00005D000000}"/>
    <cellStyle name="Normal" xfId="0" builtinId="0"/>
    <cellStyle name="Normal 10" xfId="13" xr:uid="{00000000-0005-0000-0000-00005F000000}"/>
    <cellStyle name="Normal 2" xfId="4" xr:uid="{00000000-0005-0000-0000-000060000000}"/>
    <cellStyle name="Normal 2 2" xfId="95" xr:uid="{00000000-0005-0000-0000-000061000000}"/>
    <cellStyle name="Normal 2 3" xfId="104" xr:uid="{00000000-0005-0000-0000-000062000000}"/>
    <cellStyle name="Normal 2 4" xfId="15" xr:uid="{00000000-0005-0000-0000-000063000000}"/>
    <cellStyle name="Normal 3" xfId="53" xr:uid="{00000000-0005-0000-0000-000064000000}"/>
    <cellStyle name="Normal 3 2" xfId="78" xr:uid="{00000000-0005-0000-0000-000065000000}"/>
    <cellStyle name="Normal 3 3" xfId="96" xr:uid="{00000000-0005-0000-0000-000066000000}"/>
    <cellStyle name="Normal 4" xfId="79" xr:uid="{00000000-0005-0000-0000-000067000000}"/>
    <cellStyle name="Normal 5" xfId="80" xr:uid="{00000000-0005-0000-0000-000068000000}"/>
    <cellStyle name="Normal 5 2" xfId="97" xr:uid="{00000000-0005-0000-0000-000069000000}"/>
    <cellStyle name="Normal 6" xfId="82" xr:uid="{00000000-0005-0000-0000-00006A000000}"/>
    <cellStyle name="Normal 7" xfId="98" xr:uid="{00000000-0005-0000-0000-00006B000000}"/>
    <cellStyle name="Normal 8" xfId="99" xr:uid="{00000000-0005-0000-0000-00006C000000}"/>
    <cellStyle name="Normal 8 2" xfId="120" xr:uid="{00000000-0005-0000-0000-00006D000000}"/>
    <cellStyle name="Normal 8 2 2" xfId="136" xr:uid="{00000000-0005-0000-0000-00006E000000}"/>
    <cellStyle name="Normal 8 3" xfId="135" xr:uid="{00000000-0005-0000-0000-00006F000000}"/>
    <cellStyle name="Normal 9" xfId="102" xr:uid="{00000000-0005-0000-0000-000070000000}"/>
    <cellStyle name="Normal_Alloc AR FY95.1" xfId="10" xr:uid="{00000000-0005-0000-0000-000071000000}"/>
    <cellStyle name="Note 2" xfId="54" xr:uid="{00000000-0005-0000-0000-000072000000}"/>
    <cellStyle name="Note 2 2" xfId="109" xr:uid="{00000000-0005-0000-0000-000073000000}"/>
    <cellStyle name="Note 2 2 2" xfId="123" xr:uid="{00000000-0005-0000-0000-000074000000}"/>
    <cellStyle name="Note 2 2 2 2" xfId="134" xr:uid="{00000000-0005-0000-0000-000075000000}"/>
    <cellStyle name="Note 2 2 3" xfId="126" xr:uid="{00000000-0005-0000-0000-000076000000}"/>
    <cellStyle name="Note 2 3" xfId="113" xr:uid="{00000000-0005-0000-0000-000077000000}"/>
    <cellStyle name="Note 2 3 2" xfId="129" xr:uid="{00000000-0005-0000-0000-000078000000}"/>
    <cellStyle name="Note 2 4" xfId="116" xr:uid="{00000000-0005-0000-0000-000079000000}"/>
    <cellStyle name="Output 2" xfId="55" xr:uid="{00000000-0005-0000-0000-00007A000000}"/>
    <cellStyle name="Output 2 2" xfId="114" xr:uid="{00000000-0005-0000-0000-00007B000000}"/>
    <cellStyle name="Output 2 2 2" xfId="130" xr:uid="{00000000-0005-0000-0000-00007C000000}"/>
    <cellStyle name="Output 2 3" xfId="118" xr:uid="{00000000-0005-0000-0000-00007D000000}"/>
    <cellStyle name="PCA" xfId="9" xr:uid="{00000000-0005-0000-0000-00007E000000}"/>
    <cellStyle name="Percent" xfId="3" builtinId="5"/>
    <cellStyle name="Percent 2" xfId="81" xr:uid="{00000000-0005-0000-0000-000080000000}"/>
    <cellStyle name="Percent 3" xfId="100" xr:uid="{00000000-0005-0000-0000-000081000000}"/>
    <cellStyle name="Percent 4" xfId="101" xr:uid="{00000000-0005-0000-0000-000082000000}"/>
    <cellStyle name="Title 2" xfId="56" xr:uid="{00000000-0005-0000-0000-000083000000}"/>
    <cellStyle name="Total 2" xfId="57" xr:uid="{00000000-0005-0000-0000-000084000000}"/>
    <cellStyle name="Total 2 2" xfId="115" xr:uid="{00000000-0005-0000-0000-000085000000}"/>
    <cellStyle name="Total 2 2 2" xfId="131" xr:uid="{00000000-0005-0000-0000-000086000000}"/>
    <cellStyle name="Total 2 3" xfId="117" xr:uid="{00000000-0005-0000-0000-000087000000}"/>
    <cellStyle name="Warning Text 2" xfId="58" xr:uid="{00000000-0005-0000-0000-000088000000}"/>
  </cellStyles>
  <dxfs count="0"/>
  <tableStyles count="0" defaultTableStyle="TableStyleMedium2" defaultPivotStyle="PivotStyleLight16"/>
  <colors>
    <mruColors>
      <color rgb="FFFFFF66"/>
      <color rgb="FFFFFFCC"/>
      <color rgb="FFBCE0EA"/>
      <color rgb="FFFF99CC"/>
      <color rgb="FFFFFFFF"/>
      <color rgb="FFFFCCFF"/>
      <color rgb="FFFBD1F8"/>
      <color rgb="FFB0DAE6"/>
      <color rgb="FF93B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22-5CC6-11CF-8D67-00AA00BDCE1D}" ax:persistence="persistStream" r:id="rId1"/>
</file>

<file path=xl/activeX/activeX3.xml><?xml version="1.0" encoding="utf-8"?>
<ax:ocx xmlns:ax="http://schemas.microsoft.com/office/2006/activeX" xmlns:r="http://schemas.openxmlformats.org/officeDocument/2006/relationships" ax:classid="{5512D122-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0-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drawings/_rels/drawing1.xml.rels><?xml version="1.0" encoding="UTF-8" standalone="yes"?>
<Relationships xmlns="http://schemas.openxmlformats.org/package/2006/relationships"><Relationship Id="rId3" Type="http://schemas.openxmlformats.org/officeDocument/2006/relationships/image" Target="../media/image5.tmp"/><Relationship Id="rId7" Type="http://schemas.openxmlformats.org/officeDocument/2006/relationships/image" Target="../media/image9.tmp"/><Relationship Id="rId2" Type="http://schemas.openxmlformats.org/officeDocument/2006/relationships/image" Target="../media/image4.tmp"/><Relationship Id="rId1" Type="http://schemas.openxmlformats.org/officeDocument/2006/relationships/image" Target="../media/image3.tmp"/><Relationship Id="rId6" Type="http://schemas.openxmlformats.org/officeDocument/2006/relationships/image" Target="../media/image8.tmp"/><Relationship Id="rId5" Type="http://schemas.openxmlformats.org/officeDocument/2006/relationships/image" Target="../media/image7.tmp"/><Relationship Id="rId4" Type="http://schemas.openxmlformats.org/officeDocument/2006/relationships/image" Target="../media/image6.tmp"/></Relationships>
</file>

<file path=xl/drawings/_rels/drawing2.xml.rels><?xml version="1.0" encoding="UTF-8" standalone="yes"?>
<Relationships xmlns="http://schemas.openxmlformats.org/package/2006/relationships"><Relationship Id="rId3" Type="http://schemas.openxmlformats.org/officeDocument/2006/relationships/image" Target="../media/image12.tmp"/><Relationship Id="rId2" Type="http://schemas.openxmlformats.org/officeDocument/2006/relationships/image" Target="../media/image11.tmp"/><Relationship Id="rId1" Type="http://schemas.openxmlformats.org/officeDocument/2006/relationships/image" Target="../media/image10.tmp"/></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4.gif"/><Relationship Id="rId1" Type="http://schemas.openxmlformats.org/officeDocument/2006/relationships/hyperlink" Target="http://www.indexmundi.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21.emf"/><Relationship Id="rId7" Type="http://schemas.openxmlformats.org/officeDocument/2006/relationships/image" Target="../media/image18.emf"/><Relationship Id="rId2" Type="http://schemas.openxmlformats.org/officeDocument/2006/relationships/image" Target="../media/image22.emf"/><Relationship Id="rId1" Type="http://schemas.openxmlformats.org/officeDocument/2006/relationships/image" Target="../media/image23.emf"/><Relationship Id="rId6" Type="http://schemas.openxmlformats.org/officeDocument/2006/relationships/image" Target="../media/image25.png"/><Relationship Id="rId5" Type="http://schemas.openxmlformats.org/officeDocument/2006/relationships/image" Target="../media/image19.emf"/><Relationship Id="rId10" Type="http://schemas.openxmlformats.org/officeDocument/2006/relationships/image" Target="../media/image15.emf"/><Relationship Id="rId4" Type="http://schemas.openxmlformats.org/officeDocument/2006/relationships/image" Target="../media/image20.emf"/><Relationship Id="rId9" Type="http://schemas.openxmlformats.org/officeDocument/2006/relationships/image" Target="../media/image1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77147</xdr:colOff>
      <xdr:row>45</xdr:row>
      <xdr:rowOff>172670</xdr:rowOff>
    </xdr:to>
    <xdr:pic>
      <xdr:nvPicPr>
        <xdr:cNvPr id="5" name="Picture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82747" cy="8745170"/>
        </a:xfrm>
        <a:prstGeom prst="rect">
          <a:avLst/>
        </a:prstGeom>
      </xdr:spPr>
    </xdr:pic>
    <xdr:clientData/>
  </xdr:twoCellAnchor>
  <xdr:twoCellAnchor editAs="oneCell">
    <xdr:from>
      <xdr:col>0</xdr:col>
      <xdr:colOff>0</xdr:colOff>
      <xdr:row>46</xdr:row>
      <xdr:rowOff>0</xdr:rowOff>
    </xdr:from>
    <xdr:to>
      <xdr:col>11</xdr:col>
      <xdr:colOff>96199</xdr:colOff>
      <xdr:row>91</xdr:row>
      <xdr:rowOff>163144</xdr:rowOff>
    </xdr:to>
    <xdr:pic>
      <xdr:nvPicPr>
        <xdr:cNvPr id="7" name="Picture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763000"/>
          <a:ext cx="6801799" cy="8735644"/>
        </a:xfrm>
        <a:prstGeom prst="rect">
          <a:avLst/>
        </a:prstGeom>
      </xdr:spPr>
    </xdr:pic>
    <xdr:clientData/>
  </xdr:twoCellAnchor>
  <xdr:twoCellAnchor editAs="oneCell">
    <xdr:from>
      <xdr:col>0</xdr:col>
      <xdr:colOff>0</xdr:colOff>
      <xdr:row>92</xdr:row>
      <xdr:rowOff>0</xdr:rowOff>
    </xdr:from>
    <xdr:to>
      <xdr:col>11</xdr:col>
      <xdr:colOff>162884</xdr:colOff>
      <xdr:row>138</xdr:row>
      <xdr:rowOff>58381</xdr:rowOff>
    </xdr:to>
    <xdr:pic>
      <xdr:nvPicPr>
        <xdr:cNvPr id="9" name="Picture 8">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7526000"/>
          <a:ext cx="6868484" cy="8821381"/>
        </a:xfrm>
        <a:prstGeom prst="rect">
          <a:avLst/>
        </a:prstGeom>
      </xdr:spPr>
    </xdr:pic>
    <xdr:clientData/>
  </xdr:twoCellAnchor>
  <xdr:twoCellAnchor editAs="oneCell">
    <xdr:from>
      <xdr:col>0</xdr:col>
      <xdr:colOff>0</xdr:colOff>
      <xdr:row>139</xdr:row>
      <xdr:rowOff>0</xdr:rowOff>
    </xdr:from>
    <xdr:to>
      <xdr:col>11</xdr:col>
      <xdr:colOff>29515</xdr:colOff>
      <xdr:row>184</xdr:row>
      <xdr:rowOff>163144</xdr:rowOff>
    </xdr:to>
    <xdr:pic>
      <xdr:nvPicPr>
        <xdr:cNvPr id="11" name="Picture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6479500"/>
          <a:ext cx="6735115" cy="8735644"/>
        </a:xfrm>
        <a:prstGeom prst="rect">
          <a:avLst/>
        </a:prstGeom>
      </xdr:spPr>
    </xdr:pic>
    <xdr:clientData/>
  </xdr:twoCellAnchor>
  <xdr:twoCellAnchor editAs="oneCell">
    <xdr:from>
      <xdr:col>0</xdr:col>
      <xdr:colOff>0</xdr:colOff>
      <xdr:row>185</xdr:row>
      <xdr:rowOff>0</xdr:rowOff>
    </xdr:from>
    <xdr:to>
      <xdr:col>11</xdr:col>
      <xdr:colOff>48568</xdr:colOff>
      <xdr:row>230</xdr:row>
      <xdr:rowOff>134565</xdr:rowOff>
    </xdr:to>
    <xdr:pic>
      <xdr:nvPicPr>
        <xdr:cNvPr id="13" name="Picture 12">
          <a:extLst>
            <a:ext uri="{FF2B5EF4-FFF2-40B4-BE49-F238E27FC236}">
              <a16:creationId xmlns:a16="http://schemas.microsoft.com/office/drawing/2014/main" id="{00000000-0008-0000-1A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35242500"/>
          <a:ext cx="6754168" cy="8707065"/>
        </a:xfrm>
        <a:prstGeom prst="rect">
          <a:avLst/>
        </a:prstGeom>
      </xdr:spPr>
    </xdr:pic>
    <xdr:clientData/>
  </xdr:twoCellAnchor>
  <xdr:twoCellAnchor editAs="oneCell">
    <xdr:from>
      <xdr:col>0</xdr:col>
      <xdr:colOff>0</xdr:colOff>
      <xdr:row>231</xdr:row>
      <xdr:rowOff>0</xdr:rowOff>
    </xdr:from>
    <xdr:to>
      <xdr:col>14</xdr:col>
      <xdr:colOff>153612</xdr:colOff>
      <xdr:row>266</xdr:row>
      <xdr:rowOff>48562</xdr:rowOff>
    </xdr:to>
    <xdr:pic>
      <xdr:nvPicPr>
        <xdr:cNvPr id="15" name="Picture 14">
          <a:extLst>
            <a:ext uri="{FF2B5EF4-FFF2-40B4-BE49-F238E27FC236}">
              <a16:creationId xmlns:a16="http://schemas.microsoft.com/office/drawing/2014/main" id="{00000000-0008-0000-1A00-00000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44005500"/>
          <a:ext cx="8688012" cy="6716062"/>
        </a:xfrm>
        <a:prstGeom prst="rect">
          <a:avLst/>
        </a:prstGeom>
      </xdr:spPr>
    </xdr:pic>
    <xdr:clientData/>
  </xdr:twoCellAnchor>
  <xdr:twoCellAnchor editAs="oneCell">
    <xdr:from>
      <xdr:col>0</xdr:col>
      <xdr:colOff>0</xdr:colOff>
      <xdr:row>267</xdr:row>
      <xdr:rowOff>0</xdr:rowOff>
    </xdr:from>
    <xdr:to>
      <xdr:col>14</xdr:col>
      <xdr:colOff>191718</xdr:colOff>
      <xdr:row>302</xdr:row>
      <xdr:rowOff>124773</xdr:rowOff>
    </xdr:to>
    <xdr:pic>
      <xdr:nvPicPr>
        <xdr:cNvPr id="17" name="Picture 16">
          <a:extLst>
            <a:ext uri="{FF2B5EF4-FFF2-40B4-BE49-F238E27FC236}">
              <a16:creationId xmlns:a16="http://schemas.microsoft.com/office/drawing/2014/main" id="{00000000-0008-0000-1A00-00001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50863500"/>
          <a:ext cx="8726118" cy="6792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29515</xdr:colOff>
      <xdr:row>38</xdr:row>
      <xdr:rowOff>48642</xdr:rowOff>
    </xdr:to>
    <xdr:pic>
      <xdr:nvPicPr>
        <xdr:cNvPr id="9" name="Picture 8">
          <a:extLst>
            <a:ext uri="{FF2B5EF4-FFF2-40B4-BE49-F238E27FC236}">
              <a16:creationId xmlns:a16="http://schemas.microsoft.com/office/drawing/2014/main" id="{00000000-0008-0000-1B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35115" cy="7287642"/>
        </a:xfrm>
        <a:prstGeom prst="rect">
          <a:avLst/>
        </a:prstGeom>
      </xdr:spPr>
    </xdr:pic>
    <xdr:clientData/>
  </xdr:twoCellAnchor>
  <xdr:twoCellAnchor editAs="oneCell">
    <xdr:from>
      <xdr:col>0</xdr:col>
      <xdr:colOff>0</xdr:colOff>
      <xdr:row>39</xdr:row>
      <xdr:rowOff>0</xdr:rowOff>
    </xdr:from>
    <xdr:to>
      <xdr:col>10</xdr:col>
      <xdr:colOff>458115</xdr:colOff>
      <xdr:row>69</xdr:row>
      <xdr:rowOff>86535</xdr:rowOff>
    </xdr:to>
    <xdr:pic>
      <xdr:nvPicPr>
        <xdr:cNvPr id="11" name="Picture 10">
          <a:extLst>
            <a:ext uri="{FF2B5EF4-FFF2-40B4-BE49-F238E27FC236}">
              <a16:creationId xmlns:a16="http://schemas.microsoft.com/office/drawing/2014/main" id="{00000000-0008-0000-1B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429500"/>
          <a:ext cx="6554115" cy="5801535"/>
        </a:xfrm>
        <a:prstGeom prst="rect">
          <a:avLst/>
        </a:prstGeom>
      </xdr:spPr>
    </xdr:pic>
    <xdr:clientData/>
  </xdr:twoCellAnchor>
  <xdr:twoCellAnchor editAs="oneCell">
    <xdr:from>
      <xdr:col>0</xdr:col>
      <xdr:colOff>0</xdr:colOff>
      <xdr:row>70</xdr:row>
      <xdr:rowOff>0</xdr:rowOff>
    </xdr:from>
    <xdr:to>
      <xdr:col>10</xdr:col>
      <xdr:colOff>219956</xdr:colOff>
      <xdr:row>84</xdr:row>
      <xdr:rowOff>124215</xdr:rowOff>
    </xdr:to>
    <xdr:pic>
      <xdr:nvPicPr>
        <xdr:cNvPr id="13" name="Picture 12">
          <a:extLst>
            <a:ext uri="{FF2B5EF4-FFF2-40B4-BE49-F238E27FC236}">
              <a16:creationId xmlns:a16="http://schemas.microsoft.com/office/drawing/2014/main" id="{00000000-0008-0000-1B00-00000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335000"/>
          <a:ext cx="6315956" cy="2791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47</xdr:row>
      <xdr:rowOff>41618</xdr:rowOff>
    </xdr:from>
    <xdr:to>
      <xdr:col>9</xdr:col>
      <xdr:colOff>371475</xdr:colOff>
      <xdr:row>92</xdr:row>
      <xdr:rowOff>27500</xdr:rowOff>
    </xdr:to>
    <xdr:pic>
      <xdr:nvPicPr>
        <xdr:cNvPr id="6" name="Picture 5">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1"/>
        <a:stretch>
          <a:fillRect/>
        </a:stretch>
      </xdr:blipFill>
      <xdr:spPr>
        <a:xfrm>
          <a:off x="0" y="8995118"/>
          <a:ext cx="5857875" cy="8558382"/>
        </a:xfrm>
        <a:prstGeom prst="rect">
          <a:avLst/>
        </a:prstGeom>
      </xdr:spPr>
    </xdr:pic>
    <xdr:clientData/>
  </xdr:twoCellAnchor>
  <xdr:twoCellAnchor editAs="oneCell">
    <xdr:from>
      <xdr:col>0</xdr:col>
      <xdr:colOff>0</xdr:colOff>
      <xdr:row>0</xdr:row>
      <xdr:rowOff>0</xdr:rowOff>
    </xdr:from>
    <xdr:to>
      <xdr:col>9</xdr:col>
      <xdr:colOff>323124</xdr:colOff>
      <xdr:row>45</xdr:row>
      <xdr:rowOff>132262</xdr:rowOff>
    </xdr:to>
    <xdr:pic>
      <xdr:nvPicPr>
        <xdr:cNvPr id="7" name="Picture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2"/>
        <a:stretch>
          <a:fillRect/>
        </a:stretch>
      </xdr:blipFill>
      <xdr:spPr>
        <a:xfrm>
          <a:off x="0" y="0"/>
          <a:ext cx="5809524" cy="87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714375</xdr:colOff>
      <xdr:row>2</xdr:row>
      <xdr:rowOff>0</xdr:rowOff>
    </xdr:to>
    <xdr:pic>
      <xdr:nvPicPr>
        <xdr:cNvPr id="2" name="Picture 1" descr="Home">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5144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47625</xdr:rowOff>
        </xdr:from>
        <xdr:to>
          <xdr:col>1</xdr:col>
          <xdr:colOff>114300</xdr:colOff>
          <xdr:row>4</xdr:row>
          <xdr:rowOff>85725</xdr:rowOff>
        </xdr:to>
        <xdr:sp macro="" textlink="">
          <xdr:nvSpPr>
            <xdr:cNvPr id="26626" name="Control 2" hidden="1">
              <a:extLst>
                <a:ext uri="{63B3BB69-23CF-44E3-9099-C40C66FF867C}">
                  <a14:compatExt spid="_x0000_s26626"/>
                </a:ext>
                <a:ext uri="{FF2B5EF4-FFF2-40B4-BE49-F238E27FC236}">
                  <a16:creationId xmlns:a16="http://schemas.microsoft.com/office/drawing/2014/main" id="{00000000-0008-0000-2000-000002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47625</xdr:rowOff>
        </xdr:from>
        <xdr:to>
          <xdr:col>2</xdr:col>
          <xdr:colOff>66675</xdr:colOff>
          <xdr:row>4</xdr:row>
          <xdr:rowOff>85725</xdr:rowOff>
        </xdr:to>
        <xdr:sp macro="" textlink="">
          <xdr:nvSpPr>
            <xdr:cNvPr id="26627" name="Control 3" hidden="1">
              <a:extLst>
                <a:ext uri="{63B3BB69-23CF-44E3-9099-C40C66FF867C}">
                  <a14:compatExt spid="_x0000_s26627"/>
                </a:ext>
                <a:ext uri="{FF2B5EF4-FFF2-40B4-BE49-F238E27FC236}">
                  <a16:creationId xmlns:a16="http://schemas.microsoft.com/office/drawing/2014/main" id="{00000000-0008-0000-2000-000003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47625</xdr:rowOff>
        </xdr:from>
        <xdr:to>
          <xdr:col>2</xdr:col>
          <xdr:colOff>447675</xdr:colOff>
          <xdr:row>4</xdr:row>
          <xdr:rowOff>85725</xdr:rowOff>
        </xdr:to>
        <xdr:sp macro="" textlink="">
          <xdr:nvSpPr>
            <xdr:cNvPr id="26628" name="Control 4" hidden="1">
              <a:extLst>
                <a:ext uri="{63B3BB69-23CF-44E3-9099-C40C66FF867C}">
                  <a14:compatExt spid="_x0000_s26628"/>
                </a:ext>
                <a:ext uri="{FF2B5EF4-FFF2-40B4-BE49-F238E27FC236}">
                  <a16:creationId xmlns:a16="http://schemas.microsoft.com/office/drawing/2014/main" id="{00000000-0008-0000-2000-000004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47625</xdr:rowOff>
        </xdr:from>
        <xdr:to>
          <xdr:col>1</xdr:col>
          <xdr:colOff>552450</xdr:colOff>
          <xdr:row>4</xdr:row>
          <xdr:rowOff>180975</xdr:rowOff>
        </xdr:to>
        <xdr:sp macro="" textlink="">
          <xdr:nvSpPr>
            <xdr:cNvPr id="26629" name="Control 5" hidden="1">
              <a:extLst>
                <a:ext uri="{63B3BB69-23CF-44E3-9099-C40C66FF867C}">
                  <a14:compatExt spid="_x0000_s26629"/>
                </a:ext>
                <a:ext uri="{FF2B5EF4-FFF2-40B4-BE49-F238E27FC236}">
                  <a16:creationId xmlns:a16="http://schemas.microsoft.com/office/drawing/2014/main" id="{00000000-0008-0000-2000-000005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47625</xdr:rowOff>
        </xdr:from>
        <xdr:to>
          <xdr:col>1</xdr:col>
          <xdr:colOff>114300</xdr:colOff>
          <xdr:row>5</xdr:row>
          <xdr:rowOff>85725</xdr:rowOff>
        </xdr:to>
        <xdr:sp macro="" textlink="">
          <xdr:nvSpPr>
            <xdr:cNvPr id="26630" name="Control 6" hidden="1">
              <a:extLst>
                <a:ext uri="{63B3BB69-23CF-44E3-9099-C40C66FF867C}">
                  <a14:compatExt spid="_x0000_s26630"/>
                </a:ext>
                <a:ext uri="{FF2B5EF4-FFF2-40B4-BE49-F238E27FC236}">
                  <a16:creationId xmlns:a16="http://schemas.microsoft.com/office/drawing/2014/main" id="{00000000-0008-0000-2000-000006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76200</xdr:rowOff>
        </xdr:from>
        <xdr:to>
          <xdr:col>1</xdr:col>
          <xdr:colOff>114300</xdr:colOff>
          <xdr:row>7</xdr:row>
          <xdr:rowOff>114300</xdr:rowOff>
        </xdr:to>
        <xdr:sp macro="" textlink="">
          <xdr:nvSpPr>
            <xdr:cNvPr id="26631" name="Control 7" hidden="1">
              <a:extLst>
                <a:ext uri="{63B3BB69-23CF-44E3-9099-C40C66FF867C}">
                  <a14:compatExt spid="_x0000_s26631"/>
                </a:ext>
                <a:ext uri="{FF2B5EF4-FFF2-40B4-BE49-F238E27FC236}">
                  <a16:creationId xmlns:a16="http://schemas.microsoft.com/office/drawing/2014/main" id="{00000000-0008-0000-2000-000007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76200</xdr:rowOff>
        </xdr:from>
        <xdr:to>
          <xdr:col>2</xdr:col>
          <xdr:colOff>66675</xdr:colOff>
          <xdr:row>7</xdr:row>
          <xdr:rowOff>114300</xdr:rowOff>
        </xdr:to>
        <xdr:sp macro="" textlink="">
          <xdr:nvSpPr>
            <xdr:cNvPr id="26632" name="Control 8" hidden="1">
              <a:extLst>
                <a:ext uri="{63B3BB69-23CF-44E3-9099-C40C66FF867C}">
                  <a14:compatExt spid="_x0000_s26632"/>
                </a:ext>
                <a:ext uri="{FF2B5EF4-FFF2-40B4-BE49-F238E27FC236}">
                  <a16:creationId xmlns:a16="http://schemas.microsoft.com/office/drawing/2014/main" id="{00000000-0008-0000-2000-000008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180975</xdr:rowOff>
        </xdr:from>
        <xdr:to>
          <xdr:col>1</xdr:col>
          <xdr:colOff>666750</xdr:colOff>
          <xdr:row>17</xdr:row>
          <xdr:rowOff>9525</xdr:rowOff>
        </xdr:to>
        <xdr:sp macro="" textlink="">
          <xdr:nvSpPr>
            <xdr:cNvPr id="26636" name="Control 12" hidden="1">
              <a:extLst>
                <a:ext uri="{63B3BB69-23CF-44E3-9099-C40C66FF867C}">
                  <a14:compatExt spid="_x0000_s26636"/>
                </a:ext>
                <a:ext uri="{FF2B5EF4-FFF2-40B4-BE49-F238E27FC236}">
                  <a16:creationId xmlns:a16="http://schemas.microsoft.com/office/drawing/2014/main" id="{00000000-0008-0000-2000-00000C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66675</xdr:rowOff>
        </xdr:from>
        <xdr:to>
          <xdr:col>7</xdr:col>
          <xdr:colOff>400050</xdr:colOff>
          <xdr:row>31</xdr:row>
          <xdr:rowOff>95250</xdr:rowOff>
        </xdr:to>
        <xdr:sp macro="" textlink="">
          <xdr:nvSpPr>
            <xdr:cNvPr id="26641" name="Control 17" hidden="1">
              <a:extLst>
                <a:ext uri="{63B3BB69-23CF-44E3-9099-C40C66FF867C}">
                  <a14:compatExt spid="_x0000_s26641"/>
                </a:ext>
                <a:ext uri="{FF2B5EF4-FFF2-40B4-BE49-F238E27FC236}">
                  <a16:creationId xmlns:a16="http://schemas.microsoft.com/office/drawing/2014/main" id="{00000000-0008-0000-2000-000011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66675</xdr:rowOff>
        </xdr:from>
        <xdr:to>
          <xdr:col>2</xdr:col>
          <xdr:colOff>504825</xdr:colOff>
          <xdr:row>33</xdr:row>
          <xdr:rowOff>95250</xdr:rowOff>
        </xdr:to>
        <xdr:sp macro="" textlink="">
          <xdr:nvSpPr>
            <xdr:cNvPr id="26642" name="Control 18" hidden="1">
              <a:extLst>
                <a:ext uri="{63B3BB69-23CF-44E3-9099-C40C66FF867C}">
                  <a14:compatExt spid="_x0000_s26642"/>
                </a:ext>
                <a:ext uri="{FF2B5EF4-FFF2-40B4-BE49-F238E27FC236}">
                  <a16:creationId xmlns:a16="http://schemas.microsoft.com/office/drawing/2014/main" id="{00000000-0008-0000-2000-000012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106</xdr:row>
          <xdr:rowOff>38100</xdr:rowOff>
        </xdr:from>
        <xdr:to>
          <xdr:col>1</xdr:col>
          <xdr:colOff>114300</xdr:colOff>
          <xdr:row>107</xdr:row>
          <xdr:rowOff>76200</xdr:rowOff>
        </xdr:to>
        <xdr:sp macro="" textlink="">
          <xdr:nvSpPr>
            <xdr:cNvPr id="26649" name="Control 25" hidden="1">
              <a:extLst>
                <a:ext uri="{63B3BB69-23CF-44E3-9099-C40C66FF867C}">
                  <a14:compatExt spid="_x0000_s26649"/>
                </a:ext>
                <a:ext uri="{FF2B5EF4-FFF2-40B4-BE49-F238E27FC236}">
                  <a16:creationId xmlns:a16="http://schemas.microsoft.com/office/drawing/2014/main" id="{00000000-0008-0000-2000-0000196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or0199524\Local%20Settings\Temporary%20Internet%20Files\Content.Outlook\JIHV76VU\Copy%20of%2013-15%20Revised%20Planning%20Allocation_SOME_updated%20demographics_March2013_lkg_2013-3%20at%2025%25%20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or0199524\Local%20Settings\Temporary%20Internet%20Files\Content.Outlook\JIHV76VU\SPA_Distribu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ffices\Salem%20(500%20Summer%20St)\FPP\SUA\IFF\IFF%20workbook\Copy%20of%2013-15%20Revised%20Planning%20Allocation_SOME_updated%20demographics_March2013_lkg_2013-3%20at%2025%25%20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c w Funding Formula"/>
      <sheetName val="Popul"/>
      <sheetName val="Past"/>
      <sheetName val="OPI"/>
      <sheetName val="NSIP"/>
      <sheetName val="Assumptions"/>
      <sheetName val="Source Information"/>
      <sheetName val="Chart1"/>
      <sheetName val="OAA Allocations"/>
      <sheetName val="Pop to Funding Percent By Dist "/>
      <sheetName val="PopulationCleaned"/>
      <sheetName val="OAA Allocations reformatted"/>
    </sheetNames>
    <sheetDataSet>
      <sheetData sheetId="0" refreshError="1"/>
      <sheetData sheetId="1" refreshError="1"/>
      <sheetData sheetId="2" refreshError="1"/>
      <sheetData sheetId="3" refreshError="1"/>
      <sheetData sheetId="4" refreshError="1"/>
      <sheetData sheetId="5">
        <row r="3">
          <cell r="E3">
            <v>0.12617159894485797</v>
          </cell>
        </row>
        <row r="4">
          <cell r="E4">
            <v>8.0895631231778967E-2</v>
          </cell>
        </row>
        <row r="5">
          <cell r="E5">
            <v>4.5772459403991488E-2</v>
          </cell>
        </row>
        <row r="209">
          <cell r="C209">
            <v>2</v>
          </cell>
        </row>
        <row r="210">
          <cell r="C210">
            <v>0.22</v>
          </cell>
          <cell r="E210">
            <v>0.78</v>
          </cell>
        </row>
        <row r="218">
          <cell r="C218">
            <v>5345420</v>
          </cell>
        </row>
        <row r="220">
          <cell r="C220">
            <v>3008883</v>
          </cell>
        </row>
        <row r="271">
          <cell r="J271">
            <v>56328</v>
          </cell>
        </row>
      </sheetData>
      <sheetData sheetId="6"/>
      <sheetData sheetId="7" refreshError="1"/>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c w Funding Formula"/>
      <sheetName val="SPA Seq. Mitig"/>
      <sheetName val="Popul"/>
      <sheetName val="Past"/>
      <sheetName val="OPI"/>
      <sheetName val="NSIP"/>
      <sheetName val="Assumptions"/>
      <sheetName val="Source Information"/>
      <sheetName val="Chart1"/>
      <sheetName val="OAA Allocations"/>
      <sheetName val="PopulationCleaned"/>
      <sheetName val="Pop to Funding Percent By Dist "/>
      <sheetName val="OAA Allocations reformatted"/>
      <sheetName val="Sheet1"/>
    </sheetNames>
    <sheetDataSet>
      <sheetData sheetId="0" refreshError="1"/>
      <sheetData sheetId="1" refreshError="1"/>
      <sheetData sheetId="2" refreshError="1"/>
      <sheetData sheetId="3" refreshError="1"/>
      <sheetData sheetId="4" refreshError="1"/>
      <sheetData sheetId="5" refreshError="1"/>
      <sheetData sheetId="6">
        <row r="3">
          <cell r="E3">
            <v>0.12617159894485797</v>
          </cell>
        </row>
        <row r="4">
          <cell r="E4">
            <v>8.0895631231778967E-2</v>
          </cell>
        </row>
        <row r="5">
          <cell r="E5">
            <v>4.5772459403991488E-2</v>
          </cell>
        </row>
        <row r="209">
          <cell r="C209">
            <v>2</v>
          </cell>
        </row>
        <row r="210">
          <cell r="C210">
            <v>0.22</v>
          </cell>
          <cell r="E210">
            <v>0.78</v>
          </cell>
        </row>
        <row r="218">
          <cell r="C218">
            <v>5345420</v>
          </cell>
        </row>
        <row r="220">
          <cell r="C220">
            <v>3008883</v>
          </cell>
        </row>
        <row r="271">
          <cell r="J271">
            <v>56328</v>
          </cell>
        </row>
      </sheetData>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oc w Funding Formula"/>
      <sheetName val="Popul"/>
      <sheetName val="Past"/>
      <sheetName val="OPI"/>
      <sheetName val="NSIP"/>
      <sheetName val="Assumptions"/>
      <sheetName val="Source Information"/>
      <sheetName val="Chart1"/>
      <sheetName val="OAA Allocations"/>
      <sheetName val="Pop to Funding Percent By Dist "/>
      <sheetName val="PopulationCleaned"/>
      <sheetName val="OAA Allocations reformatted"/>
    </sheetNames>
    <sheetDataSet>
      <sheetData sheetId="0" refreshError="1"/>
      <sheetData sheetId="1"/>
      <sheetData sheetId="2" refreshError="1"/>
      <sheetData sheetId="3" refreshError="1"/>
      <sheetData sheetId="4" refreshError="1"/>
      <sheetData sheetId="5">
        <row r="209">
          <cell r="C209">
            <v>2</v>
          </cell>
        </row>
        <row r="210">
          <cell r="C210">
            <v>0.22</v>
          </cell>
          <cell r="E210">
            <v>0.78</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vmlDrawing" Target="../drawings/vmlDrawing18.vml"/><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www.pdx.edu/population-research/search/psu?keys=population%20report" TargetMode="External"/><Relationship Id="rId2" Type="http://schemas.openxmlformats.org/officeDocument/2006/relationships/hyperlink" Target="https://data.census.gov/cedsci/table?q=S1701&amp;g=0400000US41.050000&amp;tid=ACSST5Y2019.S1701&amp;hidePreview=true" TargetMode="External"/><Relationship Id="rId1" Type="http://schemas.openxmlformats.org/officeDocument/2006/relationships/hyperlink" Target="http://factfinder2.census.gov/faces/tableservices/jsf/pages/productview.xhtml?pid=ACS_10_5YR_S1701&amp;prodType=table" TargetMode="External"/><Relationship Id="rId5" Type="http://schemas.openxmlformats.org/officeDocument/2006/relationships/printerSettings" Target="../printerSettings/printerSettings28.bin"/><Relationship Id="rId4" Type="http://schemas.openxmlformats.org/officeDocument/2006/relationships/hyperlink" Target="https://agid.acl.gov/DataGlance/SPR/Trend.aspx?geoids=39&amp;jvar=1687&amp;mode=Count&amp;agegroup=-1&amp;sex=0&amp;pop=0&amp;service=-1&amp;poverty=-1&amp;adl=-1&amp;iadl=-1"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8" Type="http://schemas.openxmlformats.org/officeDocument/2006/relationships/hyperlink" Target="http://www.indexmundi.com/facts/united-states/quick-facts/oregon/land-area" TargetMode="External"/><Relationship Id="rId13" Type="http://schemas.openxmlformats.org/officeDocument/2006/relationships/vmlDrawing" Target="../drawings/vmlDrawing23.vml"/><Relationship Id="rId18" Type="http://schemas.openxmlformats.org/officeDocument/2006/relationships/control" Target="../activeX/activeX3.xml"/><Relationship Id="rId26" Type="http://schemas.openxmlformats.org/officeDocument/2006/relationships/control" Target="../activeX/activeX8.xml"/><Relationship Id="rId3" Type="http://schemas.openxmlformats.org/officeDocument/2006/relationships/hyperlink" Target="http://www.indexmundi.com/facts/united-states/quick-facts/counties/compare" TargetMode="External"/><Relationship Id="rId21" Type="http://schemas.openxmlformats.org/officeDocument/2006/relationships/image" Target="../media/image18.emf"/><Relationship Id="rId7" Type="http://schemas.openxmlformats.org/officeDocument/2006/relationships/hyperlink" Target="http://www.indexmundi.com/facts/united-states/quick-facts/oregon/land-area" TargetMode="External"/><Relationship Id="rId12" Type="http://schemas.openxmlformats.org/officeDocument/2006/relationships/drawing" Target="../drawings/drawing4.xml"/><Relationship Id="rId17" Type="http://schemas.openxmlformats.org/officeDocument/2006/relationships/image" Target="../media/image16.emf"/><Relationship Id="rId25" Type="http://schemas.openxmlformats.org/officeDocument/2006/relationships/control" Target="../activeX/activeX7.xml"/><Relationship Id="rId33" Type="http://schemas.openxmlformats.org/officeDocument/2006/relationships/image" Target="../media/image23.emf"/><Relationship Id="rId2" Type="http://schemas.openxmlformats.org/officeDocument/2006/relationships/hyperlink" Target="http://www.indexmundi.com/facts/united-states/quick-facts/compare" TargetMode="External"/><Relationship Id="rId16" Type="http://schemas.openxmlformats.org/officeDocument/2006/relationships/control" Target="../activeX/activeX2.xml"/><Relationship Id="rId20" Type="http://schemas.openxmlformats.org/officeDocument/2006/relationships/control" Target="../activeX/activeX4.xml"/><Relationship Id="rId29" Type="http://schemas.openxmlformats.org/officeDocument/2006/relationships/image" Target="../media/image21.emf"/><Relationship Id="rId1" Type="http://schemas.openxmlformats.org/officeDocument/2006/relationships/hyperlink" Target="http://www.indexmundi.com/facts/united-states/quick-facts/all-states/land-area/embed/table" TargetMode="External"/><Relationship Id="rId6" Type="http://schemas.openxmlformats.org/officeDocument/2006/relationships/hyperlink" Target="http://www.indexmundi.com/facts/united-states/quick-facts/oregon/land-area" TargetMode="External"/><Relationship Id="rId11" Type="http://schemas.openxmlformats.org/officeDocument/2006/relationships/printerSettings" Target="../printerSettings/printerSettings33.bin"/><Relationship Id="rId24" Type="http://schemas.openxmlformats.org/officeDocument/2006/relationships/control" Target="../activeX/activeX6.xml"/><Relationship Id="rId32" Type="http://schemas.openxmlformats.org/officeDocument/2006/relationships/control" Target="../activeX/activeX11.xml"/><Relationship Id="rId5" Type="http://schemas.openxmlformats.org/officeDocument/2006/relationships/hyperlink" Target="http://www.indexmundi.com/facts/united-states/quick-facts/cities/rank/land-area" TargetMode="External"/><Relationship Id="rId15" Type="http://schemas.openxmlformats.org/officeDocument/2006/relationships/image" Target="../media/image15.emf"/><Relationship Id="rId23" Type="http://schemas.openxmlformats.org/officeDocument/2006/relationships/image" Target="../media/image19.emf"/><Relationship Id="rId28" Type="http://schemas.openxmlformats.org/officeDocument/2006/relationships/control" Target="../activeX/activeX9.xml"/><Relationship Id="rId10" Type="http://schemas.openxmlformats.org/officeDocument/2006/relationships/hyperlink" Target="http://www.census.gov/geo/www/gazetteer/gazette.html" TargetMode="External"/><Relationship Id="rId19" Type="http://schemas.openxmlformats.org/officeDocument/2006/relationships/image" Target="../media/image17.emf"/><Relationship Id="rId31" Type="http://schemas.openxmlformats.org/officeDocument/2006/relationships/image" Target="../media/image22.emf"/><Relationship Id="rId4" Type="http://schemas.openxmlformats.org/officeDocument/2006/relationships/hyperlink" Target="http://www.indexmundi.com/facts/united-states/quick-facts/cities/compare" TargetMode="External"/><Relationship Id="rId9" Type="http://schemas.openxmlformats.org/officeDocument/2006/relationships/hyperlink" Target="http://www.census.gov/population/www/censusdata/density.html" TargetMode="External"/><Relationship Id="rId14" Type="http://schemas.openxmlformats.org/officeDocument/2006/relationships/control" Target="../activeX/activeX1.xml"/><Relationship Id="rId22" Type="http://schemas.openxmlformats.org/officeDocument/2006/relationships/control" Target="../activeX/activeX5.xml"/><Relationship Id="rId27" Type="http://schemas.openxmlformats.org/officeDocument/2006/relationships/image" Target="../media/image20.emf"/><Relationship Id="rId30" Type="http://schemas.openxmlformats.org/officeDocument/2006/relationships/control" Target="../activeX/activeX10.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12"/>
  <sheetViews>
    <sheetView zoomScaleNormal="100" workbookViewId="0">
      <selection activeCell="A2" sqref="A2:A12"/>
    </sheetView>
  </sheetViews>
  <sheetFormatPr defaultRowHeight="15"/>
  <cols>
    <col min="1" max="1" width="149.7109375" style="56" customWidth="1" collapsed="1"/>
  </cols>
  <sheetData>
    <row r="2" spans="1:1">
      <c r="A2" s="56" t="s">
        <v>277</v>
      </c>
    </row>
    <row r="3" spans="1:1">
      <c r="A3" s="56" t="s">
        <v>184</v>
      </c>
    </row>
    <row r="5" spans="1:1">
      <c r="A5" s="56" t="s">
        <v>171</v>
      </c>
    </row>
    <row r="8" spans="1:1">
      <c r="A8" s="56" t="s">
        <v>181</v>
      </c>
    </row>
    <row r="9" spans="1:1" ht="30">
      <c r="A9" s="56" t="s">
        <v>260</v>
      </c>
    </row>
    <row r="10" spans="1:1">
      <c r="A10" s="56" t="s">
        <v>261</v>
      </c>
    </row>
    <row r="11" spans="1:1" ht="45">
      <c r="A11" s="56" t="s">
        <v>273</v>
      </c>
    </row>
    <row r="12" spans="1:1" ht="30">
      <c r="A12" s="56" t="s">
        <v>262</v>
      </c>
    </row>
  </sheetData>
  <pageMargins left="0.75" right="0.75" top="1.5" bottom="0.5" header="0.25" footer="0.5"/>
  <pageSetup scale="47" orientation="landscape" r:id="rId1"/>
  <headerFooter alignWithMargins="0">
    <oddHeader>&amp;C&amp;"Arial Black,Bold"&amp;14
AAA 2023-2025 PLANNING ALLOCATION
Summary by Funding Source</oddHeader>
    <oddFooter>&amp;L&amp;Z&amp;F&amp;A&amp;R&amp;"Century Gothic,Regular"Page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66"/>
    <pageSetUpPr fitToPage="1"/>
  </sheetPr>
  <dimension ref="A1:H34"/>
  <sheetViews>
    <sheetView zoomScaleNormal="100" zoomScaleSheetLayoutView="75" workbookViewId="0">
      <selection activeCell="E33" sqref="E33"/>
    </sheetView>
  </sheetViews>
  <sheetFormatPr defaultRowHeight="15"/>
  <cols>
    <col min="1" max="1" width="51.140625" bestFit="1" customWidth="1" collapsed="1"/>
    <col min="2" max="6" width="13.28515625" style="9" customWidth="1" collapsed="1"/>
    <col min="7" max="7" width="14" customWidth="1" collapsed="1"/>
    <col min="8" max="8" width="10.5703125" bestFit="1" customWidth="1" collapsed="1"/>
  </cols>
  <sheetData>
    <row r="1" spans="1:8" s="112" customFormat="1" ht="36">
      <c r="A1" s="135" t="s">
        <v>34</v>
      </c>
      <c r="B1" s="135" t="s">
        <v>22</v>
      </c>
      <c r="C1" s="135" t="s">
        <v>26</v>
      </c>
      <c r="D1" s="135" t="s">
        <v>443</v>
      </c>
      <c r="E1" s="135" t="s">
        <v>520</v>
      </c>
      <c r="F1" s="135" t="s">
        <v>521</v>
      </c>
      <c r="G1" s="135" t="s">
        <v>522</v>
      </c>
    </row>
    <row r="2" spans="1:8">
      <c r="A2" s="235" t="s">
        <v>441</v>
      </c>
      <c r="B2" s="9">
        <f>'4. Award History&amp;Projections '!F18</f>
        <v>2615754</v>
      </c>
      <c r="C2" s="6">
        <v>0.25</v>
      </c>
      <c r="D2" s="9">
        <f>ROUND(B2*C2,0)</f>
        <v>653939</v>
      </c>
      <c r="G2" s="9">
        <f>SUM(D2:F2)</f>
        <v>653939</v>
      </c>
    </row>
    <row r="3" spans="1:8">
      <c r="A3" s="235" t="s">
        <v>526</v>
      </c>
      <c r="B3" s="18">
        <f>'4. Award History&amp;Projections '!F19</f>
        <v>2615754</v>
      </c>
      <c r="C3" s="6">
        <v>1</v>
      </c>
      <c r="E3" s="9">
        <f>ROUND(B3*C3,0)</f>
        <v>2615754</v>
      </c>
      <c r="G3" s="9">
        <f>SUM(D3:F3)</f>
        <v>2615754</v>
      </c>
    </row>
    <row r="4" spans="1:8">
      <c r="A4" s="235" t="s">
        <v>527</v>
      </c>
      <c r="B4" s="18">
        <f>'4. Award History&amp;Projections '!F20</f>
        <v>2615754</v>
      </c>
      <c r="C4" s="6">
        <v>0.75</v>
      </c>
      <c r="D4" s="8"/>
      <c r="E4" s="8"/>
      <c r="F4" s="8">
        <f>ROUND(B4*C4,0)</f>
        <v>1961816</v>
      </c>
      <c r="G4" s="8">
        <f>SUM(D4:F4)</f>
        <v>1961816</v>
      </c>
    </row>
    <row r="5" spans="1:8">
      <c r="A5" s="96" t="s">
        <v>23</v>
      </c>
      <c r="D5" s="9">
        <f>SUM(D2:D4)</f>
        <v>653939</v>
      </c>
      <c r="E5" s="9">
        <f>SUM(E2:E4)</f>
        <v>2615754</v>
      </c>
      <c r="F5" s="9">
        <f>SUM(F2:F4)</f>
        <v>1961816</v>
      </c>
      <c r="G5" s="9">
        <f>SUM(G2:G4)</f>
        <v>5231509</v>
      </c>
    </row>
    <row r="6" spans="1:8">
      <c r="A6" s="96" t="s">
        <v>24</v>
      </c>
      <c r="C6" s="5">
        <v>0.05</v>
      </c>
      <c r="D6" s="8">
        <f>ROUND($C$6*-D5,0)</f>
        <v>-32697</v>
      </c>
      <c r="E6" s="8">
        <f>ROUND($C$6*-E5,0)</f>
        <v>-130788</v>
      </c>
      <c r="F6" s="8">
        <f>ROUND($C$6*-F5,0)</f>
        <v>-98091</v>
      </c>
      <c r="G6" s="8">
        <f>SUM(D6:F6)</f>
        <v>-261576</v>
      </c>
    </row>
    <row r="7" spans="1:8">
      <c r="A7" s="96" t="s">
        <v>23</v>
      </c>
      <c r="D7" s="9">
        <f>SUM(D5:D6)</f>
        <v>621242</v>
      </c>
      <c r="E7" s="9">
        <f>SUM(E5:E6)</f>
        <v>2484966</v>
      </c>
      <c r="F7" s="9">
        <f>SUM(F5:F6)</f>
        <v>1863725</v>
      </c>
      <c r="G7" s="9">
        <f>SUM(G5:G6)</f>
        <v>4969933</v>
      </c>
    </row>
    <row r="8" spans="1:8" s="15" customFormat="1">
      <c r="A8" s="101"/>
      <c r="B8" s="9"/>
      <c r="C8" s="9"/>
      <c r="D8" s="17"/>
      <c r="E8" s="17"/>
      <c r="F8" s="17"/>
      <c r="G8" s="17">
        <v>0</v>
      </c>
    </row>
    <row r="9" spans="1:8" s="1" customFormat="1" ht="15.75" thickBot="1">
      <c r="A9" s="65" t="s">
        <v>29</v>
      </c>
      <c r="B9" s="10"/>
      <c r="C9" s="10"/>
      <c r="D9" s="14"/>
      <c r="E9" s="14"/>
      <c r="F9" s="14"/>
      <c r="G9" s="11">
        <f>G7</f>
        <v>4969933</v>
      </c>
    </row>
    <row r="10" spans="1:8" s="131" customFormat="1" ht="15.75" thickTop="1">
      <c r="B10" s="129"/>
      <c r="C10" s="129"/>
      <c r="D10" s="130"/>
      <c r="E10" s="130"/>
      <c r="F10" s="130"/>
      <c r="G10" s="130"/>
    </row>
    <row r="11" spans="1:8">
      <c r="A11" s="111" t="s">
        <v>146</v>
      </c>
      <c r="G11" s="9"/>
    </row>
    <row r="12" spans="1:8">
      <c r="A12" s="124" t="s">
        <v>79</v>
      </c>
      <c r="B12" s="9">
        <v>0</v>
      </c>
      <c r="C12" s="9">
        <v>0</v>
      </c>
      <c r="G12" s="9">
        <f>B12*C12</f>
        <v>0</v>
      </c>
      <c r="H12" s="12"/>
    </row>
    <row r="13" spans="1:8">
      <c r="A13" s="96" t="s">
        <v>28</v>
      </c>
      <c r="C13" s="5">
        <v>0.05</v>
      </c>
      <c r="G13" s="9">
        <f>ROUND((G9-G12)*C13,0)</f>
        <v>248497</v>
      </c>
    </row>
    <row r="14" spans="1:8">
      <c r="A14" s="96" t="s">
        <v>37</v>
      </c>
      <c r="C14" s="5">
        <v>0.95</v>
      </c>
      <c r="G14" s="9">
        <f>G9-G12-G13</f>
        <v>4721436</v>
      </c>
    </row>
    <row r="15" spans="1:8" s="1" customFormat="1" ht="15.75" thickBot="1">
      <c r="A15" s="65" t="s">
        <v>29</v>
      </c>
      <c r="B15" s="10"/>
      <c r="C15" s="10"/>
      <c r="D15" s="10"/>
      <c r="E15" s="10"/>
      <c r="F15" s="10"/>
      <c r="G15" s="11">
        <f>SUM(G12:G14)</f>
        <v>4969933</v>
      </c>
    </row>
    <row r="16" spans="1:8" s="125" customFormat="1" ht="6.75" customHeight="1" thickTop="1">
      <c r="B16" s="126"/>
      <c r="C16" s="126"/>
      <c r="D16" s="126"/>
      <c r="E16" s="126"/>
      <c r="F16" s="126"/>
    </row>
    <row r="17" spans="1:7" s="112" customFormat="1" ht="90">
      <c r="A17" s="201" t="s">
        <v>58</v>
      </c>
      <c r="B17" s="132" t="s">
        <v>208</v>
      </c>
      <c r="C17" s="132" t="s">
        <v>209</v>
      </c>
      <c r="D17" s="132" t="s">
        <v>241</v>
      </c>
      <c r="E17" s="133" t="s">
        <v>210</v>
      </c>
      <c r="G17" s="134"/>
    </row>
    <row r="18" spans="1:7">
      <c r="A18" s="151" t="s">
        <v>72</v>
      </c>
      <c r="B18" s="116">
        <f>SUM(('3. Population-NSIP#'!C3*$G$13),0)</f>
        <v>30791.161592302375</v>
      </c>
      <c r="C18" s="116">
        <f>SUM(('3. Population-NSIP#'!I3*$G$14),0)</f>
        <v>173934.86234947332</v>
      </c>
      <c r="D18" s="116">
        <f>SUM(B18:C18)</f>
        <v>204726.0239417757</v>
      </c>
      <c r="E18" s="141">
        <f t="shared" ref="E18:E33" si="0">D18/$D$34</f>
        <v>4.1192914258959969E-2</v>
      </c>
      <c r="G18" s="9"/>
    </row>
    <row r="19" spans="1:7">
      <c r="A19" s="151" t="s">
        <v>61</v>
      </c>
      <c r="B19" s="116">
        <f>SUM(('3. Population-NSIP#'!C4*$G$13),0)</f>
        <v>1701.795045529105</v>
      </c>
      <c r="C19" s="116">
        <f>SUM(('3. Population-NSIP#'!I4*$G$14),0)</f>
        <v>62234.141876643313</v>
      </c>
      <c r="D19" s="116">
        <f t="shared" ref="D19:D33" si="1">SUM(B19:C19)</f>
        <v>63935.936922172419</v>
      </c>
      <c r="E19" s="141">
        <f t="shared" si="0"/>
        <v>1.2864547051675026E-2</v>
      </c>
      <c r="G19" s="9"/>
    </row>
    <row r="20" spans="1:7">
      <c r="A20" s="151" t="s">
        <v>73</v>
      </c>
      <c r="B20" s="116">
        <f>SUM(('3. Population-NSIP#'!C5*$G$13),0)</f>
        <v>33084.504903474968</v>
      </c>
      <c r="C20" s="116">
        <f>SUM(('3. Population-NSIP#'!I5*$G$14),0)</f>
        <v>95936.891209341935</v>
      </c>
      <c r="D20" s="116">
        <f t="shared" si="1"/>
        <v>129021.3961128169</v>
      </c>
      <c r="E20" s="141">
        <f t="shared" si="0"/>
        <v>2.596038942835183E-2</v>
      </c>
      <c r="G20" s="9"/>
    </row>
    <row r="21" spans="1:7">
      <c r="A21" s="151" t="s">
        <v>60</v>
      </c>
      <c r="B21" s="116">
        <f>SUM(('3. Population-NSIP#'!C6*$G$13),0)</f>
        <v>4841.9455238438532</v>
      </c>
      <c r="C21" s="116">
        <f>SUM(('3. Population-NSIP#'!I6*$G$14),0)</f>
        <v>488297.33720569633</v>
      </c>
      <c r="D21" s="116">
        <f t="shared" si="1"/>
        <v>493139.28272954019</v>
      </c>
      <c r="E21" s="141">
        <f t="shared" si="0"/>
        <v>9.9224533354783692E-2</v>
      </c>
      <c r="G21" s="9"/>
    </row>
    <row r="22" spans="1:7">
      <c r="A22" s="151" t="s">
        <v>555</v>
      </c>
      <c r="B22" s="116">
        <f>SUM(('3. Population-NSIP#'!C7*$G$13),0)</f>
        <v>20136.121744217122</v>
      </c>
      <c r="C22" s="116">
        <f>SUM(('3. Population-NSIP#'!I7*$G$14),0)</f>
        <v>303666.85761202994</v>
      </c>
      <c r="D22" s="116">
        <f t="shared" si="1"/>
        <v>323802.97935624706</v>
      </c>
      <c r="E22" s="141">
        <f t="shared" si="0"/>
        <v>6.5152383212459211E-2</v>
      </c>
      <c r="G22" s="9"/>
    </row>
    <row r="23" spans="1:7">
      <c r="A23" s="151" t="s">
        <v>173</v>
      </c>
      <c r="B23" s="116">
        <f>SUM(('3. Population-NSIP#'!C8*$G$13),0)</f>
        <v>13037.568444822036</v>
      </c>
      <c r="C23" s="116">
        <f>SUM(('3. Population-NSIP#'!I8*$G$14),0)</f>
        <v>198451.25918262065</v>
      </c>
      <c r="D23" s="116">
        <f t="shared" si="1"/>
        <v>211488.82762744269</v>
      </c>
      <c r="E23" s="141">
        <f t="shared" si="0"/>
        <v>4.2553657690645466E-2</v>
      </c>
      <c r="G23" s="9"/>
    </row>
    <row r="24" spans="1:7">
      <c r="A24" s="151" t="s">
        <v>74</v>
      </c>
      <c r="B24" s="116">
        <f>SUM(('3. Population-NSIP#'!C9*$G$13),0)</f>
        <v>26233.081570987222</v>
      </c>
      <c r="C24" s="116">
        <f>SUM(('3. Population-NSIP#'!I9*$G$14),0)</f>
        <v>11831.006191148321</v>
      </c>
      <c r="D24" s="116">
        <f t="shared" si="1"/>
        <v>38064.087762135547</v>
      </c>
      <c r="E24" s="141">
        <f t="shared" si="0"/>
        <v>7.6588734218621347E-3</v>
      </c>
      <c r="G24" s="9"/>
    </row>
    <row r="25" spans="1:7">
      <c r="A25" s="151" t="s">
        <v>71</v>
      </c>
      <c r="B25" s="116">
        <f>SUM(('3. Population-NSIP#'!C10*$G$13),0)</f>
        <v>36450.841692377333</v>
      </c>
      <c r="C25" s="116">
        <f>SUM(('3. Population-NSIP#'!I10*$G$14),0)</f>
        <v>116608.39982985919</v>
      </c>
      <c r="D25" s="116">
        <f t="shared" si="1"/>
        <v>153059.24152223652</v>
      </c>
      <c r="E25" s="141">
        <f t="shared" si="0"/>
        <v>3.0797043244292534E-2</v>
      </c>
      <c r="G25" s="9"/>
    </row>
    <row r="26" spans="1:7">
      <c r="A26" s="151" t="s">
        <v>65</v>
      </c>
      <c r="B26" s="116">
        <f>SUM(('3. Population-NSIP#'!C11*$G$13),0)</f>
        <v>11787.265817359556</v>
      </c>
      <c r="C26" s="116">
        <f>SUM(('3. Population-NSIP#'!I11*$G$14),0)</f>
        <v>205788.91338732297</v>
      </c>
      <c r="D26" s="116">
        <f t="shared" si="1"/>
        <v>217576.17920468253</v>
      </c>
      <c r="E26" s="141">
        <f t="shared" si="0"/>
        <v>4.3778493433348602E-2</v>
      </c>
      <c r="G26" s="9"/>
    </row>
    <row r="27" spans="1:7">
      <c r="A27" s="151" t="s">
        <v>229</v>
      </c>
      <c r="B27" s="116">
        <f>SUM(('3. Population-NSIP#'!C12*$G$13),0)</f>
        <v>1116.563531606278</v>
      </c>
      <c r="C27" s="116">
        <f>SUM(('3. Population-NSIP#'!I12*$G$14),0)</f>
        <v>750284.34532826778</v>
      </c>
      <c r="D27" s="116">
        <f t="shared" si="1"/>
        <v>751400.90885987401</v>
      </c>
      <c r="E27" s="141">
        <f t="shared" si="0"/>
        <v>0.15118934377181223</v>
      </c>
      <c r="G27" s="9"/>
    </row>
    <row r="28" spans="1:7">
      <c r="A28" s="151" t="s">
        <v>75</v>
      </c>
      <c r="B28" s="116">
        <f>SUM(('3. Population-NSIP#'!C13*$G$13),0)</f>
        <v>25597.160713338795</v>
      </c>
      <c r="C28" s="116">
        <f>SUM(('3. Population-NSIP#'!I13*$G$14),0)</f>
        <v>41494.707737049561</v>
      </c>
      <c r="D28" s="116">
        <f t="shared" si="1"/>
        <v>67091.868450388356</v>
      </c>
      <c r="E28" s="141">
        <f t="shared" si="0"/>
        <v>1.3499551895445744E-2</v>
      </c>
      <c r="G28" s="9"/>
    </row>
    <row r="29" spans="1:7">
      <c r="A29" s="151" t="s">
        <v>59</v>
      </c>
      <c r="B29" s="116">
        <f>SUM(('3. Population-NSIP#'!C14*$G$13),0)</f>
        <v>11832.544500799837</v>
      </c>
      <c r="C29" s="116">
        <f>SUM(('3. Population-NSIP#'!I14*$G$14),0)</f>
        <v>700493.1738505594</v>
      </c>
      <c r="D29" s="116">
        <f t="shared" si="1"/>
        <v>712325.71835135925</v>
      </c>
      <c r="E29" s="141">
        <f t="shared" si="0"/>
        <v>0.1433270264108911</v>
      </c>
      <c r="G29" s="9"/>
    </row>
    <row r="30" spans="1:7">
      <c r="A30" s="151" t="s">
        <v>64</v>
      </c>
      <c r="B30" s="116">
        <f>SUM(('3. Population-NSIP#'!C15*$G$13),0)</f>
        <v>10215.119512064262</v>
      </c>
      <c r="C30" s="116">
        <f>SUM(('3. Population-NSIP#'!I15*$G$14),0)</f>
        <v>352483.60071629594</v>
      </c>
      <c r="D30" s="116">
        <f t="shared" si="1"/>
        <v>362698.72022836021</v>
      </c>
      <c r="E30" s="141">
        <f t="shared" si="0"/>
        <v>7.2978593519944873E-2</v>
      </c>
      <c r="G30" s="9"/>
    </row>
    <row r="31" spans="1:7">
      <c r="A31" s="151" t="s">
        <v>68</v>
      </c>
      <c r="B31" s="116">
        <f>SUM(('3. Population-NSIP#'!C16*$G$13),0)</f>
        <v>11450.976453214749</v>
      </c>
      <c r="C31" s="116">
        <f>SUM(('3. Population-NSIP#'!I16*$G$14),0)</f>
        <v>493430.97306508536</v>
      </c>
      <c r="D31" s="116">
        <f t="shared" si="1"/>
        <v>504881.94951830013</v>
      </c>
      <c r="E31" s="141">
        <f t="shared" si="0"/>
        <v>0.10158727482207509</v>
      </c>
      <c r="G31" s="9"/>
    </row>
    <row r="32" spans="1:7">
      <c r="A32" s="151" t="s">
        <v>67</v>
      </c>
      <c r="B32" s="116">
        <f>SUM(('3. Population-NSIP#'!C17*$G$13),0)</f>
        <v>8345.4386677299935</v>
      </c>
      <c r="C32" s="116">
        <f>SUM(('3. Population-NSIP#'!I17*$G$14),0)</f>
        <v>162368.79911603555</v>
      </c>
      <c r="D32" s="116">
        <f t="shared" si="1"/>
        <v>170714.23778376554</v>
      </c>
      <c r="E32" s="141">
        <f t="shared" si="0"/>
        <v>3.4349404264356391E-2</v>
      </c>
      <c r="G32" s="9"/>
    </row>
    <row r="33" spans="1:7">
      <c r="A33" s="151" t="s">
        <v>63</v>
      </c>
      <c r="B33" s="116">
        <f>SUM(('3. Population-NSIP#'!C18*$G$13),0)</f>
        <v>1874.9102863325174</v>
      </c>
      <c r="C33" s="116">
        <f>SUM(('3. Population-NSIP#'!I18*$G$14),0)</f>
        <v>564130.73134256992</v>
      </c>
      <c r="D33" s="116">
        <f t="shared" si="1"/>
        <v>566005.64162890241</v>
      </c>
      <c r="E33" s="141">
        <f t="shared" si="0"/>
        <v>0.11388597021909599</v>
      </c>
      <c r="G33" s="9"/>
    </row>
    <row r="34" spans="1:7" s="1" customFormat="1">
      <c r="A34" s="119" t="s">
        <v>29</v>
      </c>
      <c r="B34" s="117">
        <f>SUM(B18:B33)</f>
        <v>248497</v>
      </c>
      <c r="C34" s="117">
        <f>SUM(C18:C33)</f>
        <v>4721436</v>
      </c>
      <c r="D34" s="117">
        <f>SUM(D18:D33)</f>
        <v>4969933</v>
      </c>
      <c r="E34" s="120">
        <f>SUM(E18:E33)</f>
        <v>0.99999999999999978</v>
      </c>
      <c r="G34" s="10"/>
    </row>
  </sheetData>
  <sortState xmlns:xlrd2="http://schemas.microsoft.com/office/spreadsheetml/2017/richdata2" ref="A18:F33">
    <sortCondition ref="A18"/>
  </sortState>
  <pageMargins left="0.75" right="0.75" top="1.5" bottom="0.5" header="0.25" footer="0.5"/>
  <pageSetup scale="85"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C000"/>
    <pageSetUpPr fitToPage="1"/>
  </sheetPr>
  <dimension ref="A1:S45"/>
  <sheetViews>
    <sheetView zoomScale="70" zoomScaleNormal="70" workbookViewId="0">
      <selection activeCell="J24" sqref="J24"/>
    </sheetView>
  </sheetViews>
  <sheetFormatPr defaultColWidth="9.140625" defaultRowHeight="18.75"/>
  <cols>
    <col min="1" max="1" width="83.5703125" style="139" customWidth="1" collapsed="1"/>
    <col min="2" max="2" width="16.5703125" style="152" customWidth="1" collapsed="1"/>
    <col min="3" max="3" width="11" style="152" customWidth="1" collapsed="1"/>
    <col min="4" max="4" width="14.7109375" style="152" customWidth="1" collapsed="1"/>
    <col min="5" max="5" width="13.7109375" style="152" customWidth="1" collapsed="1"/>
    <col min="6" max="6" width="16.7109375" style="152" customWidth="1" collapsed="1"/>
    <col min="7" max="7" width="21.42578125" style="139" customWidth="1" collapsed="1"/>
    <col min="8" max="8" width="13.42578125" style="139" customWidth="1" collapsed="1"/>
    <col min="9" max="10" width="9.140625" style="139" collapsed="1"/>
    <col min="11" max="11" width="83.5703125" style="139" bestFit="1" customWidth="1" collapsed="1"/>
    <col min="12" max="12" width="16.5703125" style="152" customWidth="1" collapsed="1"/>
    <col min="13" max="13" width="11" style="152" customWidth="1" collapsed="1"/>
    <col min="14" max="14" width="14.7109375" style="152" customWidth="1" collapsed="1"/>
    <col min="15" max="15" width="13.7109375" style="152" customWidth="1" collapsed="1"/>
    <col min="16" max="16" width="16.7109375" style="152" customWidth="1" collapsed="1"/>
    <col min="17" max="17" width="21.42578125" style="139" customWidth="1" collapsed="1"/>
    <col min="18" max="18" width="13.42578125" style="139" customWidth="1" collapsed="1"/>
    <col min="19" max="19" width="11.7109375" style="139" bestFit="1" customWidth="1" collapsed="1"/>
    <col min="20" max="16384" width="9.140625" style="139" collapsed="1"/>
  </cols>
  <sheetData>
    <row r="1" spans="1:19">
      <c r="K1" s="451" t="s">
        <v>383</v>
      </c>
    </row>
    <row r="2" spans="1:19" ht="37.5">
      <c r="A2" s="153" t="s">
        <v>44</v>
      </c>
      <c r="B2" s="154" t="s">
        <v>22</v>
      </c>
      <c r="C2" s="154" t="s">
        <v>26</v>
      </c>
      <c r="D2" s="346" t="s">
        <v>317</v>
      </c>
      <c r="E2" s="346" t="s">
        <v>388</v>
      </c>
      <c r="F2" s="346" t="s">
        <v>389</v>
      </c>
      <c r="G2" s="346" t="s">
        <v>391</v>
      </c>
      <c r="H2" s="155"/>
      <c r="K2" s="153" t="s">
        <v>44</v>
      </c>
      <c r="L2" s="154" t="s">
        <v>22</v>
      </c>
      <c r="M2" s="154" t="s">
        <v>26</v>
      </c>
      <c r="N2" s="346" t="s">
        <v>168</v>
      </c>
      <c r="O2" s="346" t="s">
        <v>316</v>
      </c>
      <c r="P2" s="346" t="s">
        <v>317</v>
      </c>
      <c r="Q2" s="346" t="s">
        <v>319</v>
      </c>
      <c r="R2" s="155"/>
    </row>
    <row r="3" spans="1:19">
      <c r="A3" s="344" t="s">
        <v>313</v>
      </c>
      <c r="B3" s="157">
        <v>224158</v>
      </c>
      <c r="C3" s="158">
        <v>0.25</v>
      </c>
      <c r="D3" s="157">
        <f>ROUND(B3*C3,0)</f>
        <v>56040</v>
      </c>
      <c r="E3" s="157"/>
      <c r="F3" s="157"/>
      <c r="G3" s="157">
        <f>SUM(D3:F3)</f>
        <v>56040</v>
      </c>
      <c r="K3" s="344" t="s">
        <v>339</v>
      </c>
      <c r="L3" s="157">
        <v>211238</v>
      </c>
      <c r="M3" s="158">
        <v>0.25</v>
      </c>
      <c r="N3" s="157">
        <f>ROUND(L3*M3,0)</f>
        <v>52810</v>
      </c>
      <c r="O3" s="157"/>
      <c r="P3" s="157"/>
      <c r="Q3" s="157">
        <f>SUM(N3:P3)</f>
        <v>52810</v>
      </c>
    </row>
    <row r="4" spans="1:19">
      <c r="A4" s="344" t="s">
        <v>333</v>
      </c>
      <c r="B4" s="157">
        <v>224158</v>
      </c>
      <c r="C4" s="159">
        <v>1</v>
      </c>
      <c r="D4" s="157"/>
      <c r="E4" s="157">
        <f>ROUND(B4*C4,0)</f>
        <v>224158</v>
      </c>
      <c r="F4" s="157"/>
      <c r="G4" s="157">
        <f>SUM(D4:F4)</f>
        <v>224158</v>
      </c>
      <c r="K4" s="344" t="s">
        <v>340</v>
      </c>
      <c r="L4" s="157">
        <v>225541</v>
      </c>
      <c r="M4" s="159">
        <v>1</v>
      </c>
      <c r="N4" s="157"/>
      <c r="O4" s="157">
        <f>ROUND(L4*M4,0)</f>
        <v>225541</v>
      </c>
      <c r="P4" s="157"/>
      <c r="Q4" s="157">
        <f>SUM(N4:P4)</f>
        <v>225541</v>
      </c>
    </row>
    <row r="5" spans="1:19">
      <c r="A5" s="344" t="s">
        <v>334</v>
      </c>
      <c r="B5" s="420">
        <v>224158</v>
      </c>
      <c r="C5" s="159">
        <v>0.75</v>
      </c>
      <c r="D5" s="157"/>
      <c r="E5" s="157"/>
      <c r="F5" s="157">
        <f>ROUND(B5*C5,0)</f>
        <v>168119</v>
      </c>
      <c r="G5" s="157">
        <f>SUM(D5:F5)</f>
        <v>168119</v>
      </c>
      <c r="K5" s="344" t="s">
        <v>341</v>
      </c>
      <c r="L5" s="157">
        <v>224158</v>
      </c>
      <c r="M5" s="159">
        <v>0.75</v>
      </c>
      <c r="N5" s="157"/>
      <c r="O5" s="157"/>
      <c r="P5" s="157">
        <f>ROUND(L5*M5,0)</f>
        <v>168119</v>
      </c>
      <c r="Q5" s="157">
        <f>SUM(N5:P5)</f>
        <v>168119</v>
      </c>
    </row>
    <row r="6" spans="1:19">
      <c r="A6" s="156" t="s">
        <v>23</v>
      </c>
      <c r="B6" s="157"/>
      <c r="C6" s="160"/>
      <c r="D6" s="157">
        <f>SUM(D3:D5)</f>
        <v>56040</v>
      </c>
      <c r="E6" s="157">
        <f>SUM(E3:E5)</f>
        <v>224158</v>
      </c>
      <c r="F6" s="157">
        <f>SUM(F3:F5)</f>
        <v>168119</v>
      </c>
      <c r="G6" s="157">
        <f>SUM(G3:G5)</f>
        <v>448317</v>
      </c>
      <c r="K6" s="156" t="s">
        <v>23</v>
      </c>
      <c r="L6" s="157"/>
      <c r="M6" s="160"/>
      <c r="N6" s="157">
        <f>SUM(N3:N5)</f>
        <v>52810</v>
      </c>
      <c r="O6" s="157">
        <f>SUM(O3:O5)</f>
        <v>225541</v>
      </c>
      <c r="P6" s="157">
        <f>SUM(P3:P5)</f>
        <v>168119</v>
      </c>
      <c r="Q6" s="157">
        <f>SUM(Q3:Q5)</f>
        <v>446470</v>
      </c>
    </row>
    <row r="7" spans="1:19" ht="19.5" thickBot="1">
      <c r="A7" s="156" t="s">
        <v>24</v>
      </c>
      <c r="B7" s="157"/>
      <c r="C7" s="161">
        <v>0</v>
      </c>
      <c r="D7" s="162">
        <f>ROUND($C$7*-D6,0)</f>
        <v>0</v>
      </c>
      <c r="E7" s="162">
        <f>ROUND($C$7*-E6,0)</f>
        <v>0</v>
      </c>
      <c r="F7" s="162">
        <f>ROUND($C$7*-F6,0)</f>
        <v>0</v>
      </c>
      <c r="G7" s="162">
        <f>SUM(D7:F7)</f>
        <v>0</v>
      </c>
      <c r="K7" s="156" t="s">
        <v>24</v>
      </c>
      <c r="L7" s="157"/>
      <c r="M7" s="161">
        <v>0</v>
      </c>
      <c r="N7" s="162">
        <f>ROUND($C$7*-N6,0)</f>
        <v>0</v>
      </c>
      <c r="O7" s="162">
        <f>ROUND($C$7*-O6,0)</f>
        <v>0</v>
      </c>
      <c r="P7" s="162">
        <f>ROUND($C$7*-P6,0)</f>
        <v>0</v>
      </c>
      <c r="Q7" s="162">
        <f>SUM(N7:P7)</f>
        <v>0</v>
      </c>
    </row>
    <row r="8" spans="1:19" ht="19.5" thickTop="1">
      <c r="A8" s="163" t="s">
        <v>23</v>
      </c>
      <c r="B8" s="157"/>
      <c r="C8" s="160"/>
      <c r="D8" s="164">
        <f>SUM(D6:D7)</f>
        <v>56040</v>
      </c>
      <c r="E8" s="164">
        <f>SUM(E6:E7)</f>
        <v>224158</v>
      </c>
      <c r="F8" s="164">
        <f>SUM(F6:F7)</f>
        <v>168119</v>
      </c>
      <c r="G8" s="164">
        <f>SUM(G6:G7)</f>
        <v>448317</v>
      </c>
      <c r="K8" s="163" t="s">
        <v>23</v>
      </c>
      <c r="L8" s="157"/>
      <c r="M8" s="160"/>
      <c r="N8" s="164">
        <f>SUM(N6:N7)</f>
        <v>52810</v>
      </c>
      <c r="O8" s="164">
        <f>SUM(O6:O7)</f>
        <v>225541</v>
      </c>
      <c r="P8" s="164">
        <f>SUM(P6:P7)</f>
        <v>168119</v>
      </c>
      <c r="Q8" s="164">
        <f>SUM(Q6:Q7)</f>
        <v>446470</v>
      </c>
      <c r="S8" s="183">
        <v>-28624</v>
      </c>
    </row>
    <row r="9" spans="1:19">
      <c r="A9" s="156"/>
      <c r="B9" s="157"/>
      <c r="C9" s="160"/>
      <c r="D9" s="157"/>
      <c r="E9" s="157"/>
      <c r="F9" s="157"/>
      <c r="G9" s="157"/>
      <c r="H9" s="794" t="s">
        <v>179</v>
      </c>
      <c r="K9" s="156"/>
      <c r="L9" s="157"/>
      <c r="M9" s="160"/>
      <c r="N9" s="157"/>
      <c r="O9" s="157"/>
      <c r="P9" s="157"/>
      <c r="Q9" s="157"/>
      <c r="R9" s="794" t="s">
        <v>179</v>
      </c>
    </row>
    <row r="10" spans="1:19">
      <c r="A10" s="798" t="s">
        <v>180</v>
      </c>
      <c r="B10" s="157"/>
      <c r="C10" s="160"/>
      <c r="D10" s="157"/>
      <c r="E10" s="157"/>
      <c r="F10" s="157"/>
      <c r="G10" s="157"/>
      <c r="H10" s="794"/>
      <c r="K10" s="798" t="s">
        <v>180</v>
      </c>
      <c r="L10" s="157"/>
      <c r="M10" s="160"/>
      <c r="N10" s="157"/>
      <c r="O10" s="157"/>
      <c r="P10" s="157"/>
      <c r="Q10" s="157"/>
      <c r="R10" s="794"/>
    </row>
    <row r="11" spans="1:19" ht="19.5" thickBot="1">
      <c r="A11" s="799"/>
      <c r="B11" s="157"/>
      <c r="C11" s="160"/>
      <c r="D11" s="157"/>
      <c r="E11" s="157"/>
      <c r="F11" s="157"/>
      <c r="G11" s="157"/>
      <c r="H11" s="795"/>
      <c r="K11" s="799"/>
      <c r="L11" s="157"/>
      <c r="M11" s="160"/>
      <c r="N11" s="157"/>
      <c r="O11" s="157"/>
      <c r="P11" s="157"/>
      <c r="Q11" s="157"/>
      <c r="R11" s="795"/>
    </row>
    <row r="12" spans="1:19" ht="19.5" thickTop="1">
      <c r="A12" s="345" t="s">
        <v>335</v>
      </c>
      <c r="B12" s="165">
        <v>56913.5</v>
      </c>
      <c r="C12" s="166">
        <v>0.25</v>
      </c>
      <c r="D12" s="165">
        <f>ROUND(B12*C12,0)</f>
        <v>14228</v>
      </c>
      <c r="E12" s="165"/>
      <c r="F12" s="165"/>
      <c r="G12" s="165">
        <f>SUM(D12:F12)</f>
        <v>14228</v>
      </c>
      <c r="H12" s="167">
        <f>SUM(G12*15%)</f>
        <v>2134.1999999999998</v>
      </c>
      <c r="K12" s="345" t="s">
        <v>335</v>
      </c>
      <c r="L12" s="165">
        <v>56913.5</v>
      </c>
      <c r="M12" s="166">
        <v>0.25</v>
      </c>
      <c r="N12" s="165">
        <f>ROUND(L12*M12,0)</f>
        <v>14228</v>
      </c>
      <c r="O12" s="165"/>
      <c r="P12" s="165"/>
      <c r="Q12" s="165">
        <f>SUM(N12:P12)</f>
        <v>14228</v>
      </c>
      <c r="R12" s="167">
        <f>SUM(Q12*15%)</f>
        <v>2134.1999999999998</v>
      </c>
    </row>
    <row r="13" spans="1:19">
      <c r="A13" s="345" t="s">
        <v>336</v>
      </c>
      <c r="B13" s="165">
        <v>56913.5</v>
      </c>
      <c r="C13" s="166">
        <v>1</v>
      </c>
      <c r="D13" s="165"/>
      <c r="E13" s="165">
        <f>ROUND(B13*C13,0)</f>
        <v>56914</v>
      </c>
      <c r="F13" s="165"/>
      <c r="G13" s="165">
        <f>SUM(D13:F13)</f>
        <v>56914</v>
      </c>
      <c r="H13" s="167">
        <f>SUM(G13*15%)</f>
        <v>8537.1</v>
      </c>
      <c r="K13" s="345" t="s">
        <v>336</v>
      </c>
      <c r="L13" s="165">
        <v>56913.5</v>
      </c>
      <c r="M13" s="166">
        <v>1</v>
      </c>
      <c r="N13" s="165"/>
      <c r="O13" s="165">
        <f>ROUND(L13*M13,0)</f>
        <v>56914</v>
      </c>
      <c r="P13" s="165"/>
      <c r="Q13" s="165">
        <f>SUM(N13:P13)</f>
        <v>56914</v>
      </c>
      <c r="R13" s="167">
        <f>SUM(Q13*15%)</f>
        <v>8537.1</v>
      </c>
    </row>
    <row r="14" spans="1:19">
      <c r="A14" s="345" t="s">
        <v>337</v>
      </c>
      <c r="B14" s="165">
        <v>56913.5</v>
      </c>
      <c r="C14" s="168">
        <v>0.75</v>
      </c>
      <c r="D14" s="165"/>
      <c r="E14" s="165"/>
      <c r="F14" s="165">
        <f>ROUND(B14*C14,0)</f>
        <v>42685</v>
      </c>
      <c r="G14" s="165">
        <f>SUM(D14:F14)</f>
        <v>42685</v>
      </c>
      <c r="H14" s="167">
        <f>SUM(G14*15%)</f>
        <v>6402.75</v>
      </c>
      <c r="K14" s="345" t="s">
        <v>337</v>
      </c>
      <c r="L14" s="165">
        <v>56913.5</v>
      </c>
      <c r="M14" s="168">
        <v>0.75</v>
      </c>
      <c r="N14" s="165"/>
      <c r="O14" s="165"/>
      <c r="P14" s="165">
        <f>ROUND(L14*M14,0)</f>
        <v>42685</v>
      </c>
      <c r="Q14" s="165">
        <f>SUM(N14:P14)</f>
        <v>42685</v>
      </c>
      <c r="R14" s="167">
        <f>SUM(Q14*15%)</f>
        <v>6402.75</v>
      </c>
    </row>
    <row r="15" spans="1:19">
      <c r="A15" s="169" t="s">
        <v>230</v>
      </c>
      <c r="B15" s="170"/>
      <c r="C15" s="171"/>
      <c r="D15" s="172">
        <f>SUM(D12:D14)</f>
        <v>14228</v>
      </c>
      <c r="E15" s="165">
        <f>SUM(E12:E14)</f>
        <v>56914</v>
      </c>
      <c r="F15" s="165">
        <f>SUM(F12:F14)</f>
        <v>42685</v>
      </c>
      <c r="G15" s="165">
        <f>SUM(G12:G14)</f>
        <v>113827</v>
      </c>
      <c r="H15" s="167"/>
      <c r="K15" s="169" t="s">
        <v>230</v>
      </c>
      <c r="L15" s="170"/>
      <c r="M15" s="171"/>
      <c r="N15" s="172">
        <f>SUM(N12:N14)</f>
        <v>14228</v>
      </c>
      <c r="O15" s="165">
        <f>SUM(O12:O14)</f>
        <v>56914</v>
      </c>
      <c r="P15" s="165">
        <f>SUM(P12:P14)</f>
        <v>42685</v>
      </c>
      <c r="Q15" s="165">
        <f>SUM(Q12:Q14)</f>
        <v>113827</v>
      </c>
      <c r="R15" s="167"/>
    </row>
    <row r="16" spans="1:19">
      <c r="A16" s="163" t="s">
        <v>178</v>
      </c>
      <c r="B16" s="173"/>
      <c r="C16" s="174"/>
      <c r="D16" s="172">
        <f>SUM(D8:D14)</f>
        <v>70268</v>
      </c>
      <c r="E16" s="165">
        <f>SUM(E8:E14)</f>
        <v>281072</v>
      </c>
      <c r="F16" s="165">
        <f>SUM(F8:F14)</f>
        <v>210804</v>
      </c>
      <c r="G16" s="165">
        <f>SUM(G8:G14)</f>
        <v>562144</v>
      </c>
      <c r="H16" s="167">
        <f>SUM(H12:H14)</f>
        <v>17074.05</v>
      </c>
      <c r="K16" s="163" t="s">
        <v>178</v>
      </c>
      <c r="L16" s="173"/>
      <c r="M16" s="174"/>
      <c r="N16" s="172">
        <f>SUM(N8:N14)</f>
        <v>67038</v>
      </c>
      <c r="O16" s="165">
        <f>SUM(O8:O14)</f>
        <v>282455</v>
      </c>
      <c r="P16" s="165">
        <f>SUM(P8:P14)</f>
        <v>210804</v>
      </c>
      <c r="Q16" s="165">
        <f>SUM(Q8:Q14)</f>
        <v>560297</v>
      </c>
      <c r="R16" s="167">
        <f>SUM(R12:R14)</f>
        <v>17074.05</v>
      </c>
    </row>
    <row r="17" spans="1:18">
      <c r="D17" s="175"/>
      <c r="E17" s="175"/>
      <c r="F17" s="175"/>
      <c r="G17" s="175"/>
      <c r="N17" s="175"/>
      <c r="O17" s="175"/>
      <c r="P17" s="175"/>
      <c r="Q17" s="175"/>
    </row>
    <row r="18" spans="1:18" s="19" customFormat="1" ht="19.5" thickBot="1">
      <c r="A18" s="176" t="s">
        <v>147</v>
      </c>
      <c r="B18" s="177"/>
      <c r="C18" s="177"/>
      <c r="D18" s="178"/>
      <c r="E18" s="178"/>
      <c r="F18" s="178"/>
      <c r="G18" s="179">
        <f>SUM(G16:G17)</f>
        <v>562144</v>
      </c>
      <c r="I18" s="19" t="s">
        <v>338</v>
      </c>
      <c r="K18" s="176" t="s">
        <v>147</v>
      </c>
      <c r="L18" s="177"/>
      <c r="M18" s="177"/>
      <c r="N18" s="178"/>
      <c r="O18" s="178"/>
      <c r="P18" s="178"/>
      <c r="Q18" s="179">
        <f>SUM(Q16:Q17)</f>
        <v>560297</v>
      </c>
    </row>
    <row r="19" spans="1:18" s="19" customFormat="1" ht="19.5" thickTop="1">
      <c r="A19" s="176"/>
      <c r="B19" s="177"/>
      <c r="C19" s="177"/>
      <c r="D19" s="178"/>
      <c r="E19" s="178"/>
      <c r="F19" s="178"/>
      <c r="G19" s="178">
        <v>30388</v>
      </c>
      <c r="K19" s="176"/>
      <c r="L19" s="177"/>
      <c r="M19" s="177"/>
      <c r="N19" s="178"/>
      <c r="O19" s="178"/>
      <c r="P19" s="178"/>
      <c r="Q19" s="178"/>
    </row>
    <row r="20" spans="1:18" ht="19.5" thickBot="1">
      <c r="A20" s="182"/>
      <c r="F20" s="501" t="s">
        <v>390</v>
      </c>
      <c r="G20" s="502">
        <f>G18+G19</f>
        <v>592532</v>
      </c>
      <c r="K20" s="182" t="s">
        <v>384</v>
      </c>
      <c r="Q20" s="152"/>
    </row>
    <row r="21" spans="1:18" ht="18.75" customHeight="1">
      <c r="A21" s="800" t="s">
        <v>44</v>
      </c>
      <c r="B21" s="802" t="s">
        <v>22</v>
      </c>
      <c r="C21" s="802" t="s">
        <v>26</v>
      </c>
      <c r="D21" s="802" t="s">
        <v>317</v>
      </c>
      <c r="E21" s="802" t="s">
        <v>388</v>
      </c>
      <c r="F21" s="802" t="s">
        <v>389</v>
      </c>
      <c r="G21" s="432" t="s">
        <v>394</v>
      </c>
      <c r="H21" s="183"/>
      <c r="K21" s="452" t="s">
        <v>44</v>
      </c>
      <c r="L21" s="453" t="s">
        <v>22</v>
      </c>
      <c r="M21" s="453" t="s">
        <v>26</v>
      </c>
      <c r="N21" s="453" t="s">
        <v>168</v>
      </c>
      <c r="O21" s="453" t="s">
        <v>316</v>
      </c>
      <c r="P21" s="453" t="s">
        <v>317</v>
      </c>
      <c r="Q21" s="453" t="s">
        <v>319</v>
      </c>
      <c r="R21" s="454"/>
    </row>
    <row r="22" spans="1:18" ht="19.5" thickBot="1">
      <c r="A22" s="801"/>
      <c r="B22" s="803"/>
      <c r="C22" s="803"/>
      <c r="D22" s="803"/>
      <c r="E22" s="803"/>
      <c r="F22" s="803"/>
      <c r="G22" s="433" t="s">
        <v>343</v>
      </c>
      <c r="K22" s="455" t="s">
        <v>149</v>
      </c>
      <c r="L22" s="456">
        <v>208041</v>
      </c>
      <c r="M22" s="457">
        <v>0.25</v>
      </c>
      <c r="N22" s="456">
        <f>ROUND(L22*M22,0)</f>
        <v>52010</v>
      </c>
      <c r="O22" s="456"/>
      <c r="P22" s="456"/>
      <c r="Q22" s="456">
        <f>SUM(N22:P22)</f>
        <v>52010</v>
      </c>
      <c r="R22" s="451"/>
    </row>
    <row r="23" spans="1:18" ht="19.5" thickBot="1">
      <c r="A23" s="434" t="s">
        <v>313</v>
      </c>
      <c r="B23" s="435" t="s">
        <v>344</v>
      </c>
      <c r="C23" s="436">
        <v>0.25</v>
      </c>
      <c r="D23" s="435" t="s">
        <v>345</v>
      </c>
      <c r="E23" s="435"/>
      <c r="F23" s="435"/>
      <c r="G23" s="435" t="s">
        <v>346</v>
      </c>
      <c r="K23" s="455" t="s">
        <v>312</v>
      </c>
      <c r="L23" s="456">
        <v>208041</v>
      </c>
      <c r="M23" s="458">
        <v>1</v>
      </c>
      <c r="N23" s="456"/>
      <c r="O23" s="456">
        <f>ROUND(L23*M23,0)</f>
        <v>208041</v>
      </c>
      <c r="P23" s="456"/>
      <c r="Q23" s="456">
        <f>SUM(N23:P23)</f>
        <v>208041</v>
      </c>
      <c r="R23" s="451"/>
    </row>
    <row r="24" spans="1:18" s="19" customFormat="1" ht="19.5" thickBot="1">
      <c r="A24" s="434" t="s">
        <v>333</v>
      </c>
      <c r="B24" s="435" t="s">
        <v>344</v>
      </c>
      <c r="C24" s="436">
        <v>1</v>
      </c>
      <c r="D24" s="435"/>
      <c r="E24" s="435" t="s">
        <v>347</v>
      </c>
      <c r="F24" s="435"/>
      <c r="G24" s="435" t="s">
        <v>348</v>
      </c>
      <c r="K24" s="455" t="s">
        <v>313</v>
      </c>
      <c r="L24" s="456">
        <v>208041</v>
      </c>
      <c r="M24" s="458">
        <v>0.75</v>
      </c>
      <c r="N24" s="456"/>
      <c r="O24" s="456"/>
      <c r="P24" s="456">
        <f>ROUND(L24*M24,0)</f>
        <v>156031</v>
      </c>
      <c r="Q24" s="456">
        <f>SUM(N24:P24)</f>
        <v>156031</v>
      </c>
      <c r="R24" s="451"/>
    </row>
    <row r="25" spans="1:18" ht="19.5" thickBot="1">
      <c r="A25" s="434" t="s">
        <v>334</v>
      </c>
      <c r="B25" s="435" t="s">
        <v>349</v>
      </c>
      <c r="C25" s="436">
        <v>0.75</v>
      </c>
      <c r="D25" s="435"/>
      <c r="E25" s="435"/>
      <c r="F25" s="435" t="s">
        <v>350</v>
      </c>
      <c r="G25" s="435" t="s">
        <v>351</v>
      </c>
      <c r="K25" s="455" t="s">
        <v>23</v>
      </c>
      <c r="L25" s="456"/>
      <c r="M25" s="459"/>
      <c r="N25" s="456">
        <f>SUM(N22:N24)</f>
        <v>52010</v>
      </c>
      <c r="O25" s="456">
        <f>SUM(O22:O24)</f>
        <v>208041</v>
      </c>
      <c r="P25" s="456">
        <f>SUM(P22:P24)</f>
        <v>156031</v>
      </c>
      <c r="Q25" s="456">
        <f>SUM(Q22:Q24)</f>
        <v>416082</v>
      </c>
      <c r="R25" s="451"/>
    </row>
    <row r="26" spans="1:18" s="19" customFormat="1" ht="19.5" thickBot="1">
      <c r="A26" s="434" t="s">
        <v>352</v>
      </c>
      <c r="B26" s="435"/>
      <c r="C26" s="437"/>
      <c r="D26" s="435" t="s">
        <v>345</v>
      </c>
      <c r="E26" s="435" t="s">
        <v>353</v>
      </c>
      <c r="F26" s="435" t="s">
        <v>354</v>
      </c>
      <c r="G26" s="435" t="s">
        <v>355</v>
      </c>
      <c r="K26" s="455" t="s">
        <v>24</v>
      </c>
      <c r="L26" s="456"/>
      <c r="M26" s="460">
        <v>0</v>
      </c>
      <c r="N26" s="461">
        <f>ROUND($C$7*-N25,0)</f>
        <v>0</v>
      </c>
      <c r="O26" s="461">
        <f>ROUND($C$7*-O25,0)</f>
        <v>0</v>
      </c>
      <c r="P26" s="461">
        <f>ROUND($C$7*-P25,0)</f>
        <v>0</v>
      </c>
      <c r="Q26" s="461">
        <f>SUM(N26:P26)</f>
        <v>0</v>
      </c>
      <c r="R26" s="451"/>
    </row>
    <row r="27" spans="1:18" ht="19.5" thickBot="1">
      <c r="A27" s="434" t="s">
        <v>356</v>
      </c>
      <c r="B27" s="435"/>
      <c r="C27" s="438">
        <v>0</v>
      </c>
      <c r="D27" s="439" t="s">
        <v>357</v>
      </c>
      <c r="E27" s="439" t="s">
        <v>358</v>
      </c>
      <c r="F27" s="439" t="s">
        <v>359</v>
      </c>
      <c r="G27" s="439" t="s">
        <v>360</v>
      </c>
      <c r="K27" s="462" t="s">
        <v>23</v>
      </c>
      <c r="L27" s="456"/>
      <c r="M27" s="459"/>
      <c r="N27" s="463">
        <f>SUM(N25:N26)</f>
        <v>52010</v>
      </c>
      <c r="O27" s="463">
        <f>SUM(O25:O26)</f>
        <v>208041</v>
      </c>
      <c r="P27" s="463">
        <f>SUM(P25:P26)</f>
        <v>156031</v>
      </c>
      <c r="Q27" s="463">
        <f>SUM(Q25:Q26)</f>
        <v>416082</v>
      </c>
      <c r="R27" s="451"/>
    </row>
    <row r="28" spans="1:18" ht="19.5" thickBot="1">
      <c r="A28" s="440" t="s">
        <v>352</v>
      </c>
      <c r="B28" s="435"/>
      <c r="C28" s="437"/>
      <c r="D28" s="435" t="s">
        <v>345</v>
      </c>
      <c r="E28" s="435" t="s">
        <v>353</v>
      </c>
      <c r="F28" s="435" t="s">
        <v>354</v>
      </c>
      <c r="G28" s="435" t="s">
        <v>355</v>
      </c>
      <c r="K28" s="455"/>
      <c r="L28" s="456"/>
      <c r="M28" s="459"/>
      <c r="N28" s="456"/>
      <c r="O28" s="456"/>
      <c r="P28" s="456"/>
      <c r="Q28" s="456"/>
      <c r="R28" s="794" t="s">
        <v>179</v>
      </c>
    </row>
    <row r="29" spans="1:18" ht="19.5" customHeight="1" thickBot="1">
      <c r="A29" s="434"/>
      <c r="B29" s="435"/>
      <c r="C29" s="437"/>
      <c r="D29" s="435"/>
      <c r="E29" s="435"/>
      <c r="F29" s="435"/>
      <c r="G29" s="435"/>
      <c r="K29" s="796" t="s">
        <v>180</v>
      </c>
      <c r="L29" s="456"/>
      <c r="M29" s="459"/>
      <c r="N29" s="456"/>
      <c r="O29" s="456"/>
      <c r="P29" s="456"/>
      <c r="Q29" s="456"/>
      <c r="R29" s="794"/>
    </row>
    <row r="30" spans="1:18" ht="19.5" customHeight="1" thickBot="1">
      <c r="A30" s="792" t="s">
        <v>180</v>
      </c>
      <c r="B30" s="435"/>
      <c r="C30" s="437"/>
      <c r="D30" s="435"/>
      <c r="E30" s="435"/>
      <c r="F30" s="435"/>
      <c r="G30" s="435"/>
      <c r="K30" s="797"/>
      <c r="L30" s="456"/>
      <c r="M30" s="459"/>
      <c r="N30" s="456"/>
      <c r="O30" s="456"/>
      <c r="P30" s="456"/>
      <c r="Q30" s="456"/>
      <c r="R30" s="795"/>
    </row>
    <row r="31" spans="1:18" ht="19.5" thickBot="1">
      <c r="A31" s="793"/>
      <c r="B31" s="435"/>
      <c r="C31" s="437"/>
      <c r="D31" s="435"/>
      <c r="E31" s="435"/>
      <c r="F31" s="435"/>
      <c r="G31" s="435"/>
      <c r="K31" s="464" t="s">
        <v>385</v>
      </c>
      <c r="L31" s="465">
        <v>56913.5</v>
      </c>
      <c r="M31" s="466">
        <v>0.25</v>
      </c>
      <c r="N31" s="465">
        <f>ROUND(L31*M31,0)</f>
        <v>14228</v>
      </c>
      <c r="O31" s="465"/>
      <c r="P31" s="465"/>
      <c r="Q31" s="465">
        <f>SUM(N31:P31)</f>
        <v>14228</v>
      </c>
      <c r="R31" s="467">
        <f>SUM(Q31*15%)</f>
        <v>2134.1999999999998</v>
      </c>
    </row>
    <row r="32" spans="1:18" ht="19.5" thickBot="1">
      <c r="A32" s="441" t="s">
        <v>335</v>
      </c>
      <c r="B32" s="435" t="s">
        <v>361</v>
      </c>
      <c r="C32" s="436">
        <v>0.25</v>
      </c>
      <c r="D32" s="435" t="s">
        <v>362</v>
      </c>
      <c r="E32" s="435"/>
      <c r="F32" s="435"/>
      <c r="G32" s="435" t="s">
        <v>363</v>
      </c>
      <c r="K32" s="464" t="s">
        <v>386</v>
      </c>
      <c r="L32" s="465">
        <v>56913.5</v>
      </c>
      <c r="M32" s="466">
        <v>1</v>
      </c>
      <c r="N32" s="465"/>
      <c r="O32" s="465">
        <f>ROUND(L32*M32,0)</f>
        <v>56914</v>
      </c>
      <c r="P32" s="465"/>
      <c r="Q32" s="465">
        <f>SUM(N32:P32)</f>
        <v>56914</v>
      </c>
      <c r="R32" s="467">
        <f>SUM(Q32*15%)</f>
        <v>8537.1</v>
      </c>
    </row>
    <row r="33" spans="1:18" ht="19.5" thickBot="1">
      <c r="A33" s="441" t="s">
        <v>336</v>
      </c>
      <c r="B33" s="435" t="s">
        <v>361</v>
      </c>
      <c r="C33" s="436">
        <v>1</v>
      </c>
      <c r="D33" s="435"/>
      <c r="E33" s="435" t="s">
        <v>364</v>
      </c>
      <c r="F33" s="435"/>
      <c r="G33" s="435" t="s">
        <v>365</v>
      </c>
      <c r="K33" s="464" t="s">
        <v>387</v>
      </c>
      <c r="L33" s="465">
        <v>56913.5</v>
      </c>
      <c r="M33" s="468">
        <v>0.75</v>
      </c>
      <c r="N33" s="465"/>
      <c r="O33" s="465"/>
      <c r="P33" s="465">
        <f>ROUND(L33*M33,0)</f>
        <v>42685</v>
      </c>
      <c r="Q33" s="465">
        <f>SUM(N33:P33)</f>
        <v>42685</v>
      </c>
      <c r="R33" s="467">
        <f>SUM(Q33*15%)</f>
        <v>6402.75</v>
      </c>
    </row>
    <row r="34" spans="1:18" ht="19.5" thickBot="1">
      <c r="A34" s="441" t="s">
        <v>366</v>
      </c>
      <c r="B34" s="435" t="s">
        <v>361</v>
      </c>
      <c r="C34" s="442">
        <v>0.75</v>
      </c>
      <c r="D34" s="435"/>
      <c r="E34" s="435"/>
      <c r="F34" s="435" t="s">
        <v>367</v>
      </c>
      <c r="G34" s="435" t="s">
        <v>368</v>
      </c>
      <c r="K34" s="469" t="s">
        <v>230</v>
      </c>
      <c r="L34" s="470"/>
      <c r="M34" s="471"/>
      <c r="N34" s="472">
        <f>SUM(N31:N33)</f>
        <v>14228</v>
      </c>
      <c r="O34" s="465">
        <f>SUM(O31:O33)</f>
        <v>56914</v>
      </c>
      <c r="P34" s="465">
        <f>SUM(P31:P33)</f>
        <v>42685</v>
      </c>
      <c r="Q34" s="465">
        <f>SUM(Q31:Q33)</f>
        <v>113827</v>
      </c>
      <c r="R34" s="467"/>
    </row>
    <row r="35" spans="1:18" ht="19.5" thickBot="1">
      <c r="A35" s="440" t="s">
        <v>369</v>
      </c>
      <c r="B35" s="443"/>
      <c r="C35" s="443"/>
      <c r="D35" s="435" t="s">
        <v>362</v>
      </c>
      <c r="E35" s="435" t="s">
        <v>370</v>
      </c>
      <c r="F35" s="435" t="s">
        <v>371</v>
      </c>
      <c r="G35" s="435" t="s">
        <v>372</v>
      </c>
      <c r="K35" s="462" t="s">
        <v>178</v>
      </c>
      <c r="L35" s="473"/>
      <c r="M35" s="474"/>
      <c r="N35" s="472">
        <f>SUM(N27:N33)</f>
        <v>66238</v>
      </c>
      <c r="O35" s="465">
        <f>SUM(O27:O33)</f>
        <v>264955</v>
      </c>
      <c r="P35" s="465">
        <f>SUM(P27:P33)</f>
        <v>198716</v>
      </c>
      <c r="Q35" s="465">
        <f>SUM(Q27:Q33)</f>
        <v>529909</v>
      </c>
      <c r="R35" s="467">
        <f>SUM(R31:R33)</f>
        <v>17074.05</v>
      </c>
    </row>
    <row r="36" spans="1:18" ht="19.5" thickBot="1">
      <c r="A36" s="440" t="s">
        <v>178</v>
      </c>
      <c r="B36" s="443"/>
      <c r="C36" s="443"/>
      <c r="D36" s="435" t="s">
        <v>373</v>
      </c>
      <c r="E36" s="435" t="s">
        <v>374</v>
      </c>
      <c r="F36" s="435" t="s">
        <v>375</v>
      </c>
      <c r="G36" s="435" t="s">
        <v>376</v>
      </c>
      <c r="K36" s="451"/>
      <c r="L36" s="475"/>
      <c r="M36" s="475"/>
      <c r="N36" s="476"/>
      <c r="O36" s="476"/>
      <c r="P36" s="476"/>
      <c r="Q36" s="476"/>
      <c r="R36" s="451"/>
    </row>
    <row r="37" spans="1:18" ht="19.5" thickBot="1">
      <c r="A37" s="444"/>
      <c r="B37" s="444"/>
      <c r="C37" s="444"/>
      <c r="D37" s="444"/>
      <c r="E37" s="444"/>
      <c r="F37" s="444"/>
      <c r="G37" s="444"/>
      <c r="K37" s="176" t="s">
        <v>147</v>
      </c>
      <c r="L37" s="177"/>
      <c r="M37" s="177"/>
      <c r="N37" s="178"/>
      <c r="O37" s="178"/>
      <c r="P37" s="178"/>
      <c r="Q37" s="179">
        <f>SUM(Q35:Q36)</f>
        <v>529909</v>
      </c>
      <c r="R37" s="19"/>
    </row>
    <row r="38" spans="1:18" ht="19.5" thickTop="1">
      <c r="A38" s="445" t="s">
        <v>377</v>
      </c>
      <c r="B38" s="446"/>
      <c r="C38" s="446"/>
      <c r="D38" s="446"/>
      <c r="E38" s="446"/>
      <c r="F38" s="446"/>
      <c r="G38" s="447" t="s">
        <v>378</v>
      </c>
    </row>
    <row r="39" spans="1:18" ht="19.5" thickBot="1">
      <c r="A39" s="444"/>
      <c r="B39" s="444"/>
      <c r="C39" s="444"/>
      <c r="D39" s="444"/>
      <c r="E39" s="444"/>
      <c r="F39" s="448" t="s">
        <v>379</v>
      </c>
      <c r="G39" s="449" t="s">
        <v>380</v>
      </c>
    </row>
    <row r="40" spans="1:18" ht="19.5" thickBot="1">
      <c r="A40" s="444"/>
      <c r="B40" s="444"/>
      <c r="C40" s="444"/>
      <c r="D40" s="444"/>
      <c r="E40" s="444"/>
      <c r="F40" s="448" t="s">
        <v>381</v>
      </c>
      <c r="G40" s="450" t="s">
        <v>382</v>
      </c>
    </row>
    <row r="41" spans="1:18" ht="19.5" thickTop="1">
      <c r="A41" s="187"/>
      <c r="B41" s="184"/>
      <c r="C41" s="184"/>
      <c r="D41" s="184"/>
      <c r="E41" s="184"/>
      <c r="F41" s="184"/>
      <c r="G41" s="152"/>
      <c r="K41" s="187"/>
      <c r="L41" s="184"/>
      <c r="M41" s="184"/>
      <c r="N41" s="184"/>
      <c r="O41" s="184"/>
      <c r="P41" s="184"/>
      <c r="Q41" s="152"/>
    </row>
    <row r="42" spans="1:18">
      <c r="A42" s="186"/>
      <c r="B42" s="175"/>
      <c r="C42" s="175"/>
      <c r="D42" s="175"/>
      <c r="E42" s="175"/>
      <c r="F42" s="175"/>
      <c r="G42" s="152"/>
      <c r="K42" s="186"/>
      <c r="L42" s="175"/>
      <c r="M42" s="175"/>
      <c r="N42" s="175"/>
      <c r="O42" s="175"/>
      <c r="P42" s="175"/>
      <c r="Q42" s="152"/>
    </row>
    <row r="43" spans="1:18">
      <c r="A43" s="186"/>
      <c r="B43" s="175"/>
      <c r="C43" s="175"/>
      <c r="D43" s="175"/>
      <c r="E43" s="175"/>
      <c r="F43" s="175"/>
      <c r="G43" s="152"/>
      <c r="K43" s="186"/>
      <c r="L43" s="175"/>
      <c r="M43" s="175"/>
      <c r="N43" s="175"/>
      <c r="O43" s="175"/>
      <c r="P43" s="175"/>
      <c r="Q43" s="152"/>
    </row>
    <row r="44" spans="1:18" s="19" customFormat="1">
      <c r="A44" s="185"/>
      <c r="B44" s="181"/>
      <c r="C44" s="181"/>
      <c r="D44" s="181"/>
      <c r="E44" s="181"/>
      <c r="F44" s="181"/>
      <c r="G44" s="180"/>
      <c r="K44" s="185"/>
      <c r="L44" s="181"/>
      <c r="M44" s="181"/>
      <c r="N44" s="181"/>
      <c r="O44" s="181"/>
      <c r="P44" s="181"/>
      <c r="Q44" s="180"/>
    </row>
    <row r="45" spans="1:18">
      <c r="A45" s="187"/>
      <c r="B45" s="184"/>
      <c r="C45" s="184"/>
      <c r="D45" s="184"/>
      <c r="E45" s="184"/>
      <c r="F45" s="184"/>
      <c r="K45" s="187"/>
      <c r="L45" s="184"/>
      <c r="M45" s="184"/>
      <c r="N45" s="184"/>
      <c r="O45" s="184"/>
      <c r="P45" s="184"/>
    </row>
  </sheetData>
  <sortState xmlns:xlrd2="http://schemas.microsoft.com/office/spreadsheetml/2017/richdata2" ref="A23:F39">
    <sortCondition ref="A23"/>
  </sortState>
  <mergeCells count="13">
    <mergeCell ref="A30:A31"/>
    <mergeCell ref="R28:R30"/>
    <mergeCell ref="K29:K30"/>
    <mergeCell ref="H9:H11"/>
    <mergeCell ref="A10:A11"/>
    <mergeCell ref="R9:R11"/>
    <mergeCell ref="K10:K11"/>
    <mergeCell ref="A21:A22"/>
    <mergeCell ref="B21:B22"/>
    <mergeCell ref="C21:C22"/>
    <mergeCell ref="D21:D22"/>
    <mergeCell ref="E21:E22"/>
    <mergeCell ref="F21:F22"/>
  </mergeCells>
  <pageMargins left="0.75" right="0.75" top="1.5" bottom="0.5" header="0.25" footer="0.5"/>
  <pageSetup scale="63" orientation="landscape" r:id="rId1"/>
  <headerFooter alignWithMargins="0">
    <oddHeader xml:space="preserve">&amp;C&amp;"Arial Black,Bold"&amp;14AAA 2019-2021 FUNDING ALLOCATION
Amendment 1
</oddHeader>
    <oddFooter>&amp;R&amp;"Century Gothic,Regular"Page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86CCC-CCCC-4519-96BA-453A52B20BD3}">
  <sheetPr>
    <tabColor rgb="FFFFC000"/>
  </sheetPr>
  <dimension ref="A1:H24"/>
  <sheetViews>
    <sheetView zoomScaleNormal="100" workbookViewId="0">
      <selection activeCell="E33" sqref="E33"/>
    </sheetView>
  </sheetViews>
  <sheetFormatPr defaultRowHeight="15.75"/>
  <cols>
    <col min="1" max="1" width="89.85546875" style="503" customWidth="1"/>
    <col min="2" max="2" width="16.5703125" style="503" customWidth="1"/>
    <col min="3" max="3" width="11" style="503" customWidth="1"/>
    <col min="4" max="8" width="14.7109375" style="503" customWidth="1"/>
    <col min="9" max="16384" width="9.140625" style="503"/>
  </cols>
  <sheetData>
    <row r="1" spans="1:8">
      <c r="B1" s="504"/>
      <c r="C1" s="504"/>
      <c r="D1" s="504"/>
      <c r="E1" s="504"/>
      <c r="F1" s="504"/>
    </row>
    <row r="2" spans="1:8" ht="58.5" customHeight="1">
      <c r="A2" s="671" t="s">
        <v>44</v>
      </c>
      <c r="B2" s="505" t="s">
        <v>22</v>
      </c>
      <c r="C2" s="505" t="s">
        <v>26</v>
      </c>
      <c r="D2" s="505" t="s">
        <v>443</v>
      </c>
      <c r="E2" s="505" t="s">
        <v>520</v>
      </c>
      <c r="F2" s="505" t="s">
        <v>521</v>
      </c>
      <c r="G2" s="505" t="s">
        <v>529</v>
      </c>
      <c r="H2" s="506"/>
    </row>
    <row r="3" spans="1:8">
      <c r="A3" s="507" t="s">
        <v>441</v>
      </c>
      <c r="B3" s="508">
        <v>281307</v>
      </c>
      <c r="C3" s="529">
        <v>0.25</v>
      </c>
      <c r="D3" s="508">
        <f>ROUND(B3*C3,0)</f>
        <v>70327</v>
      </c>
      <c r="E3" s="508"/>
      <c r="F3" s="508"/>
      <c r="G3" s="508">
        <f>SUM(D3:F3)</f>
        <v>70327</v>
      </c>
    </row>
    <row r="4" spans="1:8">
      <c r="A4" s="507" t="s">
        <v>526</v>
      </c>
      <c r="B4" s="508">
        <v>281307</v>
      </c>
      <c r="C4" s="529">
        <v>1</v>
      </c>
      <c r="D4" s="508"/>
      <c r="E4" s="508">
        <f>ROUND(B4*C4,0)</f>
        <v>281307</v>
      </c>
      <c r="F4" s="508"/>
      <c r="G4" s="508">
        <f>SUM(D4:F4)</f>
        <v>281307</v>
      </c>
    </row>
    <row r="5" spans="1:8">
      <c r="A5" s="507" t="s">
        <v>527</v>
      </c>
      <c r="B5" s="508">
        <v>281307</v>
      </c>
      <c r="C5" s="529">
        <v>0.75</v>
      </c>
      <c r="D5" s="508"/>
      <c r="E5" s="508"/>
      <c r="F5" s="508">
        <f>ROUND(B5*C5,0)</f>
        <v>210980</v>
      </c>
      <c r="G5" s="508">
        <f>SUM(D5:F5)</f>
        <v>210980</v>
      </c>
    </row>
    <row r="6" spans="1:8">
      <c r="A6" s="614" t="s">
        <v>528</v>
      </c>
      <c r="B6" s="615"/>
      <c r="C6" s="616">
        <v>1</v>
      </c>
      <c r="E6" s="583">
        <v>0</v>
      </c>
      <c r="F6" s="583"/>
      <c r="G6" s="583">
        <v>0</v>
      </c>
      <c r="H6" s="533">
        <f>SUM(G3:G6)</f>
        <v>562614</v>
      </c>
    </row>
    <row r="7" spans="1:8">
      <c r="A7" s="555"/>
      <c r="B7" s="554"/>
      <c r="C7" s="529">
        <v>1</v>
      </c>
      <c r="D7" s="527"/>
      <c r="E7" s="611">
        <v>0</v>
      </c>
      <c r="F7" s="527"/>
      <c r="G7" s="612">
        <v>0</v>
      </c>
    </row>
    <row r="8" spans="1:8">
      <c r="A8" s="507" t="s">
        <v>23</v>
      </c>
      <c r="B8" s="508"/>
      <c r="C8" s="527"/>
      <c r="D8" s="508">
        <f>SUM(D3:D7)</f>
        <v>70327</v>
      </c>
      <c r="E8" s="508">
        <f>SUM(E3:E7)</f>
        <v>281307</v>
      </c>
      <c r="F8" s="508">
        <f>SUM(F3:F7)</f>
        <v>210980</v>
      </c>
      <c r="G8" s="612">
        <f>SUM(G3:G7)</f>
        <v>562614</v>
      </c>
    </row>
    <row r="9" spans="1:8" ht="16.5" thickBot="1">
      <c r="A9" s="507" t="s">
        <v>24</v>
      </c>
      <c r="B9" s="508"/>
      <c r="C9" s="530">
        <v>0</v>
      </c>
      <c r="D9" s="509">
        <f>ROUND($C$9*-D8,0)</f>
        <v>0</v>
      </c>
      <c r="E9" s="509">
        <f>ROUND($C$9*-E8,0)</f>
        <v>0</v>
      </c>
      <c r="F9" s="509">
        <f>ROUND($C$9*-F8,0)</f>
        <v>0</v>
      </c>
      <c r="G9" s="509">
        <f>SUM(D9:F9)</f>
        <v>0</v>
      </c>
    </row>
    <row r="10" spans="1:8" ht="16.5" thickTop="1">
      <c r="A10" s="510" t="s">
        <v>23</v>
      </c>
      <c r="B10" s="508"/>
      <c r="C10" s="527"/>
      <c r="D10" s="511">
        <f>SUM(D8:D9)</f>
        <v>70327</v>
      </c>
      <c r="E10" s="613">
        <f>SUM(E8:E9)</f>
        <v>281307</v>
      </c>
      <c r="F10" s="511">
        <f>SUM(F8:F9)</f>
        <v>210980</v>
      </c>
      <c r="G10" s="613">
        <f>SUM(G8:G9)</f>
        <v>562614</v>
      </c>
      <c r="H10" s="584">
        <f>SUM(D10:F10)</f>
        <v>562614</v>
      </c>
    </row>
    <row r="11" spans="1:8">
      <c r="A11" s="507"/>
      <c r="B11" s="508"/>
      <c r="C11" s="527"/>
      <c r="D11" s="508"/>
      <c r="E11" s="508"/>
      <c r="F11" s="508"/>
      <c r="G11" s="508"/>
      <c r="H11" s="804" t="s">
        <v>179</v>
      </c>
    </row>
    <row r="12" spans="1:8">
      <c r="A12" s="806" t="s">
        <v>434</v>
      </c>
      <c r="B12" s="508"/>
      <c r="C12" s="527"/>
      <c r="D12" s="508"/>
      <c r="E12" s="508"/>
      <c r="F12" s="508"/>
      <c r="G12" s="508"/>
      <c r="H12" s="804"/>
    </row>
    <row r="13" spans="1:8" ht="16.5" thickBot="1">
      <c r="A13" s="807"/>
      <c r="B13" s="508"/>
      <c r="C13" s="527"/>
      <c r="D13" s="508"/>
      <c r="E13" s="508"/>
      <c r="F13" s="508"/>
      <c r="G13" s="508"/>
      <c r="H13" s="805"/>
    </row>
    <row r="14" spans="1:8" ht="16.5" thickTop="1">
      <c r="A14" s="512" t="s">
        <v>530</v>
      </c>
      <c r="B14" s="513">
        <v>56913.5</v>
      </c>
      <c r="C14" s="531">
        <v>0.25</v>
      </c>
      <c r="D14" s="513">
        <f>ROUND(B14*C14,0)</f>
        <v>14228</v>
      </c>
      <c r="E14" s="513"/>
      <c r="F14" s="513"/>
      <c r="G14" s="513">
        <f>SUM(D14:F14)</f>
        <v>14228</v>
      </c>
      <c r="H14" s="514">
        <f>SUM(G14*15%)</f>
        <v>2134.1999999999998</v>
      </c>
    </row>
    <row r="15" spans="1:8">
      <c r="A15" s="512" t="s">
        <v>531</v>
      </c>
      <c r="B15" s="513">
        <v>56913.5</v>
      </c>
      <c r="C15" s="531">
        <v>1</v>
      </c>
      <c r="D15" s="513"/>
      <c r="E15" s="513">
        <f>ROUND(B15*C15,0)</f>
        <v>56914</v>
      </c>
      <c r="F15" s="513"/>
      <c r="G15" s="513">
        <f>SUM(D15:F15)</f>
        <v>56914</v>
      </c>
      <c r="H15" s="514">
        <f>SUM(G15*15%)</f>
        <v>8537.1</v>
      </c>
    </row>
    <row r="16" spans="1:8">
      <c r="A16" s="512" t="s">
        <v>532</v>
      </c>
      <c r="B16" s="513">
        <v>56913.5</v>
      </c>
      <c r="C16" s="531">
        <v>0.75</v>
      </c>
      <c r="D16" s="513"/>
      <c r="E16" s="513"/>
      <c r="F16" s="513">
        <f>ROUND(B16*C16,0)</f>
        <v>42685</v>
      </c>
      <c r="G16" s="513">
        <f>SUM(D16:F16)</f>
        <v>42685</v>
      </c>
      <c r="H16" s="514">
        <f>SUM(G16*15%)</f>
        <v>6402.75</v>
      </c>
    </row>
    <row r="17" spans="1:8">
      <c r="A17" s="515" t="s">
        <v>392</v>
      </c>
      <c r="B17" s="516"/>
      <c r="C17" s="517"/>
      <c r="D17" s="518">
        <f>SUM(D14:D16)</f>
        <v>14228</v>
      </c>
      <c r="E17" s="513">
        <f>SUM(E14:E16)</f>
        <v>56914</v>
      </c>
      <c r="F17" s="513">
        <f>SUM(F14:F16)</f>
        <v>42685</v>
      </c>
      <c r="G17" s="513">
        <f>SUM(G14:G16)</f>
        <v>113827</v>
      </c>
      <c r="H17" s="514"/>
    </row>
    <row r="18" spans="1:8">
      <c r="A18" s="510" t="s">
        <v>178</v>
      </c>
      <c r="B18" s="519"/>
      <c r="C18" s="520"/>
      <c r="D18" s="518">
        <f>SUM(D10:D16)</f>
        <v>84555</v>
      </c>
      <c r="E18" s="513">
        <f>SUM(E10:E16)</f>
        <v>338221</v>
      </c>
      <c r="F18" s="513">
        <f>SUM(F10:F16)</f>
        <v>253665</v>
      </c>
      <c r="G18" s="617">
        <f>SUM(G10:G16)</f>
        <v>676441</v>
      </c>
      <c r="H18" s="514">
        <f>SUM(H14:H16)</f>
        <v>17074.05</v>
      </c>
    </row>
    <row r="19" spans="1:8">
      <c r="B19" s="504"/>
      <c r="C19" s="504"/>
      <c r="D19" s="521"/>
      <c r="E19" s="521"/>
      <c r="F19" s="521"/>
      <c r="G19" s="521"/>
    </row>
    <row r="20" spans="1:8" ht="16.5" thickBot="1">
      <c r="A20" s="522" t="s">
        <v>393</v>
      </c>
      <c r="B20" s="523"/>
      <c r="C20" s="523"/>
      <c r="D20" s="524"/>
      <c r="E20" s="524"/>
      <c r="F20" s="524"/>
      <c r="G20" s="618">
        <f>SUM(G18:G19)</f>
        <v>676441</v>
      </c>
      <c r="H20" s="525"/>
    </row>
    <row r="21" spans="1:8" ht="16.5" thickTop="1">
      <c r="A21" s="528"/>
      <c r="B21" s="551"/>
      <c r="C21" s="551"/>
      <c r="D21" s="552"/>
      <c r="E21" s="552"/>
      <c r="F21" s="552"/>
      <c r="G21" s="552"/>
      <c r="H21" s="525"/>
    </row>
    <row r="22" spans="1:8">
      <c r="A22" s="553" t="s">
        <v>423</v>
      </c>
      <c r="B22" s="504"/>
      <c r="C22" s="504"/>
      <c r="D22" s="504"/>
      <c r="E22" s="504"/>
      <c r="F22" s="526" t="s">
        <v>435</v>
      </c>
      <c r="G22" s="619">
        <f>G20+G21</f>
        <v>676441</v>
      </c>
    </row>
    <row r="23" spans="1:8">
      <c r="A23" s="532" t="s">
        <v>457</v>
      </c>
      <c r="B23" s="534"/>
      <c r="G23" s="620">
        <v>-38396.75</v>
      </c>
      <c r="H23" s="584">
        <f>G22+G23</f>
        <v>638044.25</v>
      </c>
    </row>
    <row r="24" spans="1:8">
      <c r="A24" s="532" t="s">
        <v>424</v>
      </c>
      <c r="B24" s="534"/>
      <c r="G24" s="621">
        <f>SUM(G22:G23)</f>
        <v>638044.25</v>
      </c>
    </row>
  </sheetData>
  <mergeCells count="2">
    <mergeCell ref="H11:H13"/>
    <mergeCell ref="A12:A13"/>
  </mergeCell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H37"/>
  <sheetViews>
    <sheetView zoomScaleNormal="100" workbookViewId="0">
      <selection activeCell="E33" sqref="E33"/>
    </sheetView>
  </sheetViews>
  <sheetFormatPr defaultRowHeight="15"/>
  <cols>
    <col min="1" max="1" width="44.28515625" bestFit="1" customWidth="1" collapsed="1"/>
    <col min="2" max="6" width="13.28515625" style="9" customWidth="1" collapsed="1"/>
    <col min="7" max="7" width="14" customWidth="1" collapsed="1"/>
    <col min="8" max="8" width="10.5703125" bestFit="1" customWidth="1" collapsed="1"/>
  </cols>
  <sheetData>
    <row r="1" spans="1:8" s="112" customFormat="1" ht="36">
      <c r="A1" s="135" t="s">
        <v>222</v>
      </c>
      <c r="B1" s="135" t="s">
        <v>22</v>
      </c>
      <c r="C1" s="135" t="s">
        <v>26</v>
      </c>
      <c r="D1" s="135" t="s">
        <v>443</v>
      </c>
      <c r="E1" s="135" t="s">
        <v>520</v>
      </c>
      <c r="F1" s="135" t="s">
        <v>521</v>
      </c>
      <c r="G1" s="135" t="s">
        <v>522</v>
      </c>
    </row>
    <row r="2" spans="1:8">
      <c r="A2" s="235" t="s">
        <v>441</v>
      </c>
      <c r="B2" s="9">
        <f>'4. Award History&amp;Projections '!G18</f>
        <v>56669</v>
      </c>
      <c r="C2" s="6">
        <v>0.25</v>
      </c>
      <c r="D2" s="9">
        <f>ROUND(B2*C2,0)</f>
        <v>14167</v>
      </c>
      <c r="G2" s="9">
        <f>SUM(D2:F2)</f>
        <v>14167</v>
      </c>
    </row>
    <row r="3" spans="1:8">
      <c r="A3" s="235" t="s">
        <v>526</v>
      </c>
      <c r="B3" s="18">
        <f>'4. Award History&amp;Projections '!G19</f>
        <v>56669</v>
      </c>
      <c r="C3" s="6">
        <v>1</v>
      </c>
      <c r="E3" s="9">
        <f>ROUND(B3*C3,0)</f>
        <v>56669</v>
      </c>
      <c r="G3" s="9">
        <f>SUM(D3:F3)</f>
        <v>56669</v>
      </c>
    </row>
    <row r="4" spans="1:8">
      <c r="A4" s="235" t="s">
        <v>527</v>
      </c>
      <c r="B4" s="18">
        <f>'4. Award History&amp;Projections '!G20</f>
        <v>56669</v>
      </c>
      <c r="C4" s="6">
        <v>0.75</v>
      </c>
      <c r="D4" s="8"/>
      <c r="E4" s="8"/>
      <c r="F4" s="8">
        <f>ROUND(B4*C4,0)</f>
        <v>42502</v>
      </c>
      <c r="G4" s="8">
        <f>SUM(D4:F4)</f>
        <v>42502</v>
      </c>
    </row>
    <row r="5" spans="1:8">
      <c r="A5" s="96" t="s">
        <v>23</v>
      </c>
      <c r="D5" s="9">
        <f>SUM(D2:D4)</f>
        <v>14167</v>
      </c>
      <c r="E5" s="9">
        <f>SUM(E2:E4)</f>
        <v>56669</v>
      </c>
      <c r="F5" s="9">
        <f>SUM(F2:F4)</f>
        <v>42502</v>
      </c>
      <c r="G5" s="9">
        <f>SUM(G2:G4)</f>
        <v>113338</v>
      </c>
    </row>
    <row r="6" spans="1:8">
      <c r="A6" s="96" t="s">
        <v>24</v>
      </c>
      <c r="C6" s="5">
        <v>0</v>
      </c>
      <c r="D6" s="8">
        <f>ROUND($C$6*-D5,0)</f>
        <v>0</v>
      </c>
      <c r="E6" s="8">
        <f>ROUND($C$6*-E5,0)</f>
        <v>0</v>
      </c>
      <c r="F6" s="8">
        <f>ROUND($C$6*-F5,0)</f>
        <v>0</v>
      </c>
      <c r="G6" s="8">
        <f>SUM(D6:F6)</f>
        <v>0</v>
      </c>
    </row>
    <row r="7" spans="1:8">
      <c r="A7" s="96" t="s">
        <v>23</v>
      </c>
      <c r="D7" s="9">
        <f>SUM(D5:D6)</f>
        <v>14167</v>
      </c>
      <c r="E7" s="9">
        <f>SUM(E5:E6)</f>
        <v>56669</v>
      </c>
      <c r="F7" s="9">
        <f>SUM(F5:F6)</f>
        <v>42502</v>
      </c>
      <c r="G7" s="9">
        <f>SUM(G5:G6)</f>
        <v>113338</v>
      </c>
    </row>
    <row r="8" spans="1:8" s="15" customFormat="1">
      <c r="A8" s="52" t="s">
        <v>23</v>
      </c>
      <c r="B8" s="9"/>
      <c r="C8" s="9"/>
      <c r="D8" s="16">
        <f>SUM(D7:D7)</f>
        <v>14167</v>
      </c>
      <c r="E8" s="16">
        <f>SUM(E7:E7)</f>
        <v>56669</v>
      </c>
      <c r="F8" s="16">
        <f>SUM(F7:F7)</f>
        <v>42502</v>
      </c>
      <c r="G8" s="16">
        <f>SUM(G7:G7)</f>
        <v>113338</v>
      </c>
    </row>
    <row r="9" spans="1:8" s="15" customFormat="1">
      <c r="A9" s="97" t="s">
        <v>35</v>
      </c>
      <c r="B9" s="9"/>
      <c r="C9" s="9"/>
      <c r="D9" s="17"/>
      <c r="E9" s="17"/>
      <c r="F9" s="17"/>
      <c r="G9" s="17">
        <v>-11958</v>
      </c>
    </row>
    <row r="10" spans="1:8" s="1" customFormat="1" ht="15.75" thickBot="1">
      <c r="A10" s="65" t="s">
        <v>29</v>
      </c>
      <c r="B10" s="10"/>
      <c r="C10" s="10"/>
      <c r="D10" s="14"/>
      <c r="E10" s="14"/>
      <c r="F10" s="14"/>
      <c r="G10" s="11">
        <f>SUM(G8:G9)</f>
        <v>101380</v>
      </c>
    </row>
    <row r="11" spans="1:8" s="131" customFormat="1" ht="15.75" thickTop="1">
      <c r="A11" s="128"/>
      <c r="B11" s="129"/>
      <c r="C11" s="129"/>
      <c r="D11" s="130"/>
      <c r="E11" s="130"/>
      <c r="F11" s="130"/>
      <c r="G11" s="130"/>
    </row>
    <row r="12" spans="1:8">
      <c r="A12" s="111" t="s">
        <v>146</v>
      </c>
      <c r="G12" s="9"/>
    </row>
    <row r="13" spans="1:8">
      <c r="A13" s="96" t="s">
        <v>78</v>
      </c>
      <c r="B13" s="9">
        <f>'4. Award History&amp;Projections '!G21</f>
        <v>1000</v>
      </c>
      <c r="C13" s="9">
        <v>16</v>
      </c>
      <c r="G13" s="9">
        <f>B13*C13</f>
        <v>16000</v>
      </c>
      <c r="H13" s="12"/>
    </row>
    <row r="14" spans="1:8">
      <c r="A14" s="96" t="s">
        <v>28</v>
      </c>
      <c r="C14" s="5">
        <v>0.05</v>
      </c>
      <c r="G14" s="9">
        <f>ROUND((G10-G13)*C14,0)</f>
        <v>4269</v>
      </c>
    </row>
    <row r="15" spans="1:8">
      <c r="A15" s="96" t="s">
        <v>37</v>
      </c>
      <c r="C15" s="5">
        <v>0.95</v>
      </c>
      <c r="G15" s="9">
        <f>G10-G13-G14</f>
        <v>81111</v>
      </c>
    </row>
    <row r="16" spans="1:8" s="1" customFormat="1" ht="15.75" thickBot="1">
      <c r="A16" s="65" t="s">
        <v>29</v>
      </c>
      <c r="B16" s="10"/>
      <c r="C16" s="10"/>
      <c r="D16" s="10"/>
      <c r="E16" s="10"/>
      <c r="F16" s="10"/>
      <c r="G16" s="11">
        <f>SUM(G13:G15)</f>
        <v>101380</v>
      </c>
    </row>
    <row r="17" spans="1:7" s="125" customFormat="1" ht="6.75" customHeight="1" thickTop="1">
      <c r="B17" s="126"/>
      <c r="C17" s="126"/>
      <c r="D17" s="126"/>
      <c r="E17" s="126"/>
      <c r="F17" s="126"/>
    </row>
    <row r="18" spans="1:7" s="112" customFormat="1" ht="144">
      <c r="A18" s="201" t="s">
        <v>58</v>
      </c>
      <c r="B18" s="132" t="s">
        <v>196</v>
      </c>
      <c r="C18" s="132" t="s">
        <v>208</v>
      </c>
      <c r="D18" s="132" t="s">
        <v>209</v>
      </c>
      <c r="E18" s="132" t="s">
        <v>242</v>
      </c>
      <c r="F18" s="133" t="s">
        <v>217</v>
      </c>
      <c r="G18" s="134"/>
    </row>
    <row r="19" spans="1:7">
      <c r="A19" s="151" t="s">
        <v>72</v>
      </c>
      <c r="B19" s="116">
        <f>$B$13</f>
        <v>1000</v>
      </c>
      <c r="C19" s="116">
        <f>SUM(('3. Population-NSIP#'!C3*$G$14),0)</f>
        <v>528.97004325017542</v>
      </c>
      <c r="D19" s="116">
        <f>SUM(('3. Population-NSIP#'!E3*$G$15),0)</f>
        <v>3054.0578834663802</v>
      </c>
      <c r="E19" s="431">
        <f>ROUND(B19+C19+D19,0)</f>
        <v>4583</v>
      </c>
      <c r="F19" s="141">
        <f t="shared" ref="F19:F34" si="0">E19/$E$35</f>
        <v>4.5204817375694151E-2</v>
      </c>
      <c r="G19" s="9"/>
    </row>
    <row r="20" spans="1:7">
      <c r="A20" s="151" t="s">
        <v>61</v>
      </c>
      <c r="B20" s="116">
        <f t="shared" ref="B20:B34" si="1">$B$13</f>
        <v>1000</v>
      </c>
      <c r="C20" s="116">
        <f>SUM(('3. Population-NSIP#'!C4*$G$14),0)</f>
        <v>29.235616725206938</v>
      </c>
      <c r="D20" s="116">
        <f>SUM(('3. Population-NSIP#'!E4*$G$15),0)</f>
        <v>1142.5473145507465</v>
      </c>
      <c r="E20" s="431">
        <f t="shared" ref="E20:E34" si="2">ROUND(B20+C20+D20,0)</f>
        <v>2172</v>
      </c>
      <c r="F20" s="141">
        <f t="shared" si="0"/>
        <v>2.1423710089462731E-2</v>
      </c>
      <c r="G20" s="9"/>
    </row>
    <row r="21" spans="1:7">
      <c r="A21" s="151" t="s">
        <v>73</v>
      </c>
      <c r="B21" s="116">
        <f t="shared" si="1"/>
        <v>1000</v>
      </c>
      <c r="C21" s="116">
        <f>SUM(('3. Population-NSIP#'!C5*$G$14),0)</f>
        <v>568.36803435427646</v>
      </c>
      <c r="D21" s="116">
        <f>SUM(('3. Population-NSIP#'!E5*$G$15),0)</f>
        <v>1654.1372069628731</v>
      </c>
      <c r="E21" s="431">
        <f t="shared" si="2"/>
        <v>3223</v>
      </c>
      <c r="F21" s="141">
        <f t="shared" si="0"/>
        <v>3.1790339603286547E-2</v>
      </c>
      <c r="G21" s="9"/>
    </row>
    <row r="22" spans="1:7">
      <c r="A22" s="151" t="s">
        <v>60</v>
      </c>
      <c r="B22" s="116">
        <f t="shared" si="1"/>
        <v>1000</v>
      </c>
      <c r="C22" s="116">
        <f>SUM(('3. Population-NSIP#'!C6*$G$14),0)</f>
        <v>83.181146819838503</v>
      </c>
      <c r="D22" s="116">
        <f>SUM(('3. Population-NSIP#'!E6*$G$15),0)</f>
        <v>9140.224620616973</v>
      </c>
      <c r="E22" s="431">
        <f t="shared" si="2"/>
        <v>10223</v>
      </c>
      <c r="F22" s="141">
        <f t="shared" si="0"/>
        <v>0.10083544578479627</v>
      </c>
      <c r="G22" s="9"/>
    </row>
    <row r="23" spans="1:7">
      <c r="A23" s="151" t="s">
        <v>555</v>
      </c>
      <c r="B23" s="116">
        <f t="shared" si="1"/>
        <v>1000</v>
      </c>
      <c r="C23" s="116">
        <f>SUM(('3. Population-NSIP#'!C7*$G$14),0)</f>
        <v>345.92411065752458</v>
      </c>
      <c r="D23" s="116">
        <f>SUM(('3. Population-NSIP#'!E7*$G$15),0)</f>
        <v>5323.0194573172812</v>
      </c>
      <c r="E23" s="431">
        <f t="shared" si="2"/>
        <v>6669</v>
      </c>
      <c r="F23" s="141">
        <f t="shared" si="0"/>
        <v>6.5780259017784046E-2</v>
      </c>
      <c r="G23" s="9"/>
    </row>
    <row r="24" spans="1:7">
      <c r="A24" s="151" t="s">
        <v>173</v>
      </c>
      <c r="B24" s="116">
        <f t="shared" si="1"/>
        <v>1000</v>
      </c>
      <c r="C24" s="116">
        <f>SUM(('3. Population-NSIP#'!C8*$G$14),0)</f>
        <v>223.97606285365728</v>
      </c>
      <c r="D24" s="116">
        <f>SUM(('3. Population-NSIP#'!E8*$G$15),0)</f>
        <v>3335.6367300104116</v>
      </c>
      <c r="E24" s="431">
        <f t="shared" si="2"/>
        <v>4560</v>
      </c>
      <c r="F24" s="141">
        <f t="shared" si="0"/>
        <v>4.4977954883954903E-2</v>
      </c>
      <c r="G24" s="9"/>
    </row>
    <row r="25" spans="1:7">
      <c r="A25" s="151" t="s">
        <v>74</v>
      </c>
      <c r="B25" s="116">
        <f t="shared" si="1"/>
        <v>1000</v>
      </c>
      <c r="C25" s="116">
        <f>SUM(('3. Population-NSIP#'!C9*$G$14),0)</f>
        <v>450.66550190362238</v>
      </c>
      <c r="D25" s="116">
        <f>SUM(('3. Population-NSIP#'!E9*$G$15),0)</f>
        <v>204.85003421058136</v>
      </c>
      <c r="E25" s="431">
        <f t="shared" si="2"/>
        <v>1656</v>
      </c>
      <c r="F25" s="141">
        <f t="shared" si="0"/>
        <v>1.6334099405225729E-2</v>
      </c>
      <c r="G25" s="9"/>
    </row>
    <row r="26" spans="1:7">
      <c r="A26" s="151" t="s">
        <v>71</v>
      </c>
      <c r="B26" s="116">
        <f t="shared" si="1"/>
        <v>1000</v>
      </c>
      <c r="C26" s="116">
        <f>SUM(('3. Population-NSIP#'!C10*$G$14),0)</f>
        <v>626.19928282739363</v>
      </c>
      <c r="D26" s="116">
        <f>SUM(('3. Population-NSIP#'!E10*$G$15),0)</f>
        <v>1973.8935606301384</v>
      </c>
      <c r="E26" s="431">
        <f t="shared" si="2"/>
        <v>3600</v>
      </c>
      <c r="F26" s="141">
        <f t="shared" si="0"/>
        <v>3.5508911750490715E-2</v>
      </c>
      <c r="G26" s="9"/>
    </row>
    <row r="27" spans="1:7">
      <c r="A27" s="151" t="s">
        <v>65</v>
      </c>
      <c r="B27" s="116">
        <f t="shared" si="1"/>
        <v>1000</v>
      </c>
      <c r="C27" s="116">
        <f>SUM(('3. Population-NSIP#'!C11*$G$14),0)</f>
        <v>202.49676162814015</v>
      </c>
      <c r="D27" s="116">
        <f>SUM(('3. Population-NSIP#'!E11*$G$15),0)</f>
        <v>2368.4098220342335</v>
      </c>
      <c r="E27" s="431">
        <f t="shared" si="2"/>
        <v>3571</v>
      </c>
      <c r="F27" s="141">
        <f t="shared" si="0"/>
        <v>3.5222867739167316E-2</v>
      </c>
      <c r="G27" s="9"/>
    </row>
    <row r="28" spans="1:7">
      <c r="A28" s="151" t="s">
        <v>229</v>
      </c>
      <c r="B28" s="116">
        <f t="shared" si="1"/>
        <v>1000</v>
      </c>
      <c r="C28" s="116">
        <f>SUM(('3. Population-NSIP#'!C12*$G$14),0)</f>
        <v>19.181759604450761</v>
      </c>
      <c r="D28" s="116">
        <f>SUM(('3. Population-NSIP#'!E12*$G$15),0)+2</f>
        <v>13098.515879668361</v>
      </c>
      <c r="E28" s="431">
        <f t="shared" si="2"/>
        <v>14118</v>
      </c>
      <c r="F28" s="141">
        <f t="shared" si="0"/>
        <v>0.13925411558150774</v>
      </c>
      <c r="G28" s="9"/>
    </row>
    <row r="29" spans="1:7">
      <c r="A29" s="151" t="s">
        <v>75</v>
      </c>
      <c r="B29" s="116">
        <f t="shared" si="1"/>
        <v>1000</v>
      </c>
      <c r="C29" s="116">
        <f>SUM(('3. Population-NSIP#'!C13*$G$14),0)</f>
        <v>439.74083826059598</v>
      </c>
      <c r="D29" s="116">
        <f>SUM(('3. Population-NSIP#'!E13*$G$15),0)</f>
        <v>689.41043119626534</v>
      </c>
      <c r="E29" s="431">
        <f t="shared" si="2"/>
        <v>2129</v>
      </c>
      <c r="F29" s="141">
        <f t="shared" si="0"/>
        <v>2.0999575865776315E-2</v>
      </c>
      <c r="G29" s="9"/>
    </row>
    <row r="30" spans="1:7">
      <c r="A30" s="151" t="s">
        <v>59</v>
      </c>
      <c r="B30" s="116">
        <f t="shared" si="1"/>
        <v>1000</v>
      </c>
      <c r="C30" s="116">
        <f>SUM(('3. Population-NSIP#'!C14*$G$14),0)</f>
        <v>203.27461689241522</v>
      </c>
      <c r="D30" s="116">
        <f>SUM(('3. Population-NSIP#'!E14*$G$15),0)</f>
        <v>12049.691605631617</v>
      </c>
      <c r="E30" s="431">
        <f t="shared" si="2"/>
        <v>13253</v>
      </c>
      <c r="F30" s="141">
        <f t="shared" si="0"/>
        <v>0.13072211317479263</v>
      </c>
      <c r="G30" s="9"/>
    </row>
    <row r="31" spans="1:7">
      <c r="A31" s="151" t="s">
        <v>64</v>
      </c>
      <c r="B31" s="116">
        <f t="shared" si="1"/>
        <v>1000</v>
      </c>
      <c r="C31" s="116">
        <f>SUM(('3. Population-NSIP#'!C15*$G$14),0)</f>
        <v>175.48841715192671</v>
      </c>
      <c r="D31" s="116">
        <f>SUM(('3. Population-NSIP#'!E15*$G$15),0)</f>
        <v>6056.0320192635791</v>
      </c>
      <c r="E31" s="431">
        <f t="shared" si="2"/>
        <v>7232</v>
      </c>
      <c r="F31" s="141">
        <f t="shared" si="0"/>
        <v>7.1333458272096903E-2</v>
      </c>
      <c r="G31" s="9"/>
    </row>
    <row r="32" spans="1:7">
      <c r="A32" s="151" t="s">
        <v>68</v>
      </c>
      <c r="B32" s="116">
        <f t="shared" si="1"/>
        <v>1000</v>
      </c>
      <c r="C32" s="116">
        <f>SUM(('3. Population-NSIP#'!C16*$G$14),0)</f>
        <v>196.71955186088269</v>
      </c>
      <c r="D32" s="116">
        <f>SUM(('3. Population-NSIP#'!E16*$G$15),0)</f>
        <v>8325.6249610053401</v>
      </c>
      <c r="E32" s="431">
        <f t="shared" si="2"/>
        <v>9522</v>
      </c>
      <c r="F32" s="141">
        <f t="shared" si="0"/>
        <v>9.3921071580047935E-2</v>
      </c>
      <c r="G32" s="9"/>
    </row>
    <row r="33" spans="1:7">
      <c r="A33" s="151" t="s">
        <v>67</v>
      </c>
      <c r="B33" s="116">
        <f t="shared" si="1"/>
        <v>1000</v>
      </c>
      <c r="C33" s="116">
        <f>SUM(('3. Population-NSIP#'!C17*$G$14),0)</f>
        <v>143.36864297170325</v>
      </c>
      <c r="D33" s="116">
        <f>SUM(('3. Population-NSIP#'!E17*$G$15),0)</f>
        <v>2724.8204916030031</v>
      </c>
      <c r="E33" s="431">
        <f t="shared" si="2"/>
        <v>3868</v>
      </c>
      <c r="F33" s="141">
        <f t="shared" si="0"/>
        <v>3.8152352958582797E-2</v>
      </c>
      <c r="G33" s="9"/>
    </row>
    <row r="34" spans="1:7">
      <c r="A34" s="151" t="s">
        <v>63</v>
      </c>
      <c r="B34" s="116">
        <f t="shared" si="1"/>
        <v>1000</v>
      </c>
      <c r="C34" s="116">
        <f>SUM(('3. Population-NSIP#'!C18*$G$14),0)</f>
        <v>32.209612238190068</v>
      </c>
      <c r="D34" s="116">
        <f>SUM(('3. Population-NSIP#'!E18*$G$15),0)</f>
        <v>9972.1279818322146</v>
      </c>
      <c r="E34" s="431">
        <f t="shared" si="2"/>
        <v>11004</v>
      </c>
      <c r="F34" s="141">
        <f t="shared" si="0"/>
        <v>0.10853890691733328</v>
      </c>
      <c r="G34" s="9"/>
    </row>
    <row r="35" spans="1:7" s="1" customFormat="1">
      <c r="A35" s="119" t="s">
        <v>29</v>
      </c>
      <c r="B35" s="117">
        <f>SUM(B19:B34)</f>
        <v>16000</v>
      </c>
      <c r="C35" s="117">
        <f>SUM(C19:C34)</f>
        <v>4269</v>
      </c>
      <c r="D35" s="117">
        <f>SUM(D19:D34)</f>
        <v>81113</v>
      </c>
      <c r="E35" s="117">
        <f>SUM(E19:E34)</f>
        <v>101383</v>
      </c>
      <c r="F35" s="120">
        <f>SUM(F19:F34)</f>
        <v>0.99999999999999989</v>
      </c>
      <c r="G35" s="10"/>
    </row>
    <row r="36" spans="1:7" ht="48.75" customHeight="1">
      <c r="A36" s="808"/>
      <c r="B36" s="808"/>
      <c r="C36" s="808"/>
      <c r="D36" s="808"/>
      <c r="E36" s="808"/>
      <c r="F36" s="808"/>
      <c r="G36" s="808"/>
    </row>
    <row r="37" spans="1:7">
      <c r="A37" s="404"/>
    </row>
  </sheetData>
  <sortState xmlns:xlrd2="http://schemas.microsoft.com/office/spreadsheetml/2017/richdata2" ref="A19:F34">
    <sortCondition ref="A19"/>
  </sortState>
  <mergeCells count="1">
    <mergeCell ref="A36:G36"/>
  </mergeCells>
  <pageMargins left="0.75" right="0.75" top="1.5" bottom="0.5" header="0.25" footer="0.5"/>
  <pageSetup scale="70"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K30"/>
  <sheetViews>
    <sheetView showGridLines="0" topLeftCell="B1" zoomScale="75" zoomScaleNormal="75" zoomScaleSheetLayoutView="75" workbookViewId="0">
      <selection activeCell="E33" sqref="E33"/>
    </sheetView>
  </sheetViews>
  <sheetFormatPr defaultColWidth="32.7109375" defaultRowHeight="15.75"/>
  <cols>
    <col min="1" max="1" width="7.5703125" style="251" hidden="1" customWidth="1"/>
    <col min="2" max="2" width="16.140625" style="251" customWidth="1"/>
    <col min="3" max="3" width="15.42578125" style="251" bestFit="1" customWidth="1"/>
    <col min="4" max="4" width="15.42578125" style="251" customWidth="1"/>
    <col min="5" max="5" width="17.140625" style="251" customWidth="1"/>
    <col min="6" max="6" width="13" style="251" bestFit="1" customWidth="1"/>
    <col min="7" max="7" width="14.7109375" style="251" customWidth="1"/>
    <col min="8" max="8" width="13.140625" style="251" customWidth="1"/>
    <col min="9" max="9" width="18.28515625" style="286" customWidth="1"/>
    <col min="10" max="10" width="17.7109375" style="250" customWidth="1"/>
    <col min="11" max="251" width="32.7109375" style="251"/>
    <col min="252" max="252" width="0" style="251" hidden="1" customWidth="1"/>
    <col min="253" max="253" width="16.140625" style="251" customWidth="1"/>
    <col min="254" max="254" width="15.42578125" style="251" bestFit="1" customWidth="1"/>
    <col min="255" max="258" width="13" style="251" bestFit="1" customWidth="1"/>
    <col min="259" max="259" width="13.140625" style="251" customWidth="1"/>
    <col min="260" max="260" width="15.42578125" style="251" bestFit="1" customWidth="1"/>
    <col min="261" max="261" width="2.5703125" style="251" customWidth="1"/>
    <col min="262" max="262" width="16" style="251" customWidth="1"/>
    <col min="263" max="263" width="11" style="251" customWidth="1"/>
    <col min="264" max="264" width="16.140625" style="251" customWidth="1"/>
    <col min="265" max="507" width="32.7109375" style="251"/>
    <col min="508" max="508" width="0" style="251" hidden="1" customWidth="1"/>
    <col min="509" max="509" width="16.140625" style="251" customWidth="1"/>
    <col min="510" max="510" width="15.42578125" style="251" bestFit="1" customWidth="1"/>
    <col min="511" max="514" width="13" style="251" bestFit="1" customWidth="1"/>
    <col min="515" max="515" width="13.140625" style="251" customWidth="1"/>
    <col min="516" max="516" width="15.42578125" style="251" bestFit="1" customWidth="1"/>
    <col min="517" max="517" width="2.5703125" style="251" customWidth="1"/>
    <col min="518" max="518" width="16" style="251" customWidth="1"/>
    <col min="519" max="519" width="11" style="251" customWidth="1"/>
    <col min="520" max="520" width="16.140625" style="251" customWidth="1"/>
    <col min="521" max="763" width="32.7109375" style="251"/>
    <col min="764" max="764" width="0" style="251" hidden="1" customWidth="1"/>
    <col min="765" max="765" width="16.140625" style="251" customWidth="1"/>
    <col min="766" max="766" width="15.42578125" style="251" bestFit="1" customWidth="1"/>
    <col min="767" max="770" width="13" style="251" bestFit="1" customWidth="1"/>
    <col min="771" max="771" width="13.140625" style="251" customWidth="1"/>
    <col min="772" max="772" width="15.42578125" style="251" bestFit="1" customWidth="1"/>
    <col min="773" max="773" width="2.5703125" style="251" customWidth="1"/>
    <col min="774" max="774" width="16" style="251" customWidth="1"/>
    <col min="775" max="775" width="11" style="251" customWidth="1"/>
    <col min="776" max="776" width="16.140625" style="251" customWidth="1"/>
    <col min="777" max="1019" width="32.7109375" style="251"/>
    <col min="1020" max="1020" width="0" style="251" hidden="1" customWidth="1"/>
    <col min="1021" max="1021" width="16.140625" style="251" customWidth="1"/>
    <col min="1022" max="1022" width="15.42578125" style="251" bestFit="1" customWidth="1"/>
    <col min="1023" max="1026" width="13" style="251" bestFit="1" customWidth="1"/>
    <col min="1027" max="1027" width="13.140625" style="251" customWidth="1"/>
    <col min="1028" max="1028" width="15.42578125" style="251" bestFit="1" customWidth="1"/>
    <col min="1029" max="1029" width="2.5703125" style="251" customWidth="1"/>
    <col min="1030" max="1030" width="16" style="251" customWidth="1"/>
    <col min="1031" max="1031" width="11" style="251" customWidth="1"/>
    <col min="1032" max="1032" width="16.140625" style="251" customWidth="1"/>
    <col min="1033" max="1275" width="32.7109375" style="251"/>
    <col min="1276" max="1276" width="0" style="251" hidden="1" customWidth="1"/>
    <col min="1277" max="1277" width="16.140625" style="251" customWidth="1"/>
    <col min="1278" max="1278" width="15.42578125" style="251" bestFit="1" customWidth="1"/>
    <col min="1279" max="1282" width="13" style="251" bestFit="1" customWidth="1"/>
    <col min="1283" max="1283" width="13.140625" style="251" customWidth="1"/>
    <col min="1284" max="1284" width="15.42578125" style="251" bestFit="1" customWidth="1"/>
    <col min="1285" max="1285" width="2.5703125" style="251" customWidth="1"/>
    <col min="1286" max="1286" width="16" style="251" customWidth="1"/>
    <col min="1287" max="1287" width="11" style="251" customWidth="1"/>
    <col min="1288" max="1288" width="16.140625" style="251" customWidth="1"/>
    <col min="1289" max="1531" width="32.7109375" style="251"/>
    <col min="1532" max="1532" width="0" style="251" hidden="1" customWidth="1"/>
    <col min="1533" max="1533" width="16.140625" style="251" customWidth="1"/>
    <col min="1534" max="1534" width="15.42578125" style="251" bestFit="1" customWidth="1"/>
    <col min="1535" max="1538" width="13" style="251" bestFit="1" customWidth="1"/>
    <col min="1539" max="1539" width="13.140625" style="251" customWidth="1"/>
    <col min="1540" max="1540" width="15.42578125" style="251" bestFit="1" customWidth="1"/>
    <col min="1541" max="1541" width="2.5703125" style="251" customWidth="1"/>
    <col min="1542" max="1542" width="16" style="251" customWidth="1"/>
    <col min="1543" max="1543" width="11" style="251" customWidth="1"/>
    <col min="1544" max="1544" width="16.140625" style="251" customWidth="1"/>
    <col min="1545" max="1787" width="32.7109375" style="251"/>
    <col min="1788" max="1788" width="0" style="251" hidden="1" customWidth="1"/>
    <col min="1789" max="1789" width="16.140625" style="251" customWidth="1"/>
    <col min="1790" max="1790" width="15.42578125" style="251" bestFit="1" customWidth="1"/>
    <col min="1791" max="1794" width="13" style="251" bestFit="1" customWidth="1"/>
    <col min="1795" max="1795" width="13.140625" style="251" customWidth="1"/>
    <col min="1796" max="1796" width="15.42578125" style="251" bestFit="1" customWidth="1"/>
    <col min="1797" max="1797" width="2.5703125" style="251" customWidth="1"/>
    <col min="1798" max="1798" width="16" style="251" customWidth="1"/>
    <col min="1799" max="1799" width="11" style="251" customWidth="1"/>
    <col min="1800" max="1800" width="16.140625" style="251" customWidth="1"/>
    <col min="1801" max="2043" width="32.7109375" style="251"/>
    <col min="2044" max="2044" width="0" style="251" hidden="1" customWidth="1"/>
    <col min="2045" max="2045" width="16.140625" style="251" customWidth="1"/>
    <col min="2046" max="2046" width="15.42578125" style="251" bestFit="1" customWidth="1"/>
    <col min="2047" max="2050" width="13" style="251" bestFit="1" customWidth="1"/>
    <col min="2051" max="2051" width="13.140625" style="251" customWidth="1"/>
    <col min="2052" max="2052" width="15.42578125" style="251" bestFit="1" customWidth="1"/>
    <col min="2053" max="2053" width="2.5703125" style="251" customWidth="1"/>
    <col min="2054" max="2054" width="16" style="251" customWidth="1"/>
    <col min="2055" max="2055" width="11" style="251" customWidth="1"/>
    <col min="2056" max="2056" width="16.140625" style="251" customWidth="1"/>
    <col min="2057" max="2299" width="32.7109375" style="251"/>
    <col min="2300" max="2300" width="0" style="251" hidden="1" customWidth="1"/>
    <col min="2301" max="2301" width="16.140625" style="251" customWidth="1"/>
    <col min="2302" max="2302" width="15.42578125" style="251" bestFit="1" customWidth="1"/>
    <col min="2303" max="2306" width="13" style="251" bestFit="1" customWidth="1"/>
    <col min="2307" max="2307" width="13.140625" style="251" customWidth="1"/>
    <col min="2308" max="2308" width="15.42578125" style="251" bestFit="1" customWidth="1"/>
    <col min="2309" max="2309" width="2.5703125" style="251" customWidth="1"/>
    <col min="2310" max="2310" width="16" style="251" customWidth="1"/>
    <col min="2311" max="2311" width="11" style="251" customWidth="1"/>
    <col min="2312" max="2312" width="16.140625" style="251" customWidth="1"/>
    <col min="2313" max="2555" width="32.7109375" style="251"/>
    <col min="2556" max="2556" width="0" style="251" hidden="1" customWidth="1"/>
    <col min="2557" max="2557" width="16.140625" style="251" customWidth="1"/>
    <col min="2558" max="2558" width="15.42578125" style="251" bestFit="1" customWidth="1"/>
    <col min="2559" max="2562" width="13" style="251" bestFit="1" customWidth="1"/>
    <col min="2563" max="2563" width="13.140625" style="251" customWidth="1"/>
    <col min="2564" max="2564" width="15.42578125" style="251" bestFit="1" customWidth="1"/>
    <col min="2565" max="2565" width="2.5703125" style="251" customWidth="1"/>
    <col min="2566" max="2566" width="16" style="251" customWidth="1"/>
    <col min="2567" max="2567" width="11" style="251" customWidth="1"/>
    <col min="2568" max="2568" width="16.140625" style="251" customWidth="1"/>
    <col min="2569" max="2811" width="32.7109375" style="251"/>
    <col min="2812" max="2812" width="0" style="251" hidden="1" customWidth="1"/>
    <col min="2813" max="2813" width="16.140625" style="251" customWidth="1"/>
    <col min="2814" max="2814" width="15.42578125" style="251" bestFit="1" customWidth="1"/>
    <col min="2815" max="2818" width="13" style="251" bestFit="1" customWidth="1"/>
    <col min="2819" max="2819" width="13.140625" style="251" customWidth="1"/>
    <col min="2820" max="2820" width="15.42578125" style="251" bestFit="1" customWidth="1"/>
    <col min="2821" max="2821" width="2.5703125" style="251" customWidth="1"/>
    <col min="2822" max="2822" width="16" style="251" customWidth="1"/>
    <col min="2823" max="2823" width="11" style="251" customWidth="1"/>
    <col min="2824" max="2824" width="16.140625" style="251" customWidth="1"/>
    <col min="2825" max="3067" width="32.7109375" style="251"/>
    <col min="3068" max="3068" width="0" style="251" hidden="1" customWidth="1"/>
    <col min="3069" max="3069" width="16.140625" style="251" customWidth="1"/>
    <col min="3070" max="3070" width="15.42578125" style="251" bestFit="1" customWidth="1"/>
    <col min="3071" max="3074" width="13" style="251" bestFit="1" customWidth="1"/>
    <col min="3075" max="3075" width="13.140625" style="251" customWidth="1"/>
    <col min="3076" max="3076" width="15.42578125" style="251" bestFit="1" customWidth="1"/>
    <col min="3077" max="3077" width="2.5703125" style="251" customWidth="1"/>
    <col min="3078" max="3078" width="16" style="251" customWidth="1"/>
    <col min="3079" max="3079" width="11" style="251" customWidth="1"/>
    <col min="3080" max="3080" width="16.140625" style="251" customWidth="1"/>
    <col min="3081" max="3323" width="32.7109375" style="251"/>
    <col min="3324" max="3324" width="0" style="251" hidden="1" customWidth="1"/>
    <col min="3325" max="3325" width="16.140625" style="251" customWidth="1"/>
    <col min="3326" max="3326" width="15.42578125" style="251" bestFit="1" customWidth="1"/>
    <col min="3327" max="3330" width="13" style="251" bestFit="1" customWidth="1"/>
    <col min="3331" max="3331" width="13.140625" style="251" customWidth="1"/>
    <col min="3332" max="3332" width="15.42578125" style="251" bestFit="1" customWidth="1"/>
    <col min="3333" max="3333" width="2.5703125" style="251" customWidth="1"/>
    <col min="3334" max="3334" width="16" style="251" customWidth="1"/>
    <col min="3335" max="3335" width="11" style="251" customWidth="1"/>
    <col min="3336" max="3336" width="16.140625" style="251" customWidth="1"/>
    <col min="3337" max="3579" width="32.7109375" style="251"/>
    <col min="3580" max="3580" width="0" style="251" hidden="1" customWidth="1"/>
    <col min="3581" max="3581" width="16.140625" style="251" customWidth="1"/>
    <col min="3582" max="3582" width="15.42578125" style="251" bestFit="1" customWidth="1"/>
    <col min="3583" max="3586" width="13" style="251" bestFit="1" customWidth="1"/>
    <col min="3587" max="3587" width="13.140625" style="251" customWidth="1"/>
    <col min="3588" max="3588" width="15.42578125" style="251" bestFit="1" customWidth="1"/>
    <col min="3589" max="3589" width="2.5703125" style="251" customWidth="1"/>
    <col min="3590" max="3590" width="16" style="251" customWidth="1"/>
    <col min="3591" max="3591" width="11" style="251" customWidth="1"/>
    <col min="3592" max="3592" width="16.140625" style="251" customWidth="1"/>
    <col min="3593" max="3835" width="32.7109375" style="251"/>
    <col min="3836" max="3836" width="0" style="251" hidden="1" customWidth="1"/>
    <col min="3837" max="3837" width="16.140625" style="251" customWidth="1"/>
    <col min="3838" max="3838" width="15.42578125" style="251" bestFit="1" customWidth="1"/>
    <col min="3839" max="3842" width="13" style="251" bestFit="1" customWidth="1"/>
    <col min="3843" max="3843" width="13.140625" style="251" customWidth="1"/>
    <col min="3844" max="3844" width="15.42578125" style="251" bestFit="1" customWidth="1"/>
    <col min="3845" max="3845" width="2.5703125" style="251" customWidth="1"/>
    <col min="3846" max="3846" width="16" style="251" customWidth="1"/>
    <col min="3847" max="3847" width="11" style="251" customWidth="1"/>
    <col min="3848" max="3848" width="16.140625" style="251" customWidth="1"/>
    <col min="3849" max="4091" width="32.7109375" style="251"/>
    <col min="4092" max="4092" width="0" style="251" hidden="1" customWidth="1"/>
    <col min="4093" max="4093" width="16.140625" style="251" customWidth="1"/>
    <col min="4094" max="4094" width="15.42578125" style="251" bestFit="1" customWidth="1"/>
    <col min="4095" max="4098" width="13" style="251" bestFit="1" customWidth="1"/>
    <col min="4099" max="4099" width="13.140625" style="251" customWidth="1"/>
    <col min="4100" max="4100" width="15.42578125" style="251" bestFit="1" customWidth="1"/>
    <col min="4101" max="4101" width="2.5703125" style="251" customWidth="1"/>
    <col min="4102" max="4102" width="16" style="251" customWidth="1"/>
    <col min="4103" max="4103" width="11" style="251" customWidth="1"/>
    <col min="4104" max="4104" width="16.140625" style="251" customWidth="1"/>
    <col min="4105" max="4347" width="32.7109375" style="251"/>
    <col min="4348" max="4348" width="0" style="251" hidden="1" customWidth="1"/>
    <col min="4349" max="4349" width="16.140625" style="251" customWidth="1"/>
    <col min="4350" max="4350" width="15.42578125" style="251" bestFit="1" customWidth="1"/>
    <col min="4351" max="4354" width="13" style="251" bestFit="1" customWidth="1"/>
    <col min="4355" max="4355" width="13.140625" style="251" customWidth="1"/>
    <col min="4356" max="4356" width="15.42578125" style="251" bestFit="1" customWidth="1"/>
    <col min="4357" max="4357" width="2.5703125" style="251" customWidth="1"/>
    <col min="4358" max="4358" width="16" style="251" customWidth="1"/>
    <col min="4359" max="4359" width="11" style="251" customWidth="1"/>
    <col min="4360" max="4360" width="16.140625" style="251" customWidth="1"/>
    <col min="4361" max="4603" width="32.7109375" style="251"/>
    <col min="4604" max="4604" width="0" style="251" hidden="1" customWidth="1"/>
    <col min="4605" max="4605" width="16.140625" style="251" customWidth="1"/>
    <col min="4606" max="4606" width="15.42578125" style="251" bestFit="1" customWidth="1"/>
    <col min="4607" max="4610" width="13" style="251" bestFit="1" customWidth="1"/>
    <col min="4611" max="4611" width="13.140625" style="251" customWidth="1"/>
    <col min="4612" max="4612" width="15.42578125" style="251" bestFit="1" customWidth="1"/>
    <col min="4613" max="4613" width="2.5703125" style="251" customWidth="1"/>
    <col min="4614" max="4614" width="16" style="251" customWidth="1"/>
    <col min="4615" max="4615" width="11" style="251" customWidth="1"/>
    <col min="4616" max="4616" width="16.140625" style="251" customWidth="1"/>
    <col min="4617" max="4859" width="32.7109375" style="251"/>
    <col min="4860" max="4860" width="0" style="251" hidden="1" customWidth="1"/>
    <col min="4861" max="4861" width="16.140625" style="251" customWidth="1"/>
    <col min="4862" max="4862" width="15.42578125" style="251" bestFit="1" customWidth="1"/>
    <col min="4863" max="4866" width="13" style="251" bestFit="1" customWidth="1"/>
    <col min="4867" max="4867" width="13.140625" style="251" customWidth="1"/>
    <col min="4868" max="4868" width="15.42578125" style="251" bestFit="1" customWidth="1"/>
    <col min="4869" max="4869" width="2.5703125" style="251" customWidth="1"/>
    <col min="4870" max="4870" width="16" style="251" customWidth="1"/>
    <col min="4871" max="4871" width="11" style="251" customWidth="1"/>
    <col min="4872" max="4872" width="16.140625" style="251" customWidth="1"/>
    <col min="4873" max="5115" width="32.7109375" style="251"/>
    <col min="5116" max="5116" width="0" style="251" hidden="1" customWidth="1"/>
    <col min="5117" max="5117" width="16.140625" style="251" customWidth="1"/>
    <col min="5118" max="5118" width="15.42578125" style="251" bestFit="1" customWidth="1"/>
    <col min="5119" max="5122" width="13" style="251" bestFit="1" customWidth="1"/>
    <col min="5123" max="5123" width="13.140625" style="251" customWidth="1"/>
    <col min="5124" max="5124" width="15.42578125" style="251" bestFit="1" customWidth="1"/>
    <col min="5125" max="5125" width="2.5703125" style="251" customWidth="1"/>
    <col min="5126" max="5126" width="16" style="251" customWidth="1"/>
    <col min="5127" max="5127" width="11" style="251" customWidth="1"/>
    <col min="5128" max="5128" width="16.140625" style="251" customWidth="1"/>
    <col min="5129" max="5371" width="32.7109375" style="251"/>
    <col min="5372" max="5372" width="0" style="251" hidden="1" customWidth="1"/>
    <col min="5373" max="5373" width="16.140625" style="251" customWidth="1"/>
    <col min="5374" max="5374" width="15.42578125" style="251" bestFit="1" customWidth="1"/>
    <col min="5375" max="5378" width="13" style="251" bestFit="1" customWidth="1"/>
    <col min="5379" max="5379" width="13.140625" style="251" customWidth="1"/>
    <col min="5380" max="5380" width="15.42578125" style="251" bestFit="1" customWidth="1"/>
    <col min="5381" max="5381" width="2.5703125" style="251" customWidth="1"/>
    <col min="5382" max="5382" width="16" style="251" customWidth="1"/>
    <col min="5383" max="5383" width="11" style="251" customWidth="1"/>
    <col min="5384" max="5384" width="16.140625" style="251" customWidth="1"/>
    <col min="5385" max="5627" width="32.7109375" style="251"/>
    <col min="5628" max="5628" width="0" style="251" hidden="1" customWidth="1"/>
    <col min="5629" max="5629" width="16.140625" style="251" customWidth="1"/>
    <col min="5630" max="5630" width="15.42578125" style="251" bestFit="1" customWidth="1"/>
    <col min="5631" max="5634" width="13" style="251" bestFit="1" customWidth="1"/>
    <col min="5635" max="5635" width="13.140625" style="251" customWidth="1"/>
    <col min="5636" max="5636" width="15.42578125" style="251" bestFit="1" customWidth="1"/>
    <col min="5637" max="5637" width="2.5703125" style="251" customWidth="1"/>
    <col min="5638" max="5638" width="16" style="251" customWidth="1"/>
    <col min="5639" max="5639" width="11" style="251" customWidth="1"/>
    <col min="5640" max="5640" width="16.140625" style="251" customWidth="1"/>
    <col min="5641" max="5883" width="32.7109375" style="251"/>
    <col min="5884" max="5884" width="0" style="251" hidden="1" customWidth="1"/>
    <col min="5885" max="5885" width="16.140625" style="251" customWidth="1"/>
    <col min="5886" max="5886" width="15.42578125" style="251" bestFit="1" customWidth="1"/>
    <col min="5887" max="5890" width="13" style="251" bestFit="1" customWidth="1"/>
    <col min="5891" max="5891" width="13.140625" style="251" customWidth="1"/>
    <col min="5892" max="5892" width="15.42578125" style="251" bestFit="1" customWidth="1"/>
    <col min="5893" max="5893" width="2.5703125" style="251" customWidth="1"/>
    <col min="5894" max="5894" width="16" style="251" customWidth="1"/>
    <col min="5895" max="5895" width="11" style="251" customWidth="1"/>
    <col min="5896" max="5896" width="16.140625" style="251" customWidth="1"/>
    <col min="5897" max="6139" width="32.7109375" style="251"/>
    <col min="6140" max="6140" width="0" style="251" hidden="1" customWidth="1"/>
    <col min="6141" max="6141" width="16.140625" style="251" customWidth="1"/>
    <col min="6142" max="6142" width="15.42578125" style="251" bestFit="1" customWidth="1"/>
    <col min="6143" max="6146" width="13" style="251" bestFit="1" customWidth="1"/>
    <col min="6147" max="6147" width="13.140625" style="251" customWidth="1"/>
    <col min="6148" max="6148" width="15.42578125" style="251" bestFit="1" customWidth="1"/>
    <col min="6149" max="6149" width="2.5703125" style="251" customWidth="1"/>
    <col min="6150" max="6150" width="16" style="251" customWidth="1"/>
    <col min="6151" max="6151" width="11" style="251" customWidth="1"/>
    <col min="6152" max="6152" width="16.140625" style="251" customWidth="1"/>
    <col min="6153" max="6395" width="32.7109375" style="251"/>
    <col min="6396" max="6396" width="0" style="251" hidden="1" customWidth="1"/>
    <col min="6397" max="6397" width="16.140625" style="251" customWidth="1"/>
    <col min="6398" max="6398" width="15.42578125" style="251" bestFit="1" customWidth="1"/>
    <col min="6399" max="6402" width="13" style="251" bestFit="1" customWidth="1"/>
    <col min="6403" max="6403" width="13.140625" style="251" customWidth="1"/>
    <col min="6404" max="6404" width="15.42578125" style="251" bestFit="1" customWidth="1"/>
    <col min="6405" max="6405" width="2.5703125" style="251" customWidth="1"/>
    <col min="6406" max="6406" width="16" style="251" customWidth="1"/>
    <col min="6407" max="6407" width="11" style="251" customWidth="1"/>
    <col min="6408" max="6408" width="16.140625" style="251" customWidth="1"/>
    <col min="6409" max="6651" width="32.7109375" style="251"/>
    <col min="6652" max="6652" width="0" style="251" hidden="1" customWidth="1"/>
    <col min="6653" max="6653" width="16.140625" style="251" customWidth="1"/>
    <col min="6654" max="6654" width="15.42578125" style="251" bestFit="1" customWidth="1"/>
    <col min="6655" max="6658" width="13" style="251" bestFit="1" customWidth="1"/>
    <col min="6659" max="6659" width="13.140625" style="251" customWidth="1"/>
    <col min="6660" max="6660" width="15.42578125" style="251" bestFit="1" customWidth="1"/>
    <col min="6661" max="6661" width="2.5703125" style="251" customWidth="1"/>
    <col min="6662" max="6662" width="16" style="251" customWidth="1"/>
    <col min="6663" max="6663" width="11" style="251" customWidth="1"/>
    <col min="6664" max="6664" width="16.140625" style="251" customWidth="1"/>
    <col min="6665" max="6907" width="32.7109375" style="251"/>
    <col min="6908" max="6908" width="0" style="251" hidden="1" customWidth="1"/>
    <col min="6909" max="6909" width="16.140625" style="251" customWidth="1"/>
    <col min="6910" max="6910" width="15.42578125" style="251" bestFit="1" customWidth="1"/>
    <col min="6911" max="6914" width="13" style="251" bestFit="1" customWidth="1"/>
    <col min="6915" max="6915" width="13.140625" style="251" customWidth="1"/>
    <col min="6916" max="6916" width="15.42578125" style="251" bestFit="1" customWidth="1"/>
    <col min="6917" max="6917" width="2.5703125" style="251" customWidth="1"/>
    <col min="6918" max="6918" width="16" style="251" customWidth="1"/>
    <col min="6919" max="6919" width="11" style="251" customWidth="1"/>
    <col min="6920" max="6920" width="16.140625" style="251" customWidth="1"/>
    <col min="6921" max="7163" width="32.7109375" style="251"/>
    <col min="7164" max="7164" width="0" style="251" hidden="1" customWidth="1"/>
    <col min="7165" max="7165" width="16.140625" style="251" customWidth="1"/>
    <col min="7166" max="7166" width="15.42578125" style="251" bestFit="1" customWidth="1"/>
    <col min="7167" max="7170" width="13" style="251" bestFit="1" customWidth="1"/>
    <col min="7171" max="7171" width="13.140625" style="251" customWidth="1"/>
    <col min="7172" max="7172" width="15.42578125" style="251" bestFit="1" customWidth="1"/>
    <col min="7173" max="7173" width="2.5703125" style="251" customWidth="1"/>
    <col min="7174" max="7174" width="16" style="251" customWidth="1"/>
    <col min="7175" max="7175" width="11" style="251" customWidth="1"/>
    <col min="7176" max="7176" width="16.140625" style="251" customWidth="1"/>
    <col min="7177" max="7419" width="32.7109375" style="251"/>
    <col min="7420" max="7420" width="0" style="251" hidden="1" customWidth="1"/>
    <col min="7421" max="7421" width="16.140625" style="251" customWidth="1"/>
    <col min="7422" max="7422" width="15.42578125" style="251" bestFit="1" customWidth="1"/>
    <col min="7423" max="7426" width="13" style="251" bestFit="1" customWidth="1"/>
    <col min="7427" max="7427" width="13.140625" style="251" customWidth="1"/>
    <col min="7428" max="7428" width="15.42578125" style="251" bestFit="1" customWidth="1"/>
    <col min="7429" max="7429" width="2.5703125" style="251" customWidth="1"/>
    <col min="7430" max="7430" width="16" style="251" customWidth="1"/>
    <col min="7431" max="7431" width="11" style="251" customWidth="1"/>
    <col min="7432" max="7432" width="16.140625" style="251" customWidth="1"/>
    <col min="7433" max="7675" width="32.7109375" style="251"/>
    <col min="7676" max="7676" width="0" style="251" hidden="1" customWidth="1"/>
    <col min="7677" max="7677" width="16.140625" style="251" customWidth="1"/>
    <col min="7678" max="7678" width="15.42578125" style="251" bestFit="1" customWidth="1"/>
    <col min="7679" max="7682" width="13" style="251" bestFit="1" customWidth="1"/>
    <col min="7683" max="7683" width="13.140625" style="251" customWidth="1"/>
    <col min="7684" max="7684" width="15.42578125" style="251" bestFit="1" customWidth="1"/>
    <col min="7685" max="7685" width="2.5703125" style="251" customWidth="1"/>
    <col min="7686" max="7686" width="16" style="251" customWidth="1"/>
    <col min="7687" max="7687" width="11" style="251" customWidth="1"/>
    <col min="7688" max="7688" width="16.140625" style="251" customWidth="1"/>
    <col min="7689" max="7931" width="32.7109375" style="251"/>
    <col min="7932" max="7932" width="0" style="251" hidden="1" customWidth="1"/>
    <col min="7933" max="7933" width="16.140625" style="251" customWidth="1"/>
    <col min="7934" max="7934" width="15.42578125" style="251" bestFit="1" customWidth="1"/>
    <col min="7935" max="7938" width="13" style="251" bestFit="1" customWidth="1"/>
    <col min="7939" max="7939" width="13.140625" style="251" customWidth="1"/>
    <col min="7940" max="7940" width="15.42578125" style="251" bestFit="1" customWidth="1"/>
    <col min="7941" max="7941" width="2.5703125" style="251" customWidth="1"/>
    <col min="7942" max="7942" width="16" style="251" customWidth="1"/>
    <col min="7943" max="7943" width="11" style="251" customWidth="1"/>
    <col min="7944" max="7944" width="16.140625" style="251" customWidth="1"/>
    <col min="7945" max="8187" width="32.7109375" style="251"/>
    <col min="8188" max="8188" width="0" style="251" hidden="1" customWidth="1"/>
    <col min="8189" max="8189" width="16.140625" style="251" customWidth="1"/>
    <col min="8190" max="8190" width="15.42578125" style="251" bestFit="1" customWidth="1"/>
    <col min="8191" max="8194" width="13" style="251" bestFit="1" customWidth="1"/>
    <col min="8195" max="8195" width="13.140625" style="251" customWidth="1"/>
    <col min="8196" max="8196" width="15.42578125" style="251" bestFit="1" customWidth="1"/>
    <col min="8197" max="8197" width="2.5703125" style="251" customWidth="1"/>
    <col min="8198" max="8198" width="16" style="251" customWidth="1"/>
    <col min="8199" max="8199" width="11" style="251" customWidth="1"/>
    <col min="8200" max="8200" width="16.140625" style="251" customWidth="1"/>
    <col min="8201" max="8443" width="32.7109375" style="251"/>
    <col min="8444" max="8444" width="0" style="251" hidden="1" customWidth="1"/>
    <col min="8445" max="8445" width="16.140625" style="251" customWidth="1"/>
    <col min="8446" max="8446" width="15.42578125" style="251" bestFit="1" customWidth="1"/>
    <col min="8447" max="8450" width="13" style="251" bestFit="1" customWidth="1"/>
    <col min="8451" max="8451" width="13.140625" style="251" customWidth="1"/>
    <col min="8452" max="8452" width="15.42578125" style="251" bestFit="1" customWidth="1"/>
    <col min="8453" max="8453" width="2.5703125" style="251" customWidth="1"/>
    <col min="8454" max="8454" width="16" style="251" customWidth="1"/>
    <col min="8455" max="8455" width="11" style="251" customWidth="1"/>
    <col min="8456" max="8456" width="16.140625" style="251" customWidth="1"/>
    <col min="8457" max="8699" width="32.7109375" style="251"/>
    <col min="8700" max="8700" width="0" style="251" hidden="1" customWidth="1"/>
    <col min="8701" max="8701" width="16.140625" style="251" customWidth="1"/>
    <col min="8702" max="8702" width="15.42578125" style="251" bestFit="1" customWidth="1"/>
    <col min="8703" max="8706" width="13" style="251" bestFit="1" customWidth="1"/>
    <col min="8707" max="8707" width="13.140625" style="251" customWidth="1"/>
    <col min="8708" max="8708" width="15.42578125" style="251" bestFit="1" customWidth="1"/>
    <col min="8709" max="8709" width="2.5703125" style="251" customWidth="1"/>
    <col min="8710" max="8710" width="16" style="251" customWidth="1"/>
    <col min="8711" max="8711" width="11" style="251" customWidth="1"/>
    <col min="8712" max="8712" width="16.140625" style="251" customWidth="1"/>
    <col min="8713" max="8955" width="32.7109375" style="251"/>
    <col min="8956" max="8956" width="0" style="251" hidden="1" customWidth="1"/>
    <col min="8957" max="8957" width="16.140625" style="251" customWidth="1"/>
    <col min="8958" max="8958" width="15.42578125" style="251" bestFit="1" customWidth="1"/>
    <col min="8959" max="8962" width="13" style="251" bestFit="1" customWidth="1"/>
    <col min="8963" max="8963" width="13.140625" style="251" customWidth="1"/>
    <col min="8964" max="8964" width="15.42578125" style="251" bestFit="1" customWidth="1"/>
    <col min="8965" max="8965" width="2.5703125" style="251" customWidth="1"/>
    <col min="8966" max="8966" width="16" style="251" customWidth="1"/>
    <col min="8967" max="8967" width="11" style="251" customWidth="1"/>
    <col min="8968" max="8968" width="16.140625" style="251" customWidth="1"/>
    <col min="8969" max="9211" width="32.7109375" style="251"/>
    <col min="9212" max="9212" width="0" style="251" hidden="1" customWidth="1"/>
    <col min="9213" max="9213" width="16.140625" style="251" customWidth="1"/>
    <col min="9214" max="9214" width="15.42578125" style="251" bestFit="1" customWidth="1"/>
    <col min="9215" max="9218" width="13" style="251" bestFit="1" customWidth="1"/>
    <col min="9219" max="9219" width="13.140625" style="251" customWidth="1"/>
    <col min="9220" max="9220" width="15.42578125" style="251" bestFit="1" customWidth="1"/>
    <col min="9221" max="9221" width="2.5703125" style="251" customWidth="1"/>
    <col min="9222" max="9222" width="16" style="251" customWidth="1"/>
    <col min="9223" max="9223" width="11" style="251" customWidth="1"/>
    <col min="9224" max="9224" width="16.140625" style="251" customWidth="1"/>
    <col min="9225" max="9467" width="32.7109375" style="251"/>
    <col min="9468" max="9468" width="0" style="251" hidden="1" customWidth="1"/>
    <col min="9469" max="9469" width="16.140625" style="251" customWidth="1"/>
    <col min="9470" max="9470" width="15.42578125" style="251" bestFit="1" customWidth="1"/>
    <col min="9471" max="9474" width="13" style="251" bestFit="1" customWidth="1"/>
    <col min="9475" max="9475" width="13.140625" style="251" customWidth="1"/>
    <col min="9476" max="9476" width="15.42578125" style="251" bestFit="1" customWidth="1"/>
    <col min="9477" max="9477" width="2.5703125" style="251" customWidth="1"/>
    <col min="9478" max="9478" width="16" style="251" customWidth="1"/>
    <col min="9479" max="9479" width="11" style="251" customWidth="1"/>
    <col min="9480" max="9480" width="16.140625" style="251" customWidth="1"/>
    <col min="9481" max="9723" width="32.7109375" style="251"/>
    <col min="9724" max="9724" width="0" style="251" hidden="1" customWidth="1"/>
    <col min="9725" max="9725" width="16.140625" style="251" customWidth="1"/>
    <col min="9726" max="9726" width="15.42578125" style="251" bestFit="1" customWidth="1"/>
    <col min="9727" max="9730" width="13" style="251" bestFit="1" customWidth="1"/>
    <col min="9731" max="9731" width="13.140625" style="251" customWidth="1"/>
    <col min="9732" max="9732" width="15.42578125" style="251" bestFit="1" customWidth="1"/>
    <col min="9733" max="9733" width="2.5703125" style="251" customWidth="1"/>
    <col min="9734" max="9734" width="16" style="251" customWidth="1"/>
    <col min="9735" max="9735" width="11" style="251" customWidth="1"/>
    <col min="9736" max="9736" width="16.140625" style="251" customWidth="1"/>
    <col min="9737" max="9979" width="32.7109375" style="251"/>
    <col min="9980" max="9980" width="0" style="251" hidden="1" customWidth="1"/>
    <col min="9981" max="9981" width="16.140625" style="251" customWidth="1"/>
    <col min="9982" max="9982" width="15.42578125" style="251" bestFit="1" customWidth="1"/>
    <col min="9983" max="9986" width="13" style="251" bestFit="1" customWidth="1"/>
    <col min="9987" max="9987" width="13.140625" style="251" customWidth="1"/>
    <col min="9988" max="9988" width="15.42578125" style="251" bestFit="1" customWidth="1"/>
    <col min="9989" max="9989" width="2.5703125" style="251" customWidth="1"/>
    <col min="9990" max="9990" width="16" style="251" customWidth="1"/>
    <col min="9991" max="9991" width="11" style="251" customWidth="1"/>
    <col min="9992" max="9992" width="16.140625" style="251" customWidth="1"/>
    <col min="9993" max="10235" width="32.7109375" style="251"/>
    <col min="10236" max="10236" width="0" style="251" hidden="1" customWidth="1"/>
    <col min="10237" max="10237" width="16.140625" style="251" customWidth="1"/>
    <col min="10238" max="10238" width="15.42578125" style="251" bestFit="1" customWidth="1"/>
    <col min="10239" max="10242" width="13" style="251" bestFit="1" customWidth="1"/>
    <col min="10243" max="10243" width="13.140625" style="251" customWidth="1"/>
    <col min="10244" max="10244" width="15.42578125" style="251" bestFit="1" customWidth="1"/>
    <col min="10245" max="10245" width="2.5703125" style="251" customWidth="1"/>
    <col min="10246" max="10246" width="16" style="251" customWidth="1"/>
    <col min="10247" max="10247" width="11" style="251" customWidth="1"/>
    <col min="10248" max="10248" width="16.140625" style="251" customWidth="1"/>
    <col min="10249" max="10491" width="32.7109375" style="251"/>
    <col min="10492" max="10492" width="0" style="251" hidden="1" customWidth="1"/>
    <col min="10493" max="10493" width="16.140625" style="251" customWidth="1"/>
    <col min="10494" max="10494" width="15.42578125" style="251" bestFit="1" customWidth="1"/>
    <col min="10495" max="10498" width="13" style="251" bestFit="1" customWidth="1"/>
    <col min="10499" max="10499" width="13.140625" style="251" customWidth="1"/>
    <col min="10500" max="10500" width="15.42578125" style="251" bestFit="1" customWidth="1"/>
    <col min="10501" max="10501" width="2.5703125" style="251" customWidth="1"/>
    <col min="10502" max="10502" width="16" style="251" customWidth="1"/>
    <col min="10503" max="10503" width="11" style="251" customWidth="1"/>
    <col min="10504" max="10504" width="16.140625" style="251" customWidth="1"/>
    <col min="10505" max="10747" width="32.7109375" style="251"/>
    <col min="10748" max="10748" width="0" style="251" hidden="1" customWidth="1"/>
    <col min="10749" max="10749" width="16.140625" style="251" customWidth="1"/>
    <col min="10750" max="10750" width="15.42578125" style="251" bestFit="1" customWidth="1"/>
    <col min="10751" max="10754" width="13" style="251" bestFit="1" customWidth="1"/>
    <col min="10755" max="10755" width="13.140625" style="251" customWidth="1"/>
    <col min="10756" max="10756" width="15.42578125" style="251" bestFit="1" customWidth="1"/>
    <col min="10757" max="10757" width="2.5703125" style="251" customWidth="1"/>
    <col min="10758" max="10758" width="16" style="251" customWidth="1"/>
    <col min="10759" max="10759" width="11" style="251" customWidth="1"/>
    <col min="10760" max="10760" width="16.140625" style="251" customWidth="1"/>
    <col min="10761" max="11003" width="32.7109375" style="251"/>
    <col min="11004" max="11004" width="0" style="251" hidden="1" customWidth="1"/>
    <col min="11005" max="11005" width="16.140625" style="251" customWidth="1"/>
    <col min="11006" max="11006" width="15.42578125" style="251" bestFit="1" customWidth="1"/>
    <col min="11007" max="11010" width="13" style="251" bestFit="1" customWidth="1"/>
    <col min="11011" max="11011" width="13.140625" style="251" customWidth="1"/>
    <col min="11012" max="11012" width="15.42578125" style="251" bestFit="1" customWidth="1"/>
    <col min="11013" max="11013" width="2.5703125" style="251" customWidth="1"/>
    <col min="11014" max="11014" width="16" style="251" customWidth="1"/>
    <col min="11015" max="11015" width="11" style="251" customWidth="1"/>
    <col min="11016" max="11016" width="16.140625" style="251" customWidth="1"/>
    <col min="11017" max="11259" width="32.7109375" style="251"/>
    <col min="11260" max="11260" width="0" style="251" hidden="1" customWidth="1"/>
    <col min="11261" max="11261" width="16.140625" style="251" customWidth="1"/>
    <col min="11262" max="11262" width="15.42578125" style="251" bestFit="1" customWidth="1"/>
    <col min="11263" max="11266" width="13" style="251" bestFit="1" customWidth="1"/>
    <col min="11267" max="11267" width="13.140625" style="251" customWidth="1"/>
    <col min="11268" max="11268" width="15.42578125" style="251" bestFit="1" customWidth="1"/>
    <col min="11269" max="11269" width="2.5703125" style="251" customWidth="1"/>
    <col min="11270" max="11270" width="16" style="251" customWidth="1"/>
    <col min="11271" max="11271" width="11" style="251" customWidth="1"/>
    <col min="11272" max="11272" width="16.140625" style="251" customWidth="1"/>
    <col min="11273" max="11515" width="32.7109375" style="251"/>
    <col min="11516" max="11516" width="0" style="251" hidden="1" customWidth="1"/>
    <col min="11517" max="11517" width="16.140625" style="251" customWidth="1"/>
    <col min="11518" max="11518" width="15.42578125" style="251" bestFit="1" customWidth="1"/>
    <col min="11519" max="11522" width="13" style="251" bestFit="1" customWidth="1"/>
    <col min="11523" max="11523" width="13.140625" style="251" customWidth="1"/>
    <col min="11524" max="11524" width="15.42578125" style="251" bestFit="1" customWidth="1"/>
    <col min="11525" max="11525" width="2.5703125" style="251" customWidth="1"/>
    <col min="11526" max="11526" width="16" style="251" customWidth="1"/>
    <col min="11527" max="11527" width="11" style="251" customWidth="1"/>
    <col min="11528" max="11528" width="16.140625" style="251" customWidth="1"/>
    <col min="11529" max="11771" width="32.7109375" style="251"/>
    <col min="11772" max="11772" width="0" style="251" hidden="1" customWidth="1"/>
    <col min="11773" max="11773" width="16.140625" style="251" customWidth="1"/>
    <col min="11774" max="11774" width="15.42578125" style="251" bestFit="1" customWidth="1"/>
    <col min="11775" max="11778" width="13" style="251" bestFit="1" customWidth="1"/>
    <col min="11779" max="11779" width="13.140625" style="251" customWidth="1"/>
    <col min="11780" max="11780" width="15.42578125" style="251" bestFit="1" customWidth="1"/>
    <col min="11781" max="11781" width="2.5703125" style="251" customWidth="1"/>
    <col min="11782" max="11782" width="16" style="251" customWidth="1"/>
    <col min="11783" max="11783" width="11" style="251" customWidth="1"/>
    <col min="11784" max="11784" width="16.140625" style="251" customWidth="1"/>
    <col min="11785" max="12027" width="32.7109375" style="251"/>
    <col min="12028" max="12028" width="0" style="251" hidden="1" customWidth="1"/>
    <col min="12029" max="12029" width="16.140625" style="251" customWidth="1"/>
    <col min="12030" max="12030" width="15.42578125" style="251" bestFit="1" customWidth="1"/>
    <col min="12031" max="12034" width="13" style="251" bestFit="1" customWidth="1"/>
    <col min="12035" max="12035" width="13.140625" style="251" customWidth="1"/>
    <col min="12036" max="12036" width="15.42578125" style="251" bestFit="1" customWidth="1"/>
    <col min="12037" max="12037" width="2.5703125" style="251" customWidth="1"/>
    <col min="12038" max="12038" width="16" style="251" customWidth="1"/>
    <col min="12039" max="12039" width="11" style="251" customWidth="1"/>
    <col min="12040" max="12040" width="16.140625" style="251" customWidth="1"/>
    <col min="12041" max="12283" width="32.7109375" style="251"/>
    <col min="12284" max="12284" width="0" style="251" hidden="1" customWidth="1"/>
    <col min="12285" max="12285" width="16.140625" style="251" customWidth="1"/>
    <col min="12286" max="12286" width="15.42578125" style="251" bestFit="1" customWidth="1"/>
    <col min="12287" max="12290" width="13" style="251" bestFit="1" customWidth="1"/>
    <col min="12291" max="12291" width="13.140625" style="251" customWidth="1"/>
    <col min="12292" max="12292" width="15.42578125" style="251" bestFit="1" customWidth="1"/>
    <col min="12293" max="12293" width="2.5703125" style="251" customWidth="1"/>
    <col min="12294" max="12294" width="16" style="251" customWidth="1"/>
    <col min="12295" max="12295" width="11" style="251" customWidth="1"/>
    <col min="12296" max="12296" width="16.140625" style="251" customWidth="1"/>
    <col min="12297" max="12539" width="32.7109375" style="251"/>
    <col min="12540" max="12540" width="0" style="251" hidden="1" customWidth="1"/>
    <col min="12541" max="12541" width="16.140625" style="251" customWidth="1"/>
    <col min="12542" max="12542" width="15.42578125" style="251" bestFit="1" customWidth="1"/>
    <col min="12543" max="12546" width="13" style="251" bestFit="1" customWidth="1"/>
    <col min="12547" max="12547" width="13.140625" style="251" customWidth="1"/>
    <col min="12548" max="12548" width="15.42578125" style="251" bestFit="1" customWidth="1"/>
    <col min="12549" max="12549" width="2.5703125" style="251" customWidth="1"/>
    <col min="12550" max="12550" width="16" style="251" customWidth="1"/>
    <col min="12551" max="12551" width="11" style="251" customWidth="1"/>
    <col min="12552" max="12552" width="16.140625" style="251" customWidth="1"/>
    <col min="12553" max="12795" width="32.7109375" style="251"/>
    <col min="12796" max="12796" width="0" style="251" hidden="1" customWidth="1"/>
    <col min="12797" max="12797" width="16.140625" style="251" customWidth="1"/>
    <col min="12798" max="12798" width="15.42578125" style="251" bestFit="1" customWidth="1"/>
    <col min="12799" max="12802" width="13" style="251" bestFit="1" customWidth="1"/>
    <col min="12803" max="12803" width="13.140625" style="251" customWidth="1"/>
    <col min="12804" max="12804" width="15.42578125" style="251" bestFit="1" customWidth="1"/>
    <col min="12805" max="12805" width="2.5703125" style="251" customWidth="1"/>
    <col min="12806" max="12806" width="16" style="251" customWidth="1"/>
    <col min="12807" max="12807" width="11" style="251" customWidth="1"/>
    <col min="12808" max="12808" width="16.140625" style="251" customWidth="1"/>
    <col min="12809" max="13051" width="32.7109375" style="251"/>
    <col min="13052" max="13052" width="0" style="251" hidden="1" customWidth="1"/>
    <col min="13053" max="13053" width="16.140625" style="251" customWidth="1"/>
    <col min="13054" max="13054" width="15.42578125" style="251" bestFit="1" customWidth="1"/>
    <col min="13055" max="13058" width="13" style="251" bestFit="1" customWidth="1"/>
    <col min="13059" max="13059" width="13.140625" style="251" customWidth="1"/>
    <col min="13060" max="13060" width="15.42578125" style="251" bestFit="1" customWidth="1"/>
    <col min="13061" max="13061" width="2.5703125" style="251" customWidth="1"/>
    <col min="13062" max="13062" width="16" style="251" customWidth="1"/>
    <col min="13063" max="13063" width="11" style="251" customWidth="1"/>
    <col min="13064" max="13064" width="16.140625" style="251" customWidth="1"/>
    <col min="13065" max="13307" width="32.7109375" style="251"/>
    <col min="13308" max="13308" width="0" style="251" hidden="1" customWidth="1"/>
    <col min="13309" max="13309" width="16.140625" style="251" customWidth="1"/>
    <col min="13310" max="13310" width="15.42578125" style="251" bestFit="1" customWidth="1"/>
    <col min="13311" max="13314" width="13" style="251" bestFit="1" customWidth="1"/>
    <col min="13315" max="13315" width="13.140625" style="251" customWidth="1"/>
    <col min="13316" max="13316" width="15.42578125" style="251" bestFit="1" customWidth="1"/>
    <col min="13317" max="13317" width="2.5703125" style="251" customWidth="1"/>
    <col min="13318" max="13318" width="16" style="251" customWidth="1"/>
    <col min="13319" max="13319" width="11" style="251" customWidth="1"/>
    <col min="13320" max="13320" width="16.140625" style="251" customWidth="1"/>
    <col min="13321" max="13563" width="32.7109375" style="251"/>
    <col min="13564" max="13564" width="0" style="251" hidden="1" customWidth="1"/>
    <col min="13565" max="13565" width="16.140625" style="251" customWidth="1"/>
    <col min="13566" max="13566" width="15.42578125" style="251" bestFit="1" customWidth="1"/>
    <col min="13567" max="13570" width="13" style="251" bestFit="1" customWidth="1"/>
    <col min="13571" max="13571" width="13.140625" style="251" customWidth="1"/>
    <col min="13572" max="13572" width="15.42578125" style="251" bestFit="1" customWidth="1"/>
    <col min="13573" max="13573" width="2.5703125" style="251" customWidth="1"/>
    <col min="13574" max="13574" width="16" style="251" customWidth="1"/>
    <col min="13575" max="13575" width="11" style="251" customWidth="1"/>
    <col min="13576" max="13576" width="16.140625" style="251" customWidth="1"/>
    <col min="13577" max="13819" width="32.7109375" style="251"/>
    <col min="13820" max="13820" width="0" style="251" hidden="1" customWidth="1"/>
    <col min="13821" max="13821" width="16.140625" style="251" customWidth="1"/>
    <col min="13822" max="13822" width="15.42578125" style="251" bestFit="1" customWidth="1"/>
    <col min="13823" max="13826" width="13" style="251" bestFit="1" customWidth="1"/>
    <col min="13827" max="13827" width="13.140625" style="251" customWidth="1"/>
    <col min="13828" max="13828" width="15.42578125" style="251" bestFit="1" customWidth="1"/>
    <col min="13829" max="13829" width="2.5703125" style="251" customWidth="1"/>
    <col min="13830" max="13830" width="16" style="251" customWidth="1"/>
    <col min="13831" max="13831" width="11" style="251" customWidth="1"/>
    <col min="13832" max="13832" width="16.140625" style="251" customWidth="1"/>
    <col min="13833" max="14075" width="32.7109375" style="251"/>
    <col min="14076" max="14076" width="0" style="251" hidden="1" customWidth="1"/>
    <col min="14077" max="14077" width="16.140625" style="251" customWidth="1"/>
    <col min="14078" max="14078" width="15.42578125" style="251" bestFit="1" customWidth="1"/>
    <col min="14079" max="14082" width="13" style="251" bestFit="1" customWidth="1"/>
    <col min="14083" max="14083" width="13.140625" style="251" customWidth="1"/>
    <col min="14084" max="14084" width="15.42578125" style="251" bestFit="1" customWidth="1"/>
    <col min="14085" max="14085" width="2.5703125" style="251" customWidth="1"/>
    <col min="14086" max="14086" width="16" style="251" customWidth="1"/>
    <col min="14087" max="14087" width="11" style="251" customWidth="1"/>
    <col min="14088" max="14088" width="16.140625" style="251" customWidth="1"/>
    <col min="14089" max="14331" width="32.7109375" style="251"/>
    <col min="14332" max="14332" width="0" style="251" hidden="1" customWidth="1"/>
    <col min="14333" max="14333" width="16.140625" style="251" customWidth="1"/>
    <col min="14334" max="14334" width="15.42578125" style="251" bestFit="1" customWidth="1"/>
    <col min="14335" max="14338" width="13" style="251" bestFit="1" customWidth="1"/>
    <col min="14339" max="14339" width="13.140625" style="251" customWidth="1"/>
    <col min="14340" max="14340" width="15.42578125" style="251" bestFit="1" customWidth="1"/>
    <col min="14341" max="14341" width="2.5703125" style="251" customWidth="1"/>
    <col min="14342" max="14342" width="16" style="251" customWidth="1"/>
    <col min="14343" max="14343" width="11" style="251" customWidth="1"/>
    <col min="14344" max="14344" width="16.140625" style="251" customWidth="1"/>
    <col min="14345" max="14587" width="32.7109375" style="251"/>
    <col min="14588" max="14588" width="0" style="251" hidden="1" customWidth="1"/>
    <col min="14589" max="14589" width="16.140625" style="251" customWidth="1"/>
    <col min="14590" max="14590" width="15.42578125" style="251" bestFit="1" customWidth="1"/>
    <col min="14591" max="14594" width="13" style="251" bestFit="1" customWidth="1"/>
    <col min="14595" max="14595" width="13.140625" style="251" customWidth="1"/>
    <col min="14596" max="14596" width="15.42578125" style="251" bestFit="1" customWidth="1"/>
    <col min="14597" max="14597" width="2.5703125" style="251" customWidth="1"/>
    <col min="14598" max="14598" width="16" style="251" customWidth="1"/>
    <col min="14599" max="14599" width="11" style="251" customWidth="1"/>
    <col min="14600" max="14600" width="16.140625" style="251" customWidth="1"/>
    <col min="14601" max="14843" width="32.7109375" style="251"/>
    <col min="14844" max="14844" width="0" style="251" hidden="1" customWidth="1"/>
    <col min="14845" max="14845" width="16.140625" style="251" customWidth="1"/>
    <col min="14846" max="14846" width="15.42578125" style="251" bestFit="1" customWidth="1"/>
    <col min="14847" max="14850" width="13" style="251" bestFit="1" customWidth="1"/>
    <col min="14851" max="14851" width="13.140625" style="251" customWidth="1"/>
    <col min="14852" max="14852" width="15.42578125" style="251" bestFit="1" customWidth="1"/>
    <col min="14853" max="14853" width="2.5703125" style="251" customWidth="1"/>
    <col min="14854" max="14854" width="16" style="251" customWidth="1"/>
    <col min="14855" max="14855" width="11" style="251" customWidth="1"/>
    <col min="14856" max="14856" width="16.140625" style="251" customWidth="1"/>
    <col min="14857" max="15099" width="32.7109375" style="251"/>
    <col min="15100" max="15100" width="0" style="251" hidden="1" customWidth="1"/>
    <col min="15101" max="15101" width="16.140625" style="251" customWidth="1"/>
    <col min="15102" max="15102" width="15.42578125" style="251" bestFit="1" customWidth="1"/>
    <col min="15103" max="15106" width="13" style="251" bestFit="1" customWidth="1"/>
    <col min="15107" max="15107" width="13.140625" style="251" customWidth="1"/>
    <col min="15108" max="15108" width="15.42578125" style="251" bestFit="1" customWidth="1"/>
    <col min="15109" max="15109" width="2.5703125" style="251" customWidth="1"/>
    <col min="15110" max="15110" width="16" style="251" customWidth="1"/>
    <col min="15111" max="15111" width="11" style="251" customWidth="1"/>
    <col min="15112" max="15112" width="16.140625" style="251" customWidth="1"/>
    <col min="15113" max="15355" width="32.7109375" style="251"/>
    <col min="15356" max="15356" width="0" style="251" hidden="1" customWidth="1"/>
    <col min="15357" max="15357" width="16.140625" style="251" customWidth="1"/>
    <col min="15358" max="15358" width="15.42578125" style="251" bestFit="1" customWidth="1"/>
    <col min="15359" max="15362" width="13" style="251" bestFit="1" customWidth="1"/>
    <col min="15363" max="15363" width="13.140625" style="251" customWidth="1"/>
    <col min="15364" max="15364" width="15.42578125" style="251" bestFit="1" customWidth="1"/>
    <col min="15365" max="15365" width="2.5703125" style="251" customWidth="1"/>
    <col min="15366" max="15366" width="16" style="251" customWidth="1"/>
    <col min="15367" max="15367" width="11" style="251" customWidth="1"/>
    <col min="15368" max="15368" width="16.140625" style="251" customWidth="1"/>
    <col min="15369" max="15611" width="32.7109375" style="251"/>
    <col min="15612" max="15612" width="0" style="251" hidden="1" customWidth="1"/>
    <col min="15613" max="15613" width="16.140625" style="251" customWidth="1"/>
    <col min="15614" max="15614" width="15.42578125" style="251" bestFit="1" customWidth="1"/>
    <col min="15615" max="15618" width="13" style="251" bestFit="1" customWidth="1"/>
    <col min="15619" max="15619" width="13.140625" style="251" customWidth="1"/>
    <col min="15620" max="15620" width="15.42578125" style="251" bestFit="1" customWidth="1"/>
    <col min="15621" max="15621" width="2.5703125" style="251" customWidth="1"/>
    <col min="15622" max="15622" width="16" style="251" customWidth="1"/>
    <col min="15623" max="15623" width="11" style="251" customWidth="1"/>
    <col min="15624" max="15624" width="16.140625" style="251" customWidth="1"/>
    <col min="15625" max="15867" width="32.7109375" style="251"/>
    <col min="15868" max="15868" width="0" style="251" hidden="1" customWidth="1"/>
    <col min="15869" max="15869" width="16.140625" style="251" customWidth="1"/>
    <col min="15870" max="15870" width="15.42578125" style="251" bestFit="1" customWidth="1"/>
    <col min="15871" max="15874" width="13" style="251" bestFit="1" customWidth="1"/>
    <col min="15875" max="15875" width="13.140625" style="251" customWidth="1"/>
    <col min="15876" max="15876" width="15.42578125" style="251" bestFit="1" customWidth="1"/>
    <col min="15877" max="15877" width="2.5703125" style="251" customWidth="1"/>
    <col min="15878" max="15878" width="16" style="251" customWidth="1"/>
    <col min="15879" max="15879" width="11" style="251" customWidth="1"/>
    <col min="15880" max="15880" width="16.140625" style="251" customWidth="1"/>
    <col min="15881" max="16123" width="32.7109375" style="251"/>
    <col min="16124" max="16124" width="0" style="251" hidden="1" customWidth="1"/>
    <col min="16125" max="16125" width="16.140625" style="251" customWidth="1"/>
    <col min="16126" max="16126" width="15.42578125" style="251" bestFit="1" customWidth="1"/>
    <col min="16127" max="16130" width="13" style="251" bestFit="1" customWidth="1"/>
    <col min="16131" max="16131" width="13.140625" style="251" customWidth="1"/>
    <col min="16132" max="16132" width="15.42578125" style="251" bestFit="1" customWidth="1"/>
    <col min="16133" max="16133" width="2.5703125" style="251" customWidth="1"/>
    <col min="16134" max="16134" width="16" style="251" customWidth="1"/>
    <col min="16135" max="16135" width="11" style="251" customWidth="1"/>
    <col min="16136" max="16136" width="16.140625" style="251" customWidth="1"/>
    <col min="16137" max="16384" width="32.7109375" style="251"/>
  </cols>
  <sheetData>
    <row r="1" spans="1:11" ht="91.9" customHeight="1" thickTop="1" thickBot="1">
      <c r="A1" s="246" t="s">
        <v>264</v>
      </c>
      <c r="B1" s="247" t="s">
        <v>58</v>
      </c>
      <c r="C1" s="248" t="s">
        <v>265</v>
      </c>
      <c r="D1" s="248" t="s">
        <v>266</v>
      </c>
      <c r="E1" s="248" t="s">
        <v>267</v>
      </c>
      <c r="F1" s="248" t="s">
        <v>268</v>
      </c>
      <c r="G1" s="248" t="s">
        <v>269</v>
      </c>
      <c r="H1" s="248" t="s">
        <v>270</v>
      </c>
      <c r="I1" s="249" t="s">
        <v>43</v>
      </c>
      <c r="J1" s="672"/>
      <c r="K1"/>
    </row>
    <row r="2" spans="1:11" ht="28.15" customHeight="1" thickTop="1">
      <c r="A2" s="252" t="s">
        <v>271</v>
      </c>
      <c r="B2" s="253" t="s">
        <v>72</v>
      </c>
      <c r="C2" s="263"/>
      <c r="D2" s="263"/>
      <c r="E2" s="263"/>
      <c r="F2" s="263"/>
      <c r="G2" s="263"/>
      <c r="H2" s="623"/>
      <c r="I2" s="255">
        <f>SUM(C2:H2)</f>
        <v>0</v>
      </c>
      <c r="J2" s="673"/>
      <c r="K2"/>
    </row>
    <row r="3" spans="1:11" ht="28.15" customHeight="1">
      <c r="A3" s="257" t="s">
        <v>271</v>
      </c>
      <c r="B3" s="258" t="s">
        <v>61</v>
      </c>
      <c r="C3" s="259"/>
      <c r="D3" s="259"/>
      <c r="E3" s="259"/>
      <c r="F3" s="259"/>
      <c r="G3" s="259"/>
      <c r="H3" s="259"/>
      <c r="I3" s="260">
        <f t="shared" ref="I3:I18" si="0">SUM(C3:H3)</f>
        <v>0</v>
      </c>
      <c r="J3" s="261"/>
      <c r="K3"/>
    </row>
    <row r="4" spans="1:11" ht="28.15" customHeight="1">
      <c r="A4" s="252" t="s">
        <v>271</v>
      </c>
      <c r="B4" s="262" t="s">
        <v>73</v>
      </c>
      <c r="C4" s="263"/>
      <c r="D4" s="263"/>
      <c r="E4" s="263"/>
      <c r="F4" s="263"/>
      <c r="G4" s="263"/>
      <c r="H4" s="623"/>
      <c r="I4" s="256">
        <f t="shared" si="0"/>
        <v>0</v>
      </c>
      <c r="J4" s="261"/>
    </row>
    <row r="5" spans="1:11" ht="28.15" customHeight="1">
      <c r="A5" s="264" t="s">
        <v>271</v>
      </c>
      <c r="B5" s="258" t="s">
        <v>60</v>
      </c>
      <c r="C5" s="259"/>
      <c r="D5" s="259"/>
      <c r="E5" s="259"/>
      <c r="F5" s="259"/>
      <c r="G5" s="259"/>
      <c r="H5" s="259"/>
      <c r="I5" s="260">
        <f t="shared" si="0"/>
        <v>0</v>
      </c>
      <c r="J5" s="261"/>
    </row>
    <row r="6" spans="1:11" ht="28.15" customHeight="1">
      <c r="A6" s="252" t="s">
        <v>271</v>
      </c>
      <c r="B6" s="262" t="s">
        <v>555</v>
      </c>
      <c r="C6" s="263"/>
      <c r="D6" s="263"/>
      <c r="E6" s="263"/>
      <c r="F6" s="263"/>
      <c r="G6" s="263"/>
      <c r="H6" s="623"/>
      <c r="I6" s="256">
        <f t="shared" si="0"/>
        <v>0</v>
      </c>
      <c r="J6" s="261"/>
    </row>
    <row r="7" spans="1:11" ht="28.15" customHeight="1">
      <c r="A7" s="264" t="s">
        <v>271</v>
      </c>
      <c r="B7" s="258" t="s">
        <v>173</v>
      </c>
      <c r="C7" s="259"/>
      <c r="D7" s="259"/>
      <c r="E7" s="259"/>
      <c r="F7" s="259"/>
      <c r="G7" s="259"/>
      <c r="H7" s="259"/>
      <c r="I7" s="260">
        <f t="shared" si="0"/>
        <v>0</v>
      </c>
      <c r="J7" s="261"/>
    </row>
    <row r="8" spans="1:11" ht="28.15" customHeight="1">
      <c r="A8" s="252" t="s">
        <v>271</v>
      </c>
      <c r="B8" s="262" t="s">
        <v>74</v>
      </c>
      <c r="C8" s="263"/>
      <c r="D8" s="263"/>
      <c r="E8" s="263"/>
      <c r="F8" s="263"/>
      <c r="G8" s="263"/>
      <c r="H8" s="623"/>
      <c r="I8" s="256">
        <f t="shared" si="0"/>
        <v>0</v>
      </c>
      <c r="J8" s="261"/>
    </row>
    <row r="9" spans="1:11" ht="28.15" customHeight="1">
      <c r="A9" s="264" t="s">
        <v>271</v>
      </c>
      <c r="B9" s="265" t="s">
        <v>71</v>
      </c>
      <c r="C9" s="259"/>
      <c r="D9" s="259"/>
      <c r="E9" s="259"/>
      <c r="F9" s="259"/>
      <c r="G9" s="259"/>
      <c r="H9" s="624"/>
      <c r="I9" s="260">
        <f t="shared" si="0"/>
        <v>0</v>
      </c>
      <c r="J9" s="261"/>
    </row>
    <row r="10" spans="1:11" ht="28.15" customHeight="1">
      <c r="A10" s="252" t="s">
        <v>271</v>
      </c>
      <c r="B10" s="262" t="s">
        <v>65</v>
      </c>
      <c r="C10" s="263"/>
      <c r="D10" s="263"/>
      <c r="E10" s="263"/>
      <c r="F10" s="263"/>
      <c r="G10" s="263"/>
      <c r="H10" s="263"/>
      <c r="I10" s="256">
        <f t="shared" si="0"/>
        <v>0</v>
      </c>
      <c r="J10" s="261"/>
    </row>
    <row r="11" spans="1:11" ht="28.15" customHeight="1">
      <c r="A11" s="264" t="s">
        <v>271</v>
      </c>
      <c r="B11" s="258" t="s">
        <v>183</v>
      </c>
      <c r="C11" s="259"/>
      <c r="D11" s="259"/>
      <c r="E11" s="259"/>
      <c r="F11" s="259"/>
      <c r="G11" s="259"/>
      <c r="H11" s="259"/>
      <c r="I11" s="260">
        <f t="shared" si="0"/>
        <v>0</v>
      </c>
      <c r="J11" s="261"/>
    </row>
    <row r="12" spans="1:11" ht="28.15" customHeight="1">
      <c r="A12" s="264" t="s">
        <v>271</v>
      </c>
      <c r="B12" s="258" t="s">
        <v>75</v>
      </c>
      <c r="C12" s="259"/>
      <c r="D12" s="259"/>
      <c r="E12" s="259"/>
      <c r="F12" s="259"/>
      <c r="G12" s="259"/>
      <c r="H12" s="259"/>
      <c r="I12" s="260">
        <f t="shared" si="0"/>
        <v>0</v>
      </c>
      <c r="J12" s="261"/>
    </row>
    <row r="13" spans="1:11" ht="28.15" customHeight="1">
      <c r="A13" s="252" t="s">
        <v>271</v>
      </c>
      <c r="B13" s="262" t="s">
        <v>59</v>
      </c>
      <c r="C13" s="254"/>
      <c r="D13" s="254"/>
      <c r="E13" s="254"/>
      <c r="F13" s="254"/>
      <c r="G13" s="254"/>
      <c r="H13" s="254"/>
      <c r="I13" s="255">
        <f>SUM(C13:H13)</f>
        <v>0</v>
      </c>
      <c r="J13" s="261"/>
    </row>
    <row r="14" spans="1:11" ht="28.15" customHeight="1">
      <c r="A14" s="264" t="s">
        <v>271</v>
      </c>
      <c r="B14" s="258" t="s">
        <v>64</v>
      </c>
      <c r="C14" s="259"/>
      <c r="D14" s="259"/>
      <c r="E14" s="259"/>
      <c r="F14" s="259"/>
      <c r="G14" s="259"/>
      <c r="H14" s="259"/>
      <c r="I14" s="260">
        <f t="shared" si="0"/>
        <v>0</v>
      </c>
      <c r="J14" s="261"/>
    </row>
    <row r="15" spans="1:11" ht="28.15" customHeight="1">
      <c r="A15" s="252" t="s">
        <v>271</v>
      </c>
      <c r="B15" s="262" t="s">
        <v>68</v>
      </c>
      <c r="C15" s="263"/>
      <c r="D15" s="263"/>
      <c r="E15" s="263"/>
      <c r="F15" s="263"/>
      <c r="G15" s="263"/>
      <c r="H15" s="623"/>
      <c r="I15" s="256">
        <f t="shared" si="0"/>
        <v>0</v>
      </c>
      <c r="J15" s="261"/>
    </row>
    <row r="16" spans="1:11" ht="28.15" customHeight="1">
      <c r="A16" s="264" t="s">
        <v>271</v>
      </c>
      <c r="B16" s="266" t="s">
        <v>67</v>
      </c>
      <c r="C16" s="267"/>
      <c r="D16" s="267"/>
      <c r="E16" s="267"/>
      <c r="F16" s="267"/>
      <c r="G16" s="267"/>
      <c r="H16" s="622"/>
      <c r="I16" s="260">
        <f t="shared" si="0"/>
        <v>0</v>
      </c>
      <c r="J16" s="261"/>
    </row>
    <row r="17" spans="1:10" ht="28.15" customHeight="1" thickBot="1">
      <c r="A17" s="252" t="s">
        <v>271</v>
      </c>
      <c r="B17" s="268" t="s">
        <v>63</v>
      </c>
      <c r="C17" s="269"/>
      <c r="D17" s="269"/>
      <c r="E17" s="269"/>
      <c r="F17" s="269"/>
      <c r="G17" s="269"/>
      <c r="H17" s="269"/>
      <c r="I17" s="270">
        <f t="shared" si="0"/>
        <v>0</v>
      </c>
      <c r="J17" s="261"/>
    </row>
    <row r="18" spans="1:10" ht="28.15" customHeight="1" thickTop="1" thickBot="1">
      <c r="A18" s="271"/>
      <c r="B18" s="272" t="s">
        <v>178</v>
      </c>
      <c r="C18" s="273">
        <f t="shared" ref="C18:H18" si="1">SUM(C2:C17)</f>
        <v>0</v>
      </c>
      <c r="D18" s="273">
        <f t="shared" si="1"/>
        <v>0</v>
      </c>
      <c r="E18" s="273">
        <f t="shared" si="1"/>
        <v>0</v>
      </c>
      <c r="F18" s="273">
        <f t="shared" si="1"/>
        <v>0</v>
      </c>
      <c r="G18" s="273">
        <f t="shared" si="1"/>
        <v>0</v>
      </c>
      <c r="H18" s="273">
        <f t="shared" si="1"/>
        <v>0</v>
      </c>
      <c r="I18" s="274">
        <f t="shared" si="0"/>
        <v>0</v>
      </c>
    </row>
    <row r="19" spans="1:10" ht="16.5" thickTop="1">
      <c r="B19" s="281"/>
      <c r="C19" s="279"/>
      <c r="D19" s="279"/>
      <c r="E19" s="279"/>
      <c r="F19" s="279"/>
      <c r="G19" s="279"/>
      <c r="H19" s="279"/>
      <c r="I19" s="279"/>
      <c r="J19" s="280"/>
    </row>
    <row r="20" spans="1:10">
      <c r="B20" s="281"/>
      <c r="C20" s="279"/>
      <c r="D20" s="279"/>
      <c r="E20" s="279"/>
      <c r="F20" s="279"/>
      <c r="G20" s="279"/>
      <c r="H20" s="279"/>
      <c r="I20" s="279"/>
      <c r="J20" s="280"/>
    </row>
    <row r="21" spans="1:10" ht="16.5">
      <c r="B21" s="282"/>
      <c r="C21" s="279"/>
      <c r="D21" s="279"/>
      <c r="E21" s="279"/>
      <c r="F21" s="279"/>
      <c r="G21" s="279"/>
      <c r="H21" s="279"/>
      <c r="I21" s="279"/>
      <c r="J21" s="283"/>
    </row>
    <row r="22" spans="1:10">
      <c r="B22" s="284"/>
      <c r="C22" s="279"/>
      <c r="D22" s="279"/>
      <c r="E22" s="279"/>
      <c r="F22" s="279"/>
      <c r="G22" s="279"/>
      <c r="H22" s="279"/>
      <c r="I22" s="279"/>
      <c r="J22" s="279"/>
    </row>
    <row r="23" spans="1:10">
      <c r="B23" s="285"/>
      <c r="C23" s="279"/>
      <c r="D23" s="279"/>
      <c r="E23" s="279"/>
      <c r="F23" s="279"/>
      <c r="G23" s="279"/>
      <c r="H23" s="279"/>
      <c r="I23" s="279"/>
      <c r="J23" s="279"/>
    </row>
    <row r="24" spans="1:10">
      <c r="B24" s="280"/>
      <c r="C24" s="279"/>
      <c r="D24" s="279"/>
      <c r="E24" s="279"/>
      <c r="F24" s="279"/>
      <c r="G24" s="279"/>
      <c r="H24" s="279"/>
      <c r="I24" s="279"/>
      <c r="J24" s="279"/>
    </row>
    <row r="25" spans="1:10">
      <c r="B25" s="280"/>
      <c r="C25" s="280"/>
      <c r="D25" s="280"/>
      <c r="E25" s="280"/>
      <c r="F25" s="280"/>
      <c r="G25" s="280"/>
      <c r="H25" s="280"/>
      <c r="I25" s="280"/>
      <c r="J25" s="280"/>
    </row>
    <row r="26" spans="1:10">
      <c r="B26" s="280"/>
      <c r="C26" s="279"/>
      <c r="D26" s="279"/>
      <c r="E26" s="279"/>
      <c r="F26" s="279"/>
      <c r="G26" s="279"/>
      <c r="H26" s="279"/>
      <c r="I26" s="279"/>
      <c r="J26" s="280"/>
    </row>
    <row r="27" spans="1:10">
      <c r="B27" s="250"/>
      <c r="C27" s="250"/>
      <c r="D27" s="250"/>
      <c r="E27" s="250"/>
      <c r="F27" s="250"/>
      <c r="G27" s="250"/>
      <c r="H27" s="250"/>
      <c r="I27" s="280"/>
    </row>
    <row r="28" spans="1:10">
      <c r="B28" s="250"/>
      <c r="C28" s="250"/>
      <c r="D28" s="250"/>
      <c r="E28" s="250"/>
      <c r="F28" s="250"/>
      <c r="G28" s="250"/>
      <c r="H28" s="250"/>
      <c r="I28" s="280"/>
    </row>
    <row r="29" spans="1:10">
      <c r="B29" s="250"/>
      <c r="C29" s="250"/>
      <c r="D29" s="250"/>
      <c r="E29" s="250"/>
      <c r="F29" s="250"/>
      <c r="G29" s="250"/>
      <c r="H29" s="250"/>
      <c r="I29" s="280"/>
    </row>
    <row r="30" spans="1:10">
      <c r="B30" s="250"/>
      <c r="C30" s="250"/>
      <c r="D30" s="250"/>
      <c r="E30" s="250"/>
      <c r="F30" s="250"/>
      <c r="G30" s="250"/>
      <c r="H30" s="250"/>
      <c r="I30" s="280"/>
    </row>
  </sheetData>
  <pageMargins left="0.75" right="0.75" top="1.5" bottom="0.5" header="0.25" footer="0.5"/>
  <pageSetup scale="85" orientation="landscape" r:id="rId1"/>
  <headerFooter alignWithMargins="0">
    <oddHeader xml:space="preserve">&amp;L&amp;G&amp;C&amp;"Arial Black,Bold"&amp;14AAA 2023-2025 FUNDING ALLOCATION
</oddHeader>
    <oddFooter>&amp;R&amp;"Century Gothic,Regular"Page &amp;P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14BD-97D4-48A5-9C18-7F3FCD769180}">
  <sheetPr>
    <tabColor theme="7" tint="0.59999389629810485"/>
    <pageSetUpPr fitToPage="1"/>
  </sheetPr>
  <dimension ref="A1:M31"/>
  <sheetViews>
    <sheetView showGridLines="0" topLeftCell="B1" zoomScale="85" zoomScaleNormal="85" zoomScaleSheetLayoutView="75" workbookViewId="0">
      <pane xSplit="1" ySplit="1" topLeftCell="C2" activePane="bottomRight" state="frozen"/>
      <selection activeCell="E33" sqref="E33"/>
      <selection pane="topRight" activeCell="E33" sqref="E33"/>
      <selection pane="bottomLeft" activeCell="E33" sqref="E33"/>
      <selection pane="bottomRight" activeCell="E33" sqref="E33"/>
    </sheetView>
  </sheetViews>
  <sheetFormatPr defaultColWidth="32.7109375" defaultRowHeight="15.75"/>
  <cols>
    <col min="1" max="1" width="7.5703125" style="251" hidden="1" customWidth="1"/>
    <col min="2" max="2" width="16.140625" style="251" customWidth="1"/>
    <col min="3" max="3" width="17.85546875" style="251" bestFit="1" customWidth="1"/>
    <col min="4" max="4" width="18.85546875" style="251" bestFit="1" customWidth="1"/>
    <col min="5" max="5" width="20.42578125" style="251" bestFit="1" customWidth="1"/>
    <col min="6" max="6" width="14.7109375" style="251" bestFit="1" customWidth="1"/>
    <col min="7" max="7" width="14.7109375" style="251" customWidth="1"/>
    <col min="8" max="8" width="19.85546875" style="251" customWidth="1"/>
    <col min="9" max="9" width="18.140625" style="251" customWidth="1"/>
    <col min="10" max="10" width="17" style="286" bestFit="1" customWidth="1"/>
    <col min="11" max="11" width="13" style="250" customWidth="1"/>
    <col min="12" max="12" width="18.5703125" style="251" customWidth="1"/>
    <col min="13" max="252" width="32.7109375" style="251"/>
    <col min="253" max="253" width="0" style="251" hidden="1" customWidth="1"/>
    <col min="254" max="254" width="16.140625" style="251" customWidth="1"/>
    <col min="255" max="255" width="15.42578125" style="251" bestFit="1" customWidth="1"/>
    <col min="256" max="259" width="13" style="251" bestFit="1" customWidth="1"/>
    <col min="260" max="260" width="13.140625" style="251" customWidth="1"/>
    <col min="261" max="261" width="15.42578125" style="251" bestFit="1" customWidth="1"/>
    <col min="262" max="262" width="2.5703125" style="251" customWidth="1"/>
    <col min="263" max="263" width="16" style="251" customWidth="1"/>
    <col min="264" max="264" width="11" style="251" customWidth="1"/>
    <col min="265" max="265" width="16.140625" style="251" customWidth="1"/>
    <col min="266" max="508" width="32.7109375" style="251"/>
    <col min="509" max="509" width="0" style="251" hidden="1" customWidth="1"/>
    <col min="510" max="510" width="16.140625" style="251" customWidth="1"/>
    <col min="511" max="511" width="15.42578125" style="251" bestFit="1" customWidth="1"/>
    <col min="512" max="515" width="13" style="251" bestFit="1" customWidth="1"/>
    <col min="516" max="516" width="13.140625" style="251" customWidth="1"/>
    <col min="517" max="517" width="15.42578125" style="251" bestFit="1" customWidth="1"/>
    <col min="518" max="518" width="2.5703125" style="251" customWidth="1"/>
    <col min="519" max="519" width="16" style="251" customWidth="1"/>
    <col min="520" max="520" width="11" style="251" customWidth="1"/>
    <col min="521" max="521" width="16.140625" style="251" customWidth="1"/>
    <col min="522" max="764" width="32.7109375" style="251"/>
    <col min="765" max="765" width="0" style="251" hidden="1" customWidth="1"/>
    <col min="766" max="766" width="16.140625" style="251" customWidth="1"/>
    <col min="767" max="767" width="15.42578125" style="251" bestFit="1" customWidth="1"/>
    <col min="768" max="771" width="13" style="251" bestFit="1" customWidth="1"/>
    <col min="772" max="772" width="13.140625" style="251" customWidth="1"/>
    <col min="773" max="773" width="15.42578125" style="251" bestFit="1" customWidth="1"/>
    <col min="774" max="774" width="2.5703125" style="251" customWidth="1"/>
    <col min="775" max="775" width="16" style="251" customWidth="1"/>
    <col min="776" max="776" width="11" style="251" customWidth="1"/>
    <col min="777" max="777" width="16.140625" style="251" customWidth="1"/>
    <col min="778" max="1020" width="32.7109375" style="251"/>
    <col min="1021" max="1021" width="0" style="251" hidden="1" customWidth="1"/>
    <col min="1022" max="1022" width="16.140625" style="251" customWidth="1"/>
    <col min="1023" max="1023" width="15.42578125" style="251" bestFit="1" customWidth="1"/>
    <col min="1024" max="1027" width="13" style="251" bestFit="1" customWidth="1"/>
    <col min="1028" max="1028" width="13.140625" style="251" customWidth="1"/>
    <col min="1029" max="1029" width="15.42578125" style="251" bestFit="1" customWidth="1"/>
    <col min="1030" max="1030" width="2.5703125" style="251" customWidth="1"/>
    <col min="1031" max="1031" width="16" style="251" customWidth="1"/>
    <col min="1032" max="1032" width="11" style="251" customWidth="1"/>
    <col min="1033" max="1033" width="16.140625" style="251" customWidth="1"/>
    <col min="1034" max="1276" width="32.7109375" style="251"/>
    <col min="1277" max="1277" width="0" style="251" hidden="1" customWidth="1"/>
    <col min="1278" max="1278" width="16.140625" style="251" customWidth="1"/>
    <col min="1279" max="1279" width="15.42578125" style="251" bestFit="1" customWidth="1"/>
    <col min="1280" max="1283" width="13" style="251" bestFit="1" customWidth="1"/>
    <col min="1284" max="1284" width="13.140625" style="251" customWidth="1"/>
    <col min="1285" max="1285" width="15.42578125" style="251" bestFit="1" customWidth="1"/>
    <col min="1286" max="1286" width="2.5703125" style="251" customWidth="1"/>
    <col min="1287" max="1287" width="16" style="251" customWidth="1"/>
    <col min="1288" max="1288" width="11" style="251" customWidth="1"/>
    <col min="1289" max="1289" width="16.140625" style="251" customWidth="1"/>
    <col min="1290" max="1532" width="32.7109375" style="251"/>
    <col min="1533" max="1533" width="0" style="251" hidden="1" customWidth="1"/>
    <col min="1534" max="1534" width="16.140625" style="251" customWidth="1"/>
    <col min="1535" max="1535" width="15.42578125" style="251" bestFit="1" customWidth="1"/>
    <col min="1536" max="1539" width="13" style="251" bestFit="1" customWidth="1"/>
    <col min="1540" max="1540" width="13.140625" style="251" customWidth="1"/>
    <col min="1541" max="1541" width="15.42578125" style="251" bestFit="1" customWidth="1"/>
    <col min="1542" max="1542" width="2.5703125" style="251" customWidth="1"/>
    <col min="1543" max="1543" width="16" style="251" customWidth="1"/>
    <col min="1544" max="1544" width="11" style="251" customWidth="1"/>
    <col min="1545" max="1545" width="16.140625" style="251" customWidth="1"/>
    <col min="1546" max="1788" width="32.7109375" style="251"/>
    <col min="1789" max="1789" width="0" style="251" hidden="1" customWidth="1"/>
    <col min="1790" max="1790" width="16.140625" style="251" customWidth="1"/>
    <col min="1791" max="1791" width="15.42578125" style="251" bestFit="1" customWidth="1"/>
    <col min="1792" max="1795" width="13" style="251" bestFit="1" customWidth="1"/>
    <col min="1796" max="1796" width="13.140625" style="251" customWidth="1"/>
    <col min="1797" max="1797" width="15.42578125" style="251" bestFit="1" customWidth="1"/>
    <col min="1798" max="1798" width="2.5703125" style="251" customWidth="1"/>
    <col min="1799" max="1799" width="16" style="251" customWidth="1"/>
    <col min="1800" max="1800" width="11" style="251" customWidth="1"/>
    <col min="1801" max="1801" width="16.140625" style="251" customWidth="1"/>
    <col min="1802" max="2044" width="32.7109375" style="251"/>
    <col min="2045" max="2045" width="0" style="251" hidden="1" customWidth="1"/>
    <col min="2046" max="2046" width="16.140625" style="251" customWidth="1"/>
    <col min="2047" max="2047" width="15.42578125" style="251" bestFit="1" customWidth="1"/>
    <col min="2048" max="2051" width="13" style="251" bestFit="1" customWidth="1"/>
    <col min="2052" max="2052" width="13.140625" style="251" customWidth="1"/>
    <col min="2053" max="2053" width="15.42578125" style="251" bestFit="1" customWidth="1"/>
    <col min="2054" max="2054" width="2.5703125" style="251" customWidth="1"/>
    <col min="2055" max="2055" width="16" style="251" customWidth="1"/>
    <col min="2056" max="2056" width="11" style="251" customWidth="1"/>
    <col min="2057" max="2057" width="16.140625" style="251" customWidth="1"/>
    <col min="2058" max="2300" width="32.7109375" style="251"/>
    <col min="2301" max="2301" width="0" style="251" hidden="1" customWidth="1"/>
    <col min="2302" max="2302" width="16.140625" style="251" customWidth="1"/>
    <col min="2303" max="2303" width="15.42578125" style="251" bestFit="1" customWidth="1"/>
    <col min="2304" max="2307" width="13" style="251" bestFit="1" customWidth="1"/>
    <col min="2308" max="2308" width="13.140625" style="251" customWidth="1"/>
    <col min="2309" max="2309" width="15.42578125" style="251" bestFit="1" customWidth="1"/>
    <col min="2310" max="2310" width="2.5703125" style="251" customWidth="1"/>
    <col min="2311" max="2311" width="16" style="251" customWidth="1"/>
    <col min="2312" max="2312" width="11" style="251" customWidth="1"/>
    <col min="2313" max="2313" width="16.140625" style="251" customWidth="1"/>
    <col min="2314" max="2556" width="32.7109375" style="251"/>
    <col min="2557" max="2557" width="0" style="251" hidden="1" customWidth="1"/>
    <col min="2558" max="2558" width="16.140625" style="251" customWidth="1"/>
    <col min="2559" max="2559" width="15.42578125" style="251" bestFit="1" customWidth="1"/>
    <col min="2560" max="2563" width="13" style="251" bestFit="1" customWidth="1"/>
    <col min="2564" max="2564" width="13.140625" style="251" customWidth="1"/>
    <col min="2565" max="2565" width="15.42578125" style="251" bestFit="1" customWidth="1"/>
    <col min="2566" max="2566" width="2.5703125" style="251" customWidth="1"/>
    <col min="2567" max="2567" width="16" style="251" customWidth="1"/>
    <col min="2568" max="2568" width="11" style="251" customWidth="1"/>
    <col min="2569" max="2569" width="16.140625" style="251" customWidth="1"/>
    <col min="2570" max="2812" width="32.7109375" style="251"/>
    <col min="2813" max="2813" width="0" style="251" hidden="1" customWidth="1"/>
    <col min="2814" max="2814" width="16.140625" style="251" customWidth="1"/>
    <col min="2815" max="2815" width="15.42578125" style="251" bestFit="1" customWidth="1"/>
    <col min="2816" max="2819" width="13" style="251" bestFit="1" customWidth="1"/>
    <col min="2820" max="2820" width="13.140625" style="251" customWidth="1"/>
    <col min="2821" max="2821" width="15.42578125" style="251" bestFit="1" customWidth="1"/>
    <col min="2822" max="2822" width="2.5703125" style="251" customWidth="1"/>
    <col min="2823" max="2823" width="16" style="251" customWidth="1"/>
    <col min="2824" max="2824" width="11" style="251" customWidth="1"/>
    <col min="2825" max="2825" width="16.140625" style="251" customWidth="1"/>
    <col min="2826" max="3068" width="32.7109375" style="251"/>
    <col min="3069" max="3069" width="0" style="251" hidden="1" customWidth="1"/>
    <col min="3070" max="3070" width="16.140625" style="251" customWidth="1"/>
    <col min="3071" max="3071" width="15.42578125" style="251" bestFit="1" customWidth="1"/>
    <col min="3072" max="3075" width="13" style="251" bestFit="1" customWidth="1"/>
    <col min="3076" max="3076" width="13.140625" style="251" customWidth="1"/>
    <col min="3077" max="3077" width="15.42578125" style="251" bestFit="1" customWidth="1"/>
    <col min="3078" max="3078" width="2.5703125" style="251" customWidth="1"/>
    <col min="3079" max="3079" width="16" style="251" customWidth="1"/>
    <col min="3080" max="3080" width="11" style="251" customWidth="1"/>
    <col min="3081" max="3081" width="16.140625" style="251" customWidth="1"/>
    <col min="3082" max="3324" width="32.7109375" style="251"/>
    <col min="3325" max="3325" width="0" style="251" hidden="1" customWidth="1"/>
    <col min="3326" max="3326" width="16.140625" style="251" customWidth="1"/>
    <col min="3327" max="3327" width="15.42578125" style="251" bestFit="1" customWidth="1"/>
    <col min="3328" max="3331" width="13" style="251" bestFit="1" customWidth="1"/>
    <col min="3332" max="3332" width="13.140625" style="251" customWidth="1"/>
    <col min="3333" max="3333" width="15.42578125" style="251" bestFit="1" customWidth="1"/>
    <col min="3334" max="3334" width="2.5703125" style="251" customWidth="1"/>
    <col min="3335" max="3335" width="16" style="251" customWidth="1"/>
    <col min="3336" max="3336" width="11" style="251" customWidth="1"/>
    <col min="3337" max="3337" width="16.140625" style="251" customWidth="1"/>
    <col min="3338" max="3580" width="32.7109375" style="251"/>
    <col min="3581" max="3581" width="0" style="251" hidden="1" customWidth="1"/>
    <col min="3582" max="3582" width="16.140625" style="251" customWidth="1"/>
    <col min="3583" max="3583" width="15.42578125" style="251" bestFit="1" customWidth="1"/>
    <col min="3584" max="3587" width="13" style="251" bestFit="1" customWidth="1"/>
    <col min="3588" max="3588" width="13.140625" style="251" customWidth="1"/>
    <col min="3589" max="3589" width="15.42578125" style="251" bestFit="1" customWidth="1"/>
    <col min="3590" max="3590" width="2.5703125" style="251" customWidth="1"/>
    <col min="3591" max="3591" width="16" style="251" customWidth="1"/>
    <col min="3592" max="3592" width="11" style="251" customWidth="1"/>
    <col min="3593" max="3593" width="16.140625" style="251" customWidth="1"/>
    <col min="3594" max="3836" width="32.7109375" style="251"/>
    <col min="3837" max="3837" width="0" style="251" hidden="1" customWidth="1"/>
    <col min="3838" max="3838" width="16.140625" style="251" customWidth="1"/>
    <col min="3839" max="3839" width="15.42578125" style="251" bestFit="1" customWidth="1"/>
    <col min="3840" max="3843" width="13" style="251" bestFit="1" customWidth="1"/>
    <col min="3844" max="3844" width="13.140625" style="251" customWidth="1"/>
    <col min="3845" max="3845" width="15.42578125" style="251" bestFit="1" customWidth="1"/>
    <col min="3846" max="3846" width="2.5703125" style="251" customWidth="1"/>
    <col min="3847" max="3847" width="16" style="251" customWidth="1"/>
    <col min="3848" max="3848" width="11" style="251" customWidth="1"/>
    <col min="3849" max="3849" width="16.140625" style="251" customWidth="1"/>
    <col min="3850" max="4092" width="32.7109375" style="251"/>
    <col min="4093" max="4093" width="0" style="251" hidden="1" customWidth="1"/>
    <col min="4094" max="4094" width="16.140625" style="251" customWidth="1"/>
    <col min="4095" max="4095" width="15.42578125" style="251" bestFit="1" customWidth="1"/>
    <col min="4096" max="4099" width="13" style="251" bestFit="1" customWidth="1"/>
    <col min="4100" max="4100" width="13.140625" style="251" customWidth="1"/>
    <col min="4101" max="4101" width="15.42578125" style="251" bestFit="1" customWidth="1"/>
    <col min="4102" max="4102" width="2.5703125" style="251" customWidth="1"/>
    <col min="4103" max="4103" width="16" style="251" customWidth="1"/>
    <col min="4104" max="4104" width="11" style="251" customWidth="1"/>
    <col min="4105" max="4105" width="16.140625" style="251" customWidth="1"/>
    <col min="4106" max="4348" width="32.7109375" style="251"/>
    <col min="4349" max="4349" width="0" style="251" hidden="1" customWidth="1"/>
    <col min="4350" max="4350" width="16.140625" style="251" customWidth="1"/>
    <col min="4351" max="4351" width="15.42578125" style="251" bestFit="1" customWidth="1"/>
    <col min="4352" max="4355" width="13" style="251" bestFit="1" customWidth="1"/>
    <col min="4356" max="4356" width="13.140625" style="251" customWidth="1"/>
    <col min="4357" max="4357" width="15.42578125" style="251" bestFit="1" customWidth="1"/>
    <col min="4358" max="4358" width="2.5703125" style="251" customWidth="1"/>
    <col min="4359" max="4359" width="16" style="251" customWidth="1"/>
    <col min="4360" max="4360" width="11" style="251" customWidth="1"/>
    <col min="4361" max="4361" width="16.140625" style="251" customWidth="1"/>
    <col min="4362" max="4604" width="32.7109375" style="251"/>
    <col min="4605" max="4605" width="0" style="251" hidden="1" customWidth="1"/>
    <col min="4606" max="4606" width="16.140625" style="251" customWidth="1"/>
    <col min="4607" max="4607" width="15.42578125" style="251" bestFit="1" customWidth="1"/>
    <col min="4608" max="4611" width="13" style="251" bestFit="1" customWidth="1"/>
    <col min="4612" max="4612" width="13.140625" style="251" customWidth="1"/>
    <col min="4613" max="4613" width="15.42578125" style="251" bestFit="1" customWidth="1"/>
    <col min="4614" max="4614" width="2.5703125" style="251" customWidth="1"/>
    <col min="4615" max="4615" width="16" style="251" customWidth="1"/>
    <col min="4616" max="4616" width="11" style="251" customWidth="1"/>
    <col min="4617" max="4617" width="16.140625" style="251" customWidth="1"/>
    <col min="4618" max="4860" width="32.7109375" style="251"/>
    <col min="4861" max="4861" width="0" style="251" hidden="1" customWidth="1"/>
    <col min="4862" max="4862" width="16.140625" style="251" customWidth="1"/>
    <col min="4863" max="4863" width="15.42578125" style="251" bestFit="1" customWidth="1"/>
    <col min="4864" max="4867" width="13" style="251" bestFit="1" customWidth="1"/>
    <col min="4868" max="4868" width="13.140625" style="251" customWidth="1"/>
    <col min="4869" max="4869" width="15.42578125" style="251" bestFit="1" customWidth="1"/>
    <col min="4870" max="4870" width="2.5703125" style="251" customWidth="1"/>
    <col min="4871" max="4871" width="16" style="251" customWidth="1"/>
    <col min="4872" max="4872" width="11" style="251" customWidth="1"/>
    <col min="4873" max="4873" width="16.140625" style="251" customWidth="1"/>
    <col min="4874" max="5116" width="32.7109375" style="251"/>
    <col min="5117" max="5117" width="0" style="251" hidden="1" customWidth="1"/>
    <col min="5118" max="5118" width="16.140625" style="251" customWidth="1"/>
    <col min="5119" max="5119" width="15.42578125" style="251" bestFit="1" customWidth="1"/>
    <col min="5120" max="5123" width="13" style="251" bestFit="1" customWidth="1"/>
    <col min="5124" max="5124" width="13.140625" style="251" customWidth="1"/>
    <col min="5125" max="5125" width="15.42578125" style="251" bestFit="1" customWidth="1"/>
    <col min="5126" max="5126" width="2.5703125" style="251" customWidth="1"/>
    <col min="5127" max="5127" width="16" style="251" customWidth="1"/>
    <col min="5128" max="5128" width="11" style="251" customWidth="1"/>
    <col min="5129" max="5129" width="16.140625" style="251" customWidth="1"/>
    <col min="5130" max="5372" width="32.7109375" style="251"/>
    <col min="5373" max="5373" width="0" style="251" hidden="1" customWidth="1"/>
    <col min="5374" max="5374" width="16.140625" style="251" customWidth="1"/>
    <col min="5375" max="5375" width="15.42578125" style="251" bestFit="1" customWidth="1"/>
    <col min="5376" max="5379" width="13" style="251" bestFit="1" customWidth="1"/>
    <col min="5380" max="5380" width="13.140625" style="251" customWidth="1"/>
    <col min="5381" max="5381" width="15.42578125" style="251" bestFit="1" customWidth="1"/>
    <col min="5382" max="5382" width="2.5703125" style="251" customWidth="1"/>
    <col min="5383" max="5383" width="16" style="251" customWidth="1"/>
    <col min="5384" max="5384" width="11" style="251" customWidth="1"/>
    <col min="5385" max="5385" width="16.140625" style="251" customWidth="1"/>
    <col min="5386" max="5628" width="32.7109375" style="251"/>
    <col min="5629" max="5629" width="0" style="251" hidden="1" customWidth="1"/>
    <col min="5630" max="5630" width="16.140625" style="251" customWidth="1"/>
    <col min="5631" max="5631" width="15.42578125" style="251" bestFit="1" customWidth="1"/>
    <col min="5632" max="5635" width="13" style="251" bestFit="1" customWidth="1"/>
    <col min="5636" max="5636" width="13.140625" style="251" customWidth="1"/>
    <col min="5637" max="5637" width="15.42578125" style="251" bestFit="1" customWidth="1"/>
    <col min="5638" max="5638" width="2.5703125" style="251" customWidth="1"/>
    <col min="5639" max="5639" width="16" style="251" customWidth="1"/>
    <col min="5640" max="5640" width="11" style="251" customWidth="1"/>
    <col min="5641" max="5641" width="16.140625" style="251" customWidth="1"/>
    <col min="5642" max="5884" width="32.7109375" style="251"/>
    <col min="5885" max="5885" width="0" style="251" hidden="1" customWidth="1"/>
    <col min="5886" max="5886" width="16.140625" style="251" customWidth="1"/>
    <col min="5887" max="5887" width="15.42578125" style="251" bestFit="1" customWidth="1"/>
    <col min="5888" max="5891" width="13" style="251" bestFit="1" customWidth="1"/>
    <col min="5892" max="5892" width="13.140625" style="251" customWidth="1"/>
    <col min="5893" max="5893" width="15.42578125" style="251" bestFit="1" customWidth="1"/>
    <col min="5894" max="5894" width="2.5703125" style="251" customWidth="1"/>
    <col min="5895" max="5895" width="16" style="251" customWidth="1"/>
    <col min="5896" max="5896" width="11" style="251" customWidth="1"/>
    <col min="5897" max="5897" width="16.140625" style="251" customWidth="1"/>
    <col min="5898" max="6140" width="32.7109375" style="251"/>
    <col min="6141" max="6141" width="0" style="251" hidden="1" customWidth="1"/>
    <col min="6142" max="6142" width="16.140625" style="251" customWidth="1"/>
    <col min="6143" max="6143" width="15.42578125" style="251" bestFit="1" customWidth="1"/>
    <col min="6144" max="6147" width="13" style="251" bestFit="1" customWidth="1"/>
    <col min="6148" max="6148" width="13.140625" style="251" customWidth="1"/>
    <col min="6149" max="6149" width="15.42578125" style="251" bestFit="1" customWidth="1"/>
    <col min="6150" max="6150" width="2.5703125" style="251" customWidth="1"/>
    <col min="6151" max="6151" width="16" style="251" customWidth="1"/>
    <col min="6152" max="6152" width="11" style="251" customWidth="1"/>
    <col min="6153" max="6153" width="16.140625" style="251" customWidth="1"/>
    <col min="6154" max="6396" width="32.7109375" style="251"/>
    <col min="6397" max="6397" width="0" style="251" hidden="1" customWidth="1"/>
    <col min="6398" max="6398" width="16.140625" style="251" customWidth="1"/>
    <col min="6399" max="6399" width="15.42578125" style="251" bestFit="1" customWidth="1"/>
    <col min="6400" max="6403" width="13" style="251" bestFit="1" customWidth="1"/>
    <col min="6404" max="6404" width="13.140625" style="251" customWidth="1"/>
    <col min="6405" max="6405" width="15.42578125" style="251" bestFit="1" customWidth="1"/>
    <col min="6406" max="6406" width="2.5703125" style="251" customWidth="1"/>
    <col min="6407" max="6407" width="16" style="251" customWidth="1"/>
    <col min="6408" max="6408" width="11" style="251" customWidth="1"/>
    <col min="6409" max="6409" width="16.140625" style="251" customWidth="1"/>
    <col min="6410" max="6652" width="32.7109375" style="251"/>
    <col min="6653" max="6653" width="0" style="251" hidden="1" customWidth="1"/>
    <col min="6654" max="6654" width="16.140625" style="251" customWidth="1"/>
    <col min="6655" max="6655" width="15.42578125" style="251" bestFit="1" customWidth="1"/>
    <col min="6656" max="6659" width="13" style="251" bestFit="1" customWidth="1"/>
    <col min="6660" max="6660" width="13.140625" style="251" customWidth="1"/>
    <col min="6661" max="6661" width="15.42578125" style="251" bestFit="1" customWidth="1"/>
    <col min="6662" max="6662" width="2.5703125" style="251" customWidth="1"/>
    <col min="6663" max="6663" width="16" style="251" customWidth="1"/>
    <col min="6664" max="6664" width="11" style="251" customWidth="1"/>
    <col min="6665" max="6665" width="16.140625" style="251" customWidth="1"/>
    <col min="6666" max="6908" width="32.7109375" style="251"/>
    <col min="6909" max="6909" width="0" style="251" hidden="1" customWidth="1"/>
    <col min="6910" max="6910" width="16.140625" style="251" customWidth="1"/>
    <col min="6911" max="6911" width="15.42578125" style="251" bestFit="1" customWidth="1"/>
    <col min="6912" max="6915" width="13" style="251" bestFit="1" customWidth="1"/>
    <col min="6916" max="6916" width="13.140625" style="251" customWidth="1"/>
    <col min="6917" max="6917" width="15.42578125" style="251" bestFit="1" customWidth="1"/>
    <col min="6918" max="6918" width="2.5703125" style="251" customWidth="1"/>
    <col min="6919" max="6919" width="16" style="251" customWidth="1"/>
    <col min="6920" max="6920" width="11" style="251" customWidth="1"/>
    <col min="6921" max="6921" width="16.140625" style="251" customWidth="1"/>
    <col min="6922" max="7164" width="32.7109375" style="251"/>
    <col min="7165" max="7165" width="0" style="251" hidden="1" customWidth="1"/>
    <col min="7166" max="7166" width="16.140625" style="251" customWidth="1"/>
    <col min="7167" max="7167" width="15.42578125" style="251" bestFit="1" customWidth="1"/>
    <col min="7168" max="7171" width="13" style="251" bestFit="1" customWidth="1"/>
    <col min="7172" max="7172" width="13.140625" style="251" customWidth="1"/>
    <col min="7173" max="7173" width="15.42578125" style="251" bestFit="1" customWidth="1"/>
    <col min="7174" max="7174" width="2.5703125" style="251" customWidth="1"/>
    <col min="7175" max="7175" width="16" style="251" customWidth="1"/>
    <col min="7176" max="7176" width="11" style="251" customWidth="1"/>
    <col min="7177" max="7177" width="16.140625" style="251" customWidth="1"/>
    <col min="7178" max="7420" width="32.7109375" style="251"/>
    <col min="7421" max="7421" width="0" style="251" hidden="1" customWidth="1"/>
    <col min="7422" max="7422" width="16.140625" style="251" customWidth="1"/>
    <col min="7423" max="7423" width="15.42578125" style="251" bestFit="1" customWidth="1"/>
    <col min="7424" max="7427" width="13" style="251" bestFit="1" customWidth="1"/>
    <col min="7428" max="7428" width="13.140625" style="251" customWidth="1"/>
    <col min="7429" max="7429" width="15.42578125" style="251" bestFit="1" customWidth="1"/>
    <col min="7430" max="7430" width="2.5703125" style="251" customWidth="1"/>
    <col min="7431" max="7431" width="16" style="251" customWidth="1"/>
    <col min="7432" max="7432" width="11" style="251" customWidth="1"/>
    <col min="7433" max="7433" width="16.140625" style="251" customWidth="1"/>
    <col min="7434" max="7676" width="32.7109375" style="251"/>
    <col min="7677" max="7677" width="0" style="251" hidden="1" customWidth="1"/>
    <col min="7678" max="7678" width="16.140625" style="251" customWidth="1"/>
    <col min="7679" max="7679" width="15.42578125" style="251" bestFit="1" customWidth="1"/>
    <col min="7680" max="7683" width="13" style="251" bestFit="1" customWidth="1"/>
    <col min="7684" max="7684" width="13.140625" style="251" customWidth="1"/>
    <col min="7685" max="7685" width="15.42578125" style="251" bestFit="1" customWidth="1"/>
    <col min="7686" max="7686" width="2.5703125" style="251" customWidth="1"/>
    <col min="7687" max="7687" width="16" style="251" customWidth="1"/>
    <col min="7688" max="7688" width="11" style="251" customWidth="1"/>
    <col min="7689" max="7689" width="16.140625" style="251" customWidth="1"/>
    <col min="7690" max="7932" width="32.7109375" style="251"/>
    <col min="7933" max="7933" width="0" style="251" hidden="1" customWidth="1"/>
    <col min="7934" max="7934" width="16.140625" style="251" customWidth="1"/>
    <col min="7935" max="7935" width="15.42578125" style="251" bestFit="1" customWidth="1"/>
    <col min="7936" max="7939" width="13" style="251" bestFit="1" customWidth="1"/>
    <col min="7940" max="7940" width="13.140625" style="251" customWidth="1"/>
    <col min="7941" max="7941" width="15.42578125" style="251" bestFit="1" customWidth="1"/>
    <col min="7942" max="7942" width="2.5703125" style="251" customWidth="1"/>
    <col min="7943" max="7943" width="16" style="251" customWidth="1"/>
    <col min="7944" max="7944" width="11" style="251" customWidth="1"/>
    <col min="7945" max="7945" width="16.140625" style="251" customWidth="1"/>
    <col min="7946" max="8188" width="32.7109375" style="251"/>
    <col min="8189" max="8189" width="0" style="251" hidden="1" customWidth="1"/>
    <col min="8190" max="8190" width="16.140625" style="251" customWidth="1"/>
    <col min="8191" max="8191" width="15.42578125" style="251" bestFit="1" customWidth="1"/>
    <col min="8192" max="8195" width="13" style="251" bestFit="1" customWidth="1"/>
    <col min="8196" max="8196" width="13.140625" style="251" customWidth="1"/>
    <col min="8197" max="8197" width="15.42578125" style="251" bestFit="1" customWidth="1"/>
    <col min="8198" max="8198" width="2.5703125" style="251" customWidth="1"/>
    <col min="8199" max="8199" width="16" style="251" customWidth="1"/>
    <col min="8200" max="8200" width="11" style="251" customWidth="1"/>
    <col min="8201" max="8201" width="16.140625" style="251" customWidth="1"/>
    <col min="8202" max="8444" width="32.7109375" style="251"/>
    <col min="8445" max="8445" width="0" style="251" hidden="1" customWidth="1"/>
    <col min="8446" max="8446" width="16.140625" style="251" customWidth="1"/>
    <col min="8447" max="8447" width="15.42578125" style="251" bestFit="1" customWidth="1"/>
    <col min="8448" max="8451" width="13" style="251" bestFit="1" customWidth="1"/>
    <col min="8452" max="8452" width="13.140625" style="251" customWidth="1"/>
    <col min="8453" max="8453" width="15.42578125" style="251" bestFit="1" customWidth="1"/>
    <col min="8454" max="8454" width="2.5703125" style="251" customWidth="1"/>
    <col min="8455" max="8455" width="16" style="251" customWidth="1"/>
    <col min="8456" max="8456" width="11" style="251" customWidth="1"/>
    <col min="8457" max="8457" width="16.140625" style="251" customWidth="1"/>
    <col min="8458" max="8700" width="32.7109375" style="251"/>
    <col min="8701" max="8701" width="0" style="251" hidden="1" customWidth="1"/>
    <col min="8702" max="8702" width="16.140625" style="251" customWidth="1"/>
    <col min="8703" max="8703" width="15.42578125" style="251" bestFit="1" customWidth="1"/>
    <col min="8704" max="8707" width="13" style="251" bestFit="1" customWidth="1"/>
    <col min="8708" max="8708" width="13.140625" style="251" customWidth="1"/>
    <col min="8709" max="8709" width="15.42578125" style="251" bestFit="1" customWidth="1"/>
    <col min="8710" max="8710" width="2.5703125" style="251" customWidth="1"/>
    <col min="8711" max="8711" width="16" style="251" customWidth="1"/>
    <col min="8712" max="8712" width="11" style="251" customWidth="1"/>
    <col min="8713" max="8713" width="16.140625" style="251" customWidth="1"/>
    <col min="8714" max="8956" width="32.7109375" style="251"/>
    <col min="8957" max="8957" width="0" style="251" hidden="1" customWidth="1"/>
    <col min="8958" max="8958" width="16.140625" style="251" customWidth="1"/>
    <col min="8959" max="8959" width="15.42578125" style="251" bestFit="1" customWidth="1"/>
    <col min="8960" max="8963" width="13" style="251" bestFit="1" customWidth="1"/>
    <col min="8964" max="8964" width="13.140625" style="251" customWidth="1"/>
    <col min="8965" max="8965" width="15.42578125" style="251" bestFit="1" customWidth="1"/>
    <col min="8966" max="8966" width="2.5703125" style="251" customWidth="1"/>
    <col min="8967" max="8967" width="16" style="251" customWidth="1"/>
    <col min="8968" max="8968" width="11" style="251" customWidth="1"/>
    <col min="8969" max="8969" width="16.140625" style="251" customWidth="1"/>
    <col min="8970" max="9212" width="32.7109375" style="251"/>
    <col min="9213" max="9213" width="0" style="251" hidden="1" customWidth="1"/>
    <col min="9214" max="9214" width="16.140625" style="251" customWidth="1"/>
    <col min="9215" max="9215" width="15.42578125" style="251" bestFit="1" customWidth="1"/>
    <col min="9216" max="9219" width="13" style="251" bestFit="1" customWidth="1"/>
    <col min="9220" max="9220" width="13.140625" style="251" customWidth="1"/>
    <col min="9221" max="9221" width="15.42578125" style="251" bestFit="1" customWidth="1"/>
    <col min="9222" max="9222" width="2.5703125" style="251" customWidth="1"/>
    <col min="9223" max="9223" width="16" style="251" customWidth="1"/>
    <col min="9224" max="9224" width="11" style="251" customWidth="1"/>
    <col min="9225" max="9225" width="16.140625" style="251" customWidth="1"/>
    <col min="9226" max="9468" width="32.7109375" style="251"/>
    <col min="9469" max="9469" width="0" style="251" hidden="1" customWidth="1"/>
    <col min="9470" max="9470" width="16.140625" style="251" customWidth="1"/>
    <col min="9471" max="9471" width="15.42578125" style="251" bestFit="1" customWidth="1"/>
    <col min="9472" max="9475" width="13" style="251" bestFit="1" customWidth="1"/>
    <col min="9476" max="9476" width="13.140625" style="251" customWidth="1"/>
    <col min="9477" max="9477" width="15.42578125" style="251" bestFit="1" customWidth="1"/>
    <col min="9478" max="9478" width="2.5703125" style="251" customWidth="1"/>
    <col min="9479" max="9479" width="16" style="251" customWidth="1"/>
    <col min="9480" max="9480" width="11" style="251" customWidth="1"/>
    <col min="9481" max="9481" width="16.140625" style="251" customWidth="1"/>
    <col min="9482" max="9724" width="32.7109375" style="251"/>
    <col min="9725" max="9725" width="0" style="251" hidden="1" customWidth="1"/>
    <col min="9726" max="9726" width="16.140625" style="251" customWidth="1"/>
    <col min="9727" max="9727" width="15.42578125" style="251" bestFit="1" customWidth="1"/>
    <col min="9728" max="9731" width="13" style="251" bestFit="1" customWidth="1"/>
    <col min="9732" max="9732" width="13.140625" style="251" customWidth="1"/>
    <col min="9733" max="9733" width="15.42578125" style="251" bestFit="1" customWidth="1"/>
    <col min="9734" max="9734" width="2.5703125" style="251" customWidth="1"/>
    <col min="9735" max="9735" width="16" style="251" customWidth="1"/>
    <col min="9736" max="9736" width="11" style="251" customWidth="1"/>
    <col min="9737" max="9737" width="16.140625" style="251" customWidth="1"/>
    <col min="9738" max="9980" width="32.7109375" style="251"/>
    <col min="9981" max="9981" width="0" style="251" hidden="1" customWidth="1"/>
    <col min="9982" max="9982" width="16.140625" style="251" customWidth="1"/>
    <col min="9983" max="9983" width="15.42578125" style="251" bestFit="1" customWidth="1"/>
    <col min="9984" max="9987" width="13" style="251" bestFit="1" customWidth="1"/>
    <col min="9988" max="9988" width="13.140625" style="251" customWidth="1"/>
    <col min="9989" max="9989" width="15.42578125" style="251" bestFit="1" customWidth="1"/>
    <col min="9990" max="9990" width="2.5703125" style="251" customWidth="1"/>
    <col min="9991" max="9991" width="16" style="251" customWidth="1"/>
    <col min="9992" max="9992" width="11" style="251" customWidth="1"/>
    <col min="9993" max="9993" width="16.140625" style="251" customWidth="1"/>
    <col min="9994" max="10236" width="32.7109375" style="251"/>
    <col min="10237" max="10237" width="0" style="251" hidden="1" customWidth="1"/>
    <col min="10238" max="10238" width="16.140625" style="251" customWidth="1"/>
    <col min="10239" max="10239" width="15.42578125" style="251" bestFit="1" customWidth="1"/>
    <col min="10240" max="10243" width="13" style="251" bestFit="1" customWidth="1"/>
    <col min="10244" max="10244" width="13.140625" style="251" customWidth="1"/>
    <col min="10245" max="10245" width="15.42578125" style="251" bestFit="1" customWidth="1"/>
    <col min="10246" max="10246" width="2.5703125" style="251" customWidth="1"/>
    <col min="10247" max="10247" width="16" style="251" customWidth="1"/>
    <col min="10248" max="10248" width="11" style="251" customWidth="1"/>
    <col min="10249" max="10249" width="16.140625" style="251" customWidth="1"/>
    <col min="10250" max="10492" width="32.7109375" style="251"/>
    <col min="10493" max="10493" width="0" style="251" hidden="1" customWidth="1"/>
    <col min="10494" max="10494" width="16.140625" style="251" customWidth="1"/>
    <col min="10495" max="10495" width="15.42578125" style="251" bestFit="1" customWidth="1"/>
    <col min="10496" max="10499" width="13" style="251" bestFit="1" customWidth="1"/>
    <col min="10500" max="10500" width="13.140625" style="251" customWidth="1"/>
    <col min="10501" max="10501" width="15.42578125" style="251" bestFit="1" customWidth="1"/>
    <col min="10502" max="10502" width="2.5703125" style="251" customWidth="1"/>
    <col min="10503" max="10503" width="16" style="251" customWidth="1"/>
    <col min="10504" max="10504" width="11" style="251" customWidth="1"/>
    <col min="10505" max="10505" width="16.140625" style="251" customWidth="1"/>
    <col min="10506" max="10748" width="32.7109375" style="251"/>
    <col min="10749" max="10749" width="0" style="251" hidden="1" customWidth="1"/>
    <col min="10750" max="10750" width="16.140625" style="251" customWidth="1"/>
    <col min="10751" max="10751" width="15.42578125" style="251" bestFit="1" customWidth="1"/>
    <col min="10752" max="10755" width="13" style="251" bestFit="1" customWidth="1"/>
    <col min="10756" max="10756" width="13.140625" style="251" customWidth="1"/>
    <col min="10757" max="10757" width="15.42578125" style="251" bestFit="1" customWidth="1"/>
    <col min="10758" max="10758" width="2.5703125" style="251" customWidth="1"/>
    <col min="10759" max="10759" width="16" style="251" customWidth="1"/>
    <col min="10760" max="10760" width="11" style="251" customWidth="1"/>
    <col min="10761" max="10761" width="16.140625" style="251" customWidth="1"/>
    <col min="10762" max="11004" width="32.7109375" style="251"/>
    <col min="11005" max="11005" width="0" style="251" hidden="1" customWidth="1"/>
    <col min="11006" max="11006" width="16.140625" style="251" customWidth="1"/>
    <col min="11007" max="11007" width="15.42578125" style="251" bestFit="1" customWidth="1"/>
    <col min="11008" max="11011" width="13" style="251" bestFit="1" customWidth="1"/>
    <col min="11012" max="11012" width="13.140625" style="251" customWidth="1"/>
    <col min="11013" max="11013" width="15.42578125" style="251" bestFit="1" customWidth="1"/>
    <col min="11014" max="11014" width="2.5703125" style="251" customWidth="1"/>
    <col min="11015" max="11015" width="16" style="251" customWidth="1"/>
    <col min="11016" max="11016" width="11" style="251" customWidth="1"/>
    <col min="11017" max="11017" width="16.140625" style="251" customWidth="1"/>
    <col min="11018" max="11260" width="32.7109375" style="251"/>
    <col min="11261" max="11261" width="0" style="251" hidden="1" customWidth="1"/>
    <col min="11262" max="11262" width="16.140625" style="251" customWidth="1"/>
    <col min="11263" max="11263" width="15.42578125" style="251" bestFit="1" customWidth="1"/>
    <col min="11264" max="11267" width="13" style="251" bestFit="1" customWidth="1"/>
    <col min="11268" max="11268" width="13.140625" style="251" customWidth="1"/>
    <col min="11269" max="11269" width="15.42578125" style="251" bestFit="1" customWidth="1"/>
    <col min="11270" max="11270" width="2.5703125" style="251" customWidth="1"/>
    <col min="11271" max="11271" width="16" style="251" customWidth="1"/>
    <col min="11272" max="11272" width="11" style="251" customWidth="1"/>
    <col min="11273" max="11273" width="16.140625" style="251" customWidth="1"/>
    <col min="11274" max="11516" width="32.7109375" style="251"/>
    <col min="11517" max="11517" width="0" style="251" hidden="1" customWidth="1"/>
    <col min="11518" max="11518" width="16.140625" style="251" customWidth="1"/>
    <col min="11519" max="11519" width="15.42578125" style="251" bestFit="1" customWidth="1"/>
    <col min="11520" max="11523" width="13" style="251" bestFit="1" customWidth="1"/>
    <col min="11524" max="11524" width="13.140625" style="251" customWidth="1"/>
    <col min="11525" max="11525" width="15.42578125" style="251" bestFit="1" customWidth="1"/>
    <col min="11526" max="11526" width="2.5703125" style="251" customWidth="1"/>
    <col min="11527" max="11527" width="16" style="251" customWidth="1"/>
    <col min="11528" max="11528" width="11" style="251" customWidth="1"/>
    <col min="11529" max="11529" width="16.140625" style="251" customWidth="1"/>
    <col min="11530" max="11772" width="32.7109375" style="251"/>
    <col min="11773" max="11773" width="0" style="251" hidden="1" customWidth="1"/>
    <col min="11774" max="11774" width="16.140625" style="251" customWidth="1"/>
    <col min="11775" max="11775" width="15.42578125" style="251" bestFit="1" customWidth="1"/>
    <col min="11776" max="11779" width="13" style="251" bestFit="1" customWidth="1"/>
    <col min="11780" max="11780" width="13.140625" style="251" customWidth="1"/>
    <col min="11781" max="11781" width="15.42578125" style="251" bestFit="1" customWidth="1"/>
    <col min="11782" max="11782" width="2.5703125" style="251" customWidth="1"/>
    <col min="11783" max="11783" width="16" style="251" customWidth="1"/>
    <col min="11784" max="11784" width="11" style="251" customWidth="1"/>
    <col min="11785" max="11785" width="16.140625" style="251" customWidth="1"/>
    <col min="11786" max="12028" width="32.7109375" style="251"/>
    <col min="12029" max="12029" width="0" style="251" hidden="1" customWidth="1"/>
    <col min="12030" max="12030" width="16.140625" style="251" customWidth="1"/>
    <col min="12031" max="12031" width="15.42578125" style="251" bestFit="1" customWidth="1"/>
    <col min="12032" max="12035" width="13" style="251" bestFit="1" customWidth="1"/>
    <col min="12036" max="12036" width="13.140625" style="251" customWidth="1"/>
    <col min="12037" max="12037" width="15.42578125" style="251" bestFit="1" customWidth="1"/>
    <col min="12038" max="12038" width="2.5703125" style="251" customWidth="1"/>
    <col min="12039" max="12039" width="16" style="251" customWidth="1"/>
    <col min="12040" max="12040" width="11" style="251" customWidth="1"/>
    <col min="12041" max="12041" width="16.140625" style="251" customWidth="1"/>
    <col min="12042" max="12284" width="32.7109375" style="251"/>
    <col min="12285" max="12285" width="0" style="251" hidden="1" customWidth="1"/>
    <col min="12286" max="12286" width="16.140625" style="251" customWidth="1"/>
    <col min="12287" max="12287" width="15.42578125" style="251" bestFit="1" customWidth="1"/>
    <col min="12288" max="12291" width="13" style="251" bestFit="1" customWidth="1"/>
    <col min="12292" max="12292" width="13.140625" style="251" customWidth="1"/>
    <col min="12293" max="12293" width="15.42578125" style="251" bestFit="1" customWidth="1"/>
    <col min="12294" max="12294" width="2.5703125" style="251" customWidth="1"/>
    <col min="12295" max="12295" width="16" style="251" customWidth="1"/>
    <col min="12296" max="12296" width="11" style="251" customWidth="1"/>
    <col min="12297" max="12297" width="16.140625" style="251" customWidth="1"/>
    <col min="12298" max="12540" width="32.7109375" style="251"/>
    <col min="12541" max="12541" width="0" style="251" hidden="1" customWidth="1"/>
    <col min="12542" max="12542" width="16.140625" style="251" customWidth="1"/>
    <col min="12543" max="12543" width="15.42578125" style="251" bestFit="1" customWidth="1"/>
    <col min="12544" max="12547" width="13" style="251" bestFit="1" customWidth="1"/>
    <col min="12548" max="12548" width="13.140625" style="251" customWidth="1"/>
    <col min="12549" max="12549" width="15.42578125" style="251" bestFit="1" customWidth="1"/>
    <col min="12550" max="12550" width="2.5703125" style="251" customWidth="1"/>
    <col min="12551" max="12551" width="16" style="251" customWidth="1"/>
    <col min="12552" max="12552" width="11" style="251" customWidth="1"/>
    <col min="12553" max="12553" width="16.140625" style="251" customWidth="1"/>
    <col min="12554" max="12796" width="32.7109375" style="251"/>
    <col min="12797" max="12797" width="0" style="251" hidden="1" customWidth="1"/>
    <col min="12798" max="12798" width="16.140625" style="251" customWidth="1"/>
    <col min="12799" max="12799" width="15.42578125" style="251" bestFit="1" customWidth="1"/>
    <col min="12800" max="12803" width="13" style="251" bestFit="1" customWidth="1"/>
    <col min="12804" max="12804" width="13.140625" style="251" customWidth="1"/>
    <col min="12805" max="12805" width="15.42578125" style="251" bestFit="1" customWidth="1"/>
    <col min="12806" max="12806" width="2.5703125" style="251" customWidth="1"/>
    <col min="12807" max="12807" width="16" style="251" customWidth="1"/>
    <col min="12808" max="12808" width="11" style="251" customWidth="1"/>
    <col min="12809" max="12809" width="16.140625" style="251" customWidth="1"/>
    <col min="12810" max="13052" width="32.7109375" style="251"/>
    <col min="13053" max="13053" width="0" style="251" hidden="1" customWidth="1"/>
    <col min="13054" max="13054" width="16.140625" style="251" customWidth="1"/>
    <col min="13055" max="13055" width="15.42578125" style="251" bestFit="1" customWidth="1"/>
    <col min="13056" max="13059" width="13" style="251" bestFit="1" customWidth="1"/>
    <col min="13060" max="13060" width="13.140625" style="251" customWidth="1"/>
    <col min="13061" max="13061" width="15.42578125" style="251" bestFit="1" customWidth="1"/>
    <col min="13062" max="13062" width="2.5703125" style="251" customWidth="1"/>
    <col min="13063" max="13063" width="16" style="251" customWidth="1"/>
    <col min="13064" max="13064" width="11" style="251" customWidth="1"/>
    <col min="13065" max="13065" width="16.140625" style="251" customWidth="1"/>
    <col min="13066" max="13308" width="32.7109375" style="251"/>
    <col min="13309" max="13309" width="0" style="251" hidden="1" customWidth="1"/>
    <col min="13310" max="13310" width="16.140625" style="251" customWidth="1"/>
    <col min="13311" max="13311" width="15.42578125" style="251" bestFit="1" customWidth="1"/>
    <col min="13312" max="13315" width="13" style="251" bestFit="1" customWidth="1"/>
    <col min="13316" max="13316" width="13.140625" style="251" customWidth="1"/>
    <col min="13317" max="13317" width="15.42578125" style="251" bestFit="1" customWidth="1"/>
    <col min="13318" max="13318" width="2.5703125" style="251" customWidth="1"/>
    <col min="13319" max="13319" width="16" style="251" customWidth="1"/>
    <col min="13320" max="13320" width="11" style="251" customWidth="1"/>
    <col min="13321" max="13321" width="16.140625" style="251" customWidth="1"/>
    <col min="13322" max="13564" width="32.7109375" style="251"/>
    <col min="13565" max="13565" width="0" style="251" hidden="1" customWidth="1"/>
    <col min="13566" max="13566" width="16.140625" style="251" customWidth="1"/>
    <col min="13567" max="13567" width="15.42578125" style="251" bestFit="1" customWidth="1"/>
    <col min="13568" max="13571" width="13" style="251" bestFit="1" customWidth="1"/>
    <col min="13572" max="13572" width="13.140625" style="251" customWidth="1"/>
    <col min="13573" max="13573" width="15.42578125" style="251" bestFit="1" customWidth="1"/>
    <col min="13574" max="13574" width="2.5703125" style="251" customWidth="1"/>
    <col min="13575" max="13575" width="16" style="251" customWidth="1"/>
    <col min="13576" max="13576" width="11" style="251" customWidth="1"/>
    <col min="13577" max="13577" width="16.140625" style="251" customWidth="1"/>
    <col min="13578" max="13820" width="32.7109375" style="251"/>
    <col min="13821" max="13821" width="0" style="251" hidden="1" customWidth="1"/>
    <col min="13822" max="13822" width="16.140625" style="251" customWidth="1"/>
    <col min="13823" max="13823" width="15.42578125" style="251" bestFit="1" customWidth="1"/>
    <col min="13824" max="13827" width="13" style="251" bestFit="1" customWidth="1"/>
    <col min="13828" max="13828" width="13.140625" style="251" customWidth="1"/>
    <col min="13829" max="13829" width="15.42578125" style="251" bestFit="1" customWidth="1"/>
    <col min="13830" max="13830" width="2.5703125" style="251" customWidth="1"/>
    <col min="13831" max="13831" width="16" style="251" customWidth="1"/>
    <col min="13832" max="13832" width="11" style="251" customWidth="1"/>
    <col min="13833" max="13833" width="16.140625" style="251" customWidth="1"/>
    <col min="13834" max="14076" width="32.7109375" style="251"/>
    <col min="14077" max="14077" width="0" style="251" hidden="1" customWidth="1"/>
    <col min="14078" max="14078" width="16.140625" style="251" customWidth="1"/>
    <col min="14079" max="14079" width="15.42578125" style="251" bestFit="1" customWidth="1"/>
    <col min="14080" max="14083" width="13" style="251" bestFit="1" customWidth="1"/>
    <col min="14084" max="14084" width="13.140625" style="251" customWidth="1"/>
    <col min="14085" max="14085" width="15.42578125" style="251" bestFit="1" customWidth="1"/>
    <col min="14086" max="14086" width="2.5703125" style="251" customWidth="1"/>
    <col min="14087" max="14087" width="16" style="251" customWidth="1"/>
    <col min="14088" max="14088" width="11" style="251" customWidth="1"/>
    <col min="14089" max="14089" width="16.140625" style="251" customWidth="1"/>
    <col min="14090" max="14332" width="32.7109375" style="251"/>
    <col min="14333" max="14333" width="0" style="251" hidden="1" customWidth="1"/>
    <col min="14334" max="14334" width="16.140625" style="251" customWidth="1"/>
    <col min="14335" max="14335" width="15.42578125" style="251" bestFit="1" customWidth="1"/>
    <col min="14336" max="14339" width="13" style="251" bestFit="1" customWidth="1"/>
    <col min="14340" max="14340" width="13.140625" style="251" customWidth="1"/>
    <col min="14341" max="14341" width="15.42578125" style="251" bestFit="1" customWidth="1"/>
    <col min="14342" max="14342" width="2.5703125" style="251" customWidth="1"/>
    <col min="14343" max="14343" width="16" style="251" customWidth="1"/>
    <col min="14344" max="14344" width="11" style="251" customWidth="1"/>
    <col min="14345" max="14345" width="16.140625" style="251" customWidth="1"/>
    <col min="14346" max="14588" width="32.7109375" style="251"/>
    <col min="14589" max="14589" width="0" style="251" hidden="1" customWidth="1"/>
    <col min="14590" max="14590" width="16.140625" style="251" customWidth="1"/>
    <col min="14591" max="14591" width="15.42578125" style="251" bestFit="1" customWidth="1"/>
    <col min="14592" max="14595" width="13" style="251" bestFit="1" customWidth="1"/>
    <col min="14596" max="14596" width="13.140625" style="251" customWidth="1"/>
    <col min="14597" max="14597" width="15.42578125" style="251" bestFit="1" customWidth="1"/>
    <col min="14598" max="14598" width="2.5703125" style="251" customWidth="1"/>
    <col min="14599" max="14599" width="16" style="251" customWidth="1"/>
    <col min="14600" max="14600" width="11" style="251" customWidth="1"/>
    <col min="14601" max="14601" width="16.140625" style="251" customWidth="1"/>
    <col min="14602" max="14844" width="32.7109375" style="251"/>
    <col min="14845" max="14845" width="0" style="251" hidden="1" customWidth="1"/>
    <col min="14846" max="14846" width="16.140625" style="251" customWidth="1"/>
    <col min="14847" max="14847" width="15.42578125" style="251" bestFit="1" customWidth="1"/>
    <col min="14848" max="14851" width="13" style="251" bestFit="1" customWidth="1"/>
    <col min="14852" max="14852" width="13.140625" style="251" customWidth="1"/>
    <col min="14853" max="14853" width="15.42578125" style="251" bestFit="1" customWidth="1"/>
    <col min="14854" max="14854" width="2.5703125" style="251" customWidth="1"/>
    <col min="14855" max="14855" width="16" style="251" customWidth="1"/>
    <col min="14856" max="14856" width="11" style="251" customWidth="1"/>
    <col min="14857" max="14857" width="16.140625" style="251" customWidth="1"/>
    <col min="14858" max="15100" width="32.7109375" style="251"/>
    <col min="15101" max="15101" width="0" style="251" hidden="1" customWidth="1"/>
    <col min="15102" max="15102" width="16.140625" style="251" customWidth="1"/>
    <col min="15103" max="15103" width="15.42578125" style="251" bestFit="1" customWidth="1"/>
    <col min="15104" max="15107" width="13" style="251" bestFit="1" customWidth="1"/>
    <col min="15108" max="15108" width="13.140625" style="251" customWidth="1"/>
    <col min="15109" max="15109" width="15.42578125" style="251" bestFit="1" customWidth="1"/>
    <col min="15110" max="15110" width="2.5703125" style="251" customWidth="1"/>
    <col min="15111" max="15111" width="16" style="251" customWidth="1"/>
    <col min="15112" max="15112" width="11" style="251" customWidth="1"/>
    <col min="15113" max="15113" width="16.140625" style="251" customWidth="1"/>
    <col min="15114" max="15356" width="32.7109375" style="251"/>
    <col min="15357" max="15357" width="0" style="251" hidden="1" customWidth="1"/>
    <col min="15358" max="15358" width="16.140625" style="251" customWidth="1"/>
    <col min="15359" max="15359" width="15.42578125" style="251" bestFit="1" customWidth="1"/>
    <col min="15360" max="15363" width="13" style="251" bestFit="1" customWidth="1"/>
    <col min="15364" max="15364" width="13.140625" style="251" customWidth="1"/>
    <col min="15365" max="15365" width="15.42578125" style="251" bestFit="1" customWidth="1"/>
    <col min="15366" max="15366" width="2.5703125" style="251" customWidth="1"/>
    <col min="15367" max="15367" width="16" style="251" customWidth="1"/>
    <col min="15368" max="15368" width="11" style="251" customWidth="1"/>
    <col min="15369" max="15369" width="16.140625" style="251" customWidth="1"/>
    <col min="15370" max="15612" width="32.7109375" style="251"/>
    <col min="15613" max="15613" width="0" style="251" hidden="1" customWidth="1"/>
    <col min="15614" max="15614" width="16.140625" style="251" customWidth="1"/>
    <col min="15615" max="15615" width="15.42578125" style="251" bestFit="1" customWidth="1"/>
    <col min="15616" max="15619" width="13" style="251" bestFit="1" customWidth="1"/>
    <col min="15620" max="15620" width="13.140625" style="251" customWidth="1"/>
    <col min="15621" max="15621" width="15.42578125" style="251" bestFit="1" customWidth="1"/>
    <col min="15622" max="15622" width="2.5703125" style="251" customWidth="1"/>
    <col min="15623" max="15623" width="16" style="251" customWidth="1"/>
    <col min="15624" max="15624" width="11" style="251" customWidth="1"/>
    <col min="15625" max="15625" width="16.140625" style="251" customWidth="1"/>
    <col min="15626" max="15868" width="32.7109375" style="251"/>
    <col min="15869" max="15869" width="0" style="251" hidden="1" customWidth="1"/>
    <col min="15870" max="15870" width="16.140625" style="251" customWidth="1"/>
    <col min="15871" max="15871" width="15.42578125" style="251" bestFit="1" customWidth="1"/>
    <col min="15872" max="15875" width="13" style="251" bestFit="1" customWidth="1"/>
    <col min="15876" max="15876" width="13.140625" style="251" customWidth="1"/>
    <col min="15877" max="15877" width="15.42578125" style="251" bestFit="1" customWidth="1"/>
    <col min="15878" max="15878" width="2.5703125" style="251" customWidth="1"/>
    <col min="15879" max="15879" width="16" style="251" customWidth="1"/>
    <col min="15880" max="15880" width="11" style="251" customWidth="1"/>
    <col min="15881" max="15881" width="16.140625" style="251" customWidth="1"/>
    <col min="15882" max="16124" width="32.7109375" style="251"/>
    <col min="16125" max="16125" width="0" style="251" hidden="1" customWidth="1"/>
    <col min="16126" max="16126" width="16.140625" style="251" customWidth="1"/>
    <col min="16127" max="16127" width="15.42578125" style="251" bestFit="1" customWidth="1"/>
    <col min="16128" max="16131" width="13" style="251" bestFit="1" customWidth="1"/>
    <col min="16132" max="16132" width="13.140625" style="251" customWidth="1"/>
    <col min="16133" max="16133" width="15.42578125" style="251" bestFit="1" customWidth="1"/>
    <col min="16134" max="16134" width="2.5703125" style="251" customWidth="1"/>
    <col min="16135" max="16135" width="16" style="251" customWidth="1"/>
    <col min="16136" max="16136" width="11" style="251" customWidth="1"/>
    <col min="16137" max="16137" width="16.140625" style="251" customWidth="1"/>
    <col min="16138" max="16384" width="32.7109375" style="251"/>
  </cols>
  <sheetData>
    <row r="1" spans="1:13" ht="91.9" customHeight="1" thickTop="1" thickBot="1">
      <c r="A1" s="246" t="s">
        <v>264</v>
      </c>
      <c r="B1" s="247" t="s">
        <v>58</v>
      </c>
      <c r="C1" s="248" t="s">
        <v>445</v>
      </c>
      <c r="D1" s="248" t="s">
        <v>444</v>
      </c>
      <c r="E1" s="248" t="s">
        <v>446</v>
      </c>
      <c r="F1" s="248" t="s">
        <v>447</v>
      </c>
      <c r="G1" s="248" t="s">
        <v>448</v>
      </c>
      <c r="H1" s="248" t="s">
        <v>449</v>
      </c>
      <c r="I1" s="248" t="s">
        <v>450</v>
      </c>
      <c r="J1" s="249" t="s">
        <v>43</v>
      </c>
      <c r="K1" s="549" t="s">
        <v>422</v>
      </c>
      <c r="L1" s="607" t="s">
        <v>456</v>
      </c>
    </row>
    <row r="2" spans="1:13" ht="28.15" customHeight="1" thickTop="1" thickBot="1">
      <c r="A2" s="252" t="s">
        <v>271</v>
      </c>
      <c r="B2" s="253" t="s">
        <v>72</v>
      </c>
      <c r="C2" s="590"/>
      <c r="D2" s="590"/>
      <c r="E2" s="590"/>
      <c r="F2" s="590"/>
      <c r="G2" s="590"/>
      <c r="H2" s="590"/>
      <c r="I2" s="591"/>
      <c r="J2" s="592">
        <f>SUM(C2:I2)</f>
        <v>0</v>
      </c>
      <c r="K2" s="605" t="s">
        <v>454</v>
      </c>
      <c r="L2" s="608">
        <f t="shared" ref="L2:L17" si="0">SUM(C2:G2)</f>
        <v>0</v>
      </c>
      <c r="M2" s="625" t="s">
        <v>455</v>
      </c>
    </row>
    <row r="3" spans="1:13" ht="28.15" customHeight="1" thickTop="1" thickBot="1">
      <c r="A3" s="257" t="s">
        <v>271</v>
      </c>
      <c r="B3" s="258" t="s">
        <v>61</v>
      </c>
      <c r="C3" s="593"/>
      <c r="D3" s="593"/>
      <c r="E3" s="593"/>
      <c r="F3" s="593"/>
      <c r="G3" s="593"/>
      <c r="H3" s="594"/>
      <c r="I3" s="595"/>
      <c r="J3" s="592">
        <f t="shared" ref="J3:J17" si="1">SUM(C3:I3)</f>
        <v>0</v>
      </c>
      <c r="K3" s="605" t="s">
        <v>471</v>
      </c>
      <c r="L3" s="608">
        <f t="shared" si="0"/>
        <v>0</v>
      </c>
      <c r="M3" s="625" t="s">
        <v>455</v>
      </c>
    </row>
    <row r="4" spans="1:13" ht="28.15" customHeight="1" thickTop="1" thickBot="1">
      <c r="A4" s="252" t="s">
        <v>271</v>
      </c>
      <c r="B4" s="262" t="s">
        <v>73</v>
      </c>
      <c r="C4" s="596"/>
      <c r="D4" s="596"/>
      <c r="E4" s="596"/>
      <c r="F4" s="596"/>
      <c r="G4" s="596"/>
      <c r="H4" s="596"/>
      <c r="I4" s="597"/>
      <c r="J4" s="592">
        <f t="shared" si="1"/>
        <v>0</v>
      </c>
      <c r="K4" s="605" t="s">
        <v>471</v>
      </c>
      <c r="L4" s="608">
        <f t="shared" si="0"/>
        <v>0</v>
      </c>
      <c r="M4" s="625" t="s">
        <v>455</v>
      </c>
    </row>
    <row r="5" spans="1:13" ht="28.15" customHeight="1" thickTop="1" thickBot="1">
      <c r="A5" s="264" t="s">
        <v>271</v>
      </c>
      <c r="B5" s="258" t="s">
        <v>60</v>
      </c>
      <c r="C5" s="593"/>
      <c r="D5" s="593"/>
      <c r="E5" s="594"/>
      <c r="F5" s="594"/>
      <c r="G5" s="594"/>
      <c r="H5" s="594"/>
      <c r="I5" s="595"/>
      <c r="J5" s="592">
        <f t="shared" si="1"/>
        <v>0</v>
      </c>
      <c r="K5" s="605" t="s">
        <v>471</v>
      </c>
      <c r="L5" s="608">
        <f t="shared" si="0"/>
        <v>0</v>
      </c>
      <c r="M5" s="625" t="s">
        <v>455</v>
      </c>
    </row>
    <row r="6" spans="1:13" ht="28.15" customHeight="1" thickTop="1" thickBot="1">
      <c r="A6" s="252" t="s">
        <v>271</v>
      </c>
      <c r="B6" s="262" t="s">
        <v>555</v>
      </c>
      <c r="C6" s="596"/>
      <c r="D6" s="596"/>
      <c r="E6" s="596"/>
      <c r="F6" s="596"/>
      <c r="G6" s="596"/>
      <c r="H6" s="596"/>
      <c r="I6" s="597"/>
      <c r="J6" s="592">
        <f t="shared" si="1"/>
        <v>0</v>
      </c>
      <c r="K6" s="605" t="s">
        <v>471</v>
      </c>
      <c r="L6" s="608">
        <f t="shared" si="0"/>
        <v>0</v>
      </c>
      <c r="M6" s="625" t="s">
        <v>455</v>
      </c>
    </row>
    <row r="7" spans="1:13" ht="28.15" customHeight="1" thickTop="1" thickBot="1">
      <c r="A7" s="264" t="s">
        <v>271</v>
      </c>
      <c r="B7" s="258" t="s">
        <v>173</v>
      </c>
      <c r="C7" s="593"/>
      <c r="D7" s="593"/>
      <c r="E7" s="593"/>
      <c r="F7" s="593"/>
      <c r="G7" s="593"/>
      <c r="H7" s="593"/>
      <c r="I7" s="597"/>
      <c r="J7" s="592">
        <f t="shared" si="1"/>
        <v>0</v>
      </c>
      <c r="K7" s="605" t="s">
        <v>471</v>
      </c>
      <c r="L7" s="608">
        <f t="shared" si="0"/>
        <v>0</v>
      </c>
      <c r="M7" s="625" t="s">
        <v>455</v>
      </c>
    </row>
    <row r="8" spans="1:13" ht="28.15" customHeight="1" thickTop="1" thickBot="1">
      <c r="A8" s="252" t="s">
        <v>271</v>
      </c>
      <c r="B8" s="262" t="s">
        <v>74</v>
      </c>
      <c r="C8" s="596"/>
      <c r="D8" s="596"/>
      <c r="E8" s="596"/>
      <c r="F8" s="596"/>
      <c r="G8" s="596"/>
      <c r="H8" s="596"/>
      <c r="I8" s="597"/>
      <c r="J8" s="592">
        <f t="shared" si="1"/>
        <v>0</v>
      </c>
      <c r="K8" s="605" t="s">
        <v>454</v>
      </c>
      <c r="L8" s="608">
        <f t="shared" si="0"/>
        <v>0</v>
      </c>
      <c r="M8" s="625" t="s">
        <v>455</v>
      </c>
    </row>
    <row r="9" spans="1:13" ht="28.15" customHeight="1" thickTop="1" thickBot="1">
      <c r="A9" s="264" t="s">
        <v>271</v>
      </c>
      <c r="B9" s="265" t="s">
        <v>71</v>
      </c>
      <c r="C9" s="593"/>
      <c r="D9" s="593"/>
      <c r="E9" s="593"/>
      <c r="F9" s="593"/>
      <c r="G9" s="593"/>
      <c r="H9" s="593"/>
      <c r="I9" s="597"/>
      <c r="J9" s="592">
        <f t="shared" si="1"/>
        <v>0</v>
      </c>
      <c r="K9" s="605" t="s">
        <v>471</v>
      </c>
      <c r="L9" s="608">
        <f t="shared" si="0"/>
        <v>0</v>
      </c>
      <c r="M9" s="625" t="s">
        <v>455</v>
      </c>
    </row>
    <row r="10" spans="1:13" ht="28.15" customHeight="1" thickTop="1" thickBot="1">
      <c r="A10" s="252" t="s">
        <v>271</v>
      </c>
      <c r="B10" s="262" t="s">
        <v>65</v>
      </c>
      <c r="C10" s="596"/>
      <c r="D10" s="596"/>
      <c r="E10" s="596"/>
      <c r="F10" s="596"/>
      <c r="G10" s="596"/>
      <c r="H10" s="596"/>
      <c r="I10" s="597"/>
      <c r="J10" s="592">
        <f t="shared" si="1"/>
        <v>0</v>
      </c>
      <c r="K10" s="605" t="s">
        <v>471</v>
      </c>
      <c r="L10" s="608">
        <f t="shared" si="0"/>
        <v>0</v>
      </c>
      <c r="M10" s="625" t="s">
        <v>455</v>
      </c>
    </row>
    <row r="11" spans="1:13" ht="28.15" customHeight="1" thickTop="1" thickBot="1">
      <c r="A11" s="264" t="s">
        <v>271</v>
      </c>
      <c r="B11" s="258" t="s">
        <v>183</v>
      </c>
      <c r="C11" s="593">
        <v>48765</v>
      </c>
      <c r="D11" s="593">
        <v>60522</v>
      </c>
      <c r="E11" s="594">
        <v>12962.2</v>
      </c>
      <c r="F11" s="594">
        <v>19742.560000000001</v>
      </c>
      <c r="G11" s="594">
        <v>48967.44</v>
      </c>
      <c r="H11" s="594"/>
      <c r="I11" s="595"/>
      <c r="J11" s="592">
        <f t="shared" si="1"/>
        <v>190959.2</v>
      </c>
      <c r="K11" s="605" t="s">
        <v>471</v>
      </c>
      <c r="L11" s="608">
        <f t="shared" si="0"/>
        <v>190959.2</v>
      </c>
      <c r="M11" s="625" t="s">
        <v>455</v>
      </c>
    </row>
    <row r="12" spans="1:13" ht="28.15" customHeight="1" thickTop="1" thickBot="1">
      <c r="A12" s="264" t="s">
        <v>271</v>
      </c>
      <c r="B12" s="262" t="s">
        <v>75</v>
      </c>
      <c r="C12" s="596"/>
      <c r="D12" s="596"/>
      <c r="E12" s="596"/>
      <c r="F12" s="596"/>
      <c r="G12" s="596"/>
      <c r="H12" s="596"/>
      <c r="I12" s="597"/>
      <c r="J12" s="592">
        <f t="shared" si="1"/>
        <v>0</v>
      </c>
      <c r="K12" s="605" t="s">
        <v>471</v>
      </c>
      <c r="L12" s="608">
        <f t="shared" si="0"/>
        <v>0</v>
      </c>
      <c r="M12" s="625" t="s">
        <v>455</v>
      </c>
    </row>
    <row r="13" spans="1:13" ht="28.15" customHeight="1" thickTop="1" thickBot="1">
      <c r="A13" s="252" t="s">
        <v>271</v>
      </c>
      <c r="B13" s="266" t="s">
        <v>59</v>
      </c>
      <c r="C13" s="593"/>
      <c r="D13" s="593"/>
      <c r="E13" s="593"/>
      <c r="F13" s="593"/>
      <c r="G13" s="593"/>
      <c r="H13" s="593"/>
      <c r="I13" s="597"/>
      <c r="J13" s="592">
        <f t="shared" si="1"/>
        <v>0</v>
      </c>
      <c r="K13" s="605" t="s">
        <v>471</v>
      </c>
      <c r="L13" s="608">
        <f t="shared" si="0"/>
        <v>0</v>
      </c>
      <c r="M13" s="625" t="s">
        <v>455</v>
      </c>
    </row>
    <row r="14" spans="1:13" ht="28.15" customHeight="1" thickTop="1" thickBot="1">
      <c r="A14" s="264" t="s">
        <v>271</v>
      </c>
      <c r="B14" s="262" t="s">
        <v>64</v>
      </c>
      <c r="C14" s="596"/>
      <c r="D14" s="596"/>
      <c r="E14" s="596"/>
      <c r="F14" s="596"/>
      <c r="G14" s="596"/>
      <c r="H14" s="596"/>
      <c r="I14" s="597"/>
      <c r="J14" s="592">
        <f t="shared" si="1"/>
        <v>0</v>
      </c>
      <c r="K14" s="605" t="s">
        <v>471</v>
      </c>
      <c r="L14" s="608">
        <f t="shared" si="0"/>
        <v>0</v>
      </c>
      <c r="M14" s="625" t="s">
        <v>455</v>
      </c>
    </row>
    <row r="15" spans="1:13" ht="28.15" customHeight="1" thickTop="1" thickBot="1">
      <c r="A15" s="252" t="s">
        <v>271</v>
      </c>
      <c r="B15" s="266" t="s">
        <v>68</v>
      </c>
      <c r="C15" s="593"/>
      <c r="D15" s="593"/>
      <c r="E15" s="593"/>
      <c r="F15" s="593"/>
      <c r="G15" s="593"/>
      <c r="H15" s="593"/>
      <c r="I15" s="598">
        <v>0</v>
      </c>
      <c r="J15" s="592">
        <f t="shared" si="1"/>
        <v>0</v>
      </c>
      <c r="K15" s="605" t="s">
        <v>471</v>
      </c>
      <c r="L15" s="608">
        <f t="shared" si="0"/>
        <v>0</v>
      </c>
      <c r="M15" s="625" t="s">
        <v>455</v>
      </c>
    </row>
    <row r="16" spans="1:13" ht="28.15" customHeight="1" thickTop="1" thickBot="1">
      <c r="A16" s="264" t="s">
        <v>271</v>
      </c>
      <c r="B16" s="262" t="s">
        <v>67</v>
      </c>
      <c r="C16" s="596"/>
      <c r="D16" s="596"/>
      <c r="E16" s="596"/>
      <c r="F16" s="596"/>
      <c r="G16" s="596"/>
      <c r="H16" s="596"/>
      <c r="I16" s="597"/>
      <c r="J16" s="592">
        <f t="shared" si="1"/>
        <v>0</v>
      </c>
      <c r="K16" s="605" t="s">
        <v>471</v>
      </c>
      <c r="L16" s="608">
        <f t="shared" si="0"/>
        <v>0</v>
      </c>
      <c r="M16" s="625" t="s">
        <v>455</v>
      </c>
    </row>
    <row r="17" spans="1:13" ht="28.15" customHeight="1" thickTop="1" thickBot="1">
      <c r="A17" s="252" t="s">
        <v>271</v>
      </c>
      <c r="B17" s="550" t="s">
        <v>63</v>
      </c>
      <c r="C17" s="599">
        <v>157865</v>
      </c>
      <c r="D17" s="599">
        <v>0</v>
      </c>
      <c r="E17" s="593">
        <v>3027</v>
      </c>
      <c r="F17" s="599">
        <v>25993</v>
      </c>
      <c r="G17" s="593">
        <v>7313</v>
      </c>
      <c r="H17" s="599"/>
      <c r="I17" s="600">
        <v>0</v>
      </c>
      <c r="J17" s="592">
        <f t="shared" si="1"/>
        <v>194198</v>
      </c>
      <c r="K17" s="605" t="s">
        <v>471</v>
      </c>
      <c r="L17" s="608">
        <f t="shared" si="0"/>
        <v>194198</v>
      </c>
      <c r="M17" s="625" t="s">
        <v>455</v>
      </c>
    </row>
    <row r="18" spans="1:13" ht="28.15" customHeight="1" thickTop="1" thickBot="1">
      <c r="A18" s="271"/>
      <c r="B18" s="272" t="s">
        <v>178</v>
      </c>
      <c r="C18" s="601">
        <f t="shared" ref="C18:I18" si="2">SUM(C2:C17)</f>
        <v>206630</v>
      </c>
      <c r="D18" s="601">
        <f t="shared" si="2"/>
        <v>60522</v>
      </c>
      <c r="E18" s="601">
        <f t="shared" si="2"/>
        <v>15989.2</v>
      </c>
      <c r="F18" s="602">
        <f t="shared" si="2"/>
        <v>45735.56</v>
      </c>
      <c r="G18" s="602">
        <f t="shared" si="2"/>
        <v>56280.44</v>
      </c>
      <c r="H18" s="601">
        <f t="shared" si="2"/>
        <v>0</v>
      </c>
      <c r="I18" s="601">
        <f t="shared" si="2"/>
        <v>0</v>
      </c>
      <c r="J18" s="603">
        <f>SUM(C18:I18)</f>
        <v>385157.2</v>
      </c>
      <c r="K18" s="606"/>
      <c r="L18" s="603">
        <f>SUM(L2:L17)</f>
        <v>385157.2</v>
      </c>
    </row>
    <row r="19" spans="1:13" ht="28.15" customHeight="1" thickTop="1">
      <c r="B19" s="275"/>
      <c r="C19" s="276"/>
      <c r="D19" s="276"/>
      <c r="E19" s="276"/>
      <c r="F19" s="276"/>
      <c r="G19" s="276"/>
      <c r="H19" s="277" t="s">
        <v>272</v>
      </c>
      <c r="I19" s="277"/>
      <c r="J19" s="278">
        <f>SUM(J2:J17)</f>
        <v>385157.2</v>
      </c>
      <c r="L19" s="609">
        <f>SUM(C18:G18)</f>
        <v>385157.2</v>
      </c>
    </row>
    <row r="20" spans="1:13">
      <c r="B20" s="281"/>
      <c r="C20" s="279"/>
      <c r="D20" s="279"/>
      <c r="E20" s="279"/>
      <c r="F20" s="279"/>
      <c r="G20" s="279"/>
      <c r="H20" s="279"/>
      <c r="I20" s="279"/>
      <c r="J20" s="279"/>
      <c r="K20" s="280"/>
    </row>
    <row r="21" spans="1:13">
      <c r="B21" s="281"/>
      <c r="C21" s="279"/>
      <c r="D21" s="279"/>
      <c r="E21" s="279"/>
      <c r="F21" s="279"/>
      <c r="G21" s="279"/>
      <c r="H21" s="279"/>
      <c r="I21" s="279"/>
      <c r="J21" s="279"/>
      <c r="K21" s="280"/>
    </row>
    <row r="22" spans="1:13" ht="16.5">
      <c r="B22" s="282"/>
      <c r="C22" s="279"/>
      <c r="D22" s="279"/>
      <c r="E22" s="279"/>
      <c r="F22" s="279"/>
      <c r="G22" s="279"/>
      <c r="H22" s="279"/>
      <c r="I22" s="279"/>
      <c r="J22" s="279"/>
      <c r="K22" s="283"/>
    </row>
    <row r="23" spans="1:13">
      <c r="B23" s="284"/>
      <c r="C23" s="279"/>
      <c r="D23" s="279"/>
      <c r="E23" s="279"/>
      <c r="F23" s="279"/>
      <c r="G23" s="279"/>
      <c r="H23" s="279"/>
      <c r="I23" s="279"/>
      <c r="J23" s="279"/>
      <c r="K23" s="279"/>
    </row>
    <row r="24" spans="1:13">
      <c r="B24" s="285"/>
      <c r="C24" s="279"/>
      <c r="D24" s="279"/>
      <c r="E24" s="279"/>
      <c r="F24" s="279"/>
      <c r="G24" s="279"/>
      <c r="H24" s="279"/>
      <c r="I24" s="279"/>
      <c r="J24" s="279"/>
      <c r="K24" s="279"/>
    </row>
    <row r="25" spans="1:13">
      <c r="B25" s="280"/>
      <c r="C25" s="279"/>
      <c r="D25" s="279"/>
      <c r="E25" s="279"/>
      <c r="F25" s="279"/>
      <c r="G25" s="279"/>
      <c r="H25" s="279"/>
      <c r="I25" s="279"/>
      <c r="J25" s="279"/>
      <c r="K25" s="279"/>
    </row>
    <row r="26" spans="1:13">
      <c r="B26" s="280"/>
      <c r="C26" s="280"/>
      <c r="D26" s="280"/>
      <c r="E26" s="280"/>
      <c r="F26" s="280"/>
      <c r="G26" s="280"/>
      <c r="H26" s="280"/>
      <c r="I26" s="280"/>
      <c r="J26" s="280"/>
      <c r="K26" s="280"/>
    </row>
    <row r="27" spans="1:13">
      <c r="B27" s="280"/>
      <c r="C27" s="279"/>
      <c r="D27" s="279"/>
      <c r="E27" s="279"/>
      <c r="F27" s="279"/>
      <c r="G27" s="279"/>
      <c r="H27" s="279"/>
      <c r="I27" s="279"/>
      <c r="J27" s="279"/>
      <c r="K27" s="280"/>
    </row>
    <row r="28" spans="1:13">
      <c r="B28" s="250"/>
      <c r="C28" s="250"/>
      <c r="D28" s="250"/>
      <c r="E28" s="250"/>
      <c r="F28" s="250"/>
      <c r="G28" s="250"/>
      <c r="H28" s="250"/>
      <c r="I28" s="250"/>
      <c r="J28" s="280"/>
    </row>
    <row r="29" spans="1:13">
      <c r="B29" s="250"/>
      <c r="C29" s="250"/>
      <c r="D29" s="250"/>
      <c r="E29" s="250"/>
      <c r="F29" s="250"/>
      <c r="G29" s="250"/>
      <c r="H29" s="250"/>
      <c r="I29" s="250"/>
      <c r="J29" s="280"/>
    </row>
    <row r="30" spans="1:13">
      <c r="B30" s="250"/>
      <c r="C30" s="250"/>
      <c r="D30" s="250"/>
      <c r="E30" s="250"/>
      <c r="F30" s="250"/>
      <c r="G30" s="250"/>
      <c r="H30" s="250"/>
      <c r="I30" s="250"/>
      <c r="J30" s="280"/>
    </row>
    <row r="31" spans="1:13">
      <c r="B31" s="250"/>
      <c r="C31" s="250"/>
      <c r="D31" s="250"/>
      <c r="E31" s="250"/>
      <c r="F31" s="250"/>
      <c r="G31" s="250"/>
      <c r="H31" s="250"/>
      <c r="I31" s="250"/>
      <c r="J31" s="280"/>
    </row>
  </sheetData>
  <pageMargins left="0.75" right="0.75" top="1.5" bottom="0.5" header="0.25" footer="0.5"/>
  <pageSetup scale="64"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FF66"/>
    <pageSetUpPr fitToPage="1"/>
  </sheetPr>
  <dimension ref="A1:H34"/>
  <sheetViews>
    <sheetView zoomScaleNormal="100" zoomScaleSheetLayoutView="80" workbookViewId="0">
      <selection activeCell="E33" sqref="E33"/>
    </sheetView>
  </sheetViews>
  <sheetFormatPr defaultRowHeight="15"/>
  <cols>
    <col min="1" max="1" width="63.42578125" customWidth="1" collapsed="1"/>
    <col min="2" max="6" width="13.28515625" style="18" customWidth="1" collapsed="1"/>
    <col min="7" max="7" width="14" customWidth="1" collapsed="1"/>
    <col min="8" max="8" width="10.5703125" bestFit="1" customWidth="1" collapsed="1"/>
  </cols>
  <sheetData>
    <row r="1" spans="1:8" s="112" customFormat="1" ht="54">
      <c r="A1" s="135" t="s">
        <v>464</v>
      </c>
      <c r="B1" s="135" t="s">
        <v>22</v>
      </c>
      <c r="C1" s="135" t="s">
        <v>26</v>
      </c>
      <c r="D1" s="135" t="s">
        <v>443</v>
      </c>
      <c r="E1" s="135" t="s">
        <v>520</v>
      </c>
      <c r="F1" s="135" t="s">
        <v>521</v>
      </c>
      <c r="G1" s="135" t="s">
        <v>522</v>
      </c>
    </row>
    <row r="2" spans="1:8" ht="15" customHeight="1">
      <c r="A2" s="235" t="s">
        <v>441</v>
      </c>
      <c r="B2" s="18">
        <f>'4. Award History&amp;Projections '!H18</f>
        <v>1229045</v>
      </c>
      <c r="C2" s="31">
        <v>0.25</v>
      </c>
      <c r="D2" s="18">
        <f>ROUND(B2*C2,0)</f>
        <v>307261</v>
      </c>
      <c r="G2" s="18">
        <f>SUM(D2:F2)</f>
        <v>307261</v>
      </c>
      <c r="H2" s="12"/>
    </row>
    <row r="3" spans="1:8" ht="15" customHeight="1">
      <c r="A3" s="235" t="s">
        <v>526</v>
      </c>
      <c r="B3" s="18">
        <f>'4. Award History&amp;Projections '!H19</f>
        <v>1229045</v>
      </c>
      <c r="C3" s="31">
        <v>1</v>
      </c>
      <c r="E3" s="18">
        <f>ROUND(B3*C3,0)</f>
        <v>1229045</v>
      </c>
      <c r="G3" s="18">
        <f>SUM(D3:F3)</f>
        <v>1229045</v>
      </c>
      <c r="H3" s="12"/>
    </row>
    <row r="4" spans="1:8" ht="15" customHeight="1">
      <c r="A4" s="235" t="s">
        <v>527</v>
      </c>
      <c r="B4" s="18">
        <f>'4. Award History&amp;Projections '!H20</f>
        <v>1229045</v>
      </c>
      <c r="C4" s="31">
        <v>0.75</v>
      </c>
      <c r="D4" s="8"/>
      <c r="E4" s="8"/>
      <c r="F4" s="8">
        <f>ROUND(B4*C4,0)</f>
        <v>921784</v>
      </c>
      <c r="G4" s="8">
        <f>SUM(D4:F4)</f>
        <v>921784</v>
      </c>
      <c r="H4" s="12"/>
    </row>
    <row r="5" spans="1:8" ht="15" customHeight="1">
      <c r="A5" s="96" t="s">
        <v>23</v>
      </c>
      <c r="C5" s="29"/>
      <c r="D5" s="18">
        <f>SUM(D2:D4)</f>
        <v>307261</v>
      </c>
      <c r="E5" s="18">
        <f>SUM(E2:E4)</f>
        <v>1229045</v>
      </c>
      <c r="F5" s="18">
        <f>SUM(F2:F4)</f>
        <v>921784</v>
      </c>
      <c r="G5" s="18">
        <f>SUM(G2:G4)</f>
        <v>2458090</v>
      </c>
      <c r="H5" s="12"/>
    </row>
    <row r="6" spans="1:8" ht="15" customHeight="1">
      <c r="A6" s="96" t="s">
        <v>24</v>
      </c>
      <c r="C6" s="5">
        <v>0</v>
      </c>
      <c r="D6" s="8">
        <f>ROUND($C$6*-D5,0)</f>
        <v>0</v>
      </c>
      <c r="E6" s="8">
        <f>ROUND($C$6*-E5,0)</f>
        <v>0</v>
      </c>
      <c r="F6" s="8">
        <f>ROUND($C$6*-F5,0)</f>
        <v>0</v>
      </c>
      <c r="G6" s="8">
        <f>SUM(D6:F6)</f>
        <v>0</v>
      </c>
    </row>
    <row r="7" spans="1:8" ht="15" customHeight="1">
      <c r="A7" s="96" t="s">
        <v>23</v>
      </c>
      <c r="D7" s="18">
        <f>SUM(D5:D6)</f>
        <v>307261</v>
      </c>
      <c r="E7" s="18">
        <f>SUM(E5:E6)</f>
        <v>1229045</v>
      </c>
      <c r="F7" s="18">
        <f>SUM(F5:F6)</f>
        <v>921784</v>
      </c>
      <c r="G7" s="18">
        <f>SUM(G5:G6)</f>
        <v>2458090</v>
      </c>
    </row>
    <row r="8" spans="1:8" s="15" customFormat="1" ht="15" customHeight="1">
      <c r="A8" s="101" t="s">
        <v>35</v>
      </c>
      <c r="B8" s="18"/>
      <c r="C8" s="18"/>
      <c r="D8" s="17"/>
      <c r="E8" s="17"/>
      <c r="F8" s="17"/>
      <c r="G8" s="17">
        <v>0</v>
      </c>
    </row>
    <row r="9" spans="1:8" s="1" customFormat="1" ht="15" customHeight="1" thickBot="1">
      <c r="A9" s="65" t="s">
        <v>29</v>
      </c>
      <c r="B9" s="10"/>
      <c r="C9" s="10"/>
      <c r="D9" s="14"/>
      <c r="E9" s="14"/>
      <c r="F9" s="14"/>
      <c r="G9" s="11">
        <f>G7</f>
        <v>2458090</v>
      </c>
    </row>
    <row r="10" spans="1:8" s="131" customFormat="1" ht="15" customHeight="1" thickTop="1">
      <c r="B10" s="129"/>
      <c r="C10" s="129"/>
      <c r="D10" s="130"/>
      <c r="E10" s="130"/>
      <c r="F10" s="130"/>
      <c r="G10" s="130"/>
    </row>
    <row r="11" spans="1:8" ht="15" customHeight="1">
      <c r="A11" s="111" t="s">
        <v>146</v>
      </c>
      <c r="G11" s="18"/>
    </row>
    <row r="12" spans="1:8" ht="15" customHeight="1">
      <c r="A12" s="124" t="s">
        <v>36</v>
      </c>
      <c r="B12" s="18">
        <v>0</v>
      </c>
      <c r="C12" s="18">
        <v>0</v>
      </c>
      <c r="G12" s="18">
        <f>B12*C12</f>
        <v>0</v>
      </c>
      <c r="H12" s="12"/>
    </row>
    <row r="13" spans="1:8" ht="15" customHeight="1">
      <c r="A13" s="96" t="s">
        <v>28</v>
      </c>
      <c r="C13" s="5">
        <v>0</v>
      </c>
      <c r="G13" s="18">
        <f>ROUND((G9-G12)*C13,0)</f>
        <v>0</v>
      </c>
    </row>
    <row r="14" spans="1:8" ht="15" customHeight="1">
      <c r="A14" s="96" t="s">
        <v>76</v>
      </c>
      <c r="C14" s="5">
        <v>1</v>
      </c>
      <c r="G14" s="18">
        <f>G9-G12-G13</f>
        <v>2458090</v>
      </c>
    </row>
    <row r="15" spans="1:8" s="1" customFormat="1" ht="15" customHeight="1" thickBot="1">
      <c r="A15" s="65" t="s">
        <v>29</v>
      </c>
      <c r="B15" s="10"/>
      <c r="C15" s="10"/>
      <c r="D15" s="10"/>
      <c r="E15" s="10"/>
      <c r="F15" s="10"/>
      <c r="G15" s="11">
        <f>SUM(G12:G14)</f>
        <v>2458090</v>
      </c>
    </row>
    <row r="16" spans="1:8" s="125" customFormat="1" ht="6.75" customHeight="1" thickTop="1">
      <c r="B16" s="126"/>
      <c r="C16" s="126"/>
      <c r="D16" s="126"/>
      <c r="E16" s="126"/>
      <c r="F16" s="126"/>
    </row>
    <row r="17" spans="1:7" s="112" customFormat="1" ht="108">
      <c r="A17" s="201" t="s">
        <v>58</v>
      </c>
      <c r="B17" s="132" t="s">
        <v>196</v>
      </c>
      <c r="C17" s="132" t="s">
        <v>208</v>
      </c>
      <c r="D17" s="132" t="s">
        <v>211</v>
      </c>
      <c r="E17" s="132" t="s">
        <v>213</v>
      </c>
      <c r="F17" s="133" t="s">
        <v>210</v>
      </c>
      <c r="G17" s="134"/>
    </row>
    <row r="18" spans="1:7">
      <c r="A18" s="151" t="s">
        <v>72</v>
      </c>
      <c r="B18" s="116">
        <f>$B$12</f>
        <v>0</v>
      </c>
      <c r="C18" s="116">
        <f>ROUND(('3. Population-NSIP#'!C3*$G$13),0)</f>
        <v>0</v>
      </c>
      <c r="D18" s="116">
        <f>SUM(('3. Population-NSIP#'!K3*$G$14),0)</f>
        <v>109421.40643221831</v>
      </c>
      <c r="E18" s="431">
        <f>ROUND(B18+C18+D18,0)</f>
        <v>109421</v>
      </c>
      <c r="F18" s="141">
        <f>E18/$E$34</f>
        <v>4.451464348335496E-2</v>
      </c>
      <c r="G18" s="18"/>
    </row>
    <row r="19" spans="1:7">
      <c r="A19" s="151" t="s">
        <v>61</v>
      </c>
      <c r="B19" s="116">
        <f t="shared" ref="B19:B33" si="0">$B$12</f>
        <v>0</v>
      </c>
      <c r="C19" s="116">
        <f>ROUND(('3. Population-NSIP#'!C4*$G$13),0)</f>
        <v>0</v>
      </c>
      <c r="D19" s="116">
        <f>SUM(('3. Population-NSIP#'!K4*$G$14),0)</f>
        <v>62632.328099254948</v>
      </c>
      <c r="E19" s="431">
        <f t="shared" ref="E19:E33" si="1">ROUND(B19+C19+D19,0)</f>
        <v>62632</v>
      </c>
      <c r="F19" s="141">
        <f t="shared" ref="F19:F33" si="2">E19/$E$34</f>
        <v>2.5479945811585417E-2</v>
      </c>
      <c r="G19" s="18"/>
    </row>
    <row r="20" spans="1:7">
      <c r="A20" s="151" t="s">
        <v>73</v>
      </c>
      <c r="B20" s="116">
        <f t="shared" si="0"/>
        <v>0</v>
      </c>
      <c r="C20" s="116">
        <f>ROUND(('3. Population-NSIP#'!C5*$G$13),0)</f>
        <v>0</v>
      </c>
      <c r="D20" s="116">
        <f>SUM(('3. Population-NSIP#'!K5*$G$14),0)</f>
        <v>93692.475530963624</v>
      </c>
      <c r="E20" s="431">
        <f t="shared" si="1"/>
        <v>93692</v>
      </c>
      <c r="F20" s="141">
        <f t="shared" si="2"/>
        <v>3.8115772815478684E-2</v>
      </c>
      <c r="G20" s="18"/>
    </row>
    <row r="21" spans="1:7">
      <c r="A21" s="151" t="s">
        <v>60</v>
      </c>
      <c r="B21" s="116">
        <f t="shared" si="0"/>
        <v>0</v>
      </c>
      <c r="C21" s="116">
        <f>ROUND(('3. Population-NSIP#'!C6*$G$13),0)</f>
        <v>0</v>
      </c>
      <c r="D21" s="116">
        <f>SUM(('3. Population-NSIP#'!K6*$G$14),0)</f>
        <v>269524.49658504326</v>
      </c>
      <c r="E21" s="431">
        <f t="shared" si="1"/>
        <v>269524</v>
      </c>
      <c r="F21" s="141">
        <f t="shared" si="2"/>
        <v>0.10964773462322372</v>
      </c>
      <c r="G21" s="18"/>
    </row>
    <row r="22" spans="1:7">
      <c r="A22" s="151" t="s">
        <v>555</v>
      </c>
      <c r="B22" s="116">
        <f t="shared" si="0"/>
        <v>0</v>
      </c>
      <c r="C22" s="116">
        <f>ROUND(('3. Population-NSIP#'!C7*$G$13),0)</f>
        <v>0</v>
      </c>
      <c r="D22" s="116">
        <f>SUM(('3. Population-NSIP#'!K7*$G$14),0)</f>
        <v>128412.7479693162</v>
      </c>
      <c r="E22" s="431">
        <f t="shared" si="1"/>
        <v>128413</v>
      </c>
      <c r="F22" s="141">
        <f t="shared" si="2"/>
        <v>5.2240967580519833E-2</v>
      </c>
      <c r="G22" s="18"/>
    </row>
    <row r="23" spans="1:7">
      <c r="A23" s="151" t="s">
        <v>173</v>
      </c>
      <c r="B23" s="116">
        <f t="shared" si="0"/>
        <v>0</v>
      </c>
      <c r="C23" s="116">
        <f>ROUND(('3. Population-NSIP#'!C8*$G$13),0)</f>
        <v>0</v>
      </c>
      <c r="D23" s="116">
        <f>SUM(('3. Population-NSIP#'!K8*$G$14),0)</f>
        <v>64414.357466006761</v>
      </c>
      <c r="E23" s="431">
        <f t="shared" si="1"/>
        <v>64414</v>
      </c>
      <c r="F23" s="141">
        <f t="shared" si="2"/>
        <v>2.6204898925588568E-2</v>
      </c>
      <c r="G23" s="18"/>
    </row>
    <row r="24" spans="1:7">
      <c r="A24" s="151" t="s">
        <v>74</v>
      </c>
      <c r="B24" s="116">
        <f t="shared" si="0"/>
        <v>0</v>
      </c>
      <c r="C24" s="116">
        <f>ROUND(('3. Population-NSIP#'!C9*$G$13),0)</f>
        <v>0</v>
      </c>
      <c r="D24" s="116">
        <f>SUM(('3. Population-NSIP#'!K9*$G$14),0)</f>
        <v>13635.646809528424</v>
      </c>
      <c r="E24" s="431">
        <f t="shared" si="1"/>
        <v>13636</v>
      </c>
      <c r="F24" s="141">
        <f t="shared" si="2"/>
        <v>5.5473965558624789E-3</v>
      </c>
      <c r="G24" s="18"/>
    </row>
    <row r="25" spans="1:7">
      <c r="A25" s="151" t="s">
        <v>71</v>
      </c>
      <c r="B25" s="116">
        <f t="shared" si="0"/>
        <v>0</v>
      </c>
      <c r="C25" s="116">
        <f>ROUND(('3. Population-NSIP#'!C10*$G$13),0)</f>
        <v>0</v>
      </c>
      <c r="D25" s="116">
        <f>SUM(('3. Population-NSIP#'!K10*$G$14),0)</f>
        <v>59398.737345353817</v>
      </c>
      <c r="E25" s="431">
        <f t="shared" si="1"/>
        <v>59399</v>
      </c>
      <c r="F25" s="141">
        <f t="shared" si="2"/>
        <v>2.4164696980175666E-2</v>
      </c>
      <c r="G25" s="18"/>
    </row>
    <row r="26" spans="1:7">
      <c r="A26" s="151" t="s">
        <v>65</v>
      </c>
      <c r="B26" s="116">
        <f t="shared" si="0"/>
        <v>0</v>
      </c>
      <c r="C26" s="116">
        <f>ROUND(('3. Population-NSIP#'!C11*$G$13),0)</f>
        <v>0</v>
      </c>
      <c r="D26" s="116">
        <f>SUM(('3. Population-NSIP#'!K11*$G$14),0)</f>
        <v>205974.73557729885</v>
      </c>
      <c r="E26" s="431">
        <f t="shared" si="1"/>
        <v>205975</v>
      </c>
      <c r="F26" s="141">
        <f t="shared" si="2"/>
        <v>8.3794734936475074E-2</v>
      </c>
      <c r="G26" s="18"/>
    </row>
    <row r="27" spans="1:7">
      <c r="A27" s="151" t="s">
        <v>229</v>
      </c>
      <c r="B27" s="116">
        <f t="shared" si="0"/>
        <v>0</v>
      </c>
      <c r="C27" s="116">
        <f>ROUND(('3. Population-NSIP#'!C12*$G$13),0)</f>
        <v>0</v>
      </c>
      <c r="D27" s="116">
        <f>SUM(('3. Population-NSIP#'!K12*$G$14),0)+1</f>
        <v>450446.14812736248</v>
      </c>
      <c r="E27" s="431">
        <f t="shared" si="1"/>
        <v>450446</v>
      </c>
      <c r="F27" s="141">
        <f t="shared" si="2"/>
        <v>0.18325040987107877</v>
      </c>
      <c r="G27" s="18"/>
    </row>
    <row r="28" spans="1:7">
      <c r="A28" s="151" t="s">
        <v>75</v>
      </c>
      <c r="B28" s="116">
        <f t="shared" si="0"/>
        <v>0</v>
      </c>
      <c r="C28" s="116">
        <f>ROUND(('3. Population-NSIP#'!C13*$G$13),0)</f>
        <v>0</v>
      </c>
      <c r="D28" s="116">
        <f>SUM(('3. Population-NSIP#'!K13*$G$14),0)</f>
        <v>18718.513321379553</v>
      </c>
      <c r="E28" s="431">
        <f t="shared" si="1"/>
        <v>18719</v>
      </c>
      <c r="F28" s="141">
        <f t="shared" si="2"/>
        <v>7.6152622564674196E-3</v>
      </c>
      <c r="G28" s="18"/>
    </row>
    <row r="29" spans="1:7">
      <c r="A29" s="151" t="s">
        <v>59</v>
      </c>
      <c r="B29" s="116">
        <f t="shared" si="0"/>
        <v>0</v>
      </c>
      <c r="C29" s="116">
        <f>ROUND(('3. Population-NSIP#'!C14*$G$13),0)</f>
        <v>0</v>
      </c>
      <c r="D29" s="116">
        <f>SUM(('3. Population-NSIP#'!K14*$G$14),0)</f>
        <v>338856.48657309992</v>
      </c>
      <c r="E29" s="431">
        <f t="shared" si="1"/>
        <v>338856</v>
      </c>
      <c r="F29" s="141">
        <f t="shared" si="2"/>
        <v>0.1378533739610836</v>
      </c>
      <c r="G29" s="18"/>
    </row>
    <row r="30" spans="1:7">
      <c r="A30" s="151" t="s">
        <v>64</v>
      </c>
      <c r="B30" s="116">
        <f t="shared" si="0"/>
        <v>0</v>
      </c>
      <c r="C30" s="116">
        <f>ROUND(('3. Population-NSIP#'!C15*$G$13),0)</f>
        <v>0</v>
      </c>
      <c r="D30" s="116">
        <f>SUM(('3. Population-NSIP#'!K15*$G$14),0)</f>
        <v>165966.9754653064</v>
      </c>
      <c r="E30" s="431">
        <f t="shared" si="1"/>
        <v>165967</v>
      </c>
      <c r="F30" s="141">
        <f t="shared" si="2"/>
        <v>6.7518683205252852E-2</v>
      </c>
      <c r="G30" s="18"/>
    </row>
    <row r="31" spans="1:7">
      <c r="A31" s="151" t="s">
        <v>68</v>
      </c>
      <c r="B31" s="116">
        <f t="shared" si="0"/>
        <v>0</v>
      </c>
      <c r="C31" s="116">
        <f>ROUND(('3. Population-NSIP#'!C16*$G$13),0)</f>
        <v>0</v>
      </c>
      <c r="D31" s="116">
        <f>SUM(('3. Population-NSIP#'!K16*$G$14),0)</f>
        <v>182595.0866831539</v>
      </c>
      <c r="E31" s="431">
        <f t="shared" si="1"/>
        <v>182595</v>
      </c>
      <c r="F31" s="141">
        <f t="shared" si="2"/>
        <v>7.4283284989565074E-2</v>
      </c>
      <c r="G31" s="18"/>
    </row>
    <row r="32" spans="1:7">
      <c r="A32" s="151" t="s">
        <v>67</v>
      </c>
      <c r="B32" s="116">
        <f t="shared" si="0"/>
        <v>0</v>
      </c>
      <c r="C32" s="116">
        <f>ROUND(('3. Population-NSIP#'!C17*$G$13),0)</f>
        <v>0</v>
      </c>
      <c r="D32" s="116">
        <f>SUM(('3. Population-NSIP#'!K17*$G$14),0)</f>
        <v>122742.91652857808</v>
      </c>
      <c r="E32" s="431">
        <f t="shared" si="1"/>
        <v>122743</v>
      </c>
      <c r="F32" s="141">
        <f t="shared" si="2"/>
        <v>4.9934298581418908E-2</v>
      </c>
      <c r="G32" s="18"/>
    </row>
    <row r="33" spans="1:7">
      <c r="A33" s="151" t="s">
        <v>63</v>
      </c>
      <c r="B33" s="116">
        <f t="shared" si="0"/>
        <v>0</v>
      </c>
      <c r="C33" s="116">
        <f>ROUND(('3. Population-NSIP#'!C18*$G$13),0)</f>
        <v>0</v>
      </c>
      <c r="D33" s="116">
        <f>SUM(('3. Population-NSIP#'!K18*$G$14),0)</f>
        <v>171657.94148613539</v>
      </c>
      <c r="E33" s="431">
        <f t="shared" si="1"/>
        <v>171658</v>
      </c>
      <c r="F33" s="141">
        <f t="shared" si="2"/>
        <v>6.9833895422868969E-2</v>
      </c>
      <c r="G33" s="18"/>
    </row>
    <row r="34" spans="1:7" s="1" customFormat="1">
      <c r="A34" s="119" t="s">
        <v>29</v>
      </c>
      <c r="B34" s="117">
        <f>SUM(B18:B33)</f>
        <v>0</v>
      </c>
      <c r="C34" s="117">
        <f>SUM(C18:C33)</f>
        <v>0</v>
      </c>
      <c r="D34" s="117">
        <f>SUM(D18:D33)</f>
        <v>2458091</v>
      </c>
      <c r="E34" s="117">
        <f>SUM(E18:E33)</f>
        <v>2458090</v>
      </c>
      <c r="F34" s="120">
        <f>SUM(F18:F33)</f>
        <v>1</v>
      </c>
      <c r="G34" s="10"/>
    </row>
  </sheetData>
  <pageMargins left="0.75" right="0.75" top="1.5" bottom="0.5" header="0.25" footer="0.5"/>
  <pageSetup scale="80"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rgb="FFFFFF66"/>
    <pageSetUpPr fitToPage="1"/>
  </sheetPr>
  <dimension ref="A1:M44"/>
  <sheetViews>
    <sheetView zoomScaleNormal="100" zoomScaleSheetLayoutView="100" workbookViewId="0">
      <pane xSplit="1" ySplit="1" topLeftCell="B2" activePane="bottomRight" state="frozen"/>
      <selection activeCell="C5" sqref="C5"/>
      <selection pane="topRight" activeCell="C5" sqref="C5"/>
      <selection pane="bottomLeft" activeCell="C5" sqref="C5"/>
      <selection pane="bottomRight" activeCell="A23" sqref="A23"/>
    </sheetView>
  </sheetViews>
  <sheetFormatPr defaultRowHeight="15"/>
  <cols>
    <col min="1" max="1" width="63.42578125" customWidth="1" collapsed="1"/>
    <col min="2" max="3" width="13.28515625" style="18" customWidth="1" collapsed="1"/>
    <col min="4" max="4" width="13.28515625" style="18" hidden="1" customWidth="1" collapsed="1"/>
    <col min="5" max="6" width="13.28515625" style="18" customWidth="1" collapsed="1"/>
    <col min="7" max="7" width="14" customWidth="1" collapsed="1"/>
    <col min="8" max="8" width="10.5703125" bestFit="1" customWidth="1" collapsed="1"/>
    <col min="10" max="10" width="13.140625" customWidth="1"/>
    <col min="11" max="11" width="13.7109375" customWidth="1"/>
    <col min="12" max="12" width="11.5703125" bestFit="1" customWidth="1"/>
  </cols>
  <sheetData>
    <row r="1" spans="1:7" s="112" customFormat="1" ht="67.5">
      <c r="A1" s="135" t="s">
        <v>473</v>
      </c>
      <c r="B1" s="135" t="s">
        <v>22</v>
      </c>
      <c r="C1" s="135" t="s">
        <v>26</v>
      </c>
      <c r="D1" s="135" t="s">
        <v>25</v>
      </c>
      <c r="E1" s="243" t="s">
        <v>263</v>
      </c>
      <c r="F1" s="135"/>
      <c r="G1" s="135"/>
    </row>
    <row r="2" spans="1:7" ht="12.95" customHeight="1">
      <c r="C2" s="31"/>
      <c r="G2" s="18">
        <f>SUM(D2:F2)</f>
        <v>0</v>
      </c>
    </row>
    <row r="3" spans="1:7" ht="12.95" customHeight="1">
      <c r="A3" s="235" t="s">
        <v>461</v>
      </c>
      <c r="B3" s="18">
        <v>0</v>
      </c>
      <c r="C3" s="31">
        <v>1</v>
      </c>
      <c r="E3" s="18">
        <f>ROUND(B3*C3,0)</f>
        <v>0</v>
      </c>
      <c r="G3" s="18">
        <f>SUM(D3:F3)</f>
        <v>0</v>
      </c>
    </row>
    <row r="4" spans="1:7" ht="12.95" customHeight="1">
      <c r="A4" s="235"/>
      <c r="C4" s="31"/>
      <c r="D4" s="8"/>
      <c r="E4" s="8"/>
      <c r="F4" s="8">
        <f>ROUND(B4*C4,0)</f>
        <v>0</v>
      </c>
      <c r="G4" s="8">
        <f>SUM(D4:F4)</f>
        <v>0</v>
      </c>
    </row>
    <row r="5" spans="1:7" ht="12.95" customHeight="1">
      <c r="A5" s="235"/>
      <c r="C5" s="29"/>
      <c r="D5" s="18">
        <f>SUM(D2:D4)</f>
        <v>0</v>
      </c>
      <c r="F5" s="18">
        <f>SUM(F2:F4)</f>
        <v>0</v>
      </c>
      <c r="G5" s="18">
        <f>SUM(G2:G4)</f>
        <v>0</v>
      </c>
    </row>
    <row r="6" spans="1:7" ht="12.95" customHeight="1">
      <c r="A6" s="235"/>
      <c r="C6" s="5"/>
      <c r="D6" s="8">
        <f>ROUND($C$6*-D5,0)</f>
        <v>0</v>
      </c>
      <c r="E6" s="8">
        <f>ROUND($C$6*-E5,0)</f>
        <v>0</v>
      </c>
      <c r="F6" s="8">
        <f>ROUND($C$6*-F5,0)</f>
        <v>0</v>
      </c>
      <c r="G6" s="8">
        <f>SUM(D6:F6)</f>
        <v>0</v>
      </c>
    </row>
    <row r="7" spans="1:7" ht="12.95" customHeight="1">
      <c r="A7" s="235" t="s">
        <v>23</v>
      </c>
      <c r="D7" s="18">
        <f>SUM(D5:D6)</f>
        <v>0</v>
      </c>
      <c r="E7" s="18">
        <f>SUM(E5:E6)</f>
        <v>0</v>
      </c>
      <c r="F7" s="18">
        <f>SUM(F5:F6)</f>
        <v>0</v>
      </c>
      <c r="G7" s="18">
        <f>SUM(G5:G6)</f>
        <v>0</v>
      </c>
    </row>
    <row r="8" spans="1:7" ht="12.95" customHeight="1">
      <c r="A8" s="99" t="s">
        <v>169</v>
      </c>
      <c r="B8" s="18">
        <v>0</v>
      </c>
      <c r="C8" s="6"/>
      <c r="D8" s="18">
        <f>ROUND(B8*C8,0)</f>
        <v>0</v>
      </c>
      <c r="G8" s="18">
        <f>SUM(D8:F8)</f>
        <v>0</v>
      </c>
    </row>
    <row r="9" spans="1:7" ht="12.95" customHeight="1">
      <c r="A9" s="99" t="s">
        <v>314</v>
      </c>
      <c r="B9" s="18">
        <v>0</v>
      </c>
      <c r="C9" s="6"/>
      <c r="E9" s="18">
        <f>ROUND(B9*C9,0)</f>
        <v>0</v>
      </c>
      <c r="G9" s="18">
        <f>SUM(D9:F9)</f>
        <v>0</v>
      </c>
    </row>
    <row r="10" spans="1:7" ht="12.95" customHeight="1">
      <c r="A10" s="99" t="s">
        <v>315</v>
      </c>
      <c r="B10" s="18">
        <v>0</v>
      </c>
      <c r="C10" s="6"/>
      <c r="D10" s="8"/>
      <c r="E10" s="8"/>
      <c r="F10" s="8">
        <f>ROUND(B10*C10,0)</f>
        <v>0</v>
      </c>
      <c r="G10" s="8">
        <f>SUM(D10:F10)</f>
        <v>0</v>
      </c>
    </row>
    <row r="11" spans="1:7" ht="12.95" customHeight="1">
      <c r="A11" s="101" t="s">
        <v>170</v>
      </c>
      <c r="C11" s="6"/>
      <c r="D11" s="13">
        <f>SUM(D8:D10)</f>
        <v>0</v>
      </c>
      <c r="E11" s="13">
        <f>SUM(E8:E10)</f>
        <v>0</v>
      </c>
      <c r="F11" s="13">
        <f>SUM(F8:F10)</f>
        <v>0</v>
      </c>
      <c r="G11" s="13">
        <f>SUM(G8:G10)</f>
        <v>0</v>
      </c>
    </row>
    <row r="12" spans="1:7" s="191" customFormat="1" ht="12.95" customHeight="1">
      <c r="A12" s="52" t="s">
        <v>23</v>
      </c>
      <c r="B12" s="18"/>
      <c r="C12" s="18"/>
      <c r="D12" s="16">
        <f>SUM(D7:D10)</f>
        <v>0</v>
      </c>
      <c r="E12" s="16">
        <f>SUM(E7:E10)</f>
        <v>0</v>
      </c>
      <c r="F12" s="16">
        <f>SUM(F7:F10)</f>
        <v>0</v>
      </c>
      <c r="G12" s="16">
        <f>SUM(G7:G10)</f>
        <v>0</v>
      </c>
    </row>
    <row r="13" spans="1:7" s="191" customFormat="1" ht="12.95" customHeight="1">
      <c r="A13" s="101" t="s">
        <v>35</v>
      </c>
      <c r="B13" s="18"/>
      <c r="C13" s="18"/>
      <c r="D13" s="192"/>
      <c r="E13" s="192"/>
      <c r="F13" s="192"/>
      <c r="G13" s="192">
        <v>0</v>
      </c>
    </row>
    <row r="14" spans="1:7" s="1" customFormat="1" ht="12.95" customHeight="1" thickBot="1">
      <c r="A14" s="65" t="s">
        <v>29</v>
      </c>
      <c r="B14" s="10"/>
      <c r="C14" s="10"/>
      <c r="D14" s="14"/>
      <c r="E14" s="14"/>
      <c r="F14" s="14"/>
      <c r="G14" s="11">
        <f>SUM(G12:G13)</f>
        <v>0</v>
      </c>
    </row>
    <row r="15" spans="1:7" s="131" customFormat="1" ht="12.95" customHeight="1" thickTop="1">
      <c r="B15" s="129"/>
      <c r="C15" s="129"/>
      <c r="D15" s="130"/>
      <c r="E15" s="130"/>
      <c r="F15" s="130"/>
      <c r="G15" s="130"/>
    </row>
    <row r="16" spans="1:7" ht="12.95" customHeight="1">
      <c r="A16" s="111"/>
      <c r="G16" s="18"/>
    </row>
    <row r="17" spans="1:13" ht="12.95" customHeight="1">
      <c r="A17" s="124"/>
      <c r="B17" s="244">
        <v>0</v>
      </c>
      <c r="C17" s="244">
        <v>0</v>
      </c>
      <c r="G17" s="18">
        <f>B17*C17</f>
        <v>0</v>
      </c>
      <c r="H17" s="12"/>
    </row>
    <row r="18" spans="1:13" ht="12.95" customHeight="1">
      <c r="A18" s="235"/>
      <c r="C18" s="245">
        <v>0</v>
      </c>
      <c r="G18" s="18">
        <f>ROUND((G14-G17)*C18,0)</f>
        <v>0</v>
      </c>
    </row>
    <row r="19" spans="1:13" ht="12.95" customHeight="1">
      <c r="A19" s="235" t="s">
        <v>436</v>
      </c>
      <c r="C19" s="5">
        <v>1</v>
      </c>
      <c r="G19" s="18"/>
    </row>
    <row r="20" spans="1:13" s="1" customFormat="1" ht="12.95" customHeight="1" thickBot="1">
      <c r="A20" s="65" t="s">
        <v>29</v>
      </c>
      <c r="B20" s="10"/>
      <c r="C20" s="10"/>
      <c r="D20" s="10"/>
      <c r="E20" s="10"/>
      <c r="F20" s="10"/>
      <c r="G20" s="11">
        <f>SUM(G17:G19)</f>
        <v>0</v>
      </c>
    </row>
    <row r="21" spans="1:13" s="125" customFormat="1" ht="6.75" customHeight="1" thickTop="1">
      <c r="B21" s="126"/>
      <c r="C21" s="126"/>
      <c r="D21" s="126"/>
      <c r="E21" s="126"/>
      <c r="F21" s="126"/>
    </row>
    <row r="22" spans="1:13" s="112" customFormat="1" ht="108">
      <c r="A22" s="201" t="s">
        <v>58</v>
      </c>
      <c r="B22" s="132" t="s">
        <v>196</v>
      </c>
      <c r="C22" s="132" t="s">
        <v>211</v>
      </c>
      <c r="D22" s="132" t="s">
        <v>211</v>
      </c>
      <c r="E22" s="132" t="s">
        <v>213</v>
      </c>
      <c r="F22" s="133" t="s">
        <v>210</v>
      </c>
      <c r="G22" s="134"/>
      <c r="H22"/>
      <c r="I22"/>
      <c r="J22" s="65"/>
      <c r="K22"/>
      <c r="L22" s="1"/>
      <c r="M22"/>
    </row>
    <row r="23" spans="1:13">
      <c r="A23" s="151" t="s">
        <v>72</v>
      </c>
      <c r="B23" s="116">
        <f>$B$17</f>
        <v>0</v>
      </c>
      <c r="C23" s="116">
        <f>ROUND(('3. Population-NSIP#'!K3*$G$14),0)</f>
        <v>0</v>
      </c>
      <c r="D23" s="116">
        <f>ROUND(('3. Population-NSIP#'!K3*$G$19),0)</f>
        <v>0</v>
      </c>
      <c r="E23" s="116">
        <v>0</v>
      </c>
      <c r="F23" s="141" t="e">
        <f t="shared" ref="F23:F38" si="0">E23/$E$39</f>
        <v>#DIV/0!</v>
      </c>
      <c r="G23" s="18"/>
      <c r="J23" s="65"/>
      <c r="L23" s="1"/>
    </row>
    <row r="24" spans="1:13">
      <c r="A24" s="151" t="s">
        <v>61</v>
      </c>
      <c r="B24" s="116">
        <f t="shared" ref="B24:B38" si="1">$B$17</f>
        <v>0</v>
      </c>
      <c r="C24" s="116">
        <f>ROUND(('3. Population-NSIP#'!K4*$G$14),0)</f>
        <v>0</v>
      </c>
      <c r="D24" s="116">
        <f>ROUND(('3. Population-NSIP#'!K4*$G$19),0)</f>
        <v>0</v>
      </c>
      <c r="E24" s="116">
        <v>0</v>
      </c>
      <c r="F24" s="141" t="e">
        <f t="shared" si="0"/>
        <v>#DIV/0!</v>
      </c>
      <c r="G24" s="18"/>
      <c r="J24" s="65"/>
      <c r="K24" s="1"/>
      <c r="L24" s="1"/>
    </row>
    <row r="25" spans="1:13">
      <c r="A25" s="151" t="s">
        <v>73</v>
      </c>
      <c r="B25" s="116">
        <f t="shared" si="1"/>
        <v>0</v>
      </c>
      <c r="C25" s="116">
        <f>ROUND(('3. Population-NSIP#'!K5*$G$14),0)</f>
        <v>0</v>
      </c>
      <c r="D25" s="116">
        <f>ROUND(('3. Population-NSIP#'!K5*$G$19),0)</f>
        <v>0</v>
      </c>
      <c r="E25" s="116">
        <v>0</v>
      </c>
      <c r="F25" s="141" t="e">
        <f t="shared" si="0"/>
        <v>#DIV/0!</v>
      </c>
      <c r="G25" s="18"/>
      <c r="J25" s="237"/>
      <c r="K25" s="1"/>
      <c r="L25" s="242"/>
    </row>
    <row r="26" spans="1:13">
      <c r="A26" s="151" t="s">
        <v>60</v>
      </c>
      <c r="B26" s="116">
        <f t="shared" si="1"/>
        <v>0</v>
      </c>
      <c r="C26" s="116">
        <f>ROUND(('3. Population-NSIP#'!K6*$G$14),0)</f>
        <v>0</v>
      </c>
      <c r="D26" s="116">
        <f>ROUND(('3. Population-NSIP#'!K6*$G$19),0)</f>
        <v>0</v>
      </c>
      <c r="E26" s="116">
        <v>0</v>
      </c>
      <c r="F26" s="141" t="e">
        <f t="shared" si="0"/>
        <v>#DIV/0!</v>
      </c>
      <c r="G26" s="18"/>
      <c r="J26" s="236"/>
      <c r="K26" s="241"/>
      <c r="L26" s="240"/>
    </row>
    <row r="27" spans="1:13">
      <c r="A27" s="151" t="s">
        <v>555</v>
      </c>
      <c r="B27" s="116">
        <f t="shared" si="1"/>
        <v>0</v>
      </c>
      <c r="C27" s="116">
        <f>ROUND(('3. Population-NSIP#'!K7*$G$14),0)</f>
        <v>0</v>
      </c>
      <c r="D27" s="116">
        <f>ROUND(('3. Population-NSIP#'!K7*$G$19),0)</f>
        <v>0</v>
      </c>
      <c r="E27" s="116">
        <v>0</v>
      </c>
      <c r="F27" s="141" t="e">
        <f t="shared" si="0"/>
        <v>#DIV/0!</v>
      </c>
      <c r="G27" s="18"/>
      <c r="J27" s="236"/>
      <c r="K27" s="241"/>
      <c r="L27" s="240"/>
    </row>
    <row r="28" spans="1:13">
      <c r="A28" s="151" t="s">
        <v>173</v>
      </c>
      <c r="B28" s="116">
        <f t="shared" si="1"/>
        <v>0</v>
      </c>
      <c r="C28" s="116">
        <f>ROUND(('3. Population-NSIP#'!K8*$G$14),0)</f>
        <v>0</v>
      </c>
      <c r="D28" s="116">
        <f>ROUND(('3. Population-NSIP#'!K8*$G$19),0)</f>
        <v>0</v>
      </c>
      <c r="E28" s="116">
        <v>0</v>
      </c>
      <c r="F28" s="141" t="e">
        <f t="shared" si="0"/>
        <v>#DIV/0!</v>
      </c>
      <c r="G28" s="18"/>
      <c r="J28" s="236"/>
      <c r="K28" s="241"/>
      <c r="L28" s="240"/>
    </row>
    <row r="29" spans="1:13">
      <c r="A29" s="151" t="s">
        <v>74</v>
      </c>
      <c r="B29" s="116">
        <f t="shared" si="1"/>
        <v>0</v>
      </c>
      <c r="C29" s="116">
        <f>ROUND(('3. Population-NSIP#'!K9*$G$14),0)</f>
        <v>0</v>
      </c>
      <c r="D29" s="116">
        <f>ROUND(('3. Population-NSIP#'!K9*$G$19),0)</f>
        <v>0</v>
      </c>
      <c r="E29" s="116">
        <v>0</v>
      </c>
      <c r="F29" s="141" t="e">
        <f t="shared" si="0"/>
        <v>#DIV/0!</v>
      </c>
      <c r="G29" s="18"/>
      <c r="J29" s="236"/>
      <c r="K29" s="241"/>
      <c r="L29" s="240"/>
    </row>
    <row r="30" spans="1:13">
      <c r="A30" s="151" t="s">
        <v>71</v>
      </c>
      <c r="B30" s="116">
        <f t="shared" si="1"/>
        <v>0</v>
      </c>
      <c r="C30" s="116">
        <f>ROUND(('3. Population-NSIP#'!K10*$G$14),0)</f>
        <v>0</v>
      </c>
      <c r="D30" s="116">
        <f>ROUND(('3. Population-NSIP#'!K10*$G$19),0)</f>
        <v>0</v>
      </c>
      <c r="E30" s="116">
        <v>0</v>
      </c>
      <c r="F30" s="141" t="e">
        <f t="shared" si="0"/>
        <v>#DIV/0!</v>
      </c>
      <c r="G30" s="18"/>
      <c r="J30" s="236"/>
      <c r="K30" s="241"/>
      <c r="L30" s="240"/>
    </row>
    <row r="31" spans="1:13">
      <c r="A31" s="151" t="s">
        <v>65</v>
      </c>
      <c r="B31" s="116">
        <f t="shared" si="1"/>
        <v>0</v>
      </c>
      <c r="C31" s="116">
        <f>ROUND(('3. Population-NSIP#'!K11*$G$14),0)</f>
        <v>0</v>
      </c>
      <c r="D31" s="116">
        <f>ROUND(('3. Population-NSIP#'!K11*$G$19),0)</f>
        <v>0</v>
      </c>
      <c r="E31" s="116">
        <v>0</v>
      </c>
      <c r="F31" s="141" t="e">
        <f t="shared" si="0"/>
        <v>#DIV/0!</v>
      </c>
      <c r="G31" s="18"/>
      <c r="J31" s="236"/>
      <c r="K31" s="241"/>
      <c r="L31" s="240"/>
    </row>
    <row r="32" spans="1:13">
      <c r="A32" s="151" t="s">
        <v>229</v>
      </c>
      <c r="B32" s="116">
        <f t="shared" si="1"/>
        <v>0</v>
      </c>
      <c r="C32" s="116">
        <f>ROUND(('3. Population-NSIP#'!K12*$G$14),0)</f>
        <v>0</v>
      </c>
      <c r="D32" s="116">
        <f>ROUND(('3. Population-NSIP#'!K12*$G$19),0)</f>
        <v>0</v>
      </c>
      <c r="E32" s="116">
        <v>0</v>
      </c>
      <c r="F32" s="141" t="e">
        <f t="shared" si="0"/>
        <v>#DIV/0!</v>
      </c>
      <c r="G32" s="18"/>
      <c r="J32" s="236"/>
      <c r="K32" s="241"/>
      <c r="L32" s="240"/>
    </row>
    <row r="33" spans="1:13">
      <c r="A33" s="151" t="s">
        <v>75</v>
      </c>
      <c r="B33" s="116">
        <f t="shared" si="1"/>
        <v>0</v>
      </c>
      <c r="C33" s="116">
        <f>ROUND(('3. Population-NSIP#'!K13*$G$14),0)</f>
        <v>0</v>
      </c>
      <c r="D33" s="116">
        <f>ROUND(('3. Population-NSIP#'!K13*$G$19),0)</f>
        <v>0</v>
      </c>
      <c r="E33" s="116">
        <v>0</v>
      </c>
      <c r="F33" s="141" t="e">
        <f t="shared" si="0"/>
        <v>#DIV/0!</v>
      </c>
      <c r="G33" s="18"/>
      <c r="J33" s="236"/>
      <c r="K33" s="241"/>
      <c r="L33" s="240"/>
    </row>
    <row r="34" spans="1:13">
      <c r="A34" s="151" t="s">
        <v>59</v>
      </c>
      <c r="B34" s="116">
        <f t="shared" si="1"/>
        <v>0</v>
      </c>
      <c r="C34" s="116">
        <f>ROUND(('3. Population-NSIP#'!K14*$G$14),0)</f>
        <v>0</v>
      </c>
      <c r="D34" s="116">
        <f>ROUND(('3. Population-NSIP#'!K14*$G$19),0)</f>
        <v>0</v>
      </c>
      <c r="E34" s="116">
        <v>0</v>
      </c>
      <c r="F34" s="141" t="e">
        <f t="shared" si="0"/>
        <v>#DIV/0!</v>
      </c>
      <c r="G34" s="18"/>
      <c r="J34" s="236"/>
      <c r="K34" s="241"/>
      <c r="L34" s="240"/>
    </row>
    <row r="35" spans="1:13">
      <c r="A35" s="151" t="s">
        <v>64</v>
      </c>
      <c r="B35" s="116">
        <f t="shared" si="1"/>
        <v>0</v>
      </c>
      <c r="C35" s="116">
        <f>ROUND(('3. Population-NSIP#'!K15*$G$14),0)</f>
        <v>0</v>
      </c>
      <c r="D35" s="116">
        <f>ROUND(('3. Population-NSIP#'!K15*$G$19),0)</f>
        <v>0</v>
      </c>
      <c r="E35" s="116">
        <v>0</v>
      </c>
      <c r="F35" s="141" t="e">
        <f t="shared" si="0"/>
        <v>#DIV/0!</v>
      </c>
      <c r="G35" s="18"/>
      <c r="J35" s="236"/>
      <c r="K35" s="241"/>
      <c r="L35" s="240"/>
    </row>
    <row r="36" spans="1:13">
      <c r="A36" s="151" t="s">
        <v>68</v>
      </c>
      <c r="B36" s="116">
        <f t="shared" si="1"/>
        <v>0</v>
      </c>
      <c r="C36" s="116">
        <f>ROUND(('3. Population-NSIP#'!K16*$G$14),0)</f>
        <v>0</v>
      </c>
      <c r="D36" s="116">
        <f>ROUND(('3. Population-NSIP#'!K16*$G$19),0)</f>
        <v>0</v>
      </c>
      <c r="E36" s="116">
        <v>0</v>
      </c>
      <c r="F36" s="141" t="e">
        <f t="shared" si="0"/>
        <v>#DIV/0!</v>
      </c>
      <c r="G36" s="18"/>
      <c r="H36" s="1"/>
      <c r="I36" s="191"/>
      <c r="J36" s="238"/>
      <c r="K36" s="241"/>
      <c r="L36" s="240"/>
      <c r="M36" s="1"/>
    </row>
    <row r="37" spans="1:13">
      <c r="A37" s="151" t="s">
        <v>67</v>
      </c>
      <c r="B37" s="116">
        <f t="shared" si="1"/>
        <v>0</v>
      </c>
      <c r="C37" s="116">
        <f>ROUND(('3. Population-NSIP#'!K17*$G$14),0)</f>
        <v>0</v>
      </c>
      <c r="D37" s="116">
        <f>ROUND(('3. Population-NSIP#'!K17*$G$19),0)</f>
        <v>0</v>
      </c>
      <c r="E37" s="116">
        <v>0</v>
      </c>
      <c r="F37" s="141" t="e">
        <f t="shared" si="0"/>
        <v>#DIV/0!</v>
      </c>
      <c r="G37" s="18"/>
      <c r="J37" s="236"/>
      <c r="K37" s="241"/>
      <c r="L37" s="240"/>
    </row>
    <row r="38" spans="1:13">
      <c r="A38" s="151" t="s">
        <v>63</v>
      </c>
      <c r="B38" s="116">
        <f t="shared" si="1"/>
        <v>0</v>
      </c>
      <c r="C38" s="116">
        <f>ROUND(('3. Population-NSIP#'!K18*$G$14),0)</f>
        <v>0</v>
      </c>
      <c r="D38" s="116">
        <f>ROUND(('3. Population-NSIP#'!K18*$G$19),0)</f>
        <v>0</v>
      </c>
      <c r="E38" s="116">
        <v>0</v>
      </c>
      <c r="F38" s="141" t="e">
        <f t="shared" si="0"/>
        <v>#DIV/0!</v>
      </c>
      <c r="G38" s="18"/>
      <c r="J38" s="236"/>
      <c r="K38" s="241"/>
      <c r="L38" s="240"/>
    </row>
    <row r="39" spans="1:13" s="1" customFormat="1">
      <c r="A39" s="119" t="s">
        <v>29</v>
      </c>
      <c r="B39" s="117">
        <f>SUM(B23:B38)</f>
        <v>0</v>
      </c>
      <c r="C39" s="117">
        <f>SUM(C23:C38)</f>
        <v>0</v>
      </c>
      <c r="D39" s="117">
        <f>SUM(D23:D38)</f>
        <v>0</v>
      </c>
      <c r="E39" s="117">
        <f>SUM(E23:E38)</f>
        <v>0</v>
      </c>
      <c r="F39" s="120" t="e">
        <f>SUM(F23:F38)</f>
        <v>#DIV/0!</v>
      </c>
      <c r="G39" s="10"/>
      <c r="H39"/>
      <c r="I39"/>
      <c r="J39" s="236"/>
      <c r="K39" s="241"/>
      <c r="L39" s="240"/>
      <c r="M39"/>
    </row>
    <row r="40" spans="1:13">
      <c r="J40" s="236"/>
      <c r="K40" s="241"/>
      <c r="L40" s="240"/>
    </row>
    <row r="41" spans="1:13">
      <c r="J41" s="236"/>
      <c r="K41" s="241"/>
      <c r="L41" s="240"/>
    </row>
    <row r="42" spans="1:13">
      <c r="J42" s="236"/>
      <c r="L42" s="240"/>
    </row>
    <row r="43" spans="1:13">
      <c r="H43" s="809"/>
      <c r="I43" s="809"/>
      <c r="J43" s="236"/>
      <c r="K43" s="239"/>
      <c r="L43" s="240"/>
    </row>
    <row r="44" spans="1:13">
      <c r="J44" s="236"/>
    </row>
  </sheetData>
  <mergeCells count="1">
    <mergeCell ref="H43:I43"/>
  </mergeCells>
  <pageMargins left="0.75" right="0.75" top="1.5" bottom="0.5" header="0.25" footer="0.5"/>
  <pageSetup scale="71"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pageSetUpPr fitToPage="1"/>
  </sheetPr>
  <dimension ref="A1:K39"/>
  <sheetViews>
    <sheetView topLeftCell="A16" zoomScale="75" zoomScaleNormal="75" workbookViewId="0">
      <selection activeCell="A41" sqref="A41"/>
    </sheetView>
  </sheetViews>
  <sheetFormatPr defaultRowHeight="15"/>
  <cols>
    <col min="1" max="1" width="62" bestFit="1" customWidth="1" collapsed="1"/>
    <col min="2" max="3" width="13.85546875" style="18" customWidth="1" collapsed="1"/>
    <col min="4" max="4" width="17.42578125" style="374" customWidth="1" collapsed="1"/>
    <col min="5" max="5" width="11.7109375" style="18" bestFit="1" customWidth="1" collapsed="1"/>
    <col min="6" max="6" width="15" style="18" customWidth="1" collapsed="1"/>
    <col min="7" max="7" width="13.28515625" style="18" customWidth="1" collapsed="1"/>
    <col min="8" max="8" width="13.28515625" customWidth="1" collapsed="1"/>
    <col min="9" max="9" width="10.5703125" bestFit="1" customWidth="1" collapsed="1"/>
    <col min="11" max="11" width="9.140625" style="353"/>
  </cols>
  <sheetData>
    <row r="1" spans="1:11" s="112" customFormat="1" ht="54" customHeight="1">
      <c r="A1" s="135" t="s">
        <v>226</v>
      </c>
      <c r="B1" s="135" t="s">
        <v>22</v>
      </c>
      <c r="C1" s="135" t="s">
        <v>26</v>
      </c>
      <c r="D1" s="372" t="s">
        <v>26</v>
      </c>
      <c r="E1" s="135" t="s">
        <v>168</v>
      </c>
      <c r="F1" s="135" t="s">
        <v>316</v>
      </c>
      <c r="G1" s="135" t="s">
        <v>317</v>
      </c>
      <c r="H1" s="135" t="s">
        <v>318</v>
      </c>
      <c r="K1" s="366"/>
    </row>
    <row r="2" spans="1:11" ht="12.95" customHeight="1">
      <c r="A2" s="96" t="s">
        <v>225</v>
      </c>
      <c r="B2" s="18">
        <v>0</v>
      </c>
      <c r="C2" s="6">
        <v>0.25</v>
      </c>
      <c r="D2" s="373">
        <v>0.25</v>
      </c>
      <c r="E2" s="18">
        <f>B2*C2</f>
        <v>0</v>
      </c>
      <c r="H2" s="18">
        <f>SUM(E2:G2)</f>
        <v>0</v>
      </c>
    </row>
    <row r="3" spans="1:11" ht="12.95" customHeight="1">
      <c r="A3" s="96" t="s">
        <v>333</v>
      </c>
      <c r="B3" s="18">
        <v>0</v>
      </c>
      <c r="C3" s="6">
        <v>1</v>
      </c>
      <c r="D3" s="373">
        <v>1</v>
      </c>
      <c r="F3" s="18">
        <f>B3*D3</f>
        <v>0</v>
      </c>
      <c r="H3" s="18">
        <f>SUM(E3:G3)</f>
        <v>0</v>
      </c>
    </row>
    <row r="4" spans="1:11" ht="12.95" customHeight="1">
      <c r="A4" s="96" t="s">
        <v>334</v>
      </c>
      <c r="B4" s="18">
        <v>0</v>
      </c>
      <c r="C4" s="6">
        <v>0.75</v>
      </c>
      <c r="D4" s="373">
        <v>0.75</v>
      </c>
      <c r="E4" s="8"/>
      <c r="F4" s="8"/>
      <c r="G4" s="8">
        <f>B4*D4</f>
        <v>0</v>
      </c>
      <c r="H4" s="8">
        <f>SUM(E4:G4)</f>
        <v>0</v>
      </c>
    </row>
    <row r="5" spans="1:11" ht="12.95" customHeight="1">
      <c r="A5" s="96" t="s">
        <v>23</v>
      </c>
      <c r="H5" s="18">
        <f>SUM(H2:H4)</f>
        <v>0</v>
      </c>
    </row>
    <row r="6" spans="1:11" ht="12.95" customHeight="1">
      <c r="A6" s="96" t="s">
        <v>24</v>
      </c>
      <c r="C6" s="51">
        <v>0</v>
      </c>
      <c r="D6" s="373">
        <v>0</v>
      </c>
      <c r="E6" s="18">
        <v>0</v>
      </c>
      <c r="F6" s="18">
        <v>0</v>
      </c>
      <c r="G6" s="18">
        <v>0</v>
      </c>
      <c r="H6" s="12">
        <f>SUM(E6:G6)</f>
        <v>0</v>
      </c>
    </row>
    <row r="7" spans="1:11" ht="12.95" customHeight="1">
      <c r="A7" s="235" t="s">
        <v>326</v>
      </c>
      <c r="C7" s="51">
        <v>0</v>
      </c>
      <c r="D7" s="373">
        <v>0</v>
      </c>
      <c r="E7" s="138">
        <v>0</v>
      </c>
      <c r="F7" s="138">
        <v>0</v>
      </c>
      <c r="G7" s="138">
        <v>0</v>
      </c>
      <c r="H7" s="18">
        <f>SUM(E7:G7)</f>
        <v>0</v>
      </c>
    </row>
    <row r="8" spans="1:11" ht="12.95" customHeight="1">
      <c r="A8" s="96" t="s">
        <v>23</v>
      </c>
      <c r="E8" s="18">
        <f>SUM(E5:E7)</f>
        <v>0</v>
      </c>
      <c r="F8" s="18">
        <v>0</v>
      </c>
      <c r="G8" s="18">
        <f>SUM(G5:G7)</f>
        <v>0</v>
      </c>
      <c r="H8" s="371">
        <f>SUM(E8:G8)</f>
        <v>0</v>
      </c>
    </row>
    <row r="9" spans="1:11" ht="12.95" customHeight="1">
      <c r="A9" s="99"/>
      <c r="C9" s="6"/>
      <c r="D9" s="373"/>
      <c r="H9" s="18"/>
    </row>
    <row r="10" spans="1:11" s="15" customFormat="1" ht="12.95" customHeight="1">
      <c r="A10" s="101" t="s">
        <v>35</v>
      </c>
      <c r="B10" s="100"/>
      <c r="C10" s="18"/>
      <c r="D10" s="374"/>
      <c r="E10" s="17"/>
      <c r="F10" s="17"/>
      <c r="G10" s="17"/>
      <c r="H10" s="17">
        <v>0</v>
      </c>
      <c r="K10" s="367"/>
    </row>
    <row r="11" spans="1:11" s="1" customFormat="1" ht="12.95" customHeight="1" thickBot="1">
      <c r="A11" s="65" t="s">
        <v>29</v>
      </c>
      <c r="B11" s="10"/>
      <c r="C11" s="10"/>
      <c r="D11" s="375"/>
      <c r="E11" s="14"/>
      <c r="F11" s="14"/>
      <c r="G11" s="14"/>
      <c r="H11" s="11">
        <f>H5+H8</f>
        <v>0</v>
      </c>
      <c r="K11" s="368"/>
    </row>
    <row r="12" spans="1:11" s="131" customFormat="1" ht="12.95" customHeight="1" thickTop="1">
      <c r="B12" s="129"/>
      <c r="C12" s="129"/>
      <c r="D12" s="376"/>
      <c r="E12" s="130"/>
      <c r="F12" s="130"/>
      <c r="G12" s="130"/>
      <c r="H12" s="130"/>
      <c r="K12" s="369"/>
    </row>
    <row r="13" spans="1:11" ht="12.95" customHeight="1">
      <c r="A13" s="111" t="s">
        <v>146</v>
      </c>
      <c r="H13" s="18"/>
    </row>
    <row r="14" spans="1:11" ht="12.95" customHeight="1">
      <c r="A14" s="96" t="s">
        <v>80</v>
      </c>
      <c r="B14" s="18">
        <v>0</v>
      </c>
      <c r="D14" s="374">
        <v>16</v>
      </c>
      <c r="H14" s="18">
        <f>B14*D14</f>
        <v>0</v>
      </c>
      <c r="I14" s="12"/>
    </row>
    <row r="15" spans="1:11" ht="12.95" customHeight="1">
      <c r="A15" s="96" t="s">
        <v>28</v>
      </c>
      <c r="C15" s="5">
        <v>0</v>
      </c>
      <c r="D15" s="373">
        <v>0</v>
      </c>
      <c r="H15" s="18">
        <f>ROUND((H11-H14)*D15,0)</f>
        <v>0</v>
      </c>
    </row>
    <row r="16" spans="1:11" ht="12.95" customHeight="1">
      <c r="A16" s="96" t="s">
        <v>37</v>
      </c>
      <c r="C16" s="5">
        <v>1</v>
      </c>
      <c r="D16" s="373">
        <v>1</v>
      </c>
      <c r="H16" s="18">
        <f>H11-H14-0.01</f>
        <v>-0.01</v>
      </c>
    </row>
    <row r="17" spans="1:11" s="1" customFormat="1" ht="12.95" customHeight="1" thickBot="1">
      <c r="A17" s="65" t="s">
        <v>29</v>
      </c>
      <c r="B17" s="10"/>
      <c r="C17" s="10"/>
      <c r="D17" s="375"/>
      <c r="E17" s="10"/>
      <c r="F17" s="10"/>
      <c r="G17" s="10"/>
      <c r="H17" s="11">
        <f>SUM(H14:H16)</f>
        <v>-0.01</v>
      </c>
      <c r="K17" s="368"/>
    </row>
    <row r="18" spans="1:11" s="125" customFormat="1" ht="6.75" customHeight="1" thickTop="1">
      <c r="B18" s="126"/>
      <c r="C18" s="126"/>
      <c r="D18" s="377"/>
      <c r="E18" s="126"/>
      <c r="F18" s="126"/>
      <c r="G18" s="126"/>
      <c r="K18" s="370"/>
    </row>
    <row r="19" spans="1:11" s="112" customFormat="1" ht="90">
      <c r="A19" s="132" t="s">
        <v>58</v>
      </c>
      <c r="B19" s="132" t="s">
        <v>196</v>
      </c>
      <c r="C19" s="132" t="s">
        <v>209</v>
      </c>
      <c r="D19" s="378" t="s">
        <v>243</v>
      </c>
      <c r="E19" s="136" t="s">
        <v>210</v>
      </c>
      <c r="F19" s="145"/>
      <c r="G19" s="148"/>
      <c r="H19" s="142"/>
      <c r="K19" s="366"/>
    </row>
    <row r="20" spans="1:11">
      <c r="A20" s="151" t="s">
        <v>72</v>
      </c>
      <c r="B20" s="363"/>
      <c r="C20" s="363">
        <f>'3. Population-NSIP#'!G3*$H$16</f>
        <v>-3.5568576624560994E-4</v>
      </c>
      <c r="D20" s="379">
        <f t="shared" ref="D20:D35" si="0">SUM(B20+C20)</f>
        <v>-3.5568576624560994E-4</v>
      </c>
      <c r="E20" s="141">
        <v>0</v>
      </c>
      <c r="F20" s="146"/>
      <c r="G20" s="149"/>
      <c r="H20" s="143"/>
    </row>
    <row r="21" spans="1:11">
      <c r="A21" s="151" t="s">
        <v>61</v>
      </c>
      <c r="B21" s="363"/>
      <c r="C21" s="363">
        <f>'3. Population-NSIP#'!G4*$H$16</f>
        <v>-1.1281126537238784E-4</v>
      </c>
      <c r="D21" s="379">
        <f t="shared" si="0"/>
        <v>-1.1281126537238784E-4</v>
      </c>
      <c r="E21" s="141">
        <v>0</v>
      </c>
      <c r="F21" s="146"/>
      <c r="G21" s="13"/>
      <c r="H21" s="143"/>
    </row>
    <row r="22" spans="1:11">
      <c r="A22" s="151" t="s">
        <v>73</v>
      </c>
      <c r="B22" s="363"/>
      <c r="C22" s="363">
        <f>'3. Population-NSIP#'!G5*$H$16</f>
        <v>-1.8578738442922519E-4</v>
      </c>
      <c r="D22" s="363">
        <f>SUM(B22+C22)</f>
        <v>-1.8578738442922519E-4</v>
      </c>
      <c r="E22" s="141">
        <v>0</v>
      </c>
      <c r="F22" s="146"/>
      <c r="G22" s="13"/>
      <c r="H22" s="143"/>
    </row>
    <row r="23" spans="1:11">
      <c r="A23" s="151" t="s">
        <v>60</v>
      </c>
      <c r="B23" s="363"/>
      <c r="C23" s="363">
        <f>'3. Population-NSIP#'!G6*$H$16</f>
        <v>-8.7766529760989768E-4</v>
      </c>
      <c r="D23" s="379">
        <f t="shared" si="0"/>
        <v>-8.7766529760989768E-4</v>
      </c>
      <c r="E23" s="141">
        <v>0</v>
      </c>
      <c r="F23" s="146"/>
      <c r="G23" s="13"/>
      <c r="H23" s="143"/>
    </row>
    <row r="24" spans="1:11">
      <c r="A24" s="151" t="s">
        <v>70</v>
      </c>
      <c r="B24" s="363"/>
      <c r="C24" s="363">
        <f>'3. Population-NSIP#'!G7*$H$16</f>
        <v>-5.7846103673700499E-4</v>
      </c>
      <c r="D24" s="379">
        <f t="shared" si="0"/>
        <v>-5.7846103673700499E-4</v>
      </c>
      <c r="E24" s="141">
        <v>0</v>
      </c>
      <c r="F24" s="146"/>
      <c r="G24" s="13"/>
      <c r="H24" s="143"/>
    </row>
    <row r="25" spans="1:11">
      <c r="A25" s="151" t="s">
        <v>173</v>
      </c>
      <c r="B25" s="363"/>
      <c r="C25" s="363">
        <f>'3. Population-NSIP#'!G8*$H$16</f>
        <v>-4.0132440898643738E-4</v>
      </c>
      <c r="D25" s="379">
        <f t="shared" si="0"/>
        <v>-4.0132440898643738E-4</v>
      </c>
      <c r="E25" s="141">
        <v>0</v>
      </c>
      <c r="F25" s="146"/>
      <c r="G25" s="13"/>
      <c r="H25" s="143"/>
    </row>
    <row r="26" spans="1:11">
      <c r="A26" s="151" t="s">
        <v>74</v>
      </c>
      <c r="B26" s="363"/>
      <c r="C26" s="363">
        <f>'3. Population-NSIP#'!G9*$H$16</f>
        <v>-2.3337211402252251E-5</v>
      </c>
      <c r="D26" s="379">
        <f t="shared" si="0"/>
        <v>-2.3337211402252251E-5</v>
      </c>
      <c r="E26" s="141">
        <v>0</v>
      </c>
      <c r="F26" s="146"/>
      <c r="G26" s="13"/>
      <c r="H26" s="143"/>
    </row>
    <row r="27" spans="1:11">
      <c r="A27" s="151" t="s">
        <v>71</v>
      </c>
      <c r="B27" s="363"/>
      <c r="C27" s="363">
        <f>'3. Population-NSIP#'!G10*$H$16</f>
        <v>-2.3844056270752467E-4</v>
      </c>
      <c r="D27" s="379">
        <f t="shared" si="0"/>
        <v>-2.3844056270752467E-4</v>
      </c>
      <c r="E27" s="141">
        <v>0</v>
      </c>
      <c r="F27" s="146"/>
      <c r="G27" s="13"/>
      <c r="H27" s="143"/>
    </row>
    <row r="28" spans="1:11">
      <c r="A28" s="151" t="s">
        <v>65</v>
      </c>
      <c r="B28" s="363"/>
      <c r="C28" s="363">
        <f>'3. Population-NSIP#'!G11*$H$16</f>
        <v>-9.2153893124952298E-4</v>
      </c>
      <c r="D28" s="379">
        <f t="shared" si="0"/>
        <v>-9.2153893124952298E-4</v>
      </c>
      <c r="E28" s="141">
        <v>0</v>
      </c>
      <c r="F28" s="146"/>
      <c r="G28" s="13"/>
      <c r="H28" s="143"/>
    </row>
    <row r="29" spans="1:11">
      <c r="A29" s="151" t="s">
        <v>229</v>
      </c>
      <c r="B29" s="363"/>
      <c r="C29" s="363">
        <f>'3. Population-NSIP#'!G12*$H$16</f>
        <v>-1.5782059508518543E-3</v>
      </c>
      <c r="D29" s="379">
        <f t="shared" si="0"/>
        <v>-1.5782059508518543E-3</v>
      </c>
      <c r="E29" s="141">
        <v>0</v>
      </c>
      <c r="F29" s="146"/>
      <c r="G29" s="13"/>
      <c r="H29" s="143"/>
    </row>
    <row r="30" spans="1:11">
      <c r="A30" s="151" t="s">
        <v>75</v>
      </c>
      <c r="B30" s="363"/>
      <c r="C30" s="363">
        <f>'3. Population-NSIP#'!G13*$H$16</f>
        <v>-9.1121846007663105E-5</v>
      </c>
      <c r="D30" s="379">
        <f t="shared" si="0"/>
        <v>-9.1121846007663105E-5</v>
      </c>
      <c r="E30" s="141">
        <v>0</v>
      </c>
      <c r="F30" s="146"/>
      <c r="G30" s="13"/>
      <c r="H30" s="143"/>
    </row>
    <row r="31" spans="1:11">
      <c r="A31" s="151" t="s">
        <v>59</v>
      </c>
      <c r="B31" s="363"/>
      <c r="C31" s="363">
        <f>'3. Population-NSIP#'!G14*$H$16</f>
        <v>-1.4320565634713734E-3</v>
      </c>
      <c r="D31" s="379">
        <f t="shared" si="0"/>
        <v>-1.4320565634713734E-3</v>
      </c>
      <c r="E31" s="141">
        <v>0</v>
      </c>
      <c r="F31" s="146"/>
      <c r="G31" s="13"/>
      <c r="H31" s="143"/>
    </row>
    <row r="32" spans="1:11">
      <c r="A32" s="151" t="s">
        <v>64</v>
      </c>
      <c r="B32" s="363"/>
      <c r="C32" s="363">
        <f>'3. Population-NSIP#'!G15*$H$16</f>
        <v>-6.852085819094002E-4</v>
      </c>
      <c r="D32" s="379">
        <f t="shared" si="0"/>
        <v>-6.852085819094002E-4</v>
      </c>
      <c r="E32" s="141">
        <v>0</v>
      </c>
      <c r="F32" s="146"/>
      <c r="G32" s="13"/>
      <c r="H32" s="143"/>
    </row>
    <row r="33" spans="1:11">
      <c r="A33" s="151" t="s">
        <v>68</v>
      </c>
      <c r="B33" s="363"/>
      <c r="C33" s="363">
        <f>'3. Population-NSIP#'!G16*$H$16</f>
        <v>-1.0147008003468854E-3</v>
      </c>
      <c r="D33" s="379">
        <f t="shared" si="0"/>
        <v>-1.0147008003468854E-3</v>
      </c>
      <c r="E33" s="141">
        <v>0</v>
      </c>
      <c r="F33" s="146"/>
      <c r="G33" s="13"/>
      <c r="H33" s="143"/>
    </row>
    <row r="34" spans="1:11">
      <c r="A34" s="151" t="s">
        <v>67</v>
      </c>
      <c r="B34" s="363"/>
      <c r="C34" s="363">
        <f>'3. Population-NSIP#'!G17*$H$16</f>
        <v>-3.3034295742656198E-4</v>
      </c>
      <c r="D34" s="379">
        <f t="shared" si="0"/>
        <v>-3.3034295742656198E-4</v>
      </c>
      <c r="E34" s="141">
        <v>0</v>
      </c>
      <c r="F34" s="146"/>
      <c r="G34" s="13"/>
      <c r="H34" s="143"/>
    </row>
    <row r="35" spans="1:11">
      <c r="A35" s="151" t="s">
        <v>63</v>
      </c>
      <c r="B35" s="363"/>
      <c r="C35" s="363">
        <f>'3. Population-NSIP#'!G18*$H$16</f>
        <v>-1.1733114352463999E-3</v>
      </c>
      <c r="D35" s="379">
        <f t="shared" si="0"/>
        <v>-1.1733114352463999E-3</v>
      </c>
      <c r="E35" s="141">
        <v>0</v>
      </c>
      <c r="F35" s="146"/>
      <c r="G35" s="13"/>
      <c r="H35" s="143"/>
    </row>
    <row r="36" spans="1:11" s="1" customFormat="1">
      <c r="A36" s="119" t="s">
        <v>29</v>
      </c>
      <c r="B36" s="117">
        <f>SUM(B20:B35)</f>
        <v>0</v>
      </c>
      <c r="C36" s="117">
        <f>SUM(C20:C35)</f>
        <v>-0.01</v>
      </c>
      <c r="D36" s="380">
        <f>SUM(D20:D35)</f>
        <v>-0.01</v>
      </c>
      <c r="E36" s="121">
        <f>SUM(E20:E35)</f>
        <v>0</v>
      </c>
      <c r="F36" s="147"/>
      <c r="G36" s="150"/>
      <c r="H36" s="144"/>
      <c r="K36" s="368"/>
    </row>
    <row r="38" spans="1:11">
      <c r="A38" s="404"/>
      <c r="C38" s="355" t="s">
        <v>220</v>
      </c>
    </row>
    <row r="39" spans="1:11">
      <c r="D39" s="400"/>
    </row>
  </sheetData>
  <pageMargins left="0.75" right="0.75" top="1.5" bottom="0.5" header="0.25" footer="0.5"/>
  <pageSetup scale="75" orientation="landscape" r:id="rId1"/>
  <headerFooter alignWithMargins="0">
    <oddHeader xml:space="preserve">&amp;L&amp;G&amp;C&amp;"Arial Black,Bold"&amp;14
AAA 2019-2021 PLANNING ALLOCATION
Amendment 1
</oddHeader>
    <oddFooter>&amp;R&amp;"Century Gothic,Regular"Page &amp;P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99CC"/>
  </sheetPr>
  <dimension ref="A1:M42"/>
  <sheetViews>
    <sheetView workbookViewId="0">
      <selection activeCell="F23" sqref="F23"/>
    </sheetView>
  </sheetViews>
  <sheetFormatPr defaultRowHeight="15"/>
  <cols>
    <col min="1" max="1" width="62" bestFit="1" customWidth="1" collapsed="1"/>
    <col min="2" max="2" width="15.42578125" style="18" customWidth="1" collapsed="1"/>
    <col min="3" max="3" width="16.5703125" style="18" customWidth="1" collapsed="1"/>
    <col min="4" max="4" width="15.42578125" style="18" customWidth="1" collapsed="1"/>
    <col min="5" max="5" width="12.7109375" style="18" bestFit="1" customWidth="1" collapsed="1"/>
    <col min="6" max="6" width="11.5703125" style="18" bestFit="1" customWidth="1" collapsed="1"/>
    <col min="7" max="7" width="12.7109375" bestFit="1" customWidth="1" collapsed="1"/>
    <col min="8" max="8" width="10.5703125" bestFit="1" customWidth="1" collapsed="1"/>
    <col min="9" max="9" width="16.140625" customWidth="1"/>
    <col min="11" max="11" width="16.85546875" customWidth="1"/>
    <col min="12" max="12" width="15.28515625" customWidth="1" collapsed="1"/>
    <col min="13" max="13" width="16.42578125" customWidth="1" collapsed="1"/>
  </cols>
  <sheetData>
    <row r="1" spans="1:9" s="112" customFormat="1" ht="36">
      <c r="A1" s="541" t="s">
        <v>416</v>
      </c>
      <c r="B1" s="135" t="s">
        <v>22</v>
      </c>
      <c r="C1" s="135" t="s">
        <v>26</v>
      </c>
      <c r="D1" s="135" t="s">
        <v>389</v>
      </c>
      <c r="E1" s="135" t="s">
        <v>402</v>
      </c>
      <c r="F1" s="135" t="s">
        <v>403</v>
      </c>
      <c r="G1" s="135" t="s">
        <v>404</v>
      </c>
    </row>
    <row r="2" spans="1:9" ht="12.95" customHeight="1">
      <c r="A2" s="235" t="s">
        <v>334</v>
      </c>
      <c r="B2" s="355">
        <f>2976251.38*0.5</f>
        <v>1488125.69</v>
      </c>
      <c r="C2" s="6">
        <v>0.25</v>
      </c>
      <c r="D2" s="18">
        <f>ROUND(B2*C2,0)</f>
        <v>372031</v>
      </c>
      <c r="G2" s="18">
        <f>SUM(D2:F2)</f>
        <v>372031</v>
      </c>
    </row>
    <row r="3" spans="1:9" ht="12.95" customHeight="1">
      <c r="A3" s="235" t="s">
        <v>405</v>
      </c>
      <c r="B3" s="355">
        <f t="shared" ref="B3:B4" si="0">2976251.38*0.5</f>
        <v>1488125.69</v>
      </c>
      <c r="C3" s="6">
        <v>1</v>
      </c>
      <c r="E3" s="18">
        <f>ROUND(B3*C3,0)</f>
        <v>1488126</v>
      </c>
      <c r="G3" s="18">
        <f>SUM(D3:F3)</f>
        <v>1488126</v>
      </c>
    </row>
    <row r="4" spans="1:9" ht="12.95" customHeight="1">
      <c r="A4" s="235" t="s">
        <v>406</v>
      </c>
      <c r="B4" s="355">
        <f t="shared" si="0"/>
        <v>1488125.69</v>
      </c>
      <c r="C4" s="6">
        <v>0.75</v>
      </c>
      <c r="D4" s="8"/>
      <c r="E4" s="8"/>
      <c r="F4" s="8">
        <f>ROUND(B4*C4,0)</f>
        <v>1116094</v>
      </c>
      <c r="G4" s="8">
        <f>SUM(D4:F4)</f>
        <v>1116094</v>
      </c>
      <c r="I4" s="354"/>
    </row>
    <row r="5" spans="1:9" ht="12.95" customHeight="1">
      <c r="A5" s="235" t="s">
        <v>23</v>
      </c>
      <c r="D5" s="18">
        <f>SUM(D2:D4)</f>
        <v>372031</v>
      </c>
      <c r="E5" s="18">
        <f>SUM(E2:E4)</f>
        <v>1488126</v>
      </c>
      <c r="F5" s="18">
        <f>SUM(F2:F4)</f>
        <v>1116094</v>
      </c>
      <c r="G5" s="18">
        <f>SUM(G2:G4)</f>
        <v>2976251</v>
      </c>
      <c r="I5" s="353"/>
    </row>
    <row r="6" spans="1:9" ht="12.95" customHeight="1">
      <c r="A6" s="235" t="s">
        <v>24</v>
      </c>
      <c r="C6" s="5">
        <v>0</v>
      </c>
      <c r="D6" s="8">
        <f>ROUND($C$6*-D5,0)</f>
        <v>0</v>
      </c>
      <c r="E6" s="8">
        <f>ROUND($C$6*-E5,0)</f>
        <v>0</v>
      </c>
      <c r="F6" s="8">
        <f>ROUND($C$6*-F5,0)</f>
        <v>0</v>
      </c>
      <c r="G6" s="8">
        <f>SUM(D6:F6)</f>
        <v>0</v>
      </c>
      <c r="I6" s="354"/>
    </row>
    <row r="7" spans="1:9" ht="12.95" customHeight="1">
      <c r="A7" s="235" t="s">
        <v>23</v>
      </c>
      <c r="D7" s="18">
        <f>SUM(D5:D6)</f>
        <v>372031</v>
      </c>
      <c r="E7" s="18">
        <f>SUM(E5:E6)</f>
        <v>1488126</v>
      </c>
      <c r="F7" s="18">
        <f>SUM(F5:F6)</f>
        <v>1116094</v>
      </c>
      <c r="G7" s="18">
        <f>SUM(G5:G6)</f>
        <v>2976251</v>
      </c>
    </row>
    <row r="8" spans="1:9" ht="12.95" customHeight="1">
      <c r="A8" s="99"/>
      <c r="B8" s="18">
        <v>0</v>
      </c>
      <c r="C8" s="6">
        <v>0.25</v>
      </c>
      <c r="D8" s="18">
        <f>ROUND(B8*C8,0)</f>
        <v>0</v>
      </c>
      <c r="G8" s="18">
        <f>SUM(D8:F8)</f>
        <v>0</v>
      </c>
      <c r="I8" s="190"/>
    </row>
    <row r="9" spans="1:9" ht="12.95" customHeight="1">
      <c r="A9" s="99"/>
      <c r="B9" s="18">
        <v>0</v>
      </c>
      <c r="C9" s="6">
        <v>1</v>
      </c>
      <c r="E9" s="18">
        <f>ROUND(B9*C9,0)</f>
        <v>0</v>
      </c>
      <c r="G9" s="18">
        <f>SUM(D9:F9)</f>
        <v>0</v>
      </c>
      <c r="I9" s="362"/>
    </row>
    <row r="10" spans="1:9" ht="12.95" customHeight="1">
      <c r="A10" s="99"/>
      <c r="B10" s="18">
        <v>0</v>
      </c>
      <c r="C10" s="6">
        <v>0.75</v>
      </c>
      <c r="D10" s="8"/>
      <c r="E10" s="8"/>
      <c r="F10" s="8">
        <f>ROUND(B10*C10,0)</f>
        <v>0</v>
      </c>
      <c r="G10" s="8">
        <f>SUM(D10:F10)</f>
        <v>0</v>
      </c>
    </row>
    <row r="11" spans="1:9" ht="12.95" customHeight="1">
      <c r="A11" s="101"/>
      <c r="C11" s="6"/>
      <c r="D11" s="13">
        <f>SUM(D8:D10)</f>
        <v>0</v>
      </c>
      <c r="E11" s="13">
        <f>SUM(E8:E10)</f>
        <v>0</v>
      </c>
      <c r="F11" s="13">
        <f>SUM(F8:F10)</f>
        <v>0</v>
      </c>
      <c r="G11" s="13">
        <f>SUM(G8:G10)</f>
        <v>0</v>
      </c>
    </row>
    <row r="12" spans="1:9" s="191" customFormat="1" ht="12.95" customHeight="1">
      <c r="A12" s="52" t="s">
        <v>23</v>
      </c>
      <c r="B12" s="18"/>
      <c r="C12" s="18"/>
      <c r="D12" s="16">
        <f>SUM(D7:D10)</f>
        <v>372031</v>
      </c>
      <c r="E12" s="16">
        <f>SUM(E7:E10)</f>
        <v>1488126</v>
      </c>
      <c r="F12" s="16">
        <f>SUM(F7:F10)</f>
        <v>1116094</v>
      </c>
      <c r="G12" s="16">
        <f>SUM(G7:G10)</f>
        <v>2976251</v>
      </c>
    </row>
    <row r="13" spans="1:9" s="191" customFormat="1" ht="12.95" customHeight="1">
      <c r="A13" s="101"/>
      <c r="B13" s="18"/>
      <c r="C13" s="18"/>
      <c r="D13" s="192"/>
      <c r="E13" s="192"/>
      <c r="F13" s="192"/>
      <c r="G13" s="192">
        <v>0</v>
      </c>
    </row>
    <row r="14" spans="1:9" s="1" customFormat="1" ht="12.95" customHeight="1" thickBot="1">
      <c r="A14" s="65" t="s">
        <v>29</v>
      </c>
      <c r="B14" s="10"/>
      <c r="C14" s="10"/>
      <c r="D14" s="14"/>
      <c r="E14" s="14"/>
      <c r="F14" s="14"/>
      <c r="G14" s="11">
        <f>SUM(G12:G13)</f>
        <v>2976251</v>
      </c>
    </row>
    <row r="15" spans="1:9" s="131" customFormat="1" ht="12.95" customHeight="1" thickTop="1">
      <c r="B15" s="129"/>
      <c r="C15" s="129"/>
      <c r="D15" s="130"/>
      <c r="E15" s="130"/>
      <c r="F15" s="130"/>
      <c r="G15" s="130"/>
    </row>
    <row r="16" spans="1:9" ht="12.95" customHeight="1">
      <c r="A16" s="111" t="s">
        <v>146</v>
      </c>
      <c r="G16" s="18"/>
    </row>
    <row r="17" spans="1:8" ht="12.95" customHeight="1">
      <c r="A17" s="124" t="s">
        <v>36</v>
      </c>
      <c r="B17" s="18">
        <v>0</v>
      </c>
      <c r="C17" s="18">
        <v>0</v>
      </c>
      <c r="G17" s="18">
        <f>B17*C17</f>
        <v>0</v>
      </c>
      <c r="H17" s="12"/>
    </row>
    <row r="18" spans="1:8" ht="12.95" customHeight="1">
      <c r="A18" s="235" t="s">
        <v>28</v>
      </c>
      <c r="C18" s="5">
        <v>0.05</v>
      </c>
      <c r="G18" s="18">
        <f>ROUND((G14-G17)*C18,0)</f>
        <v>148813</v>
      </c>
    </row>
    <row r="19" spans="1:8" ht="12.95" customHeight="1">
      <c r="A19" s="235" t="s">
        <v>37</v>
      </c>
      <c r="C19" s="5">
        <v>0.95</v>
      </c>
      <c r="G19" s="18">
        <f>G14-G17-G18</f>
        <v>2827438</v>
      </c>
    </row>
    <row r="20" spans="1:8" s="1" customFormat="1" ht="12.95" customHeight="1" thickBot="1">
      <c r="A20" s="65" t="s">
        <v>29</v>
      </c>
      <c r="B20" s="10"/>
      <c r="C20" s="10"/>
      <c r="D20" s="10"/>
      <c r="E20" s="10"/>
      <c r="F20" s="10"/>
      <c r="G20" s="11">
        <f>SUM(G17:G19)</f>
        <v>2976251</v>
      </c>
    </row>
    <row r="21" spans="1:8" s="125" customFormat="1" ht="6.75" customHeight="1" thickTop="1">
      <c r="B21" s="126"/>
      <c r="C21" s="126"/>
      <c r="D21" s="126"/>
      <c r="E21" s="126"/>
      <c r="F21" s="126"/>
    </row>
    <row r="22" spans="1:8" s="112" customFormat="1" ht="90">
      <c r="A22" s="132" t="s">
        <v>58</v>
      </c>
      <c r="B22" s="132" t="s">
        <v>208</v>
      </c>
      <c r="C22" s="132" t="s">
        <v>209</v>
      </c>
      <c r="D22" s="542" t="s">
        <v>417</v>
      </c>
      <c r="E22" s="543" t="s">
        <v>322</v>
      </c>
      <c r="F22" s="132" t="s">
        <v>323</v>
      </c>
      <c r="G22" s="133" t="s">
        <v>210</v>
      </c>
    </row>
    <row r="23" spans="1:8">
      <c r="A23" s="151" t="s">
        <v>72</v>
      </c>
      <c r="B23" s="116">
        <f>ROUND(('3. Population-NSIP#'!C3*$G$18),0)</f>
        <v>18439</v>
      </c>
      <c r="C23" s="116">
        <f>ROUND(('3. Population-NSIP#'!E3*$G$19),0)</f>
        <v>106461</v>
      </c>
      <c r="D23" s="360">
        <f t="shared" ref="D23:D39" si="1">SUM(B23:C23)</f>
        <v>124900</v>
      </c>
      <c r="E23" s="544">
        <f>D23*10.2%</f>
        <v>12739.8</v>
      </c>
      <c r="F23" s="116">
        <f t="shared" ref="F23:F39" si="2">D23-E23</f>
        <v>112160.2</v>
      </c>
      <c r="G23" s="141">
        <f t="shared" ref="G23:G39" si="3">D23/$D$40</f>
        <v>4.1965518388389696E-2</v>
      </c>
    </row>
    <row r="24" spans="1:8">
      <c r="A24" s="151" t="s">
        <v>61</v>
      </c>
      <c r="B24" s="116">
        <f>ROUND(('3. Population-NSIP#'!C4*$G$18),0)</f>
        <v>1019</v>
      </c>
      <c r="C24" s="116">
        <f>ROUND(('3. Population-NSIP#'!E4*$G$19),0)</f>
        <v>39828</v>
      </c>
      <c r="D24" s="116">
        <f t="shared" si="1"/>
        <v>40847</v>
      </c>
      <c r="E24" s="544"/>
      <c r="F24" s="116">
        <f t="shared" si="2"/>
        <v>40847</v>
      </c>
      <c r="G24" s="141">
        <f t="shared" si="3"/>
        <v>1.3724303679828295E-2</v>
      </c>
    </row>
    <row r="25" spans="1:8">
      <c r="A25" s="151" t="s">
        <v>73</v>
      </c>
      <c r="B25" s="116">
        <f>ROUND(('3. Population-NSIP#'!C5*$G$18),0)</f>
        <v>19813</v>
      </c>
      <c r="C25" s="116">
        <f>ROUND(('3. Population-NSIP#'!E5*$G$19),0)</f>
        <v>57661</v>
      </c>
      <c r="D25" s="360">
        <f t="shared" si="1"/>
        <v>77474</v>
      </c>
      <c r="E25" s="544">
        <f t="shared" ref="E25:E32" si="4">D25*10.2%</f>
        <v>7902.347999999999</v>
      </c>
      <c r="F25" s="116">
        <f t="shared" si="2"/>
        <v>69571.652000000002</v>
      </c>
      <c r="G25" s="141">
        <f t="shared" si="3"/>
        <v>2.6030717146694183E-2</v>
      </c>
    </row>
    <row r="26" spans="1:8">
      <c r="A26" s="151" t="s">
        <v>60</v>
      </c>
      <c r="B26" s="116">
        <f>ROUND(('3. Population-NSIP#'!C6*$G$18),0)</f>
        <v>2900</v>
      </c>
      <c r="C26" s="116">
        <f>ROUND(('3. Population-NSIP#'!E6*$G$19),0)</f>
        <v>318618</v>
      </c>
      <c r="D26" s="360">
        <f t="shared" si="1"/>
        <v>321518</v>
      </c>
      <c r="E26" s="544">
        <f t="shared" si="4"/>
        <v>32794.835999999996</v>
      </c>
      <c r="F26" s="116">
        <f t="shared" si="2"/>
        <v>288723.16399999999</v>
      </c>
      <c r="G26" s="141">
        <f t="shared" si="3"/>
        <v>0.10802777855242818</v>
      </c>
    </row>
    <row r="27" spans="1:8">
      <c r="A27" s="151" t="s">
        <v>555</v>
      </c>
      <c r="B27" s="116">
        <f>ROUND(('3. Population-NSIP#'!C7*$G$18),0)</f>
        <v>12059</v>
      </c>
      <c r="C27" s="116">
        <f>ROUND(('3. Population-NSIP#'!E7*$G$19),0)</f>
        <v>185554</v>
      </c>
      <c r="D27" s="360">
        <f t="shared" si="1"/>
        <v>197613</v>
      </c>
      <c r="E27" s="544">
        <f t="shared" si="4"/>
        <v>20156.525999999998</v>
      </c>
      <c r="F27" s="116">
        <f t="shared" si="2"/>
        <v>177456.47399999999</v>
      </c>
      <c r="G27" s="141">
        <f t="shared" si="3"/>
        <v>6.6396573140791462E-2</v>
      </c>
    </row>
    <row r="28" spans="1:8">
      <c r="A28" s="151" t="s">
        <v>173</v>
      </c>
      <c r="B28" s="116">
        <f>ROUND(('3. Population-NSIP#'!C8*$G$18),0)</f>
        <v>7808</v>
      </c>
      <c r="C28" s="116">
        <f>ROUND(('3. Population-NSIP#'!E8*$G$19),0)</f>
        <v>116277</v>
      </c>
      <c r="D28" s="360">
        <f t="shared" si="1"/>
        <v>124085</v>
      </c>
      <c r="E28" s="544">
        <f t="shared" si="4"/>
        <v>12656.67</v>
      </c>
      <c r="F28" s="116">
        <f t="shared" si="2"/>
        <v>111428.33</v>
      </c>
      <c r="G28" s="141">
        <f t="shared" si="3"/>
        <v>4.1691684141099562E-2</v>
      </c>
    </row>
    <row r="29" spans="1:8">
      <c r="A29" s="151" t="s">
        <v>74</v>
      </c>
      <c r="B29" s="116">
        <f>ROUND(('3. Population-NSIP#'!C9*$G$18),0)</f>
        <v>15710</v>
      </c>
      <c r="C29" s="116">
        <f>ROUND(('3. Population-NSIP#'!E9*$G$19),0)</f>
        <v>7141</v>
      </c>
      <c r="D29" s="360">
        <f t="shared" si="1"/>
        <v>22851</v>
      </c>
      <c r="E29" s="544">
        <f t="shared" si="4"/>
        <v>2330.8019999999997</v>
      </c>
      <c r="F29" s="116">
        <f t="shared" si="2"/>
        <v>20520.198</v>
      </c>
      <c r="G29" s="141">
        <f t="shared" si="3"/>
        <v>7.677774705308991E-3</v>
      </c>
    </row>
    <row r="30" spans="1:8">
      <c r="A30" s="151" t="s">
        <v>71</v>
      </c>
      <c r="B30" s="116">
        <f>ROUND(('3. Population-NSIP#'!C10*$G$18),0)</f>
        <v>21829</v>
      </c>
      <c r="C30" s="116">
        <f>ROUND(('3. Population-NSIP#'!E10*$G$19),0)</f>
        <v>68808</v>
      </c>
      <c r="D30" s="360">
        <f t="shared" si="1"/>
        <v>90637</v>
      </c>
      <c r="E30" s="544">
        <f t="shared" si="4"/>
        <v>9244.9740000000002</v>
      </c>
      <c r="F30" s="116">
        <f t="shared" si="2"/>
        <v>81392.025999999998</v>
      </c>
      <c r="G30" s="141">
        <f t="shared" si="3"/>
        <v>3.0453392235135924E-2</v>
      </c>
    </row>
    <row r="31" spans="1:8">
      <c r="A31" s="151" t="s">
        <v>65</v>
      </c>
      <c r="B31" s="116">
        <f>ROUND(('3. Population-NSIP#'!C11*$G$18),0)</f>
        <v>7059</v>
      </c>
      <c r="C31" s="116">
        <f>ROUND(('3. Population-NSIP#'!E11*$G$19),0)</f>
        <v>82560</v>
      </c>
      <c r="D31" s="360">
        <f t="shared" si="1"/>
        <v>89619</v>
      </c>
      <c r="E31" s="544">
        <f t="shared" si="4"/>
        <v>9141.137999999999</v>
      </c>
      <c r="F31" s="116">
        <f t="shared" si="2"/>
        <v>80477.861999999994</v>
      </c>
      <c r="G31" s="141">
        <f t="shared" si="3"/>
        <v>3.0111351420729352E-2</v>
      </c>
    </row>
    <row r="32" spans="1:8">
      <c r="A32" s="151" t="s">
        <v>229</v>
      </c>
      <c r="B32" s="116">
        <f>ROUND(('3. Population-NSIP#'!C12*$G$18),0)</f>
        <v>669</v>
      </c>
      <c r="C32" s="116">
        <f>ROUND(('3. Population-NSIP#'!E12*$G$19),0)</f>
        <v>456530</v>
      </c>
      <c r="D32" s="360">
        <f t="shared" si="1"/>
        <v>457199</v>
      </c>
      <c r="E32" s="544">
        <f t="shared" si="4"/>
        <v>46634.297999999995</v>
      </c>
      <c r="F32" s="116">
        <f t="shared" si="2"/>
        <v>410564.70199999999</v>
      </c>
      <c r="G32" s="141">
        <f t="shared" si="3"/>
        <v>0.15361563684270121</v>
      </c>
    </row>
    <row r="33" spans="1:7">
      <c r="A33" s="151" t="s">
        <v>69</v>
      </c>
      <c r="B33" s="116"/>
      <c r="C33" s="116"/>
      <c r="D33" s="360">
        <f t="shared" si="1"/>
        <v>0</v>
      </c>
      <c r="E33" s="544">
        <f t="shared" ref="E33" si="5">D33*1.2%</f>
        <v>0</v>
      </c>
      <c r="F33" s="116">
        <f t="shared" si="2"/>
        <v>0</v>
      </c>
      <c r="G33" s="141">
        <f t="shared" si="3"/>
        <v>0</v>
      </c>
    </row>
    <row r="34" spans="1:7">
      <c r="A34" s="151" t="s">
        <v>75</v>
      </c>
      <c r="B34" s="116">
        <f>ROUND(('3. Population-NSIP#'!C13*$G$18),0)</f>
        <v>15329</v>
      </c>
      <c r="C34" s="116">
        <f>ROUND(('3. Population-NSIP#'!E13*$G$19),0)</f>
        <v>24032</v>
      </c>
      <c r="D34" s="360">
        <f t="shared" si="1"/>
        <v>39361</v>
      </c>
      <c r="E34" s="544">
        <f>D34*10.2%</f>
        <v>4014.8219999999997</v>
      </c>
      <c r="F34" s="116">
        <f t="shared" si="2"/>
        <v>35346.178</v>
      </c>
      <c r="G34" s="141">
        <f t="shared" si="3"/>
        <v>1.322501816881831E-2</v>
      </c>
    </row>
    <row r="35" spans="1:7">
      <c r="A35" s="151" t="s">
        <v>59</v>
      </c>
      <c r="B35" s="116">
        <f>ROUND(('3. Population-NSIP#'!C14*$G$18),0)</f>
        <v>7086</v>
      </c>
      <c r="C35" s="116">
        <f>ROUND(('3. Population-NSIP#'!E14*$G$19),0)</f>
        <v>420039</v>
      </c>
      <c r="D35" s="116">
        <f t="shared" si="1"/>
        <v>427125</v>
      </c>
      <c r="E35" s="544"/>
      <c r="F35" s="116">
        <f t="shared" si="2"/>
        <v>427125</v>
      </c>
      <c r="G35" s="141">
        <f t="shared" si="3"/>
        <v>0.14351098512122457</v>
      </c>
    </row>
    <row r="36" spans="1:7">
      <c r="A36" s="151" t="s">
        <v>64</v>
      </c>
      <c r="B36" s="116">
        <f>ROUND(('3. Population-NSIP#'!C15*$G$18),0)</f>
        <v>6117</v>
      </c>
      <c r="C36" s="116">
        <f>ROUND(('3. Population-NSIP#'!E15*$G$19),0)</f>
        <v>211106</v>
      </c>
      <c r="D36" s="116">
        <f t="shared" si="1"/>
        <v>217223</v>
      </c>
      <c r="E36" s="544"/>
      <c r="F36" s="116">
        <f t="shared" si="2"/>
        <v>217223</v>
      </c>
      <c r="G36" s="141">
        <f t="shared" si="3"/>
        <v>7.2985394722827668E-2</v>
      </c>
    </row>
    <row r="37" spans="1:7">
      <c r="A37" s="151" t="s">
        <v>68</v>
      </c>
      <c r="B37" s="116">
        <f>ROUND(('3. Population-NSIP#'!C16*$G$18),0)</f>
        <v>6857</v>
      </c>
      <c r="C37" s="116">
        <f>ROUND(('3. Population-NSIP#'!E16*$G$19),0)</f>
        <v>290222</v>
      </c>
      <c r="D37" s="360">
        <f t="shared" si="1"/>
        <v>297079</v>
      </c>
      <c r="E37" s="544">
        <f>D37*10.2%</f>
        <v>30302.057999999997</v>
      </c>
      <c r="F37" s="116">
        <f t="shared" si="2"/>
        <v>266776.94199999998</v>
      </c>
      <c r="G37" s="141">
        <f t="shared" si="3"/>
        <v>9.981644705608024E-2</v>
      </c>
    </row>
    <row r="38" spans="1:7">
      <c r="A38" s="151" t="s">
        <v>67</v>
      </c>
      <c r="B38" s="116">
        <f>ROUND(('3. Population-NSIP#'!C17*$G$18),0)</f>
        <v>4998</v>
      </c>
      <c r="C38" s="116">
        <f>ROUND(('3. Population-NSIP#'!E17*$G$19),0)</f>
        <v>94984</v>
      </c>
      <c r="D38" s="116">
        <f t="shared" si="1"/>
        <v>99982</v>
      </c>
      <c r="E38" s="544"/>
      <c r="F38" s="116">
        <f t="shared" si="2"/>
        <v>99982</v>
      </c>
      <c r="G38" s="141">
        <f t="shared" si="3"/>
        <v>3.3593246273082293E-2</v>
      </c>
    </row>
    <row r="39" spans="1:7">
      <c r="A39" s="151" t="s">
        <v>63</v>
      </c>
      <c r="B39" s="116">
        <f>ROUND(('3. Population-NSIP#'!C18*$G$18),0)</f>
        <v>1123</v>
      </c>
      <c r="C39" s="116">
        <f>ROUND(('3. Population-NSIP#'!E18*$G$19),0)</f>
        <v>347617</v>
      </c>
      <c r="D39" s="360">
        <f t="shared" si="1"/>
        <v>348740</v>
      </c>
      <c r="E39" s="544">
        <f>D39*10.2%</f>
        <v>35571.479999999996</v>
      </c>
      <c r="F39" s="116">
        <f t="shared" si="2"/>
        <v>313168.52</v>
      </c>
      <c r="G39" s="141">
        <f t="shared" si="3"/>
        <v>0.11717417840486007</v>
      </c>
    </row>
    <row r="40" spans="1:7" s="1" customFormat="1">
      <c r="A40" s="119" t="s">
        <v>29</v>
      </c>
      <c r="B40" s="117">
        <f t="shared" ref="B40:G40" si="6">SUM(B23:B39)</f>
        <v>148815</v>
      </c>
      <c r="C40" s="117">
        <f t="shared" si="6"/>
        <v>2827438</v>
      </c>
      <c r="D40" s="117">
        <f t="shared" si="6"/>
        <v>2976253</v>
      </c>
      <c r="E40" s="117">
        <f t="shared" si="6"/>
        <v>223489.75199999998</v>
      </c>
      <c r="F40" s="117">
        <f>SUM(F23:F39)</f>
        <v>2752763.2479999997</v>
      </c>
      <c r="G40" s="120">
        <f t="shared" si="6"/>
        <v>0.99999999999999989</v>
      </c>
    </row>
    <row r="42" spans="1:7">
      <c r="D42" s="18">
        <f>D23+D25+D26+D27+D28+D29+D30+D31+D32+D34+D37+D39+D33</f>
        <v>2191076</v>
      </c>
      <c r="E42" s="361">
        <f>E40/D42</f>
        <v>0.10199999999999999</v>
      </c>
    </row>
  </sheetData>
  <pageMargins left="0.75" right="0.75" top="1.5" bottom="0.5" header="0.25" footer="0.5"/>
  <pageSetup paperSize="5" scale="47" orientation="landscape" r:id="rId1"/>
  <headerFooter alignWithMargins="0">
    <oddHeader>&amp;L&amp;G&amp;C&amp;"Arial Black,Bold"&amp;14
AAA 2017-2019 PLANNING ALLOCATION
Summary by Funding Source</oddHeader>
    <oddFooter>&amp;L&amp;Z&amp;F&amp;A&amp;R&amp;"Century Gothic,Regular"Page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52122-ED34-4BFD-B507-E4C432938EB5}">
  <dimension ref="A1:B22"/>
  <sheetViews>
    <sheetView zoomScaleNormal="100" workbookViewId="0"/>
  </sheetViews>
  <sheetFormatPr defaultRowHeight="15"/>
  <cols>
    <col min="1" max="1" width="88.42578125" customWidth="1"/>
    <col min="2" max="2" width="34.7109375" customWidth="1"/>
  </cols>
  <sheetData>
    <row r="1" spans="1:2" ht="24" thickBot="1">
      <c r="A1" s="637" t="s">
        <v>482</v>
      </c>
      <c r="B1" s="637" t="s">
        <v>483</v>
      </c>
    </row>
    <row r="2" spans="1:2" ht="19.5" thickTop="1">
      <c r="A2" s="638" t="s">
        <v>484</v>
      </c>
      <c r="B2" s="451" t="s">
        <v>485</v>
      </c>
    </row>
    <row r="3" spans="1:2" ht="18.75">
      <c r="A3" s="638" t="s">
        <v>486</v>
      </c>
      <c r="B3" s="451" t="s">
        <v>487</v>
      </c>
    </row>
    <row r="4" spans="1:2" ht="18.75">
      <c r="A4" s="638" t="s">
        <v>488</v>
      </c>
      <c r="B4" s="451" t="s">
        <v>489</v>
      </c>
    </row>
    <row r="5" spans="1:2" ht="18.75">
      <c r="A5" s="19" t="s">
        <v>490</v>
      </c>
      <c r="B5" s="451"/>
    </row>
    <row r="6" spans="1:2" ht="18.75">
      <c r="A6" s="639" t="s">
        <v>491</v>
      </c>
      <c r="B6" s="451" t="s">
        <v>492</v>
      </c>
    </row>
    <row r="7" spans="1:2" ht="18.75">
      <c r="A7" s="639" t="s">
        <v>493</v>
      </c>
      <c r="B7" s="451" t="s">
        <v>494</v>
      </c>
    </row>
    <row r="8" spans="1:2" ht="18.75">
      <c r="A8" s="639" t="s">
        <v>495</v>
      </c>
      <c r="B8" s="451" t="s">
        <v>496</v>
      </c>
    </row>
    <row r="9" spans="1:2" ht="18.75">
      <c r="A9" s="639" t="s">
        <v>497</v>
      </c>
      <c r="B9" s="451" t="s">
        <v>498</v>
      </c>
    </row>
    <row r="10" spans="1:2" ht="18.75">
      <c r="A10" s="639" t="s">
        <v>499</v>
      </c>
      <c r="B10" s="451" t="s">
        <v>500</v>
      </c>
    </row>
    <row r="11" spans="1:2" ht="18.75">
      <c r="A11" s="639" t="s">
        <v>501</v>
      </c>
      <c r="B11" s="451" t="s">
        <v>502</v>
      </c>
    </row>
    <row r="12" spans="1:2" ht="18.75">
      <c r="A12" s="639" t="s">
        <v>503</v>
      </c>
      <c r="B12" s="451" t="s">
        <v>504</v>
      </c>
    </row>
    <row r="13" spans="1:2" ht="18.75">
      <c r="A13" s="639" t="s">
        <v>558</v>
      </c>
      <c r="B13" s="772" t="s">
        <v>557</v>
      </c>
    </row>
    <row r="14" spans="1:2" ht="18.75">
      <c r="A14" s="639" t="s">
        <v>559</v>
      </c>
      <c r="B14" s="772" t="s">
        <v>559</v>
      </c>
    </row>
    <row r="15" spans="1:2" ht="18.75">
      <c r="A15" s="639" t="s">
        <v>505</v>
      </c>
      <c r="B15" s="451" t="s">
        <v>506</v>
      </c>
    </row>
    <row r="16" spans="1:2" ht="18.75">
      <c r="A16" s="639" t="s">
        <v>507</v>
      </c>
      <c r="B16" s="451" t="s">
        <v>508</v>
      </c>
    </row>
    <row r="17" spans="1:2" ht="18.75">
      <c r="A17" s="639" t="s">
        <v>509</v>
      </c>
      <c r="B17" s="451" t="s">
        <v>510</v>
      </c>
    </row>
    <row r="18" spans="1:2" ht="18.75">
      <c r="A18" s="639" t="s">
        <v>561</v>
      </c>
      <c r="B18" s="772" t="s">
        <v>560</v>
      </c>
    </row>
    <row r="19" spans="1:2" ht="18.75">
      <c r="A19" s="639" t="s">
        <v>562</v>
      </c>
      <c r="B19" s="772" t="s">
        <v>563</v>
      </c>
    </row>
    <row r="20" spans="1:2" ht="18.75">
      <c r="A20" s="638" t="s">
        <v>511</v>
      </c>
      <c r="B20" s="451" t="s">
        <v>511</v>
      </c>
    </row>
    <row r="21" spans="1:2" ht="18.75">
      <c r="A21" s="638" t="s">
        <v>512</v>
      </c>
      <c r="B21" s="451" t="s">
        <v>513</v>
      </c>
    </row>
    <row r="22" spans="1:2" ht="18.75">
      <c r="A22" s="638" t="s">
        <v>514</v>
      </c>
      <c r="B22" s="451" t="s">
        <v>514</v>
      </c>
    </row>
  </sheetData>
  <hyperlinks>
    <hyperlink ref="A3" location="'4. Award History&amp;Projections '!A1" display="Award History &amp; Projections" xr:uid="{0EF9DD5B-6560-49E8-AE11-9C471F3C5B6E}"/>
    <hyperlink ref="A4" location="'5. Alloc Summary'!A1" display="Allocation Summary" xr:uid="{30845A13-6F90-4BB5-8885-F123977F16DB}"/>
    <hyperlink ref="A6" location="'6. III B'!A1" display="III B - Support Services" xr:uid="{663D69CB-C6C5-4599-B71C-C5D140488541}"/>
    <hyperlink ref="A7" location="'7. III C-1'!A1" display="III C-1" xr:uid="{CBC86993-B10C-4E61-93E5-F03DD3944E12}"/>
    <hyperlink ref="A8" location="'8. III C-2'!A1" display="III C-2" xr:uid="{2662E749-43BF-48E6-AD2B-96C5C79BD2E1}"/>
    <hyperlink ref="A9" location="'9. III D'!A1" display="III D - " xr:uid="{3DD33CB9-22AC-4CF1-84B4-39F9D22EFB4E}"/>
    <hyperlink ref="A10" location="'10. III E'!A1" display="III E - " xr:uid="{F85418BB-3EEC-44CC-A448-927F74C9A03F}"/>
    <hyperlink ref="A11" location="'VII A-LTCO'!A1" display="VII A-LTCO - Elder Abuse and Ombudsmen" xr:uid="{DF74900F-F6EE-4678-B502-B754861A50DA}"/>
    <hyperlink ref="A12" location="'11. VII B'!A1" display="VII B" xr:uid="{2FB09D0B-6C95-4EEB-A3BF-F00B73477265}"/>
    <hyperlink ref="A15" location="'13. NSIP'!A1" display="NSIP" xr:uid="{C4B4EB4C-BA09-4DFC-8746-D97826555871}"/>
    <hyperlink ref="A17" location="'16. OPI 60+'!A1" display="OPI 60+" xr:uid="{7F725868-AA88-47E5-86B3-80D4E1CD7812}"/>
    <hyperlink ref="A18" location="'17. OPI 19-59'!A1" display="OPI 19-59" xr:uid="{D60A5A09-2BA3-45C4-883C-38321951E67F}"/>
    <hyperlink ref="A2" location="'3. Population-NSIP#'!A1" display="Population-NSIP #" xr:uid="{1095E895-A437-4D78-964A-A2DF4DEEE1FF}"/>
    <hyperlink ref="A20" location="PopulationData!Print_Area" display="Population Data" xr:uid="{20D3A4CE-A58F-48FF-B6E0-BBCEF2A40510}"/>
    <hyperlink ref="A21" location="'Popul-ADRC sorted'!Print_Area" display="Population ADRC Sorted" xr:uid="{E7D59622-D2D7-4792-B02A-C709881976B5}"/>
    <hyperlink ref="A22" location="'Source Information'!Print_Area" display="Source Information" xr:uid="{5A92CAAB-E8E7-4CFB-9DB2-D4964683FC68}"/>
    <hyperlink ref="A16" location="'14. SPA-Seq Mit.'!A1" display="Special Purpose Appropriation (SPA) Continued OAA Sequestration Mitigation" xr:uid="{ED3DF705-F08C-4458-B234-8C7EA0D6DD63}"/>
    <hyperlink ref="A13" location="'21-23 Unspent-COVID'!A1" display="21-23 Unspent-COVID" xr:uid="{5C0A049D-B349-4A25-8DE1-5E39F9BB42BB}"/>
    <hyperlink ref="A14" location="'23-25 Unspent-COVID'!Print_Area" display="23-25 Unspent-COVID" xr:uid="{9EAA4412-5299-481C-A5AB-3A1DD2E21E34}"/>
    <hyperlink ref="A19" location="'19. OPIM-Elig'!A1" display="Oregon Project Independence (OPI) Eligibility" xr:uid="{7B984228-010F-4CC3-A76D-4A536DCE085F}"/>
  </hyperlinks>
  <pageMargins left="0.7" right="0.7" top="0.75" bottom="0.75" header="0.3" footer="0.3"/>
  <pageSetup scale="74"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tabColor rgb="FFFFFF00"/>
    <pageSetUpPr fitToPage="1"/>
  </sheetPr>
  <dimension ref="A1:H36"/>
  <sheetViews>
    <sheetView zoomScaleNormal="100" zoomScaleSheetLayoutView="100" workbookViewId="0">
      <selection activeCell="E33" sqref="E33"/>
    </sheetView>
  </sheetViews>
  <sheetFormatPr defaultRowHeight="15"/>
  <cols>
    <col min="1" max="1" width="64.7109375" bestFit="1" customWidth="1" collapsed="1"/>
    <col min="2" max="2" width="16.140625" style="18" customWidth="1" collapsed="1"/>
    <col min="3" max="3" width="13.5703125" style="18" customWidth="1" collapsed="1"/>
    <col min="4" max="4" width="13.28515625" style="18" customWidth="1" collapsed="1"/>
    <col min="5" max="5" width="16.7109375" style="18" customWidth="1" collapsed="1"/>
    <col min="6" max="6" width="13.28515625" style="18" customWidth="1" collapsed="1"/>
    <col min="7" max="7" width="14" customWidth="1" collapsed="1"/>
    <col min="8" max="8" width="10.5703125" bestFit="1" customWidth="1" collapsed="1"/>
  </cols>
  <sheetData>
    <row r="1" spans="1:8" s="112" customFormat="1" ht="72">
      <c r="A1" s="135" t="s">
        <v>227</v>
      </c>
      <c r="B1" s="135" t="s">
        <v>22</v>
      </c>
      <c r="C1" s="135" t="s">
        <v>26</v>
      </c>
      <c r="D1" s="135" t="s">
        <v>443</v>
      </c>
      <c r="E1" s="135" t="s">
        <v>520</v>
      </c>
      <c r="F1" s="135" t="s">
        <v>521</v>
      </c>
      <c r="G1" s="135" t="s">
        <v>522</v>
      </c>
    </row>
    <row r="2" spans="1:8" ht="12.95" customHeight="1">
      <c r="A2" s="235" t="s">
        <v>441</v>
      </c>
      <c r="B2" s="102">
        <f>2153981*0.5</f>
        <v>1076990.5</v>
      </c>
      <c r="C2" s="6">
        <v>0.25</v>
      </c>
      <c r="D2" s="103">
        <f>ROUND(B2*C2,0)</f>
        <v>269248</v>
      </c>
      <c r="E2" s="103"/>
      <c r="F2" s="103"/>
      <c r="G2" s="103">
        <f>SUM(D2:F2)</f>
        <v>269248</v>
      </c>
    </row>
    <row r="3" spans="1:8" ht="12.95" customHeight="1">
      <c r="A3" s="235" t="s">
        <v>526</v>
      </c>
      <c r="B3" s="102">
        <f>2153981*0.5</f>
        <v>1076990.5</v>
      </c>
      <c r="C3" s="6">
        <v>1</v>
      </c>
      <c r="D3" s="103"/>
      <c r="E3" s="103">
        <f>ROUND(B3*C3,0)</f>
        <v>1076991</v>
      </c>
      <c r="F3" s="103"/>
      <c r="G3" s="103">
        <f>SUM(D3:F3)</f>
        <v>1076991</v>
      </c>
    </row>
    <row r="4" spans="1:8" ht="12.95" customHeight="1">
      <c r="A4" s="235" t="s">
        <v>527</v>
      </c>
      <c r="B4" s="102">
        <f>2153981*0.5</f>
        <v>1076990.5</v>
      </c>
      <c r="C4" s="6">
        <v>0.75</v>
      </c>
      <c r="D4" s="104"/>
      <c r="E4" s="104"/>
      <c r="F4" s="104">
        <f>ROUND(B4*C4,0)</f>
        <v>807743</v>
      </c>
      <c r="G4" s="104">
        <f>SUM(D4:F4)</f>
        <v>807743</v>
      </c>
    </row>
    <row r="5" spans="1:8" ht="12.95" customHeight="1">
      <c r="A5" s="137" t="s">
        <v>23</v>
      </c>
      <c r="B5" s="29"/>
      <c r="D5" s="103">
        <f>SUM(D2:D4)</f>
        <v>269248</v>
      </c>
      <c r="E5" s="103">
        <f>SUM(E2:E4)</f>
        <v>1076991</v>
      </c>
      <c r="F5" s="103">
        <f>SUM(F2:F4)</f>
        <v>807743</v>
      </c>
      <c r="G5" s="102">
        <f>SUM(D5:F5)</f>
        <v>2153982</v>
      </c>
    </row>
    <row r="6" spans="1:8" ht="12.95" customHeight="1">
      <c r="A6" s="235" t="s">
        <v>325</v>
      </c>
      <c r="B6" s="29"/>
      <c r="C6" s="5">
        <v>0.05</v>
      </c>
      <c r="D6" s="104">
        <f>ROUND($C$6*-D5,0)</f>
        <v>-13462</v>
      </c>
      <c r="E6" s="104">
        <f>ROUND($C$6*-E5,0)</f>
        <v>-53850</v>
      </c>
      <c r="F6" s="104">
        <f>ROUND($C$6*-F5,0)</f>
        <v>-40387</v>
      </c>
      <c r="G6" s="104">
        <f>SUM(D6:F6)</f>
        <v>-107699</v>
      </c>
    </row>
    <row r="7" spans="1:8" ht="12.95" customHeight="1">
      <c r="A7" s="137" t="s">
        <v>23</v>
      </c>
      <c r="B7" s="29"/>
      <c r="D7" s="103">
        <f>SUM(D5:D6)</f>
        <v>255786</v>
      </c>
      <c r="E7" s="103">
        <f>SUM(E5:E6)</f>
        <v>1023141</v>
      </c>
      <c r="F7" s="103">
        <f>SUM(F5:F6)</f>
        <v>767356</v>
      </c>
      <c r="G7" s="103">
        <f>SUM(G5:G6)</f>
        <v>2046283</v>
      </c>
    </row>
    <row r="8" spans="1:8" s="15" customFormat="1" ht="12.95" customHeight="1">
      <c r="A8" s="98"/>
      <c r="B8" s="18"/>
      <c r="C8" s="18"/>
      <c r="D8" s="17"/>
      <c r="E8" s="105"/>
      <c r="F8" s="105"/>
      <c r="G8" s="105"/>
    </row>
    <row r="9" spans="1:8" s="1" customFormat="1" ht="12.95" customHeight="1" thickBot="1">
      <c r="A9" s="65" t="s">
        <v>29</v>
      </c>
      <c r="B9" s="10"/>
      <c r="C9" s="10"/>
      <c r="D9" s="14"/>
      <c r="E9" s="106"/>
      <c r="F9" s="106"/>
      <c r="G9" s="107">
        <f>G7</f>
        <v>2046283</v>
      </c>
    </row>
    <row r="10" spans="1:8" s="131" customFormat="1" ht="12.95" customHeight="1" thickTop="1">
      <c r="B10" s="129"/>
      <c r="C10" s="129"/>
      <c r="D10" s="130"/>
      <c r="E10" s="130"/>
      <c r="F10" s="130"/>
      <c r="G10" s="130"/>
    </row>
    <row r="11" spans="1:8" ht="12.95" customHeight="1">
      <c r="A11" s="1" t="s">
        <v>146</v>
      </c>
      <c r="G11" s="18"/>
    </row>
    <row r="12" spans="1:8" ht="12.95" customHeight="1">
      <c r="A12" s="137" t="s">
        <v>27</v>
      </c>
      <c r="B12" s="110"/>
      <c r="C12" s="29">
        <v>16</v>
      </c>
      <c r="G12" s="108">
        <f>B12*C12</f>
        <v>0</v>
      </c>
      <c r="H12" s="12"/>
    </row>
    <row r="13" spans="1:8" ht="12.95" customHeight="1">
      <c r="A13" s="137" t="s">
        <v>28</v>
      </c>
      <c r="B13" s="29"/>
      <c r="C13" s="30"/>
      <c r="G13" s="108">
        <f>ROUND((G9-G12)*C13,0)</f>
        <v>0</v>
      </c>
    </row>
    <row r="14" spans="1:8" ht="12.95" customHeight="1">
      <c r="A14" s="137" t="s">
        <v>37</v>
      </c>
      <c r="C14" s="30"/>
      <c r="G14" s="108">
        <f>G9-G12-G13</f>
        <v>2046283</v>
      </c>
    </row>
    <row r="15" spans="1:8" s="1" customFormat="1" ht="12.95" customHeight="1" thickBot="1">
      <c r="A15" s="65" t="s">
        <v>29</v>
      </c>
      <c r="B15" s="10"/>
      <c r="C15" s="10"/>
      <c r="D15" s="10"/>
      <c r="E15" s="10"/>
      <c r="F15" s="10"/>
      <c r="G15" s="109">
        <f>SUM(G12:G14)</f>
        <v>2046283</v>
      </c>
    </row>
    <row r="16" spans="1:8" s="125" customFormat="1" ht="6.75" customHeight="1" thickTop="1">
      <c r="A16" s="127"/>
      <c r="B16" s="126"/>
      <c r="C16" s="126"/>
      <c r="D16" s="126"/>
      <c r="E16" s="126"/>
      <c r="F16" s="126"/>
    </row>
    <row r="17" spans="1:7" s="112" customFormat="1" ht="72">
      <c r="A17" s="201" t="s">
        <v>58</v>
      </c>
      <c r="B17" s="132" t="s">
        <v>212</v>
      </c>
      <c r="C17" s="133" t="s">
        <v>210</v>
      </c>
      <c r="G17" s="134"/>
    </row>
    <row r="18" spans="1:7">
      <c r="A18" s="151" t="s">
        <v>72</v>
      </c>
      <c r="B18" s="409">
        <f>ROUND(('3. Population-NSIP#'!E3*$G$14),0)</f>
        <v>77048</v>
      </c>
      <c r="C18" s="408">
        <f>B18/$B$34</f>
        <v>3.7652660946701895E-2</v>
      </c>
      <c r="G18" s="18"/>
    </row>
    <row r="19" spans="1:7">
      <c r="A19" s="151" t="s">
        <v>61</v>
      </c>
      <c r="B19" s="409">
        <f>ROUND(('3. Population-NSIP#'!E4*$G$14),0)</f>
        <v>28824</v>
      </c>
      <c r="C19" s="408">
        <f t="shared" ref="C19:C33" si="0">B19/$B$34</f>
        <v>1.4086028178898031E-2</v>
      </c>
      <c r="G19" s="18"/>
    </row>
    <row r="20" spans="1:7">
      <c r="A20" s="151" t="s">
        <v>73</v>
      </c>
      <c r="B20" s="409">
        <f>ROUND(('3. Population-NSIP#'!E5*$G$14),0)</f>
        <v>41731</v>
      </c>
      <c r="C20" s="408">
        <f t="shared" si="0"/>
        <v>2.0393562376269558E-2</v>
      </c>
      <c r="G20" s="18"/>
    </row>
    <row r="21" spans="1:7">
      <c r="A21" s="151" t="s">
        <v>60</v>
      </c>
      <c r="B21" s="409">
        <f>ROUND(('3. Population-NSIP#'!E6*$G$14),0)</f>
        <v>230591</v>
      </c>
      <c r="C21" s="408">
        <f t="shared" si="0"/>
        <v>0.11268773674022606</v>
      </c>
      <c r="G21" s="18"/>
    </row>
    <row r="22" spans="1:7">
      <c r="A22" s="151" t="s">
        <v>555</v>
      </c>
      <c r="B22" s="409">
        <f>ROUND(('3. Population-NSIP#'!E7*$G$14),0)</f>
        <v>134290</v>
      </c>
      <c r="C22" s="408">
        <f t="shared" si="0"/>
        <v>6.5626308775472403E-2</v>
      </c>
      <c r="G22" s="18"/>
    </row>
    <row r="23" spans="1:7">
      <c r="A23" s="151" t="s">
        <v>173</v>
      </c>
      <c r="B23" s="409">
        <f>ROUND(('3. Population-NSIP#'!E8*$G$14),0)</f>
        <v>84152</v>
      </c>
      <c r="C23" s="408">
        <f t="shared" si="0"/>
        <v>4.1124321513690922E-2</v>
      </c>
      <c r="G23" s="18"/>
    </row>
    <row r="24" spans="1:7">
      <c r="A24" s="151" t="s">
        <v>74</v>
      </c>
      <c r="B24" s="409">
        <f>ROUND(('3. Population-NSIP#'!E9*$G$14),0)</f>
        <v>5168</v>
      </c>
      <c r="C24" s="408">
        <f t="shared" si="0"/>
        <v>2.5255548719312041E-3</v>
      </c>
      <c r="G24" s="18"/>
    </row>
    <row r="25" spans="1:7">
      <c r="A25" s="151" t="s">
        <v>71</v>
      </c>
      <c r="B25" s="409">
        <f>ROUND(('3. Population-NSIP#'!E10*$G$14),0)</f>
        <v>49798</v>
      </c>
      <c r="C25" s="408">
        <f t="shared" si="0"/>
        <v>2.4335832335996538E-2</v>
      </c>
      <c r="G25" s="18"/>
    </row>
    <row r="26" spans="1:7">
      <c r="A26" s="151" t="s">
        <v>65</v>
      </c>
      <c r="B26" s="409">
        <f>ROUND(('3. Population-NSIP#'!E11*$G$14),0)</f>
        <v>59751</v>
      </c>
      <c r="C26" s="408">
        <f t="shared" si="0"/>
        <v>2.9199773442871783E-2</v>
      </c>
      <c r="G26" s="18"/>
    </row>
    <row r="27" spans="1:7">
      <c r="A27" s="151" t="s">
        <v>229</v>
      </c>
      <c r="B27" s="409">
        <f>ROUND(('3. Population-NSIP#'!E12*$G$14),0)</f>
        <v>330401</v>
      </c>
      <c r="C27" s="408">
        <f t="shared" si="0"/>
        <v>0.16146398127727202</v>
      </c>
      <c r="G27" s="18"/>
    </row>
    <row r="28" spans="1:7">
      <c r="A28" s="151" t="s">
        <v>75</v>
      </c>
      <c r="B28" s="409">
        <f>ROUND(('3. Population-NSIP#'!E13*$G$14),0)</f>
        <v>17393</v>
      </c>
      <c r="C28" s="408">
        <f t="shared" si="0"/>
        <v>8.4998018358164538E-3</v>
      </c>
      <c r="G28" s="18"/>
    </row>
    <row r="29" spans="1:7">
      <c r="A29" s="151" t="s">
        <v>59</v>
      </c>
      <c r="B29" s="409">
        <f>ROUND(('3. Population-NSIP#'!E14*$G$14),0)</f>
        <v>303992</v>
      </c>
      <c r="C29" s="408">
        <f t="shared" si="0"/>
        <v>0.14855814176240531</v>
      </c>
      <c r="G29" s="18"/>
    </row>
    <row r="30" spans="1:7">
      <c r="A30" s="151" t="s">
        <v>64</v>
      </c>
      <c r="B30" s="409">
        <f>ROUND(('3. Population-NSIP#'!E15*$G$14),0)</f>
        <v>152783</v>
      </c>
      <c r="C30" s="408">
        <f t="shared" si="0"/>
        <v>7.4663670665298984E-2</v>
      </c>
      <c r="G30" s="18"/>
    </row>
    <row r="31" spans="1:7">
      <c r="A31" s="151" t="s">
        <v>68</v>
      </c>
      <c r="B31" s="409">
        <f>ROUND(('3. Population-NSIP#'!E16*$G$14),0)</f>
        <v>210040</v>
      </c>
      <c r="C31" s="408">
        <f t="shared" si="0"/>
        <v>0.10264464885844235</v>
      </c>
      <c r="G31" s="18"/>
    </row>
    <row r="32" spans="1:7">
      <c r="A32" s="151" t="s">
        <v>67</v>
      </c>
      <c r="B32" s="409">
        <f>ROUND(('3. Population-NSIP#'!E17*$G$14),0)</f>
        <v>68742</v>
      </c>
      <c r="C32" s="408">
        <f t="shared" si="0"/>
        <v>3.3593593847967264E-2</v>
      </c>
      <c r="G32" s="18"/>
    </row>
    <row r="33" spans="1:7">
      <c r="A33" s="151" t="s">
        <v>63</v>
      </c>
      <c r="B33" s="409">
        <f>ROUND(('3. Population-NSIP#'!E18*$G$14),0)</f>
        <v>251579</v>
      </c>
      <c r="C33" s="408">
        <f t="shared" si="0"/>
        <v>0.12294438257073924</v>
      </c>
      <c r="G33" s="18"/>
    </row>
    <row r="34" spans="1:7" s="1" customFormat="1">
      <c r="A34" s="119" t="s">
        <v>29</v>
      </c>
      <c r="B34" s="410">
        <f>SUM(B18:B33)</f>
        <v>2046283</v>
      </c>
      <c r="C34" s="120">
        <f>SUM(C18:C33)</f>
        <v>1</v>
      </c>
      <c r="G34" s="10"/>
    </row>
    <row r="36" spans="1:7">
      <c r="A36" s="404"/>
    </row>
  </sheetData>
  <pageMargins left="0.75" right="0.75" top="1.5" bottom="0.5" header="0.25" footer="0.5"/>
  <pageSetup scale="80"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FFFF66"/>
    <pageSetUpPr fitToPage="1"/>
  </sheetPr>
  <dimension ref="A1:M38"/>
  <sheetViews>
    <sheetView zoomScaleNormal="100" workbookViewId="0">
      <selection activeCell="J34" sqref="J34"/>
    </sheetView>
  </sheetViews>
  <sheetFormatPr defaultRowHeight="15"/>
  <cols>
    <col min="1" max="1" width="62" bestFit="1" customWidth="1" collapsed="1"/>
    <col min="2" max="2" width="15.42578125" style="9" customWidth="1" collapsed="1"/>
    <col min="3" max="3" width="16.5703125" style="9" customWidth="1" collapsed="1"/>
    <col min="4" max="4" width="15.42578125" style="9" customWidth="1" collapsed="1"/>
    <col min="5" max="5" width="12.7109375" style="9" bestFit="1" customWidth="1" collapsed="1"/>
    <col min="6" max="6" width="13.28515625" style="9" customWidth="1" collapsed="1"/>
    <col min="7" max="7" width="12.7109375" bestFit="1" customWidth="1" collapsed="1"/>
    <col min="8" max="8" width="10.5703125" bestFit="1" customWidth="1" collapsed="1"/>
    <col min="9" max="9" width="16.140625" customWidth="1"/>
    <col min="11" max="11" width="16.85546875" customWidth="1"/>
    <col min="12" max="12" width="15.28515625" customWidth="1" collapsed="1"/>
    <col min="13" max="13" width="16.42578125" customWidth="1" collapsed="1"/>
  </cols>
  <sheetData>
    <row r="1" spans="1:9" s="112" customFormat="1" ht="36">
      <c r="A1" s="135" t="s">
        <v>538</v>
      </c>
      <c r="B1" s="135" t="s">
        <v>22</v>
      </c>
      <c r="C1" s="135" t="s">
        <v>26</v>
      </c>
      <c r="D1" s="135" t="s">
        <v>443</v>
      </c>
      <c r="E1" s="135" t="s">
        <v>520</v>
      </c>
      <c r="F1" s="135" t="s">
        <v>521</v>
      </c>
      <c r="G1" s="135" t="s">
        <v>522</v>
      </c>
    </row>
    <row r="2" spans="1:9" ht="12.95" customHeight="1">
      <c r="A2" s="235" t="s">
        <v>441</v>
      </c>
      <c r="B2" s="355">
        <f>5000000*0.5</f>
        <v>2500000</v>
      </c>
      <c r="C2" s="6">
        <v>0.25</v>
      </c>
      <c r="D2" s="9">
        <f>ROUND(B2*C2,0)</f>
        <v>625000</v>
      </c>
      <c r="G2" s="9">
        <f>SUM(D2:F2)</f>
        <v>625000</v>
      </c>
    </row>
    <row r="3" spans="1:9" ht="12.95" customHeight="1">
      <c r="A3" s="235" t="s">
        <v>526</v>
      </c>
      <c r="B3" s="355">
        <f>5000000*0.5</f>
        <v>2500000</v>
      </c>
      <c r="C3" s="6">
        <v>1</v>
      </c>
      <c r="E3" s="9">
        <f>ROUND(B3*C3,0)</f>
        <v>2500000</v>
      </c>
      <c r="G3" s="9">
        <f>SUM(D3:F3)</f>
        <v>2500000</v>
      </c>
    </row>
    <row r="4" spans="1:9" ht="12.95" customHeight="1">
      <c r="A4" s="235" t="s">
        <v>527</v>
      </c>
      <c r="B4" s="355">
        <f>5000000*0.5</f>
        <v>2500000</v>
      </c>
      <c r="C4" s="6">
        <v>0.75</v>
      </c>
      <c r="D4" s="8"/>
      <c r="E4" s="8"/>
      <c r="F4" s="8">
        <f>ROUND(B4*C4,0)</f>
        <v>1875000</v>
      </c>
      <c r="G4" s="8">
        <f>SUM(D4:F4)</f>
        <v>1875000</v>
      </c>
      <c r="I4" s="354"/>
    </row>
    <row r="5" spans="1:9" ht="12.95" customHeight="1">
      <c r="A5" s="96" t="s">
        <v>23</v>
      </c>
      <c r="D5" s="9">
        <f>SUM(D2:D4)</f>
        <v>625000</v>
      </c>
      <c r="E5" s="9">
        <f>SUM(E2:E4)</f>
        <v>2500000</v>
      </c>
      <c r="F5" s="9">
        <f>SUM(F2:F4)</f>
        <v>1875000</v>
      </c>
      <c r="G5" s="9">
        <f>SUM(G2:G4)</f>
        <v>5000000</v>
      </c>
      <c r="I5" s="353"/>
    </row>
    <row r="6" spans="1:9" ht="12.95" customHeight="1">
      <c r="A6" s="96" t="s">
        <v>24</v>
      </c>
      <c r="C6" s="5">
        <v>0</v>
      </c>
      <c r="D6" s="8">
        <f>ROUND($C$6*-D5,0)</f>
        <v>0</v>
      </c>
      <c r="E6" s="8">
        <f>ROUND($C$6*-E5,0)</f>
        <v>0</v>
      </c>
      <c r="F6" s="8">
        <f>ROUND($C$6*-F5,0)</f>
        <v>0</v>
      </c>
      <c r="G6" s="8">
        <f>SUM(D6:F6)</f>
        <v>0</v>
      </c>
      <c r="I6" s="354"/>
    </row>
    <row r="7" spans="1:9" ht="12.95" customHeight="1">
      <c r="A7" s="96" t="s">
        <v>23</v>
      </c>
      <c r="D7" s="9">
        <f>SUM(D5:D6)</f>
        <v>625000</v>
      </c>
      <c r="E7" s="9">
        <f>SUM(E5:E6)</f>
        <v>2500000</v>
      </c>
      <c r="F7" s="9">
        <f>SUM(F5:F6)</f>
        <v>1875000</v>
      </c>
      <c r="G7" s="9">
        <f>SUM(G5:G6)</f>
        <v>5000000</v>
      </c>
    </row>
    <row r="8" spans="1:9" s="15" customFormat="1" ht="12.95" customHeight="1">
      <c r="A8" s="101"/>
      <c r="B8" s="9"/>
      <c r="C8" s="9"/>
      <c r="D8" s="17"/>
      <c r="E8" s="17"/>
      <c r="F8" s="17"/>
      <c r="G8" s="17">
        <v>0</v>
      </c>
    </row>
    <row r="9" spans="1:9" s="1" customFormat="1" ht="12.95" customHeight="1" thickBot="1">
      <c r="A9" s="65" t="s">
        <v>29</v>
      </c>
      <c r="B9" s="10"/>
      <c r="C9" s="10"/>
      <c r="D9" s="14"/>
      <c r="E9" s="14"/>
      <c r="F9" s="14"/>
      <c r="G9" s="11">
        <f>G7</f>
        <v>5000000</v>
      </c>
    </row>
    <row r="10" spans="1:9" s="131" customFormat="1" ht="12.95" customHeight="1" thickTop="1">
      <c r="B10" s="129"/>
      <c r="C10" s="129"/>
      <c r="D10" s="130"/>
      <c r="E10" s="130"/>
      <c r="F10" s="130"/>
      <c r="G10" s="130"/>
    </row>
    <row r="11" spans="1:9" ht="12.95" customHeight="1">
      <c r="A11" s="111" t="s">
        <v>146</v>
      </c>
      <c r="G11" s="9"/>
    </row>
    <row r="12" spans="1:9" ht="12.95" customHeight="1">
      <c r="A12" s="124" t="s">
        <v>36</v>
      </c>
      <c r="B12" s="9">
        <v>0</v>
      </c>
      <c r="C12" s="9">
        <v>0</v>
      </c>
      <c r="G12" s="9">
        <f>B12*C12</f>
        <v>0</v>
      </c>
      <c r="H12" s="12"/>
    </row>
    <row r="13" spans="1:9" ht="12.95" customHeight="1">
      <c r="A13" s="96" t="s">
        <v>28</v>
      </c>
      <c r="C13" s="5">
        <v>0.05</v>
      </c>
      <c r="G13" s="9">
        <f>ROUND((G9-G12)*C13,0)</f>
        <v>250000</v>
      </c>
    </row>
    <row r="14" spans="1:9" ht="12.95" customHeight="1">
      <c r="A14" s="96" t="s">
        <v>37</v>
      </c>
      <c r="C14" s="5">
        <v>0.95</v>
      </c>
      <c r="G14" s="9">
        <f>G9-G12-G13</f>
        <v>4750000</v>
      </c>
    </row>
    <row r="15" spans="1:9" s="1" customFormat="1" ht="12.95" customHeight="1" thickBot="1">
      <c r="A15" s="65" t="s">
        <v>29</v>
      </c>
      <c r="B15" s="10"/>
      <c r="C15" s="10"/>
      <c r="D15" s="10"/>
      <c r="E15" s="10"/>
      <c r="F15" s="10"/>
      <c r="G15" s="11">
        <f>SUM(G12:G14)</f>
        <v>5000000</v>
      </c>
    </row>
    <row r="16" spans="1:9" s="125" customFormat="1" ht="6.75" customHeight="1" thickTop="1">
      <c r="B16" s="126"/>
      <c r="C16" s="126"/>
      <c r="D16" s="126"/>
      <c r="E16" s="126"/>
      <c r="F16" s="126"/>
    </row>
    <row r="17" spans="1:9" s="112" customFormat="1" ht="90">
      <c r="A17" s="132" t="s">
        <v>58</v>
      </c>
      <c r="B17" s="132" t="s">
        <v>208</v>
      </c>
      <c r="C17" s="132" t="s">
        <v>209</v>
      </c>
      <c r="D17" s="132" t="s">
        <v>214</v>
      </c>
      <c r="E17" s="133" t="s">
        <v>210</v>
      </c>
      <c r="F17" s="627" t="s">
        <v>475</v>
      </c>
      <c r="G17" s="628" t="s">
        <v>476</v>
      </c>
      <c r="H17" s="629" t="s">
        <v>477</v>
      </c>
      <c r="I17" s="627" t="s">
        <v>480</v>
      </c>
    </row>
    <row r="18" spans="1:9">
      <c r="A18" s="151" t="s">
        <v>72</v>
      </c>
      <c r="B18" s="116">
        <f>ROUND(('3. Population-NSIP#'!C3*$G$13),0)</f>
        <v>30977</v>
      </c>
      <c r="C18" s="116">
        <f>ROUND(('3. Population-NSIP#'!E3*$G$14),0)</f>
        <v>178851</v>
      </c>
      <c r="D18" s="116">
        <f t="shared" ref="D18:D33" si="0">SUM(B18:C18)</f>
        <v>209828</v>
      </c>
      <c r="E18" s="141">
        <f t="shared" ref="E18:E33" si="1">D18/$D$34</f>
        <v>4.1965608393121676E-2</v>
      </c>
      <c r="G18" s="9"/>
      <c r="I18" s="635"/>
    </row>
    <row r="19" spans="1:9">
      <c r="A19" s="151" t="s">
        <v>61</v>
      </c>
      <c r="B19" s="116">
        <f>ROUND(('3. Population-NSIP#'!C4*$G$13),0)</f>
        <v>1712</v>
      </c>
      <c r="C19" s="116">
        <f>ROUND(('3. Population-NSIP#'!E4*$G$14),0)</f>
        <v>66910</v>
      </c>
      <c r="D19" s="116">
        <f t="shared" si="0"/>
        <v>68622</v>
      </c>
      <c r="E19" s="141">
        <f t="shared" si="1"/>
        <v>1.372440274488055E-2</v>
      </c>
      <c r="G19" s="18"/>
    </row>
    <row r="20" spans="1:9">
      <c r="A20" s="151" t="s">
        <v>73</v>
      </c>
      <c r="B20" s="116">
        <f>ROUND(('3. Population-NSIP#'!C5*$G$13),0)</f>
        <v>33285</v>
      </c>
      <c r="C20" s="116">
        <f>ROUND(('3. Population-NSIP#'!E5*$G$14),0)</f>
        <v>96869</v>
      </c>
      <c r="D20" s="116">
        <f t="shared" si="0"/>
        <v>130154</v>
      </c>
      <c r="E20" s="141">
        <f t="shared" si="1"/>
        <v>2.603080520616104E-2</v>
      </c>
      <c r="G20" s="18"/>
    </row>
    <row r="21" spans="1:9">
      <c r="A21" s="151" t="s">
        <v>60</v>
      </c>
      <c r="B21" s="116">
        <f>ROUND(('3. Population-NSIP#'!C6*$G$13),0)</f>
        <v>4871</v>
      </c>
      <c r="C21" s="116">
        <f>ROUND(('3. Population-NSIP#'!E6*$G$14),0)</f>
        <v>535267</v>
      </c>
      <c r="D21" s="116">
        <f t="shared" si="0"/>
        <v>540138</v>
      </c>
      <c r="E21" s="141">
        <f t="shared" si="1"/>
        <v>0.10802762160552432</v>
      </c>
      <c r="G21" s="18"/>
    </row>
    <row r="22" spans="1:9">
      <c r="A22" s="151" t="s">
        <v>555</v>
      </c>
      <c r="B22" s="116">
        <f>ROUND(('3. Population-NSIP#'!C7*$G$13),0)</f>
        <v>20258</v>
      </c>
      <c r="C22" s="116">
        <f>ROUND(('3. Population-NSIP#'!E7*$G$14),0)</f>
        <v>311725</v>
      </c>
      <c r="D22" s="116">
        <f t="shared" si="0"/>
        <v>331983</v>
      </c>
      <c r="E22" s="141">
        <f t="shared" si="1"/>
        <v>6.6396613279322655E-2</v>
      </c>
      <c r="G22" s="18"/>
    </row>
    <row r="23" spans="1:9">
      <c r="A23" s="151" t="s">
        <v>173</v>
      </c>
      <c r="B23" s="116">
        <f>ROUND(('3. Population-NSIP#'!C8*$G$13),0)</f>
        <v>13116</v>
      </c>
      <c r="C23" s="116">
        <f>ROUND(('3. Population-NSIP#'!E8*$G$14),0)</f>
        <v>195341</v>
      </c>
      <c r="D23" s="116">
        <f t="shared" si="0"/>
        <v>208457</v>
      </c>
      <c r="E23" s="141">
        <f t="shared" si="1"/>
        <v>4.1691408338281666E-2</v>
      </c>
      <c r="G23" s="18"/>
    </row>
    <row r="24" spans="1:9">
      <c r="A24" s="151" t="s">
        <v>74</v>
      </c>
      <c r="B24" s="116">
        <f>ROUND(('3. Population-NSIP#'!C9*$G$13),0)</f>
        <v>26392</v>
      </c>
      <c r="C24" s="116">
        <f>ROUND(('3. Population-NSIP#'!E9*$G$14),0)</f>
        <v>11996</v>
      </c>
      <c r="D24" s="116">
        <f t="shared" si="0"/>
        <v>38388</v>
      </c>
      <c r="E24" s="141">
        <f t="shared" si="1"/>
        <v>7.677601535520307E-3</v>
      </c>
      <c r="G24" s="18"/>
    </row>
    <row r="25" spans="1:9">
      <c r="A25" s="151" t="s">
        <v>71</v>
      </c>
      <c r="B25" s="116">
        <f>ROUND(('3. Population-NSIP#'!C10*$G$13),0)</f>
        <v>36671</v>
      </c>
      <c r="C25" s="116">
        <f>ROUND(('3. Population-NSIP#'!E10*$G$14),0)</f>
        <v>115595</v>
      </c>
      <c r="D25" s="116">
        <f t="shared" si="0"/>
        <v>152266</v>
      </c>
      <c r="E25" s="141">
        <f t="shared" si="1"/>
        <v>3.0453206090641217E-2</v>
      </c>
      <c r="G25" s="18"/>
    </row>
    <row r="26" spans="1:9">
      <c r="A26" s="151" t="s">
        <v>65</v>
      </c>
      <c r="B26" s="116">
        <f>ROUND(('3. Population-NSIP#'!C11*$G$13),0)</f>
        <v>11859</v>
      </c>
      <c r="C26" s="116">
        <f>ROUND(('3. Population-NSIP#'!E11*$G$14),0)</f>
        <v>138698</v>
      </c>
      <c r="D26" s="116">
        <f t="shared" si="0"/>
        <v>150557</v>
      </c>
      <c r="E26" s="141">
        <f t="shared" si="1"/>
        <v>3.0111406022281205E-2</v>
      </c>
      <c r="G26" s="18"/>
      <c r="I26" s="635"/>
    </row>
    <row r="27" spans="1:9">
      <c r="A27" s="151" t="s">
        <v>229</v>
      </c>
      <c r="B27" s="116">
        <f>ROUND(('3. Population-NSIP#'!C12*$G$13),0)</f>
        <v>1123</v>
      </c>
      <c r="C27" s="116">
        <f>ROUND(('3. Population-NSIP#'!E12*$G$14),0)-2</f>
        <v>766953</v>
      </c>
      <c r="D27" s="116">
        <f>SUM(B27:C27)</f>
        <v>768076</v>
      </c>
      <c r="E27" s="141">
        <f t="shared" si="1"/>
        <v>0.15361523072304614</v>
      </c>
      <c r="G27" s="18"/>
      <c r="I27" s="635"/>
    </row>
    <row r="28" spans="1:9">
      <c r="A28" s="151" t="s">
        <v>75</v>
      </c>
      <c r="B28" s="116">
        <f>ROUND(('3. Population-NSIP#'!C13*$G$13),0)</f>
        <v>25752</v>
      </c>
      <c r="C28" s="116">
        <f>ROUND(('3. Population-NSIP#'!E13*$G$14),0)</f>
        <v>40373</v>
      </c>
      <c r="D28" s="116">
        <f t="shared" si="0"/>
        <v>66125</v>
      </c>
      <c r="E28" s="141">
        <f t="shared" si="1"/>
        <v>1.3225002645000528E-2</v>
      </c>
      <c r="G28" s="18"/>
    </row>
    <row r="29" spans="1:9">
      <c r="A29" s="151" t="s">
        <v>59</v>
      </c>
      <c r="B29" s="116">
        <f>ROUND(('3. Population-NSIP#'!C14*$G$13),0)</f>
        <v>11904</v>
      </c>
      <c r="C29" s="116">
        <f>ROUND(('3. Population-NSIP#'!E14*$G$14),0)</f>
        <v>705651</v>
      </c>
      <c r="D29" s="116">
        <f t="shared" si="0"/>
        <v>717555</v>
      </c>
      <c r="E29" s="141">
        <f t="shared" si="1"/>
        <v>0.14351102870220575</v>
      </c>
      <c r="G29" s="18"/>
      <c r="I29" s="635"/>
    </row>
    <row r="30" spans="1:9">
      <c r="A30" s="151" t="s">
        <v>64</v>
      </c>
      <c r="B30" s="116">
        <f>ROUND(('3. Population-NSIP#'!C15*$G$13),0)</f>
        <v>10277</v>
      </c>
      <c r="C30" s="116">
        <f>ROUND(('3. Population-NSIP#'!E15*$G$14),0)</f>
        <v>354652</v>
      </c>
      <c r="D30" s="116">
        <f t="shared" si="0"/>
        <v>364929</v>
      </c>
      <c r="E30" s="141">
        <f t="shared" si="1"/>
        <v>7.2985814597162926E-2</v>
      </c>
      <c r="G30" s="9"/>
    </row>
    <row r="31" spans="1:9">
      <c r="A31" s="151" t="s">
        <v>68</v>
      </c>
      <c r="B31" s="116">
        <f>ROUND(('3. Population-NSIP#'!C16*$G$13),0)</f>
        <v>11520</v>
      </c>
      <c r="C31" s="116">
        <f>ROUND(('3. Population-NSIP#'!E16*$G$14),0)</f>
        <v>487563</v>
      </c>
      <c r="D31" s="116">
        <f>SUM(B31:C31)+1</f>
        <v>499084</v>
      </c>
      <c r="E31" s="141">
        <f t="shared" si="1"/>
        <v>9.9816819963363987E-2</v>
      </c>
      <c r="F31" s="581"/>
      <c r="G31" s="9"/>
      <c r="I31" s="635"/>
    </row>
    <row r="32" spans="1:9">
      <c r="A32" s="151" t="s">
        <v>67</v>
      </c>
      <c r="B32" s="116">
        <f>ROUND(('3. Population-NSIP#'!C17*$G$13),0)</f>
        <v>8396</v>
      </c>
      <c r="C32" s="116">
        <f>ROUND(('3. Population-NSIP#'!E17*$G$14),0)</f>
        <v>159570</v>
      </c>
      <c r="D32" s="116">
        <f t="shared" si="0"/>
        <v>167966</v>
      </c>
      <c r="E32" s="141">
        <f t="shared" si="1"/>
        <v>3.3593206718641341E-2</v>
      </c>
      <c r="F32" s="581"/>
      <c r="G32" s="9"/>
    </row>
    <row r="33" spans="1:10">
      <c r="A33" s="151" t="s">
        <v>63</v>
      </c>
      <c r="B33" s="116">
        <f>ROUND(('3. Population-NSIP#'!C18*$G$13),0)</f>
        <v>1886</v>
      </c>
      <c r="C33" s="116">
        <f>ROUND(('3. Population-NSIP#'!E18*$G$14),0)</f>
        <v>583985</v>
      </c>
      <c r="D33" s="116">
        <f t="shared" si="0"/>
        <v>585871</v>
      </c>
      <c r="E33" s="141">
        <f t="shared" si="1"/>
        <v>0.11717422343484468</v>
      </c>
      <c r="F33" s="581"/>
      <c r="G33" s="9"/>
    </row>
    <row r="34" spans="1:10" s="1" customFormat="1">
      <c r="A34" s="119" t="s">
        <v>29</v>
      </c>
      <c r="B34" s="117">
        <f t="shared" ref="B34:G34" si="2">SUM(B18:B33)</f>
        <v>249999</v>
      </c>
      <c r="C34" s="117">
        <f t="shared" si="2"/>
        <v>4749999</v>
      </c>
      <c r="D34" s="117">
        <f t="shared" si="2"/>
        <v>4999999</v>
      </c>
      <c r="E34" s="120">
        <f t="shared" si="2"/>
        <v>1</v>
      </c>
      <c r="F34" s="630">
        <f t="shared" si="2"/>
        <v>0</v>
      </c>
      <c r="G34" s="10">
        <f t="shared" si="2"/>
        <v>0</v>
      </c>
      <c r="I34" s="636">
        <f>SUM(I18:I33)</f>
        <v>0</v>
      </c>
    </row>
    <row r="36" spans="1:10">
      <c r="A36" s="404" t="s">
        <v>545</v>
      </c>
      <c r="C36" s="580" t="s">
        <v>534</v>
      </c>
      <c r="D36" s="487">
        <v>0</v>
      </c>
      <c r="F36" s="9">
        <f>D36</f>
        <v>0</v>
      </c>
      <c r="G36" s="12">
        <f>F36</f>
        <v>0</v>
      </c>
      <c r="I36" s="635">
        <f>'17. OPI 19-59'!G36</f>
        <v>0</v>
      </c>
      <c r="J36" t="s">
        <v>481</v>
      </c>
    </row>
    <row r="37" spans="1:10">
      <c r="A37" t="s">
        <v>220</v>
      </c>
      <c r="C37" s="580" t="s">
        <v>432</v>
      </c>
      <c r="D37" s="9">
        <f>SUM(D34:D36)</f>
        <v>4999999</v>
      </c>
      <c r="F37" s="9">
        <f>SUM(F34:F36)</f>
        <v>0</v>
      </c>
      <c r="G37" s="12">
        <f>D37+F34</f>
        <v>4999999</v>
      </c>
    </row>
    <row r="38" spans="1:10">
      <c r="G38" s="12">
        <f>D37+F34</f>
        <v>4999999</v>
      </c>
    </row>
  </sheetData>
  <sortState xmlns:xlrd2="http://schemas.microsoft.com/office/spreadsheetml/2017/richdata2" ref="A18:F33">
    <sortCondition ref="A18"/>
  </sortState>
  <pageMargins left="0.75" right="0.75" top="1.5" bottom="0.5" header="0.25" footer="0.5"/>
  <pageSetup scale="69" orientation="landscape" r:id="rId1"/>
  <headerFooter alignWithMargins="0">
    <oddHeader xml:space="preserve">&amp;L&amp;G&amp;C&amp;"Arial Black,Bold"&amp;14
AAA 2025-2027
 FUNDING ALLOCATION
</oddHeader>
    <oddFooter>&amp;R&amp;"Century Gothic,Regular"Page &amp;P</oddFooter>
  </headerFooter>
  <legacyDrawingHF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FFFF66"/>
    <pageSetUpPr fitToPage="1"/>
  </sheetPr>
  <dimension ref="A1:H39"/>
  <sheetViews>
    <sheetView zoomScaleNormal="100" workbookViewId="0">
      <selection activeCell="A36" sqref="A36"/>
    </sheetView>
  </sheetViews>
  <sheetFormatPr defaultRowHeight="15"/>
  <cols>
    <col min="1" max="1" width="62" customWidth="1" collapsed="1"/>
    <col min="2" max="2" width="16.7109375" style="18" customWidth="1" collapsed="1"/>
    <col min="3" max="3" width="21" style="18" customWidth="1" collapsed="1"/>
    <col min="4" max="4" width="17.5703125" style="18" customWidth="1" collapsed="1"/>
    <col min="5" max="5" width="13.85546875" style="18" customWidth="1" collapsed="1"/>
    <col min="6" max="6" width="14.42578125" style="18" customWidth="1" collapsed="1"/>
    <col min="7" max="7" width="39.85546875" customWidth="1" collapsed="1"/>
    <col min="8" max="8" width="10.5703125" bestFit="1" customWidth="1" collapsed="1"/>
  </cols>
  <sheetData>
    <row r="1" spans="1:8" s="112" customFormat="1" ht="36">
      <c r="A1" s="135" t="s">
        <v>218</v>
      </c>
      <c r="B1" s="135" t="s">
        <v>22</v>
      </c>
      <c r="C1" s="135" t="s">
        <v>26</v>
      </c>
      <c r="D1" s="135" t="s">
        <v>443</v>
      </c>
      <c r="E1" s="135" t="s">
        <v>520</v>
      </c>
      <c r="F1" s="135" t="s">
        <v>521</v>
      </c>
      <c r="G1" s="135" t="s">
        <v>522</v>
      </c>
    </row>
    <row r="2" spans="1:8" ht="12.95" customHeight="1">
      <c r="A2" s="235" t="s">
        <v>441</v>
      </c>
      <c r="B2" s="18">
        <f>0*0.5</f>
        <v>0</v>
      </c>
      <c r="C2" s="6">
        <v>0.25</v>
      </c>
      <c r="D2" s="18">
        <f>ROUND(B2*C2,0)</f>
        <v>0</v>
      </c>
      <c r="G2" s="18">
        <f>SUM(D2:F2)</f>
        <v>0</v>
      </c>
    </row>
    <row r="3" spans="1:8" ht="12.95" customHeight="1">
      <c r="A3" s="235" t="s">
        <v>526</v>
      </c>
      <c r="B3" s="18">
        <f>0*0.5</f>
        <v>0</v>
      </c>
      <c r="C3" s="6">
        <v>1</v>
      </c>
      <c r="E3" s="18">
        <f>ROUND(B3*C3,0)</f>
        <v>0</v>
      </c>
      <c r="G3" s="18">
        <f>SUM(D3:F3)</f>
        <v>0</v>
      </c>
    </row>
    <row r="4" spans="1:8" ht="12.95" customHeight="1">
      <c r="A4" s="235" t="s">
        <v>527</v>
      </c>
      <c r="B4" s="18">
        <f>0*0.5</f>
        <v>0</v>
      </c>
      <c r="C4" s="6">
        <v>0.75</v>
      </c>
      <c r="D4" s="8"/>
      <c r="E4" s="8"/>
      <c r="F4" s="8">
        <f>ROUND(B4*C4,0)</f>
        <v>0</v>
      </c>
      <c r="G4" s="8">
        <f>SUM(D4:F4)</f>
        <v>0</v>
      </c>
    </row>
    <row r="5" spans="1:8" ht="12.95" customHeight="1">
      <c r="A5" s="96" t="s">
        <v>23</v>
      </c>
      <c r="D5" s="18">
        <f>SUM(D2:D4)</f>
        <v>0</v>
      </c>
      <c r="E5" s="18">
        <f>SUM(E2:E4)</f>
        <v>0</v>
      </c>
      <c r="F5" s="18">
        <f>SUM(F2:F4)</f>
        <v>0</v>
      </c>
      <c r="G5" s="18">
        <f>SUM(G2:G4)</f>
        <v>0</v>
      </c>
    </row>
    <row r="6" spans="1:8" ht="12.95" customHeight="1">
      <c r="A6" s="96" t="s">
        <v>24</v>
      </c>
      <c r="C6" s="5">
        <v>0.05</v>
      </c>
      <c r="D6" s="8">
        <f>ROUND($C$6*-D5,0)</f>
        <v>0</v>
      </c>
      <c r="E6" s="8">
        <f>ROUND($C$6*-E5,0)</f>
        <v>0</v>
      </c>
      <c r="F6" s="8">
        <f>ROUND($C$6*-F5,0)</f>
        <v>0</v>
      </c>
      <c r="G6" s="8">
        <f>SUM(D6:F6)</f>
        <v>0</v>
      </c>
    </row>
    <row r="7" spans="1:8" ht="12.95" customHeight="1">
      <c r="A7" s="96" t="s">
        <v>23</v>
      </c>
      <c r="D7" s="18">
        <f>SUM(D5:D6)</f>
        <v>0</v>
      </c>
      <c r="E7" s="18">
        <f>SUM(E5:E6)</f>
        <v>0</v>
      </c>
      <c r="F7" s="18">
        <f>SUM(F5:F6)</f>
        <v>0</v>
      </c>
      <c r="G7" s="18">
        <f>SUM(G5:G6)</f>
        <v>0</v>
      </c>
    </row>
    <row r="8" spans="1:8" s="15" customFormat="1" ht="12.95" customHeight="1">
      <c r="A8" s="124"/>
      <c r="B8" s="18"/>
      <c r="C8" s="18"/>
      <c r="D8" s="17"/>
      <c r="E8" s="17"/>
      <c r="F8" s="17"/>
      <c r="G8" s="17">
        <v>0</v>
      </c>
    </row>
    <row r="9" spans="1:8" s="1" customFormat="1" ht="12.95" customHeight="1" thickBot="1">
      <c r="A9" s="65" t="s">
        <v>29</v>
      </c>
      <c r="B9" s="10"/>
      <c r="C9" s="10"/>
      <c r="D9" s="14"/>
      <c r="E9" s="14"/>
      <c r="F9" s="14"/>
      <c r="G9" s="11">
        <f>G7</f>
        <v>0</v>
      </c>
    </row>
    <row r="10" spans="1:8" s="131" customFormat="1" ht="12.95" customHeight="1" thickTop="1">
      <c r="A10" s="128"/>
      <c r="B10" s="129"/>
      <c r="C10" s="129"/>
      <c r="D10" s="130"/>
      <c r="E10" s="130"/>
      <c r="F10" s="130"/>
      <c r="G10" s="130"/>
    </row>
    <row r="11" spans="1:8" ht="12.95" customHeight="1">
      <c r="A11" s="111" t="s">
        <v>146</v>
      </c>
      <c r="G11" s="18"/>
    </row>
    <row r="12" spans="1:8" ht="12.95" customHeight="1">
      <c r="A12" s="96" t="s">
        <v>36</v>
      </c>
      <c r="B12" s="18">
        <v>0</v>
      </c>
      <c r="C12" s="18">
        <v>0</v>
      </c>
      <c r="G12" s="18">
        <f>B12*C12</f>
        <v>0</v>
      </c>
      <c r="H12" s="12"/>
    </row>
    <row r="13" spans="1:8" ht="12.95" customHeight="1">
      <c r="A13" s="96" t="s">
        <v>28</v>
      </c>
      <c r="C13" s="5">
        <v>0.05</v>
      </c>
      <c r="G13" s="18">
        <f>ROUND((G9-G12)*C13,0)</f>
        <v>0</v>
      </c>
    </row>
    <row r="14" spans="1:8" ht="12.95" customHeight="1">
      <c r="A14" s="96" t="s">
        <v>37</v>
      </c>
      <c r="C14" s="5">
        <v>0.95</v>
      </c>
      <c r="G14" s="18">
        <f>G9-G12-G13</f>
        <v>0</v>
      </c>
    </row>
    <row r="15" spans="1:8" s="1" customFormat="1" ht="12.95" customHeight="1" thickBot="1">
      <c r="A15" s="65" t="s">
        <v>29</v>
      </c>
      <c r="B15" s="10"/>
      <c r="C15" s="10"/>
      <c r="D15" s="10"/>
      <c r="E15" s="10"/>
      <c r="F15" s="10"/>
      <c r="G15" s="11">
        <f>SUM(G12:G14)</f>
        <v>0</v>
      </c>
    </row>
    <row r="16" spans="1:8" s="125" customFormat="1" ht="6.75" customHeight="1" thickTop="1">
      <c r="B16" s="126"/>
      <c r="C16" s="126"/>
      <c r="D16" s="126"/>
      <c r="E16" s="126"/>
      <c r="F16" s="126"/>
    </row>
    <row r="17" spans="1:7" s="112" customFormat="1" ht="72">
      <c r="A17" s="132" t="s">
        <v>58</v>
      </c>
      <c r="B17" s="132" t="s">
        <v>208</v>
      </c>
      <c r="C17" s="132" t="s">
        <v>209</v>
      </c>
      <c r="D17" s="132" t="s">
        <v>215</v>
      </c>
      <c r="E17" s="133" t="s">
        <v>210</v>
      </c>
      <c r="F17" s="627" t="s">
        <v>479</v>
      </c>
      <c r="G17" s="134" t="s">
        <v>478</v>
      </c>
    </row>
    <row r="18" spans="1:7">
      <c r="A18" s="151" t="s">
        <v>72</v>
      </c>
      <c r="B18" s="116">
        <f>'3. Population-NSIP#'!C23*$G$13</f>
        <v>0</v>
      </c>
      <c r="C18" s="116">
        <f>'3. Population-NSIP#'!E23*$G$14</f>
        <v>0</v>
      </c>
      <c r="D18" s="116">
        <f>SUM(B18:C18)</f>
        <v>0</v>
      </c>
      <c r="E18" s="141" t="e">
        <f>D18/$D$34</f>
        <v>#DIV/0!</v>
      </c>
      <c r="F18" s="581"/>
      <c r="G18" s="631">
        <f>D18+F18</f>
        <v>0</v>
      </c>
    </row>
    <row r="19" spans="1:7">
      <c r="A19" s="151" t="s">
        <v>61</v>
      </c>
      <c r="B19" s="116">
        <v>0</v>
      </c>
      <c r="C19" s="116">
        <v>0</v>
      </c>
      <c r="D19" s="116">
        <f t="shared" ref="D19:D32" si="0">$B$12</f>
        <v>0</v>
      </c>
      <c r="E19" s="141">
        <v>0</v>
      </c>
      <c r="F19" s="581"/>
      <c r="G19" s="631"/>
    </row>
    <row r="20" spans="1:7">
      <c r="A20" s="151" t="s">
        <v>73</v>
      </c>
      <c r="B20" s="116">
        <v>0</v>
      </c>
      <c r="C20" s="116">
        <v>0</v>
      </c>
      <c r="D20" s="116">
        <f t="shared" si="0"/>
        <v>0</v>
      </c>
      <c r="E20" s="141">
        <v>0</v>
      </c>
      <c r="F20" s="581"/>
      <c r="G20" s="631"/>
    </row>
    <row r="21" spans="1:7">
      <c r="A21" s="151" t="s">
        <v>60</v>
      </c>
      <c r="B21" s="116">
        <v>0</v>
      </c>
      <c r="C21" s="116">
        <v>0</v>
      </c>
      <c r="D21" s="116">
        <f t="shared" si="0"/>
        <v>0</v>
      </c>
      <c r="E21" s="141">
        <v>0</v>
      </c>
      <c r="F21" s="581"/>
      <c r="G21" s="631"/>
    </row>
    <row r="22" spans="1:7">
      <c r="A22" s="151" t="s">
        <v>555</v>
      </c>
      <c r="B22" s="116">
        <v>0</v>
      </c>
      <c r="C22" s="116">
        <v>0</v>
      </c>
      <c r="D22" s="116">
        <f t="shared" si="0"/>
        <v>0</v>
      </c>
      <c r="E22" s="141">
        <v>0</v>
      </c>
      <c r="F22" s="581"/>
      <c r="G22" s="631"/>
    </row>
    <row r="23" spans="1:7">
      <c r="A23" s="151" t="s">
        <v>173</v>
      </c>
      <c r="B23" s="116">
        <v>0</v>
      </c>
      <c r="C23" s="116">
        <v>0</v>
      </c>
      <c r="D23" s="116">
        <f t="shared" si="0"/>
        <v>0</v>
      </c>
      <c r="E23" s="141">
        <v>0</v>
      </c>
      <c r="F23" s="581"/>
      <c r="G23" s="631"/>
    </row>
    <row r="24" spans="1:7">
      <c r="A24" s="151" t="s">
        <v>74</v>
      </c>
      <c r="B24" s="116">
        <v>0</v>
      </c>
      <c r="C24" s="116">
        <v>0</v>
      </c>
      <c r="D24" s="116">
        <f t="shared" si="0"/>
        <v>0</v>
      </c>
      <c r="E24" s="141">
        <v>0</v>
      </c>
      <c r="F24" s="581"/>
      <c r="G24" s="631"/>
    </row>
    <row r="25" spans="1:7">
      <c r="A25" s="151" t="s">
        <v>71</v>
      </c>
      <c r="B25" s="116">
        <v>0</v>
      </c>
      <c r="C25" s="116">
        <v>0</v>
      </c>
      <c r="D25" s="116">
        <f t="shared" si="0"/>
        <v>0</v>
      </c>
      <c r="E25" s="141">
        <v>0</v>
      </c>
      <c r="F25" s="581"/>
      <c r="G25" s="631"/>
    </row>
    <row r="26" spans="1:7">
      <c r="A26" s="151" t="s">
        <v>65</v>
      </c>
      <c r="B26" s="116">
        <f>'3. Population-NSIP#'!C24*$G$13</f>
        <v>0</v>
      </c>
      <c r="C26" s="116">
        <f>'3. Population-NSIP#'!E24*$G$14</f>
        <v>0</v>
      </c>
      <c r="D26" s="116">
        <f>SUM(B26:C26)</f>
        <v>0</v>
      </c>
      <c r="E26" s="141" t="e">
        <f>D26/$D$34</f>
        <v>#DIV/0!</v>
      </c>
      <c r="F26" s="581"/>
      <c r="G26" s="631">
        <f>D26+F26</f>
        <v>0</v>
      </c>
    </row>
    <row r="27" spans="1:7">
      <c r="A27" s="151" t="s">
        <v>229</v>
      </c>
      <c r="B27" s="116">
        <f>'3. Population-NSIP#'!C25*$G$13</f>
        <v>0</v>
      </c>
      <c r="C27" s="116">
        <f>'3. Population-NSIP#'!E25*$G$14</f>
        <v>0</v>
      </c>
      <c r="D27" s="116">
        <f>SUM(B27:C27)</f>
        <v>0</v>
      </c>
      <c r="E27" s="141" t="e">
        <f>D27/$D$34</f>
        <v>#DIV/0!</v>
      </c>
      <c r="F27" s="581"/>
      <c r="G27" s="631">
        <f>D27+F27</f>
        <v>0</v>
      </c>
    </row>
    <row r="28" spans="1:7">
      <c r="A28" s="151" t="s">
        <v>75</v>
      </c>
      <c r="B28" s="116">
        <v>0</v>
      </c>
      <c r="C28" s="116">
        <v>0</v>
      </c>
      <c r="D28" s="116">
        <f t="shared" si="0"/>
        <v>0</v>
      </c>
      <c r="E28" s="141">
        <v>0</v>
      </c>
      <c r="F28" s="581"/>
      <c r="G28" s="631"/>
    </row>
    <row r="29" spans="1:7">
      <c r="A29" s="151" t="s">
        <v>59</v>
      </c>
      <c r="B29" s="116">
        <f>'3. Population-NSIP#'!C26*$G$13</f>
        <v>0</v>
      </c>
      <c r="C29" s="116">
        <f>'3. Population-NSIP#'!E26*$G$14</f>
        <v>0</v>
      </c>
      <c r="D29" s="116">
        <f>SUM(B29:C29)</f>
        <v>0</v>
      </c>
      <c r="E29" s="141" t="e">
        <f>D29/$D$34</f>
        <v>#DIV/0!</v>
      </c>
      <c r="F29" s="581"/>
      <c r="G29" s="631">
        <f>D29+F29</f>
        <v>0</v>
      </c>
    </row>
    <row r="30" spans="1:7">
      <c r="A30" s="151" t="s">
        <v>64</v>
      </c>
      <c r="B30" s="116">
        <f>'3. Population-NSIP#'!C27*$G$13</f>
        <v>0</v>
      </c>
      <c r="C30" s="116">
        <f>'3. Population-NSIP#'!E27*$G$14</f>
        <v>0</v>
      </c>
      <c r="D30" s="116">
        <f>SUM(B30:C30)</f>
        <v>0</v>
      </c>
      <c r="E30" s="141" t="e">
        <f>D30/$D$34</f>
        <v>#DIV/0!</v>
      </c>
      <c r="F30" s="581"/>
      <c r="G30" s="631"/>
    </row>
    <row r="31" spans="1:7">
      <c r="A31" s="151" t="s">
        <v>68</v>
      </c>
      <c r="B31" s="116">
        <f>'3. Population-NSIP#'!C28*$G$13</f>
        <v>0</v>
      </c>
      <c r="C31" s="116">
        <f>'3. Population-NSIP#'!E28*$G$14</f>
        <v>0</v>
      </c>
      <c r="D31" s="116">
        <f>SUM(B31:C31)</f>
        <v>0</v>
      </c>
      <c r="E31" s="141" t="e">
        <f>D31/$D$34</f>
        <v>#DIV/0!</v>
      </c>
      <c r="F31" s="581"/>
      <c r="G31" s="631">
        <f>D31+F31</f>
        <v>0</v>
      </c>
    </row>
    <row r="32" spans="1:7">
      <c r="A32" s="151" t="s">
        <v>67</v>
      </c>
      <c r="B32" s="116">
        <v>0</v>
      </c>
      <c r="C32" s="116">
        <v>0</v>
      </c>
      <c r="D32" s="116">
        <f t="shared" si="0"/>
        <v>0</v>
      </c>
      <c r="E32" s="141">
        <v>0</v>
      </c>
      <c r="F32" s="581"/>
      <c r="G32" s="631"/>
    </row>
    <row r="33" spans="1:8">
      <c r="A33" s="151" t="s">
        <v>63</v>
      </c>
      <c r="B33" s="116">
        <f>'3. Population-NSIP#'!C29*$G$13</f>
        <v>0</v>
      </c>
      <c r="C33" s="116">
        <f>'3. Population-NSIP#'!E29*$G$14</f>
        <v>0</v>
      </c>
      <c r="D33" s="116">
        <f>SUM(B33:C33)</f>
        <v>0</v>
      </c>
      <c r="E33" s="141" t="e">
        <f>D33/$D$34</f>
        <v>#DIV/0!</v>
      </c>
      <c r="F33" s="581"/>
      <c r="G33" s="631"/>
    </row>
    <row r="34" spans="1:8" s="1" customFormat="1">
      <c r="A34" s="119" t="s">
        <v>29</v>
      </c>
      <c r="B34" s="117">
        <f>SUM(B18:B33)</f>
        <v>0</v>
      </c>
      <c r="C34" s="117">
        <f>SUM(C18:C33)</f>
        <v>0</v>
      </c>
      <c r="D34" s="117">
        <f>SUM(D18:D33)</f>
        <v>0</v>
      </c>
      <c r="E34" s="120" t="e">
        <f>SUM(E18:E33)</f>
        <v>#DIV/0!</v>
      </c>
      <c r="F34" s="632">
        <f>SUM(F18:F32)</f>
        <v>0</v>
      </c>
      <c r="G34" s="631">
        <f>D34+F34</f>
        <v>0</v>
      </c>
    </row>
    <row r="35" spans="1:8">
      <c r="C35" s="580"/>
    </row>
    <row r="36" spans="1:8">
      <c r="A36" s="404" t="s">
        <v>536</v>
      </c>
      <c r="C36" s="580" t="s">
        <v>535</v>
      </c>
      <c r="D36" s="581">
        <v>0</v>
      </c>
      <c r="F36" s="634">
        <f>D36</f>
        <v>0</v>
      </c>
      <c r="G36" s="633">
        <f>D36</f>
        <v>0</v>
      </c>
      <c r="H36" t="s">
        <v>481</v>
      </c>
    </row>
    <row r="37" spans="1:8">
      <c r="A37" s="404" t="s">
        <v>537</v>
      </c>
      <c r="C37" s="580" t="s">
        <v>432</v>
      </c>
      <c r="D37" s="18">
        <f>SUM(D34:D36)</f>
        <v>0</v>
      </c>
    </row>
    <row r="38" spans="1:8">
      <c r="D38" s="581">
        <f>F34</f>
        <v>0</v>
      </c>
      <c r="F38" s="581">
        <f>D38</f>
        <v>0</v>
      </c>
    </row>
    <row r="39" spans="1:8">
      <c r="D39" s="10">
        <f>SUM(D37:D38)</f>
        <v>0</v>
      </c>
      <c r="F39" s="581">
        <f>SUM(F36:F38)</f>
        <v>0</v>
      </c>
      <c r="G39" s="630">
        <f>G34+G36</f>
        <v>0</v>
      </c>
    </row>
  </sheetData>
  <pageMargins left="0.75" right="0.75" top="1.5" bottom="0.5" header="0.25" footer="0.5"/>
  <pageSetup scale="62" orientation="landscape" r:id="rId1"/>
  <headerFooter alignWithMargins="0">
    <oddHeader xml:space="preserve">&amp;L&amp;G&amp;C&amp;"Arial Black,Bold"&amp;14
AAA 2023-2025 FUNDING ALLOCATION
</oddHeader>
    <oddFooter>&amp;R&amp;"Century Gothic,Regular"Page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BDC0D-784A-4FA1-B8ED-7D49E2A8184A}">
  <sheetPr>
    <tabColor rgb="FFFFFF66"/>
    <pageSetUpPr fitToPage="1"/>
  </sheetPr>
  <dimension ref="A1:M37"/>
  <sheetViews>
    <sheetView zoomScaleNormal="100" workbookViewId="0">
      <selection activeCell="B18" sqref="B18"/>
    </sheetView>
  </sheetViews>
  <sheetFormatPr defaultRowHeight="15"/>
  <cols>
    <col min="1" max="1" width="62" bestFit="1" customWidth="1" collapsed="1"/>
    <col min="2" max="2" width="15.42578125" style="18" customWidth="1" collapsed="1"/>
    <col min="3" max="3" width="16.5703125" style="18" customWidth="1" collapsed="1"/>
    <col min="4" max="4" width="15.42578125" style="18" customWidth="1" collapsed="1"/>
    <col min="5" max="6" width="12.7109375" style="18" bestFit="1" customWidth="1" collapsed="1"/>
    <col min="7" max="7" width="12.7109375" bestFit="1" customWidth="1" collapsed="1"/>
    <col min="8" max="8" width="10.5703125" bestFit="1" customWidth="1" collapsed="1"/>
    <col min="9" max="9" width="16.140625" customWidth="1"/>
    <col min="11" max="11" width="16.85546875" customWidth="1"/>
    <col min="12" max="12" width="15.28515625" customWidth="1" collapsed="1"/>
    <col min="13" max="13" width="16.42578125" customWidth="1" collapsed="1"/>
  </cols>
  <sheetData>
    <row r="1" spans="1:9" s="112" customFormat="1" ht="36">
      <c r="A1" s="135" t="s">
        <v>459</v>
      </c>
      <c r="B1" s="135" t="s">
        <v>22</v>
      </c>
      <c r="C1" s="135" t="s">
        <v>26</v>
      </c>
      <c r="D1" s="135" t="s">
        <v>403</v>
      </c>
      <c r="E1" s="135" t="s">
        <v>442</v>
      </c>
      <c r="F1" s="135" t="s">
        <v>443</v>
      </c>
      <c r="G1" s="135" t="s">
        <v>453</v>
      </c>
    </row>
    <row r="2" spans="1:9" ht="12.95" customHeight="1">
      <c r="A2" s="235" t="s">
        <v>406</v>
      </c>
      <c r="B2" s="355">
        <f>10000000*0.5</f>
        <v>5000000</v>
      </c>
      <c r="C2" s="6">
        <v>0.25</v>
      </c>
      <c r="D2" s="18">
        <f>ROUND(B2*C2,0)</f>
        <v>1250000</v>
      </c>
      <c r="G2" s="18">
        <f>SUM(D2:F2)</f>
        <v>1250000</v>
      </c>
    </row>
    <row r="3" spans="1:9" ht="12.95" customHeight="1">
      <c r="A3" s="235" t="s">
        <v>440</v>
      </c>
      <c r="B3" s="355">
        <f>10000000*0.5</f>
        <v>5000000</v>
      </c>
      <c r="C3" s="6">
        <v>1</v>
      </c>
      <c r="E3" s="18">
        <f>ROUND(B3*C3,0)</f>
        <v>5000000</v>
      </c>
      <c r="G3" s="18">
        <f>SUM(D3:F3)</f>
        <v>5000000</v>
      </c>
    </row>
    <row r="4" spans="1:9" ht="12.95" customHeight="1">
      <c r="A4" s="235" t="s">
        <v>441</v>
      </c>
      <c r="B4" s="355">
        <f>10000000*0.5</f>
        <v>5000000</v>
      </c>
      <c r="C4" s="6">
        <v>0.75</v>
      </c>
      <c r="D4" s="8"/>
      <c r="E4" s="8"/>
      <c r="F4" s="8">
        <f>ROUND(B4*C4,0)</f>
        <v>3750000</v>
      </c>
      <c r="G4" s="8">
        <f>SUM(D4:F4)</f>
        <v>3750000</v>
      </c>
      <c r="I4" s="354"/>
    </row>
    <row r="5" spans="1:9" ht="12.95" customHeight="1">
      <c r="A5" s="235" t="s">
        <v>23</v>
      </c>
      <c r="D5" s="18">
        <f>SUM(D2:D4)</f>
        <v>1250000</v>
      </c>
      <c r="E5" s="18">
        <f>SUM(E2:E4)</f>
        <v>5000000</v>
      </c>
      <c r="F5" s="18">
        <f>SUM(F2:F4)</f>
        <v>3750000</v>
      </c>
      <c r="G5" s="18">
        <f>SUM(G2:G4)</f>
        <v>10000000</v>
      </c>
      <c r="I5" s="353"/>
    </row>
    <row r="6" spans="1:9" ht="12.95" customHeight="1">
      <c r="A6" s="235" t="s">
        <v>24</v>
      </c>
      <c r="C6" s="5">
        <v>0</v>
      </c>
      <c r="D6" s="8">
        <f>ROUND($C$6*-D5,0)</f>
        <v>0</v>
      </c>
      <c r="E6" s="8">
        <f>ROUND($C$6*-E5,0)</f>
        <v>0</v>
      </c>
      <c r="F6" s="8">
        <f>ROUND($C$6*-F5,0)</f>
        <v>0</v>
      </c>
      <c r="G6" s="8">
        <f>SUM(D6:F6)</f>
        <v>0</v>
      </c>
      <c r="I6" s="354"/>
    </row>
    <row r="7" spans="1:9" ht="12.95" customHeight="1">
      <c r="A7" s="235" t="s">
        <v>23</v>
      </c>
      <c r="D7" s="18">
        <f>SUM(D5:D6)</f>
        <v>1250000</v>
      </c>
      <c r="E7" s="18">
        <f>SUM(E5:E6)</f>
        <v>5000000</v>
      </c>
      <c r="F7" s="18">
        <f>SUM(F5:F6)</f>
        <v>3750000</v>
      </c>
      <c r="G7" s="18">
        <f>SUM(G5:G6)</f>
        <v>10000000</v>
      </c>
    </row>
    <row r="8" spans="1:9" s="191" customFormat="1" ht="12.95" customHeight="1">
      <c r="A8" s="101"/>
      <c r="B8" s="18"/>
      <c r="C8" s="18"/>
      <c r="D8" s="192"/>
      <c r="E8" s="192"/>
      <c r="F8" s="192"/>
      <c r="G8" s="192">
        <v>0</v>
      </c>
    </row>
    <row r="9" spans="1:9" s="1" customFormat="1" ht="12.95" customHeight="1" thickBot="1">
      <c r="A9" s="65" t="s">
        <v>29</v>
      </c>
      <c r="B9" s="10"/>
      <c r="C9" s="10"/>
      <c r="D9" s="14"/>
      <c r="E9" s="14"/>
      <c r="F9" s="14"/>
      <c r="G9" s="11">
        <f>G7</f>
        <v>10000000</v>
      </c>
    </row>
    <row r="10" spans="1:9" s="131" customFormat="1" ht="12.95" customHeight="1" thickTop="1">
      <c r="B10" s="129"/>
      <c r="C10" s="129"/>
      <c r="D10" s="130"/>
      <c r="E10" s="130"/>
      <c r="F10" s="130"/>
      <c r="G10" s="130"/>
    </row>
    <row r="11" spans="1:9" ht="12.95" customHeight="1">
      <c r="A11" s="111" t="s">
        <v>146</v>
      </c>
      <c r="G11" s="18"/>
    </row>
    <row r="12" spans="1:9" ht="12.95" customHeight="1">
      <c r="A12" s="124" t="s">
        <v>36</v>
      </c>
      <c r="B12" s="18">
        <v>0</v>
      </c>
      <c r="C12" s="18">
        <v>0</v>
      </c>
      <c r="G12" s="18">
        <f>B12*C12</f>
        <v>0</v>
      </c>
      <c r="H12" s="12"/>
    </row>
    <row r="13" spans="1:9" ht="12.95" customHeight="1">
      <c r="A13" s="235" t="s">
        <v>28</v>
      </c>
      <c r="C13" s="5">
        <v>0.05</v>
      </c>
      <c r="G13" s="18">
        <f>ROUND((G9-G12)*C13,0)</f>
        <v>500000</v>
      </c>
    </row>
    <row r="14" spans="1:9" ht="12.95" customHeight="1">
      <c r="A14" s="235" t="s">
        <v>37</v>
      </c>
      <c r="C14" s="5">
        <v>0.95</v>
      </c>
      <c r="G14" s="18">
        <f>G9-G12-G13</f>
        <v>9500000</v>
      </c>
    </row>
    <row r="15" spans="1:9" s="1" customFormat="1" ht="12.95" customHeight="1" thickBot="1">
      <c r="A15" s="65" t="s">
        <v>29</v>
      </c>
      <c r="B15" s="10"/>
      <c r="C15" s="10"/>
      <c r="D15" s="10"/>
      <c r="E15" s="10"/>
      <c r="F15" s="10"/>
      <c r="G15" s="11">
        <f>SUM(G12:G14)</f>
        <v>10000000</v>
      </c>
    </row>
    <row r="16" spans="1:9" s="125" customFormat="1" ht="6.75" customHeight="1" thickTop="1">
      <c r="B16" s="126"/>
      <c r="C16" s="126"/>
      <c r="D16" s="126"/>
      <c r="E16" s="126"/>
      <c r="F16" s="126"/>
    </row>
    <row r="17" spans="1:7" s="112" customFormat="1" ht="90">
      <c r="A17" s="132" t="s">
        <v>58</v>
      </c>
      <c r="B17" s="132" t="s">
        <v>208</v>
      </c>
      <c r="C17" s="132" t="s">
        <v>209</v>
      </c>
      <c r="D17" s="132" t="s">
        <v>460</v>
      </c>
      <c r="E17" s="133" t="s">
        <v>210</v>
      </c>
      <c r="G17" s="134"/>
    </row>
    <row r="18" spans="1:7">
      <c r="A18" s="151" t="s">
        <v>72</v>
      </c>
      <c r="B18" s="116">
        <f>ROUND(('3. Population-NSIP#'!C3*$G$13),0)</f>
        <v>61955</v>
      </c>
      <c r="C18" s="116">
        <f>ROUND(('3. Population-NSIP#'!E3*$G$14),0)</f>
        <v>357702</v>
      </c>
      <c r="D18" s="116">
        <f t="shared" ref="D18:D33" si="0">SUM(B18:C18)</f>
        <v>419657</v>
      </c>
      <c r="E18" s="141">
        <f t="shared" ref="E18:E33" si="1">D18/$D$34</f>
        <v>4.1965700000000002E-2</v>
      </c>
      <c r="G18" s="18"/>
    </row>
    <row r="19" spans="1:7">
      <c r="A19" s="151" t="s">
        <v>61</v>
      </c>
      <c r="B19" s="116">
        <f>ROUND(('3. Population-NSIP#'!C4*$G$13),0)</f>
        <v>3424</v>
      </c>
      <c r="C19" s="116">
        <f>ROUND(('3. Population-NSIP#'!E4*$G$14),0)</f>
        <v>133819</v>
      </c>
      <c r="D19" s="116">
        <f t="shared" si="0"/>
        <v>137243</v>
      </c>
      <c r="E19" s="141">
        <f t="shared" si="1"/>
        <v>1.37243E-2</v>
      </c>
      <c r="G19" s="18"/>
    </row>
    <row r="20" spans="1:7">
      <c r="A20" s="151" t="s">
        <v>73</v>
      </c>
      <c r="B20" s="116">
        <f>ROUND(('3. Population-NSIP#'!C5*$G$13),0)</f>
        <v>66569</v>
      </c>
      <c r="C20" s="116">
        <f>ROUND(('3. Population-NSIP#'!E5*$G$14),0)</f>
        <v>193738</v>
      </c>
      <c r="D20" s="116">
        <f t="shared" si="0"/>
        <v>260307</v>
      </c>
      <c r="E20" s="141">
        <f t="shared" si="1"/>
        <v>2.60307E-2</v>
      </c>
      <c r="G20" s="18"/>
    </row>
    <row r="21" spans="1:7">
      <c r="A21" s="151" t="s">
        <v>60</v>
      </c>
      <c r="B21" s="116">
        <f>ROUND(('3. Population-NSIP#'!C6*$G$13),0)</f>
        <v>9742</v>
      </c>
      <c r="C21" s="116">
        <f>ROUND(('3. Population-NSIP#'!E6*$G$14),0)</f>
        <v>1070535</v>
      </c>
      <c r="D21" s="116">
        <f t="shared" si="0"/>
        <v>1080277</v>
      </c>
      <c r="E21" s="141">
        <f t="shared" si="1"/>
        <v>0.1080277</v>
      </c>
      <c r="G21" s="18"/>
    </row>
    <row r="22" spans="1:7">
      <c r="A22" s="151" t="s">
        <v>555</v>
      </c>
      <c r="B22" s="116">
        <f>ROUND(('3. Population-NSIP#'!C7*$G$13),0)</f>
        <v>40516</v>
      </c>
      <c r="C22" s="116">
        <f>ROUND(('3. Population-NSIP#'!E7*$G$14),0)</f>
        <v>623450</v>
      </c>
      <c r="D22" s="116">
        <f t="shared" si="0"/>
        <v>663966</v>
      </c>
      <c r="E22" s="141">
        <f t="shared" si="1"/>
        <v>6.63966E-2</v>
      </c>
      <c r="G22" s="18"/>
    </row>
    <row r="23" spans="1:7">
      <c r="A23" s="151" t="s">
        <v>173</v>
      </c>
      <c r="B23" s="116">
        <f>ROUND(('3. Population-NSIP#'!C8*$G$13),0)</f>
        <v>26233</v>
      </c>
      <c r="C23" s="116">
        <f>ROUND(('3. Population-NSIP#'!E8*$G$14),0)</f>
        <v>390681</v>
      </c>
      <c r="D23" s="116">
        <f t="shared" si="0"/>
        <v>416914</v>
      </c>
      <c r="E23" s="141">
        <f t="shared" si="1"/>
        <v>4.1691400000000003E-2</v>
      </c>
      <c r="G23" s="18"/>
    </row>
    <row r="24" spans="1:7">
      <c r="A24" s="151" t="s">
        <v>74</v>
      </c>
      <c r="B24" s="116">
        <f>ROUND(('3. Population-NSIP#'!C9*$G$13),0)</f>
        <v>52783</v>
      </c>
      <c r="C24" s="116">
        <f>ROUND(('3. Population-NSIP#'!E9*$G$14),0)</f>
        <v>23993</v>
      </c>
      <c r="D24" s="116">
        <f t="shared" si="0"/>
        <v>76776</v>
      </c>
      <c r="E24" s="141">
        <f t="shared" si="1"/>
        <v>7.6775999999999997E-3</v>
      </c>
      <c r="G24" s="18"/>
    </row>
    <row r="25" spans="1:7">
      <c r="A25" s="151" t="s">
        <v>71</v>
      </c>
      <c r="B25" s="116">
        <f>ROUND(('3. Population-NSIP#'!C10*$G$13),0)</f>
        <v>73343</v>
      </c>
      <c r="C25" s="116">
        <f>ROUND(('3. Population-NSIP#'!E10*$G$14),0)</f>
        <v>231189</v>
      </c>
      <c r="D25" s="116">
        <f t="shared" si="0"/>
        <v>304532</v>
      </c>
      <c r="E25" s="141">
        <f t="shared" si="1"/>
        <v>3.04532E-2</v>
      </c>
      <c r="G25" s="18"/>
    </row>
    <row r="26" spans="1:7">
      <c r="A26" s="151" t="s">
        <v>65</v>
      </c>
      <c r="B26" s="116">
        <f>ROUND(('3. Population-NSIP#'!C11*$G$13),0)</f>
        <v>23717</v>
      </c>
      <c r="C26" s="116">
        <f>ROUND(('3. Population-NSIP#'!E11*$G$14),0)</f>
        <v>277396</v>
      </c>
      <c r="D26" s="116">
        <f t="shared" si="0"/>
        <v>301113</v>
      </c>
      <c r="E26" s="141">
        <f t="shared" si="1"/>
        <v>3.0111300000000001E-2</v>
      </c>
      <c r="G26" s="18"/>
    </row>
    <row r="27" spans="1:7">
      <c r="A27" s="151" t="s">
        <v>229</v>
      </c>
      <c r="B27" s="116">
        <f>ROUND(('3. Population-NSIP#'!C12*$G$13),0)</f>
        <v>2247</v>
      </c>
      <c r="C27" s="116">
        <f>ROUND(('3. Population-NSIP#'!E12*$G$14),0)+1</f>
        <v>1533910</v>
      </c>
      <c r="D27" s="116">
        <f>SUM(B27:C27)</f>
        <v>1536157</v>
      </c>
      <c r="E27" s="141">
        <f t="shared" si="1"/>
        <v>0.15361569999999999</v>
      </c>
      <c r="G27" s="18"/>
    </row>
    <row r="28" spans="1:7">
      <c r="A28" s="151" t="s">
        <v>75</v>
      </c>
      <c r="B28" s="116">
        <f>ROUND(('3. Population-NSIP#'!C13*$G$13),0)</f>
        <v>51504</v>
      </c>
      <c r="C28" s="116">
        <f>ROUND(('3. Population-NSIP#'!E13*$G$14),0)</f>
        <v>80746</v>
      </c>
      <c r="D28" s="116">
        <f t="shared" si="0"/>
        <v>132250</v>
      </c>
      <c r="E28" s="141">
        <f t="shared" si="1"/>
        <v>1.3225000000000001E-2</v>
      </c>
      <c r="G28" s="18"/>
    </row>
    <row r="29" spans="1:7">
      <c r="A29" s="151" t="s">
        <v>59</v>
      </c>
      <c r="B29" s="116">
        <f>ROUND(('3. Population-NSIP#'!C14*$G$13),0)</f>
        <v>23808</v>
      </c>
      <c r="C29" s="116">
        <f>ROUND(('3. Population-NSIP#'!E14*$G$14),0)</f>
        <v>1411301</v>
      </c>
      <c r="D29" s="116">
        <f t="shared" si="0"/>
        <v>1435109</v>
      </c>
      <c r="E29" s="141">
        <f t="shared" si="1"/>
        <v>0.1435109</v>
      </c>
      <c r="G29" s="18"/>
    </row>
    <row r="30" spans="1:7">
      <c r="A30" s="151" t="s">
        <v>64</v>
      </c>
      <c r="B30" s="116">
        <f>ROUND(('3. Population-NSIP#'!C15*$G$13),0)</f>
        <v>20554</v>
      </c>
      <c r="C30" s="116">
        <f>ROUND(('3. Population-NSIP#'!E15*$G$14),0)</f>
        <v>709303</v>
      </c>
      <c r="D30" s="116">
        <f t="shared" si="0"/>
        <v>729857</v>
      </c>
      <c r="E30" s="141">
        <f t="shared" si="1"/>
        <v>7.2985700000000001E-2</v>
      </c>
      <c r="G30" s="18"/>
    </row>
    <row r="31" spans="1:7">
      <c r="A31" s="151" t="s">
        <v>68</v>
      </c>
      <c r="B31" s="116">
        <f>ROUND(('3. Population-NSIP#'!C16*$G$13),0)</f>
        <v>23040</v>
      </c>
      <c r="C31" s="116">
        <f>ROUND(('3. Population-NSIP#'!E16*$G$14),0)</f>
        <v>975126</v>
      </c>
      <c r="D31" s="116">
        <f>SUM(B31:C31)+1</f>
        <v>998167</v>
      </c>
      <c r="E31" s="141">
        <f t="shared" si="1"/>
        <v>9.9816699999999994E-2</v>
      </c>
      <c r="G31" s="18"/>
    </row>
    <row r="32" spans="1:7">
      <c r="A32" s="151" t="s">
        <v>67</v>
      </c>
      <c r="B32" s="116">
        <f>ROUND(('3. Population-NSIP#'!C17*$G$13),0)</f>
        <v>16792</v>
      </c>
      <c r="C32" s="116">
        <f>ROUND(('3. Population-NSIP#'!E17*$G$14),0)</f>
        <v>319140</v>
      </c>
      <c r="D32" s="116">
        <f t="shared" si="0"/>
        <v>335932</v>
      </c>
      <c r="E32" s="141">
        <f t="shared" si="1"/>
        <v>3.3593199999999997E-2</v>
      </c>
      <c r="G32" s="18"/>
    </row>
    <row r="33" spans="1:7">
      <c r="A33" s="151" t="s">
        <v>63</v>
      </c>
      <c r="B33" s="116">
        <f>ROUND(('3. Population-NSIP#'!C18*$G$13),0)</f>
        <v>3773</v>
      </c>
      <c r="C33" s="116">
        <f>ROUND(('3. Population-NSIP#'!E18*$G$14),0)</f>
        <v>1167970</v>
      </c>
      <c r="D33" s="116">
        <f t="shared" si="0"/>
        <v>1171743</v>
      </c>
      <c r="E33" s="141">
        <f t="shared" si="1"/>
        <v>0.1171743</v>
      </c>
      <c r="G33" s="18"/>
    </row>
    <row r="34" spans="1:7" s="1" customFormat="1">
      <c r="A34" s="119" t="s">
        <v>29</v>
      </c>
      <c r="B34" s="117">
        <f>SUM(B18:B33)</f>
        <v>500000</v>
      </c>
      <c r="C34" s="117">
        <f>SUM(C18:C33)</f>
        <v>9499999</v>
      </c>
      <c r="D34" s="117">
        <f>SUM(D18:D33)</f>
        <v>10000000</v>
      </c>
      <c r="E34" s="120">
        <f>SUM(E18:E33)</f>
        <v>1</v>
      </c>
      <c r="G34" s="10"/>
    </row>
    <row r="36" spans="1:7">
      <c r="A36" s="404" t="s">
        <v>458</v>
      </c>
      <c r="C36" s="580"/>
      <c r="D36" s="581">
        <v>0</v>
      </c>
    </row>
    <row r="37" spans="1:7">
      <c r="A37" t="s">
        <v>220</v>
      </c>
      <c r="C37" s="580"/>
    </row>
  </sheetData>
  <pageMargins left="0.75" right="0.75" top="1.5" bottom="0.5" header="0.25" footer="0.5"/>
  <pageSetup scale="69" orientation="landscape" r:id="rId1"/>
  <headerFooter alignWithMargins="0">
    <oddHeader xml:space="preserve">&amp;L&amp;G&amp;C&amp;"Arial Black,Bold"&amp;14
AAA 2023-2025 FUNDING ALLOCATION
</oddHeader>
    <oddFooter>&amp;R&amp;"Century Gothic,Regular"Page &amp;P</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BB55-BED7-46FC-BFF1-6D6608E442A1}">
  <sheetPr>
    <tabColor rgb="FFFFFF66"/>
    <pageSetUpPr fitToPage="1"/>
  </sheetPr>
  <dimension ref="A1:M38"/>
  <sheetViews>
    <sheetView zoomScaleNormal="100" workbookViewId="0">
      <selection activeCell="J34" sqref="J34"/>
    </sheetView>
  </sheetViews>
  <sheetFormatPr defaultRowHeight="15"/>
  <cols>
    <col min="1" max="1" width="62" bestFit="1" customWidth="1" collapsed="1"/>
    <col min="2" max="2" width="15.42578125" style="18" customWidth="1" collapsed="1"/>
    <col min="3" max="3" width="16.5703125" style="18" customWidth="1" collapsed="1"/>
    <col min="4" max="4" width="15.42578125" style="18" customWidth="1" collapsed="1"/>
    <col min="5" max="5" width="12.7109375" style="18" bestFit="1" customWidth="1" collapsed="1"/>
    <col min="6" max="6" width="13.28515625" style="18" customWidth="1" collapsed="1"/>
    <col min="7" max="7" width="12.7109375" bestFit="1" customWidth="1" collapsed="1"/>
    <col min="8" max="8" width="10.5703125" bestFit="1" customWidth="1" collapsed="1"/>
    <col min="9" max="9" width="16.140625" customWidth="1"/>
    <col min="11" max="11" width="16.85546875" customWidth="1"/>
    <col min="12" max="12" width="15.28515625" customWidth="1" collapsed="1"/>
    <col min="13" max="13" width="16.42578125" customWidth="1" collapsed="1"/>
  </cols>
  <sheetData>
    <row r="1" spans="1:9" s="112" customFormat="1" ht="36">
      <c r="A1" s="641" t="s">
        <v>539</v>
      </c>
      <c r="B1" s="135" t="s">
        <v>22</v>
      </c>
      <c r="C1" s="135" t="s">
        <v>26</v>
      </c>
      <c r="D1" s="135" t="s">
        <v>443</v>
      </c>
      <c r="E1" s="135" t="s">
        <v>520</v>
      </c>
      <c r="F1" s="135" t="s">
        <v>521</v>
      </c>
      <c r="G1" s="135" t="s">
        <v>522</v>
      </c>
    </row>
    <row r="2" spans="1:9" ht="12.95" customHeight="1">
      <c r="A2" s="235" t="s">
        <v>441</v>
      </c>
      <c r="B2" s="355">
        <f>29016456*0.5</f>
        <v>14508228</v>
      </c>
      <c r="C2" s="6">
        <v>0.25</v>
      </c>
      <c r="D2" s="18">
        <f>ROUND(B2*C2,0)</f>
        <v>3627057</v>
      </c>
      <c r="G2" s="18">
        <f>SUM(D2:F2)</f>
        <v>3627057</v>
      </c>
    </row>
    <row r="3" spans="1:9" ht="12.95" customHeight="1">
      <c r="A3" s="235" t="s">
        <v>526</v>
      </c>
      <c r="B3" s="355">
        <f>29016456*0.5</f>
        <v>14508228</v>
      </c>
      <c r="C3" s="6">
        <v>1</v>
      </c>
      <c r="E3" s="18">
        <f>ROUND(B3*C3,0)</f>
        <v>14508228</v>
      </c>
      <c r="G3" s="18">
        <f>SUM(D3:F3)</f>
        <v>14508228</v>
      </c>
    </row>
    <row r="4" spans="1:9" ht="12.95" customHeight="1">
      <c r="A4" s="235" t="s">
        <v>527</v>
      </c>
      <c r="B4" s="355">
        <f>29016456*0.5</f>
        <v>14508228</v>
      </c>
      <c r="C4" s="6">
        <v>0.75</v>
      </c>
      <c r="D4" s="8"/>
      <c r="E4" s="8"/>
      <c r="F4" s="8">
        <f>ROUND(B4*C4,0)</f>
        <v>10881171</v>
      </c>
      <c r="G4" s="8">
        <f>SUM(D4:F4)</f>
        <v>10881171</v>
      </c>
      <c r="I4" s="354"/>
    </row>
    <row r="5" spans="1:9" ht="12.95" customHeight="1">
      <c r="A5" s="235" t="s">
        <v>23</v>
      </c>
      <c r="D5" s="18">
        <f>SUM(D2:D4)</f>
        <v>3627057</v>
      </c>
      <c r="E5" s="18">
        <f>SUM(E2:E4)</f>
        <v>14508228</v>
      </c>
      <c r="F5" s="18">
        <f>SUM(F2:F4)</f>
        <v>10881171</v>
      </c>
      <c r="G5" s="18">
        <f>SUM(G2:G4)</f>
        <v>29016456</v>
      </c>
      <c r="I5" s="353"/>
    </row>
    <row r="6" spans="1:9" ht="12.95" customHeight="1">
      <c r="A6" s="235" t="s">
        <v>24</v>
      </c>
      <c r="C6" s="5">
        <v>0</v>
      </c>
      <c r="D6" s="8">
        <f>ROUND($C$6*-D5,0)</f>
        <v>0</v>
      </c>
      <c r="E6" s="8">
        <f>ROUND($C$6*-E5,0)</f>
        <v>0</v>
      </c>
      <c r="F6" s="8">
        <f>ROUND($C$6*-F5,0)</f>
        <v>0</v>
      </c>
      <c r="G6" s="8">
        <f>SUM(D6:F6)</f>
        <v>0</v>
      </c>
      <c r="I6" s="354"/>
    </row>
    <row r="7" spans="1:9" ht="12.95" customHeight="1">
      <c r="A7" s="235" t="s">
        <v>23</v>
      </c>
      <c r="D7" s="18">
        <f>SUM(D5:D6)</f>
        <v>3627057</v>
      </c>
      <c r="E7" s="18">
        <f>SUM(E5:E6)</f>
        <v>14508228</v>
      </c>
      <c r="F7" s="18">
        <f>SUM(F5:F6)</f>
        <v>10881171</v>
      </c>
      <c r="G7" s="18">
        <f>SUM(G5:G6)</f>
        <v>29016456</v>
      </c>
    </row>
    <row r="8" spans="1:9" s="191" customFormat="1" ht="12.95" customHeight="1">
      <c r="A8" s="101"/>
      <c r="B8" s="18"/>
      <c r="C8" s="18"/>
      <c r="D8" s="192"/>
      <c r="E8" s="192"/>
      <c r="F8" s="192"/>
      <c r="G8" s="192">
        <v>0</v>
      </c>
    </row>
    <row r="9" spans="1:9" s="1" customFormat="1" ht="12.95" customHeight="1" thickBot="1">
      <c r="A9" s="65" t="s">
        <v>29</v>
      </c>
      <c r="B9" s="10"/>
      <c r="C9" s="10"/>
      <c r="D9" s="14"/>
      <c r="E9" s="14"/>
      <c r="F9" s="14"/>
      <c r="G9" s="11">
        <f>G7</f>
        <v>29016456</v>
      </c>
    </row>
    <row r="10" spans="1:9" s="131" customFormat="1" ht="12.95" customHeight="1" thickTop="1">
      <c r="B10" s="129"/>
      <c r="C10" s="129"/>
      <c r="D10" s="130"/>
      <c r="E10" s="130"/>
      <c r="F10" s="130"/>
      <c r="G10" s="130"/>
    </row>
    <row r="11" spans="1:9" ht="12.95" customHeight="1">
      <c r="A11" s="111" t="s">
        <v>146</v>
      </c>
      <c r="G11" s="18"/>
    </row>
    <row r="12" spans="1:9" ht="12.95" customHeight="1">
      <c r="A12" s="124" t="s">
        <v>36</v>
      </c>
      <c r="B12" s="18">
        <v>0</v>
      </c>
      <c r="C12" s="18">
        <v>0</v>
      </c>
      <c r="G12" s="18">
        <f>B12*C12</f>
        <v>0</v>
      </c>
      <c r="H12" s="12"/>
    </row>
    <row r="13" spans="1:9" ht="12.95" customHeight="1">
      <c r="A13" s="235" t="s">
        <v>28</v>
      </c>
      <c r="C13" s="5">
        <v>0.05</v>
      </c>
      <c r="G13" s="18">
        <f>ROUND((G9-G12)*C13,0)</f>
        <v>1450823</v>
      </c>
    </row>
    <row r="14" spans="1:9" ht="12.95" customHeight="1">
      <c r="A14" s="235" t="s">
        <v>37</v>
      </c>
      <c r="C14" s="5">
        <v>0.95</v>
      </c>
      <c r="G14" s="18">
        <f>G9-G12-G13</f>
        <v>27565633</v>
      </c>
    </row>
    <row r="15" spans="1:9" s="1" customFormat="1" ht="12.95" customHeight="1" thickBot="1">
      <c r="A15" s="65" t="s">
        <v>29</v>
      </c>
      <c r="B15" s="10"/>
      <c r="C15" s="10"/>
      <c r="D15" s="10"/>
      <c r="E15" s="10"/>
      <c r="F15" s="10"/>
      <c r="G15" s="11">
        <f>SUM(G12:G14)</f>
        <v>29016456</v>
      </c>
    </row>
    <row r="16" spans="1:9" s="125" customFormat="1" ht="6.75" customHeight="1" thickTop="1">
      <c r="B16" s="126"/>
      <c r="C16" s="126"/>
      <c r="D16" s="126"/>
      <c r="E16" s="126"/>
      <c r="F16" s="126"/>
    </row>
    <row r="17" spans="1:9" s="112" customFormat="1" ht="90">
      <c r="A17" s="132" t="s">
        <v>58</v>
      </c>
      <c r="B17" s="132" t="s">
        <v>208</v>
      </c>
      <c r="C17" s="132" t="s">
        <v>209</v>
      </c>
      <c r="D17" s="132" t="s">
        <v>541</v>
      </c>
      <c r="E17" s="133" t="s">
        <v>210</v>
      </c>
      <c r="F17" s="627" t="s">
        <v>475</v>
      </c>
      <c r="G17" s="628" t="s">
        <v>476</v>
      </c>
      <c r="H17" s="629" t="s">
        <v>477</v>
      </c>
      <c r="I17" s="627" t="s">
        <v>480</v>
      </c>
    </row>
    <row r="18" spans="1:9">
      <c r="A18" s="151" t="s">
        <v>72</v>
      </c>
      <c r="B18" s="116">
        <f>ROUND(('3. Population-NSIP#'!C3*$G$13),0)</f>
        <v>179771</v>
      </c>
      <c r="C18" s="116">
        <f>ROUND(('3. Population-NSIP#'!E3*$G$14),0)</f>
        <v>1037924</v>
      </c>
      <c r="D18" s="116">
        <f t="shared" ref="D18:D33" si="0">SUM(B18:C18)</f>
        <v>1217695</v>
      </c>
      <c r="E18" s="141">
        <f t="shared" ref="E18:E33" si="1">D18/$D$34</f>
        <v>4.196566941186753E-2</v>
      </c>
      <c r="G18" s="18"/>
      <c r="I18" s="635"/>
    </row>
    <row r="19" spans="1:9">
      <c r="A19" s="151" t="s">
        <v>61</v>
      </c>
      <c r="B19" s="116">
        <f>ROUND(('3. Population-NSIP#'!C4*$G$13),0)</f>
        <v>9936</v>
      </c>
      <c r="C19" s="116">
        <f>ROUND(('3. Population-NSIP#'!E4*$G$14),0)</f>
        <v>388296</v>
      </c>
      <c r="D19" s="116">
        <f t="shared" si="0"/>
        <v>398232</v>
      </c>
      <c r="E19" s="141">
        <f t="shared" si="1"/>
        <v>1.3724350072248658E-2</v>
      </c>
      <c r="G19" s="18"/>
    </row>
    <row r="20" spans="1:9">
      <c r="A20" s="151" t="s">
        <v>73</v>
      </c>
      <c r="B20" s="116">
        <f>ROUND(('3. Population-NSIP#'!C5*$G$13),0)</f>
        <v>193160</v>
      </c>
      <c r="C20" s="116">
        <f>ROUND(('3. Population-NSIP#'!E5*$G$14),0)</f>
        <v>562160</v>
      </c>
      <c r="D20" s="116">
        <f t="shared" si="0"/>
        <v>755320</v>
      </c>
      <c r="E20" s="141">
        <f t="shared" si="1"/>
        <v>2.6030746139363126E-2</v>
      </c>
      <c r="G20" s="18"/>
    </row>
    <row r="21" spans="1:9">
      <c r="A21" s="151" t="s">
        <v>60</v>
      </c>
      <c r="B21" s="116">
        <f>ROUND(('3. Population-NSIP#'!C6*$G$13),0)</f>
        <v>28269</v>
      </c>
      <c r="C21" s="116">
        <f>ROUND(('3. Population-NSIP#'!E6*$G$14),0)</f>
        <v>3106312</v>
      </c>
      <c r="D21" s="116">
        <f t="shared" si="0"/>
        <v>3134581</v>
      </c>
      <c r="E21" s="141">
        <f t="shared" si="1"/>
        <v>0.10802769986796458</v>
      </c>
      <c r="G21" s="18"/>
    </row>
    <row r="22" spans="1:9">
      <c r="A22" s="151" t="s">
        <v>555</v>
      </c>
      <c r="B22" s="116">
        <f>ROUND(('3. Population-NSIP#'!C7*$G$13),0)</f>
        <v>117563</v>
      </c>
      <c r="C22" s="116">
        <f>ROUND(('3. Population-NSIP#'!E7*$G$14),0)</f>
        <v>1809032</v>
      </c>
      <c r="D22" s="116">
        <f t="shared" si="0"/>
        <v>1926595</v>
      </c>
      <c r="E22" s="141">
        <f t="shared" si="1"/>
        <v>6.6396633689517426E-2</v>
      </c>
      <c r="G22" s="18"/>
    </row>
    <row r="23" spans="1:9">
      <c r="A23" s="151" t="s">
        <v>173</v>
      </c>
      <c r="B23" s="116">
        <f>ROUND(('3. Population-NSIP#'!C8*$G$13),0)</f>
        <v>76118</v>
      </c>
      <c r="C23" s="116">
        <f>ROUND(('3. Population-NSIP#'!E8*$G$14),0)</f>
        <v>1133619</v>
      </c>
      <c r="D23" s="116">
        <f t="shared" si="0"/>
        <v>1209737</v>
      </c>
      <c r="E23" s="141">
        <f t="shared" si="1"/>
        <v>4.1691411246087391E-2</v>
      </c>
      <c r="G23" s="18"/>
    </row>
    <row r="24" spans="1:9">
      <c r="A24" s="151" t="s">
        <v>74</v>
      </c>
      <c r="B24" s="116">
        <f>ROUND(('3. Population-NSIP#'!C9*$G$13),0)</f>
        <v>153159</v>
      </c>
      <c r="C24" s="116">
        <f>ROUND(('3. Population-NSIP#'!E9*$G$14),0)</f>
        <v>69618</v>
      </c>
      <c r="D24" s="116">
        <f t="shared" si="0"/>
        <v>222777</v>
      </c>
      <c r="E24" s="141">
        <f t="shared" si="1"/>
        <v>7.6776088713246026E-3</v>
      </c>
      <c r="G24" s="18"/>
    </row>
    <row r="25" spans="1:9">
      <c r="A25" s="151" t="s">
        <v>71</v>
      </c>
      <c r="B25" s="116">
        <f>ROUND(('3. Population-NSIP#'!C10*$G$13),0)</f>
        <v>212814</v>
      </c>
      <c r="C25" s="116">
        <f>ROUND(('3. Population-NSIP#'!E10*$G$14),0)</f>
        <v>670829</v>
      </c>
      <c r="D25" s="116">
        <f t="shared" si="0"/>
        <v>883643</v>
      </c>
      <c r="E25" s="141">
        <f t="shared" si="1"/>
        <v>3.0453167678368441E-2</v>
      </c>
      <c r="G25" s="18"/>
    </row>
    <row r="26" spans="1:9">
      <c r="A26" s="151" t="s">
        <v>65</v>
      </c>
      <c r="B26" s="116">
        <f>ROUND(('3. Population-NSIP#'!C11*$G$13),0)</f>
        <v>68819</v>
      </c>
      <c r="C26" s="116">
        <f>ROUND(('3. Population-NSIP#'!E11*$G$14),0)</f>
        <v>804906</v>
      </c>
      <c r="D26" s="116">
        <f t="shared" si="0"/>
        <v>873725</v>
      </c>
      <c r="E26" s="141">
        <f t="shared" si="1"/>
        <v>3.0111361635618079E-2</v>
      </c>
      <c r="G26" s="18"/>
      <c r="I26" s="635"/>
    </row>
    <row r="27" spans="1:9">
      <c r="A27" s="151" t="s">
        <v>229</v>
      </c>
      <c r="B27" s="116">
        <f>ROUND(('3. Population-NSIP#'!C12*$G$13),0)</f>
        <v>6519</v>
      </c>
      <c r="C27" s="116">
        <f>ROUND(('3. Population-NSIP#'!E12*$G$14),0)-2</f>
        <v>4450859</v>
      </c>
      <c r="D27" s="116">
        <f>SUM(B27:C27)</f>
        <v>4457378</v>
      </c>
      <c r="E27" s="141">
        <f t="shared" si="1"/>
        <v>0.15361552079275292</v>
      </c>
      <c r="G27" s="18"/>
      <c r="I27" s="635"/>
    </row>
    <row r="28" spans="1:9">
      <c r="A28" s="151" t="s">
        <v>75</v>
      </c>
      <c r="B28" s="116">
        <f>ROUND(('3. Population-NSIP#'!C13*$G$13),0)</f>
        <v>149446</v>
      </c>
      <c r="C28" s="116">
        <f>ROUND(('3. Population-NSIP#'!E13*$G$14),0)</f>
        <v>234297</v>
      </c>
      <c r="D28" s="116">
        <f t="shared" si="0"/>
        <v>383743</v>
      </c>
      <c r="E28" s="141">
        <f t="shared" si="1"/>
        <v>1.3225012730707017E-2</v>
      </c>
      <c r="G28" s="18"/>
    </row>
    <row r="29" spans="1:9">
      <c r="A29" s="151" t="s">
        <v>59</v>
      </c>
      <c r="B29" s="116">
        <f>ROUND(('3. Population-NSIP#'!C14*$G$13),0)</f>
        <v>69083</v>
      </c>
      <c r="C29" s="116">
        <f>ROUND(('3. Population-NSIP#'!E14*$G$14),0)</f>
        <v>4095097</v>
      </c>
      <c r="D29" s="116">
        <f t="shared" si="0"/>
        <v>4164180</v>
      </c>
      <c r="E29" s="141">
        <f t="shared" si="1"/>
        <v>0.14351097873565263</v>
      </c>
      <c r="G29" s="18"/>
      <c r="I29" s="635"/>
    </row>
    <row r="30" spans="1:9">
      <c r="A30" s="151" t="s">
        <v>64</v>
      </c>
      <c r="B30" s="116">
        <f>ROUND(('3. Population-NSIP#'!C15*$G$13),0)</f>
        <v>59640</v>
      </c>
      <c r="C30" s="116">
        <f>ROUND(('3. Population-NSIP#'!E15*$G$14),0)</f>
        <v>2058147</v>
      </c>
      <c r="D30" s="116">
        <f t="shared" si="0"/>
        <v>2117787</v>
      </c>
      <c r="E30" s="141">
        <f t="shared" si="1"/>
        <v>7.2985722308747836E-2</v>
      </c>
      <c r="G30" s="18"/>
    </row>
    <row r="31" spans="1:9">
      <c r="A31" s="151" t="s">
        <v>68</v>
      </c>
      <c r="B31" s="116">
        <f>ROUND(('3. Population-NSIP#'!C16*$G$13),0)</f>
        <v>66855</v>
      </c>
      <c r="C31" s="116">
        <f>ROUND(('3. Population-NSIP#'!E16*$G$14),0)</f>
        <v>2829470</v>
      </c>
      <c r="D31" s="116">
        <f>SUM(B31:C31)+1</f>
        <v>2896326</v>
      </c>
      <c r="E31" s="141">
        <f t="shared" si="1"/>
        <v>9.9816669547790393E-2</v>
      </c>
      <c r="F31" s="581"/>
      <c r="G31" s="18"/>
      <c r="I31" s="635"/>
    </row>
    <row r="32" spans="1:9">
      <c r="A32" s="151" t="s">
        <v>67</v>
      </c>
      <c r="B32" s="116">
        <f>ROUND(('3. Population-NSIP#'!C17*$G$13),0)</f>
        <v>48724</v>
      </c>
      <c r="C32" s="116">
        <f>ROUND(('3. Population-NSIP#'!E17*$G$14),0)</f>
        <v>926032</v>
      </c>
      <c r="D32" s="116">
        <f t="shared" si="0"/>
        <v>974756</v>
      </c>
      <c r="E32" s="141">
        <f t="shared" si="1"/>
        <v>3.359321345101552E-2</v>
      </c>
      <c r="F32" s="581"/>
      <c r="G32" s="18"/>
    </row>
    <row r="33" spans="1:10">
      <c r="A33" s="151" t="s">
        <v>63</v>
      </c>
      <c r="B33" s="116">
        <f>ROUND(('3. Population-NSIP#'!C18*$G$13),0)</f>
        <v>10946</v>
      </c>
      <c r="C33" s="116">
        <f>ROUND(('3. Population-NSIP#'!E18*$G$14),0)</f>
        <v>3389035</v>
      </c>
      <c r="D33" s="116">
        <f t="shared" si="0"/>
        <v>3399981</v>
      </c>
      <c r="E33" s="141">
        <f t="shared" si="1"/>
        <v>0.11717423382097386</v>
      </c>
      <c r="F33" s="581"/>
      <c r="G33" s="18"/>
    </row>
    <row r="34" spans="1:10" s="1" customFormat="1">
      <c r="A34" s="119" t="s">
        <v>29</v>
      </c>
      <c r="B34" s="117">
        <f t="shared" ref="B34:G34" si="2">SUM(B18:B33)</f>
        <v>1450822</v>
      </c>
      <c r="C34" s="117">
        <f t="shared" si="2"/>
        <v>27565633</v>
      </c>
      <c r="D34" s="117">
        <f t="shared" si="2"/>
        <v>29016456</v>
      </c>
      <c r="E34" s="120">
        <f t="shared" si="2"/>
        <v>1</v>
      </c>
      <c r="F34" s="630">
        <f t="shared" si="2"/>
        <v>0</v>
      </c>
      <c r="G34" s="10">
        <f t="shared" si="2"/>
        <v>0</v>
      </c>
      <c r="I34" s="636">
        <f>SUM(I18:I33)</f>
        <v>0</v>
      </c>
    </row>
    <row r="36" spans="1:10">
      <c r="A36" s="404" t="s">
        <v>533</v>
      </c>
      <c r="C36" s="580" t="s">
        <v>534</v>
      </c>
      <c r="D36" s="487">
        <v>0</v>
      </c>
      <c r="F36" s="18">
        <f>D36</f>
        <v>0</v>
      </c>
      <c r="G36" s="12">
        <f>F36</f>
        <v>0</v>
      </c>
      <c r="I36" s="635">
        <f>'17. OPI 19-59'!G36</f>
        <v>0</v>
      </c>
      <c r="J36" t="s">
        <v>481</v>
      </c>
    </row>
    <row r="37" spans="1:10">
      <c r="A37" t="s">
        <v>220</v>
      </c>
      <c r="C37" s="580" t="s">
        <v>432</v>
      </c>
      <c r="D37" s="18">
        <f>SUM(D34:D36)</f>
        <v>29016456</v>
      </c>
      <c r="F37" s="18">
        <f>SUM(F34:F36)</f>
        <v>0</v>
      </c>
      <c r="G37" s="12">
        <f>D37+F34</f>
        <v>29016456</v>
      </c>
    </row>
    <row r="38" spans="1:10">
      <c r="G38" s="12">
        <f>D37+F34</f>
        <v>29016456</v>
      </c>
    </row>
  </sheetData>
  <pageMargins left="0.75" right="0.75" top="1.5" bottom="0.5" header="0.25" footer="0.5"/>
  <pageSetup scale="69" orientation="landscape" r:id="rId1"/>
  <headerFooter alignWithMargins="0">
    <oddHeader xml:space="preserve">&amp;L&amp;G&amp;C&amp;"Arial Black,Bold"&amp;14
AAA 2025-2027 FUNDING ALLOCATION
</oddHeader>
    <oddFooter>&amp;R&amp;"Century Gothic,Regular"Page &amp;P</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D6F7-0D9F-4AD0-BE70-8E3459C86A2B}">
  <sheetPr>
    <tabColor rgb="FFFFFF66"/>
    <pageSetUpPr fitToPage="1"/>
  </sheetPr>
  <dimension ref="A1:M38"/>
  <sheetViews>
    <sheetView zoomScaleNormal="100" workbookViewId="0">
      <selection activeCell="J34" sqref="J34"/>
    </sheetView>
  </sheetViews>
  <sheetFormatPr defaultRowHeight="15"/>
  <cols>
    <col min="1" max="1" width="62" bestFit="1" customWidth="1" collapsed="1"/>
    <col min="2" max="2" width="15.42578125" style="18" customWidth="1" collapsed="1"/>
    <col min="3" max="3" width="16.5703125" style="18" customWidth="1" collapsed="1"/>
    <col min="4" max="4" width="15.42578125" style="18" customWidth="1" collapsed="1"/>
    <col min="5" max="5" width="12.7109375" style="18" bestFit="1" customWidth="1" collapsed="1"/>
    <col min="6" max="6" width="13.28515625" style="18" customWidth="1" collapsed="1"/>
    <col min="7" max="7" width="12.7109375" bestFit="1" customWidth="1" collapsed="1"/>
    <col min="8" max="8" width="10.5703125" bestFit="1" customWidth="1" collapsed="1"/>
    <col min="9" max="9" width="16.140625" customWidth="1"/>
    <col min="11" max="11" width="16.85546875" customWidth="1"/>
    <col min="12" max="12" width="15.28515625" customWidth="1" collapsed="1"/>
    <col min="13" max="13" width="16.42578125" customWidth="1" collapsed="1"/>
  </cols>
  <sheetData>
    <row r="1" spans="1:9" s="112" customFormat="1" ht="36">
      <c r="A1" s="641" t="s">
        <v>540</v>
      </c>
      <c r="B1" s="135" t="s">
        <v>22</v>
      </c>
      <c r="C1" s="135" t="s">
        <v>26</v>
      </c>
      <c r="D1" s="135" t="s">
        <v>443</v>
      </c>
      <c r="E1" s="135" t="s">
        <v>520</v>
      </c>
      <c r="F1" s="135" t="s">
        <v>521</v>
      </c>
      <c r="G1" s="135" t="s">
        <v>522</v>
      </c>
    </row>
    <row r="2" spans="1:9" ht="12.95" customHeight="1">
      <c r="A2" s="235" t="s">
        <v>441</v>
      </c>
      <c r="B2" s="355">
        <f>9520000*0.5</f>
        <v>4760000</v>
      </c>
      <c r="C2" s="6">
        <v>0.25</v>
      </c>
      <c r="D2" s="18">
        <f>ROUND(B2*C2,0)</f>
        <v>1190000</v>
      </c>
      <c r="G2" s="18">
        <f>SUM(D2:F2)</f>
        <v>1190000</v>
      </c>
    </row>
    <row r="3" spans="1:9" ht="12.95" customHeight="1">
      <c r="A3" s="235" t="s">
        <v>526</v>
      </c>
      <c r="B3" s="355">
        <f>9520000*0.5</f>
        <v>4760000</v>
      </c>
      <c r="C3" s="6">
        <v>1</v>
      </c>
      <c r="E3" s="18">
        <f>ROUND(B3*C3,0)</f>
        <v>4760000</v>
      </c>
      <c r="G3" s="18">
        <f>SUM(D3:F3)</f>
        <v>4760000</v>
      </c>
    </row>
    <row r="4" spans="1:9" ht="12.95" customHeight="1">
      <c r="A4" s="235" t="s">
        <v>527</v>
      </c>
      <c r="B4" s="355">
        <f>9520000*0.5</f>
        <v>4760000</v>
      </c>
      <c r="C4" s="6">
        <v>0.75</v>
      </c>
      <c r="D4" s="8"/>
      <c r="E4" s="8"/>
      <c r="F4" s="8">
        <f>ROUND(B4*C4,0)</f>
        <v>3570000</v>
      </c>
      <c r="G4" s="8">
        <f>SUM(D4:F4)</f>
        <v>3570000</v>
      </c>
      <c r="I4" s="354"/>
    </row>
    <row r="5" spans="1:9" ht="12.95" customHeight="1">
      <c r="A5" s="235" t="s">
        <v>23</v>
      </c>
      <c r="D5" s="18">
        <f>SUM(D2:D4)</f>
        <v>1190000</v>
      </c>
      <c r="E5" s="18">
        <f>SUM(E2:E4)</f>
        <v>4760000</v>
      </c>
      <c r="F5" s="18">
        <f>SUM(F2:F4)</f>
        <v>3570000</v>
      </c>
      <c r="G5" s="18">
        <f>SUM(G2:G4)</f>
        <v>9520000</v>
      </c>
      <c r="I5" s="353"/>
    </row>
    <row r="6" spans="1:9" ht="12.95" customHeight="1">
      <c r="A6" s="235" t="s">
        <v>24</v>
      </c>
      <c r="C6" s="5">
        <v>0</v>
      </c>
      <c r="D6" s="8">
        <f>ROUND($C$6*-D5,0)</f>
        <v>0</v>
      </c>
      <c r="E6" s="8">
        <f>ROUND($C$6*-E5,0)</f>
        <v>0</v>
      </c>
      <c r="F6" s="8">
        <f>ROUND($C$6*-F5,0)</f>
        <v>0</v>
      </c>
      <c r="G6" s="8">
        <f>SUM(D6:F6)</f>
        <v>0</v>
      </c>
      <c r="I6" s="354"/>
    </row>
    <row r="7" spans="1:9" ht="12.95" customHeight="1">
      <c r="A7" s="235" t="s">
        <v>23</v>
      </c>
      <c r="D7" s="18">
        <f>SUM(D5:D6)</f>
        <v>1190000</v>
      </c>
      <c r="E7" s="18">
        <f>SUM(E5:E6)</f>
        <v>4760000</v>
      </c>
      <c r="F7" s="18">
        <f>SUM(F5:F6)</f>
        <v>3570000</v>
      </c>
      <c r="G7" s="18">
        <f>SUM(G5:G6)</f>
        <v>9520000</v>
      </c>
    </row>
    <row r="8" spans="1:9" s="191" customFormat="1" ht="12.95" customHeight="1">
      <c r="A8" s="101"/>
      <c r="B8" s="18"/>
      <c r="C8" s="18"/>
      <c r="D8" s="192"/>
      <c r="E8" s="192"/>
      <c r="F8" s="192"/>
      <c r="G8" s="192">
        <v>0</v>
      </c>
    </row>
    <row r="9" spans="1:9" s="1" customFormat="1" ht="12.95" customHeight="1" thickBot="1">
      <c r="A9" s="65" t="s">
        <v>29</v>
      </c>
      <c r="B9" s="10"/>
      <c r="C9" s="10"/>
      <c r="D9" s="14"/>
      <c r="E9" s="14"/>
      <c r="F9" s="14"/>
      <c r="G9" s="11">
        <f>G7</f>
        <v>9520000</v>
      </c>
    </row>
    <row r="10" spans="1:9" s="131" customFormat="1" ht="12.95" customHeight="1" thickTop="1">
      <c r="B10" s="129"/>
      <c r="C10" s="129"/>
      <c r="D10" s="130"/>
      <c r="E10" s="130"/>
      <c r="F10" s="130"/>
      <c r="G10" s="130"/>
    </row>
    <row r="11" spans="1:9" ht="12.95" customHeight="1">
      <c r="A11" s="111" t="s">
        <v>146</v>
      </c>
      <c r="G11" s="18"/>
    </row>
    <row r="12" spans="1:9" ht="12.95" customHeight="1">
      <c r="A12" s="124" t="s">
        <v>36</v>
      </c>
      <c r="B12" s="18">
        <v>0</v>
      </c>
      <c r="C12" s="18">
        <v>0</v>
      </c>
      <c r="G12" s="18">
        <f>B12*C12</f>
        <v>0</v>
      </c>
      <c r="H12" s="12"/>
    </row>
    <row r="13" spans="1:9" ht="12.95" customHeight="1">
      <c r="A13" s="235" t="s">
        <v>28</v>
      </c>
      <c r="C13" s="5">
        <v>0.05</v>
      </c>
      <c r="G13" s="18">
        <v>0</v>
      </c>
    </row>
    <row r="14" spans="1:9" ht="12.95" customHeight="1">
      <c r="A14" s="235" t="s">
        <v>37</v>
      </c>
      <c r="C14" s="5">
        <v>0.95</v>
      </c>
      <c r="G14" s="18">
        <f>G9-G12-G13</f>
        <v>9520000</v>
      </c>
    </row>
    <row r="15" spans="1:9" s="1" customFormat="1" ht="12.95" customHeight="1" thickBot="1">
      <c r="A15" s="65" t="s">
        <v>29</v>
      </c>
      <c r="B15" s="10"/>
      <c r="C15" s="10"/>
      <c r="D15" s="10"/>
      <c r="E15" s="10"/>
      <c r="F15" s="10"/>
      <c r="G15" s="11">
        <f>SUM(G12:G14)</f>
        <v>9520000</v>
      </c>
    </row>
    <row r="16" spans="1:9" s="125" customFormat="1" ht="6.75" customHeight="1" thickTop="1">
      <c r="B16" s="126"/>
      <c r="C16" s="126"/>
      <c r="D16" s="126"/>
      <c r="E16" s="126"/>
      <c r="F16" s="126"/>
    </row>
    <row r="17" spans="1:9" s="112" customFormat="1" ht="90">
      <c r="A17" s="132" t="s">
        <v>58</v>
      </c>
      <c r="B17" s="132" t="s">
        <v>208</v>
      </c>
      <c r="C17" s="132" t="s">
        <v>209</v>
      </c>
      <c r="D17" s="132" t="s">
        <v>542</v>
      </c>
      <c r="E17" s="133" t="s">
        <v>210</v>
      </c>
      <c r="F17" s="627" t="s">
        <v>475</v>
      </c>
      <c r="G17" s="628" t="s">
        <v>476</v>
      </c>
      <c r="H17" s="629" t="s">
        <v>477</v>
      </c>
      <c r="I17" s="627" t="s">
        <v>480</v>
      </c>
    </row>
    <row r="18" spans="1:9" hidden="1">
      <c r="A18" s="151" t="s">
        <v>72</v>
      </c>
      <c r="B18" s="116"/>
      <c r="C18" s="116"/>
      <c r="D18" s="116">
        <f t="shared" ref="D18:D33" si="0">SUM(B18:C18)</f>
        <v>0</v>
      </c>
      <c r="E18" s="141">
        <f t="shared" ref="E18:E33" si="1">D18/$D$34</f>
        <v>0</v>
      </c>
      <c r="G18" s="18"/>
      <c r="I18" s="635"/>
    </row>
    <row r="19" spans="1:9" hidden="1">
      <c r="A19" s="151" t="s">
        <v>61</v>
      </c>
      <c r="B19" s="116"/>
      <c r="C19" s="116"/>
      <c r="D19" s="116">
        <f t="shared" si="0"/>
        <v>0</v>
      </c>
      <c r="E19" s="141">
        <f t="shared" si="1"/>
        <v>0</v>
      </c>
      <c r="G19" s="18"/>
    </row>
    <row r="20" spans="1:9" hidden="1">
      <c r="A20" s="151" t="s">
        <v>73</v>
      </c>
      <c r="B20" s="116"/>
      <c r="C20" s="116"/>
      <c r="D20" s="116">
        <f t="shared" si="0"/>
        <v>0</v>
      </c>
      <c r="E20" s="141">
        <f t="shared" si="1"/>
        <v>0</v>
      </c>
      <c r="G20" s="18"/>
    </row>
    <row r="21" spans="1:9" hidden="1">
      <c r="A21" s="151" t="s">
        <v>60</v>
      </c>
      <c r="B21" s="116"/>
      <c r="C21" s="116"/>
      <c r="D21" s="116">
        <f t="shared" si="0"/>
        <v>0</v>
      </c>
      <c r="E21" s="141">
        <f t="shared" si="1"/>
        <v>0</v>
      </c>
      <c r="G21" s="18"/>
    </row>
    <row r="22" spans="1:9" hidden="1">
      <c r="A22" s="151" t="s">
        <v>555</v>
      </c>
      <c r="B22" s="116"/>
      <c r="C22" s="116"/>
      <c r="D22" s="116">
        <f t="shared" si="0"/>
        <v>0</v>
      </c>
      <c r="E22" s="141">
        <f t="shared" si="1"/>
        <v>0</v>
      </c>
      <c r="G22" s="18"/>
    </row>
    <row r="23" spans="1:9" hidden="1">
      <c r="A23" s="151" t="s">
        <v>173</v>
      </c>
      <c r="B23" s="116"/>
      <c r="C23" s="116"/>
      <c r="D23" s="116">
        <f t="shared" si="0"/>
        <v>0</v>
      </c>
      <c r="E23" s="141">
        <f t="shared" si="1"/>
        <v>0</v>
      </c>
      <c r="G23" s="18"/>
    </row>
    <row r="24" spans="1:9" hidden="1">
      <c r="A24" s="151" t="s">
        <v>74</v>
      </c>
      <c r="B24" s="116"/>
      <c r="C24" s="116"/>
      <c r="D24" s="116">
        <f t="shared" si="0"/>
        <v>0</v>
      </c>
      <c r="E24" s="141">
        <f t="shared" si="1"/>
        <v>0</v>
      </c>
      <c r="G24" s="18"/>
    </row>
    <row r="25" spans="1:9" hidden="1">
      <c r="A25" s="151" t="s">
        <v>71</v>
      </c>
      <c r="B25" s="116"/>
      <c r="C25" s="116"/>
      <c r="D25" s="116">
        <f t="shared" si="0"/>
        <v>0</v>
      </c>
      <c r="E25" s="141">
        <f t="shared" si="1"/>
        <v>0</v>
      </c>
      <c r="G25" s="18"/>
    </row>
    <row r="26" spans="1:9">
      <c r="A26" s="151" t="s">
        <v>65</v>
      </c>
      <c r="B26" s="116">
        <v>0</v>
      </c>
      <c r="C26" s="642">
        <v>2048625</v>
      </c>
      <c r="D26" s="116">
        <f t="shared" si="0"/>
        <v>2048625</v>
      </c>
      <c r="E26" s="643">
        <f t="shared" si="1"/>
        <v>0.2151916790765043</v>
      </c>
      <c r="F26" s="18" t="s">
        <v>543</v>
      </c>
      <c r="G26" s="18"/>
      <c r="I26" s="635"/>
    </row>
    <row r="27" spans="1:9">
      <c r="A27" s="151" t="s">
        <v>229</v>
      </c>
      <c r="B27" s="116">
        <v>0</v>
      </c>
      <c r="C27" s="116">
        <f>3098417</f>
        <v>3098417</v>
      </c>
      <c r="D27" s="116">
        <f>SUM(B27:C27)</f>
        <v>3098417</v>
      </c>
      <c r="E27" s="643">
        <f t="shared" si="1"/>
        <v>0.32546393640084703</v>
      </c>
      <c r="F27" s="18" t="s">
        <v>543</v>
      </c>
      <c r="G27" s="18"/>
      <c r="I27" s="635"/>
    </row>
    <row r="28" spans="1:9" hidden="1">
      <c r="A28" s="151" t="s">
        <v>75</v>
      </c>
      <c r="B28" s="116">
        <v>0</v>
      </c>
      <c r="C28" s="116"/>
      <c r="D28" s="116">
        <f t="shared" si="0"/>
        <v>0</v>
      </c>
      <c r="E28" s="643">
        <f t="shared" si="1"/>
        <v>0</v>
      </c>
      <c r="F28" s="18" t="s">
        <v>543</v>
      </c>
      <c r="G28" s="18"/>
    </row>
    <row r="29" spans="1:9">
      <c r="A29" s="151" t="s">
        <v>59</v>
      </c>
      <c r="B29" s="116">
        <v>0</v>
      </c>
      <c r="C29" s="116">
        <v>2897892</v>
      </c>
      <c r="D29" s="116">
        <f t="shared" si="0"/>
        <v>2897892</v>
      </c>
      <c r="E29" s="643">
        <f t="shared" si="1"/>
        <v>0.30440038819323656</v>
      </c>
      <c r="F29" s="18" t="s">
        <v>543</v>
      </c>
      <c r="G29" s="18"/>
      <c r="I29" s="635"/>
    </row>
    <row r="30" spans="1:9">
      <c r="A30" s="151" t="s">
        <v>64</v>
      </c>
      <c r="B30" s="116">
        <v>0</v>
      </c>
      <c r="C30" s="116">
        <v>1475066</v>
      </c>
      <c r="D30" s="116">
        <f t="shared" si="0"/>
        <v>1475066</v>
      </c>
      <c r="E30" s="643">
        <f t="shared" si="1"/>
        <v>0.15494389128740638</v>
      </c>
      <c r="F30" s="18" t="s">
        <v>543</v>
      </c>
      <c r="G30" s="18"/>
    </row>
    <row r="31" spans="1:9" hidden="1">
      <c r="A31" s="151" t="s">
        <v>68</v>
      </c>
      <c r="B31" s="116"/>
      <c r="C31" s="116"/>
      <c r="D31" s="116">
        <f>SUM(B31:C31)+1</f>
        <v>1</v>
      </c>
      <c r="E31" s="141">
        <f t="shared" si="1"/>
        <v>1.0504200577289856E-7</v>
      </c>
      <c r="F31" s="581"/>
      <c r="G31" s="18"/>
      <c r="I31" s="635"/>
    </row>
    <row r="32" spans="1:9" hidden="1">
      <c r="A32" s="151" t="s">
        <v>67</v>
      </c>
      <c r="B32" s="116"/>
      <c r="C32" s="116"/>
      <c r="D32" s="116">
        <f t="shared" si="0"/>
        <v>0</v>
      </c>
      <c r="E32" s="141">
        <f t="shared" si="1"/>
        <v>0</v>
      </c>
      <c r="F32" s="581"/>
      <c r="G32" s="18"/>
    </row>
    <row r="33" spans="1:10" hidden="1">
      <c r="A33" s="151" t="s">
        <v>63</v>
      </c>
      <c r="B33" s="116"/>
      <c r="C33" s="116"/>
      <c r="D33" s="116">
        <f t="shared" si="0"/>
        <v>0</v>
      </c>
      <c r="E33" s="141">
        <f t="shared" si="1"/>
        <v>0</v>
      </c>
      <c r="F33" s="581"/>
      <c r="G33" s="18"/>
    </row>
    <row r="34" spans="1:10" s="1" customFormat="1">
      <c r="A34" s="119" t="s">
        <v>29</v>
      </c>
      <c r="B34" s="117">
        <f t="shared" ref="B34:G34" si="2">SUM(B18:B33)</f>
        <v>0</v>
      </c>
      <c r="C34" s="117">
        <f t="shared" si="2"/>
        <v>9520000</v>
      </c>
      <c r="D34" s="117">
        <f t="shared" si="2"/>
        <v>9520001</v>
      </c>
      <c r="E34" s="120">
        <f t="shared" si="2"/>
        <v>1</v>
      </c>
      <c r="F34" s="630">
        <f t="shared" si="2"/>
        <v>0</v>
      </c>
      <c r="G34" s="10">
        <f t="shared" si="2"/>
        <v>0</v>
      </c>
      <c r="I34" s="636">
        <f>SUM(I18:I33)</f>
        <v>0</v>
      </c>
    </row>
    <row r="36" spans="1:10">
      <c r="A36" s="404" t="s">
        <v>533</v>
      </c>
      <c r="C36" s="580" t="s">
        <v>534</v>
      </c>
      <c r="D36" s="487">
        <v>0</v>
      </c>
      <c r="F36" s="18">
        <f>D36</f>
        <v>0</v>
      </c>
      <c r="G36" s="12">
        <f>F36</f>
        <v>0</v>
      </c>
      <c r="I36" s="635">
        <f>'17. OPI 19-59'!G36</f>
        <v>0</v>
      </c>
      <c r="J36" t="s">
        <v>481</v>
      </c>
    </row>
    <row r="37" spans="1:10">
      <c r="A37" t="s">
        <v>220</v>
      </c>
      <c r="C37" s="580" t="s">
        <v>432</v>
      </c>
      <c r="D37" s="18">
        <f>SUM(D34:D36)</f>
        <v>9520001</v>
      </c>
      <c r="F37" s="18">
        <f>SUM(F34:F36)</f>
        <v>0</v>
      </c>
      <c r="G37" s="12">
        <f>D37+F34</f>
        <v>9520001</v>
      </c>
    </row>
    <row r="38" spans="1:10">
      <c r="G38" s="12">
        <f>D37+F34</f>
        <v>9520001</v>
      </c>
    </row>
  </sheetData>
  <pageMargins left="0.75" right="0.75" top="1.5" bottom="0.5" header="0.25" footer="0.5"/>
  <pageSetup scale="69" orientation="landscape" r:id="rId1"/>
  <headerFooter alignWithMargins="0">
    <oddHeader xml:space="preserve">&amp;L&amp;G&amp;C&amp;"Arial Black,Bold"&amp;14
AAA 2025-2027 FUNDING ALLOCATION
</oddHeader>
    <oddFooter>&amp;R&amp;"Century Gothic,Regular"Page &amp;P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00B0F0"/>
    <pageSetUpPr fitToPage="1"/>
  </sheetPr>
  <dimension ref="A1:AB69"/>
  <sheetViews>
    <sheetView showGridLines="0" topLeftCell="B1" zoomScale="115" zoomScaleNormal="115" zoomScaleSheetLayoutView="75" workbookViewId="0">
      <pane xSplit="3" ySplit="3" topLeftCell="E4" activePane="bottomRight" state="frozen"/>
      <selection activeCell="J34" sqref="J34"/>
      <selection pane="topRight" activeCell="J34" sqref="J34"/>
      <selection pane="bottomLeft" activeCell="J34" sqref="J34"/>
      <selection pane="bottomRight" activeCell="J34" sqref="J34"/>
    </sheetView>
  </sheetViews>
  <sheetFormatPr defaultColWidth="9.140625" defaultRowHeight="15.75"/>
  <cols>
    <col min="1" max="1" width="10.7109375" style="40" hidden="1" customWidth="1" collapsed="1"/>
    <col min="2" max="2" width="11.42578125" style="35" bestFit="1" customWidth="1" collapsed="1"/>
    <col min="3" max="3" width="10.7109375" style="40" hidden="1" customWidth="1" collapsed="1"/>
    <col min="4" max="4" width="14" style="40" customWidth="1" collapsed="1"/>
    <col min="5" max="8" width="10.7109375" style="40" customWidth="1" collapsed="1"/>
    <col min="9" max="10" width="9.85546875" style="40" bestFit="1" customWidth="1" collapsed="1"/>
    <col min="11" max="11" width="12.28515625" style="40" bestFit="1" customWidth="1" collapsed="1"/>
    <col min="12" max="13" width="10.7109375" style="40" customWidth="1" collapsed="1"/>
    <col min="14" max="14" width="17.28515625" style="40" bestFit="1" customWidth="1" collapsed="1"/>
    <col min="15" max="15" width="12.42578125" style="40" bestFit="1" customWidth="1" collapsed="1"/>
    <col min="16" max="16" width="13.140625" style="40" customWidth="1" collapsed="1"/>
    <col min="17" max="17" width="10.7109375" style="40" customWidth="1" collapsed="1"/>
    <col min="18" max="18" width="9.5703125" style="40" bestFit="1" customWidth="1" collapsed="1"/>
    <col min="19" max="16384" width="9.140625" style="40" collapsed="1"/>
  </cols>
  <sheetData>
    <row r="1" spans="1:18" s="290" customFormat="1" ht="52.5" customHeight="1">
      <c r="B1" s="291"/>
      <c r="J1" s="292" t="s">
        <v>81</v>
      </c>
      <c r="K1" s="292" t="s">
        <v>199</v>
      </c>
      <c r="L1" s="292" t="s">
        <v>200</v>
      </c>
      <c r="M1" s="538" t="s">
        <v>197</v>
      </c>
      <c r="N1" s="538" t="s">
        <v>202</v>
      </c>
      <c r="O1" s="292" t="s">
        <v>201</v>
      </c>
      <c r="P1" s="292" t="s">
        <v>82</v>
      </c>
      <c r="Q1" s="292" t="s">
        <v>399</v>
      </c>
      <c r="R1" s="292" t="s">
        <v>223</v>
      </c>
    </row>
    <row r="2" spans="1:18" ht="12.75" customHeight="1">
      <c r="A2" s="812" t="s">
        <v>83</v>
      </c>
      <c r="B2" s="293"/>
      <c r="C2" s="294"/>
      <c r="D2" s="295"/>
      <c r="E2" s="810" t="s">
        <v>84</v>
      </c>
      <c r="F2" s="810" t="s">
        <v>85</v>
      </c>
      <c r="G2" s="810" t="s">
        <v>86</v>
      </c>
      <c r="H2" s="810" t="s">
        <v>87</v>
      </c>
      <c r="I2" s="810" t="s">
        <v>88</v>
      </c>
      <c r="J2" s="810" t="s">
        <v>89</v>
      </c>
      <c r="K2" s="810" t="s">
        <v>90</v>
      </c>
      <c r="L2" s="810" t="s">
        <v>91</v>
      </c>
      <c r="M2" s="810" t="s">
        <v>151</v>
      </c>
      <c r="N2" s="810" t="s">
        <v>419</v>
      </c>
      <c r="O2" s="810" t="s">
        <v>167</v>
      </c>
      <c r="P2" s="810" t="s">
        <v>418</v>
      </c>
      <c r="Q2" s="810" t="s">
        <v>398</v>
      </c>
      <c r="R2" s="539"/>
    </row>
    <row r="3" spans="1:18" s="297" customFormat="1" ht="49.5" customHeight="1">
      <c r="A3" s="813"/>
      <c r="B3" s="296" t="s">
        <v>58</v>
      </c>
      <c r="C3" s="296" t="s">
        <v>92</v>
      </c>
      <c r="D3" s="296" t="s">
        <v>93</v>
      </c>
      <c r="E3" s="811"/>
      <c r="F3" s="811"/>
      <c r="G3" s="811"/>
      <c r="H3" s="811"/>
      <c r="I3" s="811"/>
      <c r="J3" s="811"/>
      <c r="K3" s="811"/>
      <c r="L3" s="811"/>
      <c r="M3" s="811"/>
      <c r="N3" s="811"/>
      <c r="O3" s="811"/>
      <c r="P3" s="811"/>
      <c r="Q3" s="811"/>
      <c r="R3" s="540" t="s">
        <v>224</v>
      </c>
    </row>
    <row r="4" spans="1:18">
      <c r="A4" s="298">
        <v>1</v>
      </c>
      <c r="B4" s="675" t="s">
        <v>59</v>
      </c>
      <c r="C4" s="682" t="s">
        <v>94</v>
      </c>
      <c r="D4" s="675" t="s">
        <v>95</v>
      </c>
      <c r="E4" s="679">
        <v>2696.5119912025752</v>
      </c>
      <c r="F4" s="679">
        <v>3003.0603830333503</v>
      </c>
      <c r="G4" s="679">
        <v>2473.4947360790302</v>
      </c>
      <c r="H4" s="679">
        <v>1646.8271903446694</v>
      </c>
      <c r="I4" s="679">
        <v>985.31346898496929</v>
      </c>
      <c r="J4" s="679">
        <v>1081.0145651403589</v>
      </c>
      <c r="K4" s="683">
        <f>SUM(E4:J4)</f>
        <v>11886.222334784952</v>
      </c>
      <c r="L4" s="684">
        <f>SUM(H4:J4)</f>
        <v>3713.1552244699978</v>
      </c>
      <c r="M4" s="684">
        <v>556</v>
      </c>
      <c r="N4" s="684">
        <v>595</v>
      </c>
      <c r="O4" s="684">
        <f>SUM(K4:N4)</f>
        <v>16750.37755925495</v>
      </c>
      <c r="P4" s="684">
        <f>SUM(G4:J4)+M4+N4</f>
        <v>7337.649960549028</v>
      </c>
      <c r="Q4" s="684">
        <v>829.05</v>
      </c>
      <c r="R4" s="684">
        <f>SUM(L4:N4)</f>
        <v>4864.1552244699978</v>
      </c>
    </row>
    <row r="5" spans="1:18">
      <c r="A5" s="298">
        <v>1</v>
      </c>
      <c r="B5" s="675" t="s">
        <v>59</v>
      </c>
      <c r="C5" s="682" t="s">
        <v>94</v>
      </c>
      <c r="D5" s="675" t="s">
        <v>96</v>
      </c>
      <c r="E5" s="679">
        <v>20026.261463124112</v>
      </c>
      <c r="F5" s="679">
        <v>17433.146023706395</v>
      </c>
      <c r="G5" s="679">
        <v>14989.824053008022</v>
      </c>
      <c r="H5" s="679">
        <v>11247.16702343605</v>
      </c>
      <c r="I5" s="679">
        <v>7415.4872725219466</v>
      </c>
      <c r="J5" s="679">
        <v>6654.277907894867</v>
      </c>
      <c r="K5" s="683">
        <f t="shared" ref="K5:K62" si="0">SUM(E5:J5)</f>
        <v>77766.163743691388</v>
      </c>
      <c r="L5" s="684">
        <f t="shared" ref="L5:L62" si="1">SUM(H5:J5)</f>
        <v>25316.932203852863</v>
      </c>
      <c r="M5" s="684">
        <v>6682</v>
      </c>
      <c r="N5" s="684">
        <v>3667</v>
      </c>
      <c r="O5" s="684">
        <f t="shared" ref="O5:O62" si="2">SUM(K5:N5)</f>
        <v>113432.09594754425</v>
      </c>
      <c r="P5" s="684">
        <f t="shared" ref="P5:P62" si="3">SUM(G5:J5)+M5+N5</f>
        <v>50655.756256860885</v>
      </c>
      <c r="Q5" s="684">
        <v>1182.33</v>
      </c>
      <c r="R5" s="684">
        <f>SUM(L5:N5)</f>
        <v>35665.932203852863</v>
      </c>
    </row>
    <row r="6" spans="1:18">
      <c r="A6" s="298">
        <v>1</v>
      </c>
      <c r="B6" s="675" t="s">
        <v>59</v>
      </c>
      <c r="C6" s="682" t="s">
        <v>94</v>
      </c>
      <c r="D6" s="675" t="s">
        <v>97</v>
      </c>
      <c r="E6" s="679">
        <v>4751.3414097352588</v>
      </c>
      <c r="F6" s="679">
        <v>4686.0147956175551</v>
      </c>
      <c r="G6" s="679">
        <v>4117.8000580731059</v>
      </c>
      <c r="H6" s="679">
        <v>3151.2492522805769</v>
      </c>
      <c r="I6" s="679">
        <v>2039.5004416511965</v>
      </c>
      <c r="J6" s="679">
        <v>1747.8633793433605</v>
      </c>
      <c r="K6" s="683">
        <f t="shared" si="0"/>
        <v>20493.769336701058</v>
      </c>
      <c r="L6" s="684">
        <f t="shared" si="1"/>
        <v>6938.6130732751335</v>
      </c>
      <c r="M6" s="684">
        <v>1291</v>
      </c>
      <c r="N6" s="684">
        <v>983</v>
      </c>
      <c r="O6" s="684">
        <f t="shared" si="2"/>
        <v>29706.382409976191</v>
      </c>
      <c r="P6" s="684">
        <f t="shared" si="3"/>
        <v>13330.413131348239</v>
      </c>
      <c r="Q6" s="684">
        <v>740.79</v>
      </c>
      <c r="R6" s="684">
        <f>SUM(L6:N6)</f>
        <v>9212.6130732751335</v>
      </c>
    </row>
    <row r="7" spans="1:18" s="393" customFormat="1">
      <c r="A7" s="674">
        <v>1</v>
      </c>
      <c r="B7" s="675" t="s">
        <v>59</v>
      </c>
      <c r="C7" s="682" t="s">
        <v>94</v>
      </c>
      <c r="D7" s="675" t="s">
        <v>98</v>
      </c>
      <c r="E7" s="679">
        <v>2415.4564927713109</v>
      </c>
      <c r="F7" s="679">
        <v>2453.2134432359571</v>
      </c>
      <c r="G7" s="679">
        <v>1929.8484844256666</v>
      </c>
      <c r="H7" s="679">
        <v>1262.3087152631683</v>
      </c>
      <c r="I7" s="679">
        <v>782.26787646591436</v>
      </c>
      <c r="J7" s="679">
        <v>656.19133045675255</v>
      </c>
      <c r="K7" s="683">
        <f t="shared" si="0"/>
        <v>9499.2863426187705</v>
      </c>
      <c r="L7" s="684">
        <f t="shared" si="1"/>
        <v>2700.7679221858352</v>
      </c>
      <c r="M7" s="684">
        <v>396</v>
      </c>
      <c r="N7" s="684">
        <v>320</v>
      </c>
      <c r="O7" s="684">
        <f>SUM(K7:N7)</f>
        <v>12916.054264804607</v>
      </c>
      <c r="P7" s="684">
        <f>SUM(G7:J7)+M7+N7</f>
        <v>5346.6164066115025</v>
      </c>
      <c r="Q7" s="684">
        <v>1102.58</v>
      </c>
      <c r="R7" s="684">
        <f>SUM(L7:N7)</f>
        <v>3416.7679221858352</v>
      </c>
    </row>
    <row r="8" spans="1:18" s="393" customFormat="1">
      <c r="A8" s="674">
        <v>1</v>
      </c>
      <c r="B8" s="675" t="s">
        <v>59</v>
      </c>
      <c r="C8" s="682" t="s">
        <v>94</v>
      </c>
      <c r="D8" s="675" t="s">
        <v>99</v>
      </c>
      <c r="E8" s="679">
        <v>7186.938213329493</v>
      </c>
      <c r="F8" s="679">
        <v>6498.7409689237174</v>
      </c>
      <c r="G8" s="679">
        <v>4977.3801983002068</v>
      </c>
      <c r="H8" s="679">
        <v>3539.0453876628817</v>
      </c>
      <c r="I8" s="679">
        <v>2211.8670350057964</v>
      </c>
      <c r="J8" s="679">
        <v>2603.4713561797994</v>
      </c>
      <c r="K8" s="683">
        <f>SUM(E8:J8)</f>
        <v>27017.44315940189</v>
      </c>
      <c r="L8" s="684">
        <f t="shared" si="1"/>
        <v>8354.383778848478</v>
      </c>
      <c r="M8" s="684">
        <v>1706</v>
      </c>
      <c r="N8" s="684">
        <v>1277</v>
      </c>
      <c r="O8" s="684">
        <f t="shared" si="2"/>
        <v>38354.826938250364</v>
      </c>
      <c r="P8" s="684">
        <f t="shared" si="3"/>
        <v>16314.763977148685</v>
      </c>
      <c r="Q8" s="684">
        <v>715.86</v>
      </c>
      <c r="R8" s="684">
        <f>SUM(L8:N8)</f>
        <v>11337.383778848478</v>
      </c>
    </row>
    <row r="9" spans="1:18" s="393" customFormat="1">
      <c r="A9" s="674"/>
      <c r="B9" s="680"/>
      <c r="C9" s="712"/>
      <c r="D9" s="680" t="s">
        <v>100</v>
      </c>
      <c r="E9" s="680">
        <f>SUM(E4:E8)</f>
        <v>37076.509570162751</v>
      </c>
      <c r="F9" s="680">
        <f t="shared" ref="F9:Q9" si="4">SUM(F4:F8)</f>
        <v>34074.175614516978</v>
      </c>
      <c r="G9" s="680">
        <f t="shared" si="4"/>
        <v>28488.347529886036</v>
      </c>
      <c r="H9" s="680">
        <f t="shared" si="4"/>
        <v>20846.597568987345</v>
      </c>
      <c r="I9" s="680">
        <f t="shared" si="4"/>
        <v>13434.436094629822</v>
      </c>
      <c r="J9" s="680">
        <f t="shared" si="4"/>
        <v>12742.818539015139</v>
      </c>
      <c r="K9" s="688">
        <f>SUM(E9:J9)</f>
        <v>146662.88491719804</v>
      </c>
      <c r="L9" s="680">
        <f t="shared" si="4"/>
        <v>47023.852202632304</v>
      </c>
      <c r="M9" s="680">
        <f t="shared" si="4"/>
        <v>10631</v>
      </c>
      <c r="N9" s="680">
        <f t="shared" si="4"/>
        <v>6842</v>
      </c>
      <c r="O9" s="680">
        <f t="shared" si="4"/>
        <v>211159.73711983036</v>
      </c>
      <c r="P9" s="680">
        <f t="shared" si="4"/>
        <v>92985.199732518333</v>
      </c>
      <c r="Q9" s="680">
        <f t="shared" si="4"/>
        <v>4570.6099999999997</v>
      </c>
      <c r="R9" s="680">
        <f>SUM(R4:R8)</f>
        <v>64496.852202632304</v>
      </c>
    </row>
    <row r="10" spans="1:18" s="393" customFormat="1">
      <c r="A10" s="394"/>
      <c r="B10" s="681"/>
      <c r="C10" s="713"/>
      <c r="D10" s="713"/>
      <c r="E10" s="676"/>
      <c r="F10" s="676"/>
      <c r="G10" s="676"/>
      <c r="H10" s="676"/>
      <c r="I10" s="676"/>
      <c r="J10" s="676"/>
      <c r="K10" s="677"/>
      <c r="L10" s="676"/>
      <c r="M10" s="676"/>
      <c r="N10" s="676"/>
      <c r="O10" s="676"/>
      <c r="P10" s="676"/>
      <c r="Q10" s="676"/>
      <c r="R10" s="678"/>
    </row>
    <row r="11" spans="1:18" s="393" customFormat="1">
      <c r="A11" s="394">
        <v>2</v>
      </c>
      <c r="B11" s="684" t="s">
        <v>60</v>
      </c>
      <c r="C11" s="689" t="s">
        <v>101</v>
      </c>
      <c r="D11" s="690" t="s">
        <v>102</v>
      </c>
      <c r="E11" s="679">
        <v>36802.343632137228</v>
      </c>
      <c r="F11" s="679">
        <v>32244.984666250104</v>
      </c>
      <c r="G11" s="679">
        <v>23267.239145281252</v>
      </c>
      <c r="H11" s="679">
        <v>13236.000132818237</v>
      </c>
      <c r="I11" s="679">
        <v>7727.7317155502469</v>
      </c>
      <c r="J11" s="679">
        <v>7367.489611060224</v>
      </c>
      <c r="K11" s="683">
        <f>SUM(E11:J11)</f>
        <v>120645.7889030973</v>
      </c>
      <c r="L11" s="684">
        <f t="shared" si="1"/>
        <v>28331.221459428707</v>
      </c>
      <c r="M11" s="684">
        <v>6230</v>
      </c>
      <c r="N11" s="684">
        <v>4967</v>
      </c>
      <c r="O11" s="684">
        <f t="shared" si="2"/>
        <v>160174.01036252599</v>
      </c>
      <c r="P11" s="684">
        <f t="shared" si="3"/>
        <v>62795.460604709951</v>
      </c>
      <c r="Q11" s="690">
        <v>1870.32</v>
      </c>
      <c r="R11" s="684">
        <f>SUM(L11:N11)</f>
        <v>39528.221459428707</v>
      </c>
    </row>
    <row r="12" spans="1:18" s="393" customFormat="1">
      <c r="A12" s="394"/>
      <c r="B12" s="684"/>
      <c r="C12" s="689"/>
      <c r="D12" s="690"/>
      <c r="E12" s="679"/>
      <c r="F12" s="679"/>
      <c r="G12" s="679"/>
      <c r="H12" s="679"/>
      <c r="I12" s="679"/>
      <c r="J12" s="679"/>
      <c r="K12" s="683"/>
      <c r="L12" s="684"/>
      <c r="M12" s="684"/>
      <c r="N12" s="684"/>
      <c r="O12" s="684"/>
      <c r="P12" s="684"/>
      <c r="Q12" s="690"/>
      <c r="R12" s="684"/>
    </row>
    <row r="13" spans="1:18" s="393" customFormat="1">
      <c r="A13" s="674">
        <v>2</v>
      </c>
      <c r="B13" s="675" t="s">
        <v>61</v>
      </c>
      <c r="C13" s="682" t="s">
        <v>103</v>
      </c>
      <c r="D13" s="680" t="s">
        <v>104</v>
      </c>
      <c r="E13" s="691">
        <v>4295.3608841018759</v>
      </c>
      <c r="F13" s="691">
        <v>3714.4232744431079</v>
      </c>
      <c r="G13" s="691">
        <v>2919.7342432595478</v>
      </c>
      <c r="H13" s="691">
        <v>1906.0537018107921</v>
      </c>
      <c r="I13" s="691">
        <v>1050.92149187006</v>
      </c>
      <c r="J13" s="691">
        <v>1054.8098081891353</v>
      </c>
      <c r="K13" s="688">
        <f t="shared" si="0"/>
        <v>14941.303403674519</v>
      </c>
      <c r="L13" s="675">
        <f>SUM(H13:J13)</f>
        <v>4011.7850018699874</v>
      </c>
      <c r="M13" s="675">
        <v>585</v>
      </c>
      <c r="N13" s="675">
        <v>484</v>
      </c>
      <c r="O13" s="675">
        <f>SUM(K13:N13)</f>
        <v>20022.088405544506</v>
      </c>
      <c r="P13" s="675">
        <f t="shared" si="3"/>
        <v>8000.5192451295352</v>
      </c>
      <c r="Q13" s="675">
        <v>657.36</v>
      </c>
      <c r="R13" s="675">
        <f t="shared" ref="R13:R21" si="5">SUM(L13:N13)</f>
        <v>5080.7850018699874</v>
      </c>
    </row>
    <row r="14" spans="1:18" s="393" customFormat="1">
      <c r="A14" s="394"/>
      <c r="B14" s="684"/>
      <c r="C14" s="689"/>
      <c r="D14" s="690"/>
      <c r="E14" s="679"/>
      <c r="F14" s="679"/>
      <c r="G14" s="679"/>
      <c r="H14" s="679"/>
      <c r="I14" s="679"/>
      <c r="J14" s="679"/>
      <c r="K14" s="683"/>
      <c r="L14" s="684"/>
      <c r="M14" s="684"/>
      <c r="N14" s="684"/>
      <c r="O14" s="684"/>
      <c r="P14" s="684"/>
      <c r="Q14" s="684"/>
      <c r="R14" s="684"/>
    </row>
    <row r="15" spans="1:18" s="393" customFormat="1">
      <c r="A15" s="394">
        <v>2</v>
      </c>
      <c r="B15" s="684" t="s">
        <v>556</v>
      </c>
      <c r="C15" s="689" t="s">
        <v>105</v>
      </c>
      <c r="D15" s="690" t="s">
        <v>106</v>
      </c>
      <c r="E15" s="679">
        <v>45326.650466161445</v>
      </c>
      <c r="F15" s="679">
        <v>40687.621506030453</v>
      </c>
      <c r="G15" s="679">
        <v>30794.861607768275</v>
      </c>
      <c r="H15" s="679">
        <v>18729.77773106116</v>
      </c>
      <c r="I15" s="679">
        <v>11146.714949516318</v>
      </c>
      <c r="J15" s="679">
        <v>11739.62427180369</v>
      </c>
      <c r="K15" s="683">
        <f t="shared" si="0"/>
        <v>158425.25053234134</v>
      </c>
      <c r="L15" s="684">
        <f t="shared" si="1"/>
        <v>41616.11695238117</v>
      </c>
      <c r="M15" s="684">
        <v>19387</v>
      </c>
      <c r="N15" s="684">
        <v>10076</v>
      </c>
      <c r="O15" s="684">
        <f t="shared" si="2"/>
        <v>229504.36748472252</v>
      </c>
      <c r="P15" s="684">
        <f t="shared" si="3"/>
        <v>101873.97856014945</v>
      </c>
      <c r="Q15" s="684">
        <v>431.3</v>
      </c>
      <c r="R15" s="684">
        <f t="shared" si="5"/>
        <v>71079.11695238117</v>
      </c>
    </row>
    <row r="16" spans="1:18" s="393" customFormat="1">
      <c r="A16" s="394"/>
      <c r="B16" s="684"/>
      <c r="C16" s="689"/>
      <c r="D16" s="690"/>
      <c r="E16" s="679"/>
      <c r="F16" s="679"/>
      <c r="G16" s="679"/>
      <c r="H16" s="679"/>
      <c r="I16" s="679"/>
      <c r="J16" s="679"/>
      <c r="K16" s="683"/>
      <c r="L16" s="684"/>
      <c r="M16" s="684"/>
      <c r="N16" s="684"/>
      <c r="O16" s="684"/>
      <c r="P16" s="684"/>
      <c r="Q16" s="684"/>
      <c r="R16" s="684"/>
    </row>
    <row r="17" spans="1:18" s="393" customFormat="1">
      <c r="A17" s="674">
        <v>2</v>
      </c>
      <c r="B17" s="675" t="s">
        <v>63</v>
      </c>
      <c r="C17" s="682" t="s">
        <v>107</v>
      </c>
      <c r="D17" s="680" t="s">
        <v>108</v>
      </c>
      <c r="E17" s="691">
        <v>35205.375118155745</v>
      </c>
      <c r="F17" s="691">
        <v>29127.246302377374</v>
      </c>
      <c r="G17" s="691">
        <v>22688.7099832815</v>
      </c>
      <c r="H17" s="691">
        <v>14808.092802435585</v>
      </c>
      <c r="I17" s="691">
        <v>9523.1946694118342</v>
      </c>
      <c r="J17" s="691">
        <v>10556.221756102272</v>
      </c>
      <c r="K17" s="688">
        <f t="shared" si="0"/>
        <v>121908.84063176431</v>
      </c>
      <c r="L17" s="675">
        <f t="shared" si="1"/>
        <v>34887.509227949689</v>
      </c>
      <c r="M17" s="675">
        <v>13277</v>
      </c>
      <c r="N17" s="675">
        <v>4679</v>
      </c>
      <c r="O17" s="675">
        <f t="shared" si="2"/>
        <v>174752.34985971398</v>
      </c>
      <c r="P17" s="675">
        <f t="shared" si="3"/>
        <v>75532.21921123119</v>
      </c>
      <c r="Q17" s="675">
        <v>724.23</v>
      </c>
      <c r="R17" s="675">
        <f t="shared" si="5"/>
        <v>52843.509227949689</v>
      </c>
    </row>
    <row r="18" spans="1:18" s="393" customFormat="1">
      <c r="A18" s="394"/>
      <c r="B18" s="684"/>
      <c r="C18" s="689"/>
      <c r="D18" s="690"/>
      <c r="E18" s="679"/>
      <c r="F18" s="679"/>
      <c r="G18" s="679"/>
      <c r="H18" s="679"/>
      <c r="I18" s="679"/>
      <c r="J18" s="679"/>
      <c r="K18" s="683"/>
      <c r="L18" s="684"/>
      <c r="M18" s="684"/>
      <c r="N18" s="684"/>
      <c r="O18" s="684"/>
      <c r="P18" s="684"/>
      <c r="Q18" s="684"/>
      <c r="R18" s="684"/>
    </row>
    <row r="19" spans="1:18" s="393" customFormat="1">
      <c r="A19" s="394">
        <v>4</v>
      </c>
      <c r="B19" s="684" t="s">
        <v>64</v>
      </c>
      <c r="C19" s="689" t="s">
        <v>109</v>
      </c>
      <c r="D19" s="690" t="s">
        <v>110</v>
      </c>
      <c r="E19" s="679">
        <v>5341.0574072747868</v>
      </c>
      <c r="F19" s="679">
        <v>5618.0343413330265</v>
      </c>
      <c r="G19" s="679">
        <v>4634.9057671460105</v>
      </c>
      <c r="H19" s="679">
        <v>3165.6475913510903</v>
      </c>
      <c r="I19" s="679">
        <v>1940.0801400168673</v>
      </c>
      <c r="J19" s="679">
        <v>2119.3287946076789</v>
      </c>
      <c r="K19" s="683">
        <f>SUM(E19:J19)</f>
        <v>22819.054041729461</v>
      </c>
      <c r="L19" s="684">
        <f t="shared" si="1"/>
        <v>7225.0565259756368</v>
      </c>
      <c r="M19" s="684">
        <v>1122</v>
      </c>
      <c r="N19" s="684">
        <v>920</v>
      </c>
      <c r="O19" s="684">
        <f t="shared" si="2"/>
        <v>32086.110567705098</v>
      </c>
      <c r="P19" s="684">
        <f t="shared" si="3"/>
        <v>13901.962293121647</v>
      </c>
      <c r="Q19" s="684">
        <v>675.94</v>
      </c>
      <c r="R19" s="684">
        <f t="shared" si="5"/>
        <v>9267.0565259756368</v>
      </c>
    </row>
    <row r="20" spans="1:18" s="393" customFormat="1">
      <c r="A20" s="394">
        <v>4</v>
      </c>
      <c r="B20" s="684" t="s">
        <v>64</v>
      </c>
      <c r="C20" s="689" t="s">
        <v>109</v>
      </c>
      <c r="D20" s="690" t="s">
        <v>111</v>
      </c>
      <c r="E20" s="679">
        <v>4380.0024880336387</v>
      </c>
      <c r="F20" s="679">
        <v>4777.983277406518</v>
      </c>
      <c r="G20" s="679">
        <v>4150.9533515242274</v>
      </c>
      <c r="H20" s="679">
        <v>2788.1461067898035</v>
      </c>
      <c r="I20" s="679">
        <v>1573.889467450522</v>
      </c>
      <c r="J20" s="679">
        <v>1340.6626605354882</v>
      </c>
      <c r="K20" s="683">
        <f t="shared" si="0"/>
        <v>19011.637351740195</v>
      </c>
      <c r="L20" s="684">
        <f t="shared" si="1"/>
        <v>5702.698234775813</v>
      </c>
      <c r="M20" s="684">
        <v>1054</v>
      </c>
      <c r="N20" s="684">
        <v>906</v>
      </c>
      <c r="O20" s="684">
        <f t="shared" si="2"/>
        <v>26674.335586516008</v>
      </c>
      <c r="P20" s="684">
        <f t="shared" si="3"/>
        <v>11813.651586300042</v>
      </c>
      <c r="Q20" s="684">
        <v>979.77</v>
      </c>
      <c r="R20" s="684">
        <f t="shared" si="5"/>
        <v>7662.698234775813</v>
      </c>
    </row>
    <row r="21" spans="1:18" s="393" customFormat="1">
      <c r="A21" s="394">
        <v>4</v>
      </c>
      <c r="B21" s="684" t="s">
        <v>64</v>
      </c>
      <c r="C21" s="689" t="s">
        <v>109</v>
      </c>
      <c r="D21" s="690" t="s">
        <v>112</v>
      </c>
      <c r="E21" s="679">
        <v>8356.5492739838501</v>
      </c>
      <c r="F21" s="679">
        <v>7709.0572847944568</v>
      </c>
      <c r="G21" s="679">
        <v>6692.093350130719</v>
      </c>
      <c r="H21" s="679">
        <v>4806.6957016961787</v>
      </c>
      <c r="I21" s="679">
        <v>3181.6881408695344</v>
      </c>
      <c r="J21" s="679">
        <v>2689.2322526062794</v>
      </c>
      <c r="K21" s="683">
        <f t="shared" si="0"/>
        <v>33435.316004081018</v>
      </c>
      <c r="L21" s="684">
        <f t="shared" si="1"/>
        <v>10677.616095171992</v>
      </c>
      <c r="M21" s="684">
        <v>1605</v>
      </c>
      <c r="N21" s="684">
        <v>1648</v>
      </c>
      <c r="O21" s="684">
        <f t="shared" si="2"/>
        <v>47365.932099253012</v>
      </c>
      <c r="P21" s="684">
        <f t="shared" si="3"/>
        <v>20622.709445302709</v>
      </c>
      <c r="Q21" s="684">
        <v>2290.13</v>
      </c>
      <c r="R21" s="684">
        <f t="shared" si="5"/>
        <v>13930.616095171992</v>
      </c>
    </row>
    <row r="22" spans="1:18" s="393" customFormat="1">
      <c r="A22" s="394"/>
      <c r="B22" s="692"/>
      <c r="C22" s="693"/>
      <c r="D22" s="694" t="s">
        <v>100</v>
      </c>
      <c r="E22" s="690">
        <f t="shared" ref="E22:J22" si="6">SUM(E19:E21)</f>
        <v>18077.609169292278</v>
      </c>
      <c r="F22" s="690">
        <f t="shared" si="6"/>
        <v>18105.074903534001</v>
      </c>
      <c r="G22" s="690">
        <f t="shared" si="6"/>
        <v>15477.952468800957</v>
      </c>
      <c r="H22" s="690">
        <f t="shared" si="6"/>
        <v>10760.489399837072</v>
      </c>
      <c r="I22" s="690">
        <f t="shared" si="6"/>
        <v>6695.6577483369238</v>
      </c>
      <c r="J22" s="690">
        <f t="shared" si="6"/>
        <v>6149.2237077494465</v>
      </c>
      <c r="K22" s="690">
        <f t="shared" si="0"/>
        <v>75266.007397550668</v>
      </c>
      <c r="L22" s="690">
        <f>SUM(L19:L21)</f>
        <v>23605.370855923444</v>
      </c>
      <c r="M22" s="690">
        <f>SUM(M19:M21)</f>
        <v>3781</v>
      </c>
      <c r="N22" s="690">
        <f t="shared" ref="N22:O22" si="7">SUM(N19:N21)</f>
        <v>3474</v>
      </c>
      <c r="O22" s="690">
        <f t="shared" si="7"/>
        <v>106126.37825347412</v>
      </c>
      <c r="P22" s="690">
        <f>SUM(P19:P21)</f>
        <v>46338.323324724399</v>
      </c>
      <c r="Q22" s="690">
        <f>SUM(Q19:Q21)</f>
        <v>3945.84</v>
      </c>
      <c r="R22" s="690">
        <f>SUM(R19:R21)</f>
        <v>30860.370855923444</v>
      </c>
    </row>
    <row r="23" spans="1:18" s="393" customFormat="1">
      <c r="A23" s="394"/>
      <c r="B23" s="695"/>
      <c r="C23" s="696"/>
      <c r="D23" s="696"/>
      <c r="E23" s="690"/>
      <c r="F23" s="690"/>
      <c r="G23" s="690"/>
      <c r="H23" s="690"/>
      <c r="I23" s="690"/>
      <c r="J23" s="690"/>
      <c r="K23" s="683"/>
      <c r="L23" s="690"/>
      <c r="M23" s="690"/>
      <c r="N23" s="690"/>
      <c r="O23" s="690"/>
      <c r="P23" s="690"/>
      <c r="Q23" s="690"/>
      <c r="R23" s="684"/>
    </row>
    <row r="24" spans="1:18" s="393" customFormat="1">
      <c r="A24" s="674">
        <v>5</v>
      </c>
      <c r="B24" s="675" t="s">
        <v>65</v>
      </c>
      <c r="C24" s="682" t="s">
        <v>113</v>
      </c>
      <c r="D24" s="680" t="s">
        <v>113</v>
      </c>
      <c r="E24" s="691">
        <v>26080.555765763056</v>
      </c>
      <c r="F24" s="691">
        <v>26813.120163198975</v>
      </c>
      <c r="G24" s="691">
        <v>21530.769264768551</v>
      </c>
      <c r="H24" s="691">
        <v>13908.414288727923</v>
      </c>
      <c r="I24" s="691">
        <v>8914.0480805427451</v>
      </c>
      <c r="J24" s="691">
        <v>9417.7363920517491</v>
      </c>
      <c r="K24" s="688"/>
      <c r="L24" s="675">
        <f>SUM(H24:J24)</f>
        <v>32240.198761322416</v>
      </c>
      <c r="M24" s="675">
        <v>3228</v>
      </c>
      <c r="N24" s="675">
        <v>6036</v>
      </c>
      <c r="O24" s="675">
        <f t="shared" si="2"/>
        <v>41504.198761322419</v>
      </c>
      <c r="P24" s="675">
        <f t="shared" si="3"/>
        <v>63034.968026090966</v>
      </c>
      <c r="Q24" s="675">
        <v>4553.12</v>
      </c>
      <c r="R24" s="675">
        <f>SUM(L24:N24)</f>
        <v>41504.198761322419</v>
      </c>
    </row>
    <row r="25" spans="1:18" s="393" customFormat="1">
      <c r="A25" s="394"/>
      <c r="B25" s="684"/>
      <c r="C25" s="689"/>
      <c r="D25" s="690"/>
      <c r="E25" s="679"/>
      <c r="F25" s="679"/>
      <c r="G25" s="679"/>
      <c r="H25" s="679"/>
      <c r="I25" s="679"/>
      <c r="J25" s="679"/>
      <c r="K25" s="683"/>
      <c r="L25" s="684"/>
      <c r="M25" s="684"/>
      <c r="N25" s="684"/>
      <c r="O25" s="684"/>
      <c r="P25" s="684"/>
      <c r="Q25" s="684"/>
      <c r="R25" s="684"/>
    </row>
    <row r="26" spans="1:18" s="393" customFormat="1">
      <c r="A26" s="394">
        <v>6</v>
      </c>
      <c r="B26" s="684" t="s">
        <v>66</v>
      </c>
      <c r="C26" s="689" t="s">
        <v>114</v>
      </c>
      <c r="D26" s="690" t="s">
        <v>115</v>
      </c>
      <c r="E26" s="679">
        <v>8960.3767588823212</v>
      </c>
      <c r="F26" s="679">
        <v>9331.2725299225276</v>
      </c>
      <c r="G26" s="679">
        <v>8092.6742957485712</v>
      </c>
      <c r="H26" s="679">
        <v>6043.9698516325443</v>
      </c>
      <c r="I26" s="679">
        <v>4014.5441015233218</v>
      </c>
      <c r="J26" s="679">
        <v>3936.3035868458819</v>
      </c>
      <c r="K26" s="683">
        <f t="shared" si="0"/>
        <v>40379.141124555172</v>
      </c>
      <c r="L26" s="684">
        <f t="shared" si="1"/>
        <v>13994.81754000175</v>
      </c>
      <c r="M26" s="684">
        <v>1967</v>
      </c>
      <c r="N26" s="684">
        <v>2113</v>
      </c>
      <c r="O26" s="684">
        <f t="shared" si="2"/>
        <v>58453.958664556922</v>
      </c>
      <c r="P26" s="684">
        <f t="shared" si="3"/>
        <v>26167.491835750319</v>
      </c>
      <c r="Q26" s="684">
        <v>5036.08</v>
      </c>
      <c r="R26" s="684">
        <f>SUM(L26:N26)</f>
        <v>18074.81754000175</v>
      </c>
    </row>
    <row r="27" spans="1:18" s="393" customFormat="1">
      <c r="A27" s="394"/>
      <c r="B27" s="684"/>
      <c r="C27" s="689"/>
      <c r="D27" s="690"/>
      <c r="E27" s="679"/>
      <c r="F27" s="679"/>
      <c r="G27" s="679"/>
      <c r="H27" s="679"/>
      <c r="I27" s="679"/>
      <c r="J27" s="679"/>
      <c r="K27" s="683"/>
      <c r="L27" s="684"/>
      <c r="M27" s="684"/>
      <c r="N27" s="684"/>
      <c r="O27" s="684"/>
      <c r="P27" s="684"/>
      <c r="Q27" s="684"/>
      <c r="R27" s="684"/>
    </row>
    <row r="28" spans="1:18" s="393" customFormat="1">
      <c r="A28" s="674">
        <v>7</v>
      </c>
      <c r="B28" s="675" t="s">
        <v>67</v>
      </c>
      <c r="C28" s="682" t="s">
        <v>116</v>
      </c>
      <c r="D28" s="680" t="s">
        <v>116</v>
      </c>
      <c r="E28" s="679">
        <v>5114.8598104932898</v>
      </c>
      <c r="F28" s="679">
        <v>5371.3911091219452</v>
      </c>
      <c r="G28" s="679">
        <v>4557.0612025032115</v>
      </c>
      <c r="H28" s="679">
        <v>3363.9994621039914</v>
      </c>
      <c r="I28" s="679">
        <v>2175.8107179856215</v>
      </c>
      <c r="J28" s="679">
        <v>1858.4201415919458</v>
      </c>
      <c r="K28" s="683">
        <f>SUM(E28:J28)</f>
        <v>22441.542443800005</v>
      </c>
      <c r="L28" s="684">
        <f t="shared" si="1"/>
        <v>7398.230321681559</v>
      </c>
      <c r="M28" s="684">
        <v>1384</v>
      </c>
      <c r="N28" s="684">
        <v>1626</v>
      </c>
      <c r="O28" s="684">
        <f t="shared" si="2"/>
        <v>32849.772765481568</v>
      </c>
      <c r="P28" s="684">
        <f t="shared" si="3"/>
        <v>14965.29152418477</v>
      </c>
      <c r="Q28" s="684">
        <v>1596.17</v>
      </c>
      <c r="R28" s="684">
        <f>SUM(L28:N28)</f>
        <v>10408.23032168156</v>
      </c>
    </row>
    <row r="29" spans="1:18" s="393" customFormat="1">
      <c r="A29" s="674">
        <v>7</v>
      </c>
      <c r="B29" s="675" t="s">
        <v>67</v>
      </c>
      <c r="C29" s="682" t="s">
        <v>116</v>
      </c>
      <c r="D29" s="680" t="s">
        <v>117</v>
      </c>
      <c r="E29" s="679">
        <v>2358.3142561362342</v>
      </c>
      <c r="F29" s="679">
        <v>2667.8772355313713</v>
      </c>
      <c r="G29" s="679">
        <v>2192.5426838380458</v>
      </c>
      <c r="H29" s="679">
        <v>1503.978068425622</v>
      </c>
      <c r="I29" s="679">
        <v>914.17564975109474</v>
      </c>
      <c r="J29" s="679">
        <v>793.57640164444626</v>
      </c>
      <c r="K29" s="683">
        <f>SUM(E29:J29)</f>
        <v>10430.464295326814</v>
      </c>
      <c r="L29" s="684">
        <f t="shared" si="1"/>
        <v>3211.730119821163</v>
      </c>
      <c r="M29" s="684">
        <v>607</v>
      </c>
      <c r="N29" s="684">
        <v>651</v>
      </c>
      <c r="O29" s="684">
        <f t="shared" si="2"/>
        <v>14900.194415147977</v>
      </c>
      <c r="P29" s="684">
        <f t="shared" si="3"/>
        <v>6662.2728036592089</v>
      </c>
      <c r="Q29" s="684">
        <v>1627.46</v>
      </c>
      <c r="R29" s="684">
        <f>SUM(L29:N29)</f>
        <v>4469.7301198211626</v>
      </c>
    </row>
    <row r="30" spans="1:18" s="393" customFormat="1">
      <c r="A30" s="674"/>
      <c r="B30" s="685"/>
      <c r="C30" s="686"/>
      <c r="D30" s="687" t="s">
        <v>100</v>
      </c>
      <c r="E30" s="680">
        <f>SUM(E28:E29)</f>
        <v>7473.1740666295245</v>
      </c>
      <c r="F30" s="680">
        <f t="shared" ref="F30:Q30" si="8">SUM(F28:F29)</f>
        <v>8039.2683446533165</v>
      </c>
      <c r="G30" s="680">
        <f t="shared" si="8"/>
        <v>6749.6038863412577</v>
      </c>
      <c r="H30" s="680">
        <f t="shared" si="8"/>
        <v>4867.9775305296134</v>
      </c>
      <c r="I30" s="680">
        <f t="shared" si="8"/>
        <v>3089.9863677367161</v>
      </c>
      <c r="J30" s="680">
        <f t="shared" si="8"/>
        <v>2651.996543236392</v>
      </c>
      <c r="K30" s="680">
        <f>SUM(E30:J30)</f>
        <v>32872.006739126824</v>
      </c>
      <c r="L30" s="680">
        <f t="shared" si="8"/>
        <v>10609.960441502722</v>
      </c>
      <c r="M30" s="680">
        <f>SUM(M28:M29)</f>
        <v>1991</v>
      </c>
      <c r="N30" s="680">
        <f t="shared" si="8"/>
        <v>2277</v>
      </c>
      <c r="O30" s="680">
        <f t="shared" si="8"/>
        <v>47749.967180629545</v>
      </c>
      <c r="P30" s="680">
        <f t="shared" si="8"/>
        <v>21627.564327843978</v>
      </c>
      <c r="Q30" s="680">
        <f t="shared" si="8"/>
        <v>3223.63</v>
      </c>
      <c r="R30" s="680">
        <f>SUM(R28:R29)</f>
        <v>14877.960441502722</v>
      </c>
    </row>
    <row r="31" spans="1:18" s="393" customFormat="1">
      <c r="A31" s="394"/>
      <c r="B31" s="684"/>
      <c r="C31" s="689"/>
      <c r="D31" s="690"/>
      <c r="E31" s="690"/>
      <c r="F31" s="690"/>
      <c r="G31" s="690"/>
      <c r="H31" s="690"/>
      <c r="I31" s="690"/>
      <c r="J31" s="690"/>
      <c r="K31" s="683"/>
      <c r="L31" s="690"/>
      <c r="M31" s="690"/>
      <c r="N31" s="690"/>
      <c r="O31" s="690"/>
      <c r="P31" s="690"/>
      <c r="Q31" s="690"/>
      <c r="R31" s="684"/>
    </row>
    <row r="32" spans="1:18" s="393" customFormat="1">
      <c r="A32" s="394">
        <v>8</v>
      </c>
      <c r="B32" s="684" t="s">
        <v>68</v>
      </c>
      <c r="C32" s="689" t="s">
        <v>118</v>
      </c>
      <c r="D32" s="690" t="s">
        <v>119</v>
      </c>
      <c r="E32" s="679">
        <v>15851.582033022947</v>
      </c>
      <c r="F32" s="679">
        <v>16051.760375350161</v>
      </c>
      <c r="G32" s="679">
        <v>13162.018243849085</v>
      </c>
      <c r="H32" s="679">
        <v>9707.6805390110567</v>
      </c>
      <c r="I32" s="679">
        <v>6832.058968224108</v>
      </c>
      <c r="J32" s="679">
        <v>6878.7156944546432</v>
      </c>
      <c r="K32" s="683">
        <f t="shared" si="0"/>
        <v>68483.815853912005</v>
      </c>
      <c r="L32" s="684">
        <f t="shared" si="1"/>
        <v>23418.455201689809</v>
      </c>
      <c r="M32" s="684">
        <v>3716</v>
      </c>
      <c r="N32" s="684">
        <v>3899</v>
      </c>
      <c r="O32" s="684">
        <f t="shared" si="2"/>
        <v>99517.271055601814</v>
      </c>
      <c r="P32" s="684">
        <f t="shared" si="3"/>
        <v>44195.47344553889</v>
      </c>
      <c r="Q32" s="684">
        <v>2783.55</v>
      </c>
      <c r="R32" s="684">
        <f>SUM(L32:N32)</f>
        <v>31033.455201689809</v>
      </c>
    </row>
    <row r="33" spans="1:28" s="393" customFormat="1">
      <c r="A33" s="394">
        <v>8</v>
      </c>
      <c r="B33" s="684" t="s">
        <v>68</v>
      </c>
      <c r="C33" s="689" t="s">
        <v>118</v>
      </c>
      <c r="D33" s="690" t="s">
        <v>120</v>
      </c>
      <c r="E33" s="679">
        <v>7141.1371362057853</v>
      </c>
      <c r="F33" s="679">
        <v>7299.2244577679685</v>
      </c>
      <c r="G33" s="679">
        <v>6356.1484760383755</v>
      </c>
      <c r="H33" s="679">
        <v>4697.9650903543643</v>
      </c>
      <c r="I33" s="679">
        <v>3103.0490093624576</v>
      </c>
      <c r="J33" s="679">
        <v>3117.5464795510384</v>
      </c>
      <c r="K33" s="683">
        <f t="shared" si="0"/>
        <v>31715.070649279987</v>
      </c>
      <c r="L33" s="684">
        <f t="shared" si="1"/>
        <v>10918.56057926786</v>
      </c>
      <c r="M33" s="684">
        <v>1622</v>
      </c>
      <c r="N33" s="684">
        <v>2126</v>
      </c>
      <c r="O33" s="684">
        <f t="shared" si="2"/>
        <v>46381.631228547849</v>
      </c>
      <c r="P33" s="684">
        <f t="shared" si="3"/>
        <v>21022.709055306237</v>
      </c>
      <c r="Q33" s="684">
        <v>1639.67</v>
      </c>
      <c r="R33" s="684">
        <f>SUM(L33:N33)</f>
        <v>14666.56057926786</v>
      </c>
    </row>
    <row r="34" spans="1:28" s="393" customFormat="1">
      <c r="A34" s="394"/>
      <c r="B34" s="692"/>
      <c r="C34" s="693"/>
      <c r="D34" s="694" t="s">
        <v>100</v>
      </c>
      <c r="E34" s="697">
        <f t="shared" ref="E34:J34" si="9">SUM(E32:E33)</f>
        <v>22992.719169228731</v>
      </c>
      <c r="F34" s="697">
        <f t="shared" si="9"/>
        <v>23350.984833118127</v>
      </c>
      <c r="G34" s="697">
        <f t="shared" si="9"/>
        <v>19518.16671988746</v>
      </c>
      <c r="H34" s="697">
        <f t="shared" si="9"/>
        <v>14405.645629365421</v>
      </c>
      <c r="I34" s="697">
        <f t="shared" si="9"/>
        <v>9935.1079775865655</v>
      </c>
      <c r="J34" s="697">
        <f t="shared" si="9"/>
        <v>9996.262174005682</v>
      </c>
      <c r="K34" s="697">
        <f>SUM(E34:J34)</f>
        <v>100198.88650319198</v>
      </c>
      <c r="L34" s="697">
        <f t="shared" ref="L34:Q34" si="10">SUM(L32:L33)</f>
        <v>34337.01578095767</v>
      </c>
      <c r="M34" s="697">
        <f t="shared" si="10"/>
        <v>5338</v>
      </c>
      <c r="N34" s="697">
        <f t="shared" si="10"/>
        <v>6025</v>
      </c>
      <c r="O34" s="697">
        <f t="shared" si="10"/>
        <v>145898.90228414966</v>
      </c>
      <c r="P34" s="697">
        <f t="shared" si="10"/>
        <v>65218.182500845127</v>
      </c>
      <c r="Q34" s="697">
        <f t="shared" si="10"/>
        <v>4423.22</v>
      </c>
      <c r="R34" s="697">
        <f>SUM(R32:R33)</f>
        <v>45700.01578095767</v>
      </c>
    </row>
    <row r="35" spans="1:28" s="393" customFormat="1">
      <c r="A35" s="394"/>
      <c r="B35" s="695"/>
      <c r="C35" s="696"/>
      <c r="D35" s="696"/>
      <c r="E35" s="690"/>
      <c r="F35" s="690"/>
      <c r="G35" s="690"/>
      <c r="H35" s="690"/>
      <c r="I35" s="690"/>
      <c r="J35" s="690"/>
      <c r="K35" s="683"/>
      <c r="L35" s="690"/>
      <c r="M35" s="690"/>
      <c r="N35" s="690"/>
      <c r="O35" s="690"/>
      <c r="P35" s="690"/>
      <c r="Q35" s="690"/>
      <c r="R35" s="684"/>
    </row>
    <row r="36" spans="1:28">
      <c r="A36" s="39">
        <v>10</v>
      </c>
      <c r="B36" s="675" t="s">
        <v>555</v>
      </c>
      <c r="C36" s="675" t="s">
        <v>127</v>
      </c>
      <c r="D36" s="675" t="s">
        <v>128</v>
      </c>
      <c r="E36" s="679">
        <v>1977.9329148609888</v>
      </c>
      <c r="F36" s="679">
        <v>2204.8834458461552</v>
      </c>
      <c r="G36" s="679">
        <v>1806.5145243211346</v>
      </c>
      <c r="H36" s="679">
        <v>1296.9893980994414</v>
      </c>
      <c r="I36" s="679">
        <v>794.030836185765</v>
      </c>
      <c r="J36" s="679">
        <v>692.82558712516573</v>
      </c>
      <c r="K36" s="683">
        <f t="shared" si="0"/>
        <v>8773.1767064386495</v>
      </c>
      <c r="L36" s="684">
        <f t="shared" si="1"/>
        <v>2783.8458214103721</v>
      </c>
      <c r="M36" s="684">
        <v>337</v>
      </c>
      <c r="N36" s="684">
        <v>241</v>
      </c>
      <c r="O36" s="684">
        <f t="shared" si="2"/>
        <v>12135.022527849022</v>
      </c>
      <c r="P36" s="684">
        <f t="shared" si="3"/>
        <v>5168.3603457315066</v>
      </c>
      <c r="Q36" s="684">
        <v>2979.09</v>
      </c>
      <c r="R36" s="684">
        <f>SUM(L36:N36)</f>
        <v>3361.8458214103721</v>
      </c>
    </row>
    <row r="37" spans="1:28">
      <c r="A37" s="39">
        <v>10</v>
      </c>
      <c r="B37" s="675" t="s">
        <v>555</v>
      </c>
      <c r="C37" s="675" t="s">
        <v>127</v>
      </c>
      <c r="D37" s="675" t="s">
        <v>129</v>
      </c>
      <c r="E37" s="679">
        <v>13040.675051861443</v>
      </c>
      <c r="F37" s="679">
        <v>13096.340840324239</v>
      </c>
      <c r="G37" s="679">
        <v>10097.603712970735</v>
      </c>
      <c r="H37" s="679">
        <v>6856.9369057293006</v>
      </c>
      <c r="I37" s="679">
        <v>4360.0796855069675</v>
      </c>
      <c r="J37" s="679">
        <v>4277.7493526581002</v>
      </c>
      <c r="K37" s="683">
        <f t="shared" si="0"/>
        <v>51729.385549050792</v>
      </c>
      <c r="L37" s="684">
        <f t="shared" si="1"/>
        <v>15494.765943894368</v>
      </c>
      <c r="M37" s="684">
        <v>1913</v>
      </c>
      <c r="N37" s="684">
        <v>2450</v>
      </c>
      <c r="O37" s="684">
        <f t="shared" si="2"/>
        <v>71587.151492945166</v>
      </c>
      <c r="P37" s="684">
        <f t="shared" si="3"/>
        <v>29955.369656865099</v>
      </c>
      <c r="Q37" s="684">
        <v>3018.19</v>
      </c>
      <c r="R37" s="684">
        <f>SUM(L37:N37)</f>
        <v>19857.765943894367</v>
      </c>
    </row>
    <row r="38" spans="1:28">
      <c r="A38" s="39">
        <v>10</v>
      </c>
      <c r="B38" s="675" t="s">
        <v>555</v>
      </c>
      <c r="C38" s="675" t="s">
        <v>127</v>
      </c>
      <c r="D38" s="675" t="s">
        <v>130</v>
      </c>
      <c r="E38" s="679">
        <v>1812.2203444850229</v>
      </c>
      <c r="F38" s="679">
        <v>1705.1211278920755</v>
      </c>
      <c r="G38" s="679">
        <v>1368.350460023401</v>
      </c>
      <c r="H38" s="679">
        <v>875.53643514445821</v>
      </c>
      <c r="I38" s="679">
        <v>574.13784440539234</v>
      </c>
      <c r="J38" s="679">
        <v>390.39716827874707</v>
      </c>
      <c r="K38" s="683">
        <f t="shared" si="0"/>
        <v>6725.7633802290975</v>
      </c>
      <c r="L38" s="684">
        <f t="shared" si="1"/>
        <v>1840.0714478285977</v>
      </c>
      <c r="M38" s="684">
        <v>696</v>
      </c>
      <c r="N38" s="684">
        <v>297</v>
      </c>
      <c r="O38" s="684">
        <f t="shared" si="2"/>
        <v>9558.8348280576956</v>
      </c>
      <c r="P38" s="684">
        <f t="shared" si="3"/>
        <v>4201.4219078519982</v>
      </c>
      <c r="Q38" s="684">
        <v>1780.79</v>
      </c>
      <c r="R38" s="684">
        <f>SUM(L38:N38)</f>
        <v>2833.0714478285977</v>
      </c>
    </row>
    <row r="39" spans="1:28">
      <c r="A39" s="39"/>
      <c r="B39" s="685"/>
      <c r="C39" s="686"/>
      <c r="D39" s="687" t="s">
        <v>100</v>
      </c>
      <c r="E39" s="680">
        <f>SUM(E36:E38)</f>
        <v>16830.828311207453</v>
      </c>
      <c r="F39" s="680">
        <f t="shared" ref="F39:Q39" si="11">SUM(F36:F38)</f>
        <v>17006.345414062471</v>
      </c>
      <c r="G39" s="680">
        <f t="shared" si="11"/>
        <v>13272.468697315271</v>
      </c>
      <c r="H39" s="680">
        <f t="shared" si="11"/>
        <v>9029.4627389731995</v>
      </c>
      <c r="I39" s="680">
        <f t="shared" si="11"/>
        <v>5728.2483660981252</v>
      </c>
      <c r="J39" s="680">
        <f t="shared" si="11"/>
        <v>5360.9721080620129</v>
      </c>
      <c r="K39" s="680">
        <f t="shared" si="0"/>
        <v>67228.325635718531</v>
      </c>
      <c r="L39" s="680">
        <f t="shared" si="11"/>
        <v>20118.683213133339</v>
      </c>
      <c r="M39" s="680">
        <f t="shared" si="11"/>
        <v>2946</v>
      </c>
      <c r="N39" s="680">
        <f t="shared" si="11"/>
        <v>2988</v>
      </c>
      <c r="O39" s="680">
        <f t="shared" si="11"/>
        <v>93281.008848851881</v>
      </c>
      <c r="P39" s="680">
        <f t="shared" si="11"/>
        <v>39325.1519104486</v>
      </c>
      <c r="Q39" s="680">
        <f t="shared" si="11"/>
        <v>7778.0700000000006</v>
      </c>
      <c r="R39" s="680">
        <f>SUM(R36:R38)</f>
        <v>26052.683213133339</v>
      </c>
    </row>
    <row r="40" spans="1:28">
      <c r="A40" s="39"/>
      <c r="B40" s="698"/>
      <c r="C40" s="699"/>
      <c r="D40" s="700"/>
      <c r="E40" s="684"/>
      <c r="F40" s="684"/>
      <c r="G40" s="684"/>
      <c r="H40" s="684"/>
      <c r="I40" s="684"/>
      <c r="J40" s="701"/>
      <c r="K40" s="683"/>
      <c r="L40" s="684"/>
      <c r="M40" s="684"/>
      <c r="N40" s="684"/>
      <c r="O40" s="684"/>
      <c r="P40" s="684"/>
      <c r="Q40" s="684"/>
      <c r="R40" s="684"/>
    </row>
    <row r="41" spans="1:28">
      <c r="A41" s="298">
        <v>11</v>
      </c>
      <c r="B41" s="684" t="s">
        <v>71</v>
      </c>
      <c r="C41" s="684" t="s">
        <v>131</v>
      </c>
      <c r="D41" s="684" t="s">
        <v>132</v>
      </c>
      <c r="E41" s="679">
        <v>4999.2440548277918</v>
      </c>
      <c r="F41" s="679">
        <v>5151.8941647118845</v>
      </c>
      <c r="G41" s="679">
        <v>4267.3691570816245</v>
      </c>
      <c r="H41" s="679">
        <v>3054.8092346701446</v>
      </c>
      <c r="I41" s="679">
        <v>1906.965299825358</v>
      </c>
      <c r="J41" s="679">
        <v>1592.8880873098119</v>
      </c>
      <c r="K41" s="683">
        <f t="shared" si="0"/>
        <v>20973.169998426616</v>
      </c>
      <c r="L41" s="684">
        <f t="shared" si="1"/>
        <v>6554.6626218053152</v>
      </c>
      <c r="M41" s="684">
        <v>1542</v>
      </c>
      <c r="N41" s="684">
        <v>1368</v>
      </c>
      <c r="O41" s="684">
        <f t="shared" si="2"/>
        <v>30437.832620231929</v>
      </c>
      <c r="P41" s="684">
        <f t="shared" si="3"/>
        <v>13732.03177888694</v>
      </c>
      <c r="Q41" s="684">
        <v>5941.05</v>
      </c>
      <c r="R41" s="684">
        <f>SUM(L41:N41)</f>
        <v>9464.6626218053152</v>
      </c>
    </row>
    <row r="42" spans="1:28">
      <c r="A42" s="298">
        <v>11</v>
      </c>
      <c r="B42" s="684" t="s">
        <v>71</v>
      </c>
      <c r="C42" s="684" t="s">
        <v>131</v>
      </c>
      <c r="D42" s="684" t="s">
        <v>133</v>
      </c>
      <c r="E42" s="679">
        <v>703.81357981901579</v>
      </c>
      <c r="F42" s="679">
        <v>732.60083877664647</v>
      </c>
      <c r="G42" s="679">
        <v>564.0081162903889</v>
      </c>
      <c r="H42" s="679">
        <v>427.47855777989139</v>
      </c>
      <c r="I42" s="679">
        <v>250.70943502404845</v>
      </c>
      <c r="J42" s="679">
        <v>200.01691641974418</v>
      </c>
      <c r="K42" s="683">
        <f>SUM(E42:J42)</f>
        <v>2878.6274441097353</v>
      </c>
      <c r="L42" s="684">
        <f t="shared" si="1"/>
        <v>878.2049092236839</v>
      </c>
      <c r="M42" s="684">
        <v>142</v>
      </c>
      <c r="N42" s="684">
        <v>254</v>
      </c>
      <c r="O42" s="684">
        <f t="shared" si="2"/>
        <v>4152.8323533334187</v>
      </c>
      <c r="P42" s="684">
        <f t="shared" si="3"/>
        <v>1838.2130255140728</v>
      </c>
      <c r="Q42" s="684">
        <v>8138.98</v>
      </c>
      <c r="R42" s="684">
        <f>SUM(L42:N42)</f>
        <v>1274.2049092236839</v>
      </c>
      <c r="AB42" s="40">
        <v>0.3</v>
      </c>
    </row>
    <row r="43" spans="1:28">
      <c r="A43" s="298"/>
      <c r="B43" s="692"/>
      <c r="C43" s="693"/>
      <c r="D43" s="694" t="s">
        <v>100</v>
      </c>
      <c r="E43" s="697">
        <f>SUM(E41:E42)</f>
        <v>5703.0576346468079</v>
      </c>
      <c r="F43" s="697">
        <f t="shared" ref="F43:Q43" si="12">SUM(F41:F42)</f>
        <v>5884.4950034885314</v>
      </c>
      <c r="G43" s="697">
        <f t="shared" si="12"/>
        <v>4831.3772733720134</v>
      </c>
      <c r="H43" s="697">
        <f t="shared" si="12"/>
        <v>3482.2877924500362</v>
      </c>
      <c r="I43" s="697">
        <f t="shared" si="12"/>
        <v>2157.6747348494064</v>
      </c>
      <c r="J43" s="702">
        <f t="shared" si="12"/>
        <v>1792.905003729556</v>
      </c>
      <c r="K43" s="702">
        <f t="shared" si="0"/>
        <v>23851.79744253635</v>
      </c>
      <c r="L43" s="702">
        <f t="shared" si="12"/>
        <v>7432.8675310289991</v>
      </c>
      <c r="M43" s="702">
        <f t="shared" si="12"/>
        <v>1684</v>
      </c>
      <c r="N43" s="702">
        <f t="shared" si="12"/>
        <v>1622</v>
      </c>
      <c r="O43" s="702">
        <f t="shared" si="12"/>
        <v>34590.664973565348</v>
      </c>
      <c r="P43" s="702">
        <f t="shared" si="12"/>
        <v>15570.244804401013</v>
      </c>
      <c r="Q43" s="702">
        <f t="shared" si="12"/>
        <v>14080.029999999999</v>
      </c>
      <c r="R43" s="702">
        <f>SUM(R41:R42)</f>
        <v>10738.867531028998</v>
      </c>
    </row>
    <row r="44" spans="1:28">
      <c r="A44" s="39"/>
      <c r="B44" s="684"/>
      <c r="C44" s="689"/>
      <c r="D44" s="690"/>
      <c r="E44" s="690"/>
      <c r="F44" s="690"/>
      <c r="G44" s="690"/>
      <c r="H44" s="690"/>
      <c r="I44" s="690"/>
      <c r="J44" s="692"/>
      <c r="K44" s="683"/>
      <c r="L44" s="690"/>
      <c r="M44" s="690"/>
      <c r="N44" s="690"/>
      <c r="O44" s="690"/>
      <c r="P44" s="690"/>
      <c r="Q44" s="690"/>
      <c r="R44" s="684"/>
    </row>
    <row r="45" spans="1:28">
      <c r="A45" s="39">
        <v>12</v>
      </c>
      <c r="B45" s="675" t="s">
        <v>72</v>
      </c>
      <c r="C45" s="682" t="s">
        <v>134</v>
      </c>
      <c r="D45" s="680" t="s">
        <v>135</v>
      </c>
      <c r="E45" s="679">
        <v>900.67076872419409</v>
      </c>
      <c r="F45" s="679">
        <v>800.43109384399509</v>
      </c>
      <c r="G45" s="679">
        <v>614.39084839019642</v>
      </c>
      <c r="H45" s="679">
        <v>402.26262238754362</v>
      </c>
      <c r="I45" s="679">
        <v>243.90046184529996</v>
      </c>
      <c r="J45" s="679">
        <v>204.10940832004854</v>
      </c>
      <c r="K45" s="683">
        <f>SUM(E45:J45)</f>
        <v>3165.7652035112778</v>
      </c>
      <c r="L45" s="684">
        <f t="shared" si="1"/>
        <v>850.27249255289212</v>
      </c>
      <c r="M45" s="684">
        <v>326</v>
      </c>
      <c r="N45" s="684">
        <v>91</v>
      </c>
      <c r="O45" s="684">
        <f>SUM(K45:N45)</f>
        <v>4433.0376960641697</v>
      </c>
      <c r="P45" s="684">
        <f t="shared" si="3"/>
        <v>1881.6633409430885</v>
      </c>
      <c r="Q45" s="684">
        <v>2031.61</v>
      </c>
      <c r="R45" s="684">
        <f t="shared" ref="R45:R51" si="13">SUM(L45:N45)</f>
        <v>1267.2724925528921</v>
      </c>
    </row>
    <row r="46" spans="1:28">
      <c r="A46" s="39">
        <v>12</v>
      </c>
      <c r="B46" s="675" t="s">
        <v>72</v>
      </c>
      <c r="C46" s="682" t="s">
        <v>134</v>
      </c>
      <c r="D46" s="680" t="s">
        <v>136</v>
      </c>
      <c r="E46" s="679">
        <v>5027.2733349538375</v>
      </c>
      <c r="F46" s="679">
        <v>4544.9533114646456</v>
      </c>
      <c r="G46" s="679">
        <v>3376.7942073714967</v>
      </c>
      <c r="H46" s="679">
        <v>2272.9153945206008</v>
      </c>
      <c r="I46" s="679">
        <v>1504.466478549775</v>
      </c>
      <c r="J46" s="679">
        <v>1416.7474386731137</v>
      </c>
      <c r="K46" s="683">
        <f t="shared" si="0"/>
        <v>18143.150165533465</v>
      </c>
      <c r="L46" s="684">
        <f t="shared" si="1"/>
        <v>5194.1293117434898</v>
      </c>
      <c r="M46" s="684">
        <v>1623</v>
      </c>
      <c r="N46" s="684">
        <v>1202</v>
      </c>
      <c r="O46" s="684">
        <f t="shared" si="2"/>
        <v>26162.279477276956</v>
      </c>
      <c r="P46" s="684">
        <f t="shared" si="3"/>
        <v>11395.923519114986</v>
      </c>
      <c r="Q46" s="684">
        <v>3215.51</v>
      </c>
      <c r="R46" s="684">
        <f t="shared" si="13"/>
        <v>8019.1293117434898</v>
      </c>
    </row>
    <row r="47" spans="1:28">
      <c r="A47" s="298">
        <v>9</v>
      </c>
      <c r="B47" s="675" t="s">
        <v>72</v>
      </c>
      <c r="C47" s="682" t="s">
        <v>121</v>
      </c>
      <c r="D47" s="680" t="s">
        <v>122</v>
      </c>
      <c r="E47" s="679">
        <v>217.44804302751902</v>
      </c>
      <c r="F47" s="679">
        <v>206.31332495925864</v>
      </c>
      <c r="G47" s="679">
        <v>152.56783337307314</v>
      </c>
      <c r="H47" s="679">
        <v>101.92575989993452</v>
      </c>
      <c r="I47" s="679">
        <v>66.674037003946452</v>
      </c>
      <c r="J47" s="679">
        <v>81.606274351716479</v>
      </c>
      <c r="K47" s="683">
        <f t="shared" ref="K47:K52" si="14">SUM(E47:J47)</f>
        <v>826.53527261544821</v>
      </c>
      <c r="L47" s="684">
        <f>SUM(H47:J47)</f>
        <v>250.20607125559746</v>
      </c>
      <c r="M47" s="684">
        <v>34</v>
      </c>
      <c r="N47" s="684">
        <v>29</v>
      </c>
      <c r="O47" s="684">
        <f>SUM(K47:N47)</f>
        <v>1139.7413438710457</v>
      </c>
      <c r="P47" s="684">
        <f>SUM(G47:J47)+M47+N47</f>
        <v>465.77390462867061</v>
      </c>
      <c r="Q47" s="684">
        <v>1204.81</v>
      </c>
      <c r="R47" s="684">
        <f t="shared" si="13"/>
        <v>313.20607125559746</v>
      </c>
    </row>
    <row r="48" spans="1:28">
      <c r="A48" s="298">
        <v>9</v>
      </c>
      <c r="B48" s="675" t="s">
        <v>72</v>
      </c>
      <c r="C48" s="682" t="s">
        <v>121</v>
      </c>
      <c r="D48" s="680" t="s">
        <v>123</v>
      </c>
      <c r="E48" s="679">
        <v>1747.6983737430312</v>
      </c>
      <c r="F48" s="679">
        <v>1465.3140813572104</v>
      </c>
      <c r="G48" s="679">
        <v>996.06266209808746</v>
      </c>
      <c r="H48" s="679">
        <v>695.36592803564281</v>
      </c>
      <c r="I48" s="679">
        <v>430.06332335954073</v>
      </c>
      <c r="J48" s="679">
        <v>563.41462735475932</v>
      </c>
      <c r="K48" s="683">
        <f t="shared" si="14"/>
        <v>5897.9189959482728</v>
      </c>
      <c r="L48" s="684">
        <f>SUM(H48:J48)</f>
        <v>1688.8438787499431</v>
      </c>
      <c r="M48" s="684">
        <v>570</v>
      </c>
      <c r="N48" s="684">
        <v>163</v>
      </c>
      <c r="O48" s="684">
        <f>SUM(K48:N48)</f>
        <v>8319.7628746982155</v>
      </c>
      <c r="P48" s="684">
        <f>SUM(G48:J48)+M48+N48</f>
        <v>3417.9065408480305</v>
      </c>
      <c r="Q48" s="684">
        <v>521.95000000000005</v>
      </c>
      <c r="R48" s="684">
        <f t="shared" si="13"/>
        <v>2421.8438787499431</v>
      </c>
    </row>
    <row r="49" spans="1:18">
      <c r="A49" s="298">
        <v>9</v>
      </c>
      <c r="B49" s="675" t="s">
        <v>72</v>
      </c>
      <c r="C49" s="682" t="s">
        <v>121</v>
      </c>
      <c r="D49" s="680" t="s">
        <v>124</v>
      </c>
      <c r="E49" s="679">
        <v>168.42499025912539</v>
      </c>
      <c r="F49" s="679">
        <v>148.92935180539433</v>
      </c>
      <c r="G49" s="679">
        <v>136.25057233859508</v>
      </c>
      <c r="H49" s="679">
        <v>102.9141641011159</v>
      </c>
      <c r="I49" s="679">
        <v>55.535686907041423</v>
      </c>
      <c r="J49" s="679">
        <v>50.280864139209626</v>
      </c>
      <c r="K49" s="683">
        <f t="shared" si="14"/>
        <v>662.33562955048171</v>
      </c>
      <c r="L49" s="684">
        <f>SUM(H49:J49)</f>
        <v>208.73071514736696</v>
      </c>
      <c r="M49" s="684">
        <v>30</v>
      </c>
      <c r="N49" s="684">
        <v>17</v>
      </c>
      <c r="O49" s="684">
        <f>SUM(K49:N49)</f>
        <v>918.06634469784865</v>
      </c>
      <c r="P49" s="684">
        <f>SUM(G49:J49)+M49+N49</f>
        <v>391.98128748596196</v>
      </c>
      <c r="Q49" s="684">
        <v>823.69</v>
      </c>
      <c r="R49" s="684">
        <f t="shared" si="13"/>
        <v>255.73071514736696</v>
      </c>
    </row>
    <row r="50" spans="1:18">
      <c r="A50" s="298">
        <v>9</v>
      </c>
      <c r="B50" s="675" t="s">
        <v>72</v>
      </c>
      <c r="C50" s="682" t="s">
        <v>121</v>
      </c>
      <c r="D50" s="680" t="s">
        <v>125</v>
      </c>
      <c r="E50" s="679">
        <v>2045.5139594129405</v>
      </c>
      <c r="F50" s="679">
        <v>1946.2122571948435</v>
      </c>
      <c r="G50" s="679">
        <v>1618.5158460279997</v>
      </c>
      <c r="H50" s="679">
        <v>1078.1917671770793</v>
      </c>
      <c r="I50" s="679">
        <v>688.88813048994291</v>
      </c>
      <c r="J50" s="679">
        <v>814.80176332553935</v>
      </c>
      <c r="K50" s="683">
        <f t="shared" si="14"/>
        <v>8192.123723628345</v>
      </c>
      <c r="L50" s="684">
        <f>SUM(H50:J50)</f>
        <v>2581.8816609925616</v>
      </c>
      <c r="M50" s="684">
        <v>526</v>
      </c>
      <c r="N50" s="684">
        <v>297</v>
      </c>
      <c r="O50" s="684">
        <f>SUM(K50:N50)</f>
        <v>11597.005384620907</v>
      </c>
      <c r="P50" s="684">
        <f>SUM(G50:J50)+M50+N50</f>
        <v>5023.3975070205606</v>
      </c>
      <c r="Q50" s="684">
        <v>2381.52</v>
      </c>
      <c r="R50" s="684">
        <f t="shared" si="13"/>
        <v>3404.8816609925616</v>
      </c>
    </row>
    <row r="51" spans="1:18">
      <c r="A51" s="298">
        <v>9</v>
      </c>
      <c r="B51" s="675" t="s">
        <v>72</v>
      </c>
      <c r="C51" s="682" t="s">
        <v>121</v>
      </c>
      <c r="D51" s="680" t="s">
        <v>126</v>
      </c>
      <c r="E51" s="679">
        <v>123.06951567057271</v>
      </c>
      <c r="F51" s="679">
        <v>141.39034010263401</v>
      </c>
      <c r="G51" s="679">
        <v>110.6284515269147</v>
      </c>
      <c r="H51" s="679">
        <v>114.64554046621545</v>
      </c>
      <c r="I51" s="679">
        <v>66.72924216567111</v>
      </c>
      <c r="J51" s="679">
        <v>55.908982315245041</v>
      </c>
      <c r="K51" s="683">
        <f t="shared" si="14"/>
        <v>612.37207224725296</v>
      </c>
      <c r="L51" s="684">
        <f>SUM(H51:J51)</f>
        <v>237.2837649471316</v>
      </c>
      <c r="M51" s="684">
        <v>29</v>
      </c>
      <c r="N51" s="684">
        <v>71</v>
      </c>
      <c r="O51" s="684">
        <f>SUM(K51:N51)</f>
        <v>949.6558371943845</v>
      </c>
      <c r="P51" s="684">
        <f>SUM(G51:J51)+M51+N51</f>
        <v>447.91221647404632</v>
      </c>
      <c r="Q51" s="684">
        <v>1714.75</v>
      </c>
      <c r="R51" s="684">
        <f t="shared" si="13"/>
        <v>337.2837649471316</v>
      </c>
    </row>
    <row r="52" spans="1:18">
      <c r="A52" s="298"/>
      <c r="B52" s="685"/>
      <c r="C52" s="686"/>
      <c r="D52" s="687" t="s">
        <v>100</v>
      </c>
      <c r="E52" s="687">
        <f>SUM(E45:E51)</f>
        <v>10230.098985791221</v>
      </c>
      <c r="F52" s="687">
        <f t="shared" ref="F52:J52" si="15">SUM(F45:F51)</f>
        <v>9253.5437607279819</v>
      </c>
      <c r="G52" s="680">
        <f t="shared" si="15"/>
        <v>7005.2104211263631</v>
      </c>
      <c r="H52" s="680">
        <f t="shared" si="15"/>
        <v>4768.2211765881329</v>
      </c>
      <c r="I52" s="680">
        <f t="shared" si="15"/>
        <v>3056.2573603212177</v>
      </c>
      <c r="J52" s="680">
        <f t="shared" si="15"/>
        <v>3186.8693584796324</v>
      </c>
      <c r="K52" s="680">
        <f t="shared" si="14"/>
        <v>37500.201063034554</v>
      </c>
      <c r="L52" s="680">
        <f t="shared" ref="L52:R52" si="16">SUM(L45:L51)</f>
        <v>11011.347895388983</v>
      </c>
      <c r="M52" s="680">
        <f>SUM(M45:M51)</f>
        <v>3138</v>
      </c>
      <c r="N52" s="680">
        <f t="shared" si="16"/>
        <v>1870</v>
      </c>
      <c r="O52" s="680">
        <f t="shared" si="16"/>
        <v>53519.548958423526</v>
      </c>
      <c r="P52" s="680">
        <f t="shared" si="16"/>
        <v>23024.558316515348</v>
      </c>
      <c r="Q52" s="680">
        <f t="shared" si="16"/>
        <v>11893.84</v>
      </c>
      <c r="R52" s="680">
        <f t="shared" si="16"/>
        <v>16019.347895388983</v>
      </c>
    </row>
    <row r="53" spans="1:18">
      <c r="A53" s="39"/>
      <c r="B53" s="698"/>
      <c r="C53" s="699"/>
      <c r="D53" s="700"/>
      <c r="E53" s="690"/>
      <c r="F53" s="690"/>
      <c r="G53" s="690"/>
      <c r="H53" s="690"/>
      <c r="I53" s="690"/>
      <c r="J53" s="692"/>
      <c r="K53" s="683"/>
      <c r="L53" s="690"/>
      <c r="M53" s="690"/>
      <c r="N53" s="690"/>
      <c r="O53" s="690"/>
      <c r="P53" s="690"/>
      <c r="Q53" s="690"/>
      <c r="R53" s="684"/>
    </row>
    <row r="54" spans="1:18">
      <c r="A54" s="298">
        <v>13</v>
      </c>
      <c r="B54" s="684" t="s">
        <v>73</v>
      </c>
      <c r="C54" s="689" t="s">
        <v>137</v>
      </c>
      <c r="D54" s="690" t="s">
        <v>138</v>
      </c>
      <c r="E54" s="679">
        <v>1526.6766299172427</v>
      </c>
      <c r="F54" s="679">
        <v>1555.508110050017</v>
      </c>
      <c r="G54" s="679">
        <v>1270.8644495338986</v>
      </c>
      <c r="H54" s="679">
        <v>920.74702928861961</v>
      </c>
      <c r="I54" s="679">
        <v>591.45922320116301</v>
      </c>
      <c r="J54" s="679">
        <v>514.5471977631546</v>
      </c>
      <c r="K54" s="683">
        <f>SUM(E54:J54)</f>
        <v>6379.8026397540943</v>
      </c>
      <c r="L54" s="684">
        <f>SUM(H54:J54)</f>
        <v>2026.7534502529372</v>
      </c>
      <c r="M54" s="684">
        <v>223</v>
      </c>
      <c r="N54" s="684">
        <v>223</v>
      </c>
      <c r="O54" s="684">
        <f>SUM(K54:N54)</f>
        <v>8852.5560900070323</v>
      </c>
      <c r="P54" s="684">
        <f t="shared" si="3"/>
        <v>3743.617899786836</v>
      </c>
      <c r="Q54" s="684">
        <v>3068.36</v>
      </c>
      <c r="R54" s="684">
        <f>SUM(L54:N54)</f>
        <v>2472.753450252937</v>
      </c>
    </row>
    <row r="55" spans="1:18">
      <c r="A55" s="298">
        <v>13</v>
      </c>
      <c r="B55" s="684" t="s">
        <v>73</v>
      </c>
      <c r="C55" s="689" t="s">
        <v>139</v>
      </c>
      <c r="D55" s="690" t="s">
        <v>139</v>
      </c>
      <c r="E55" s="679">
        <v>730.1366125117695</v>
      </c>
      <c r="F55" s="679">
        <v>811.65671458198767</v>
      </c>
      <c r="G55" s="679">
        <v>658.5494976123216</v>
      </c>
      <c r="H55" s="679">
        <v>511.06209202186824</v>
      </c>
      <c r="I55" s="679">
        <v>322.90890954838426</v>
      </c>
      <c r="J55" s="679">
        <v>309.13092675630764</v>
      </c>
      <c r="K55" s="683">
        <f t="shared" si="0"/>
        <v>3343.4447530326388</v>
      </c>
      <c r="L55" s="684">
        <f t="shared" si="1"/>
        <v>1143.10192832656</v>
      </c>
      <c r="M55" s="684">
        <v>126</v>
      </c>
      <c r="N55" s="684">
        <v>325</v>
      </c>
      <c r="O55" s="684">
        <f t="shared" si="2"/>
        <v>4937.5466813591993</v>
      </c>
      <c r="P55" s="684">
        <f t="shared" si="3"/>
        <v>2252.6514259388814</v>
      </c>
      <c r="Q55" s="684">
        <v>4528.54</v>
      </c>
      <c r="R55" s="684">
        <f>SUM(L55:N55)</f>
        <v>1594.10192832656</v>
      </c>
    </row>
    <row r="56" spans="1:18">
      <c r="A56" s="298">
        <v>13</v>
      </c>
      <c r="B56" s="684" t="s">
        <v>73</v>
      </c>
      <c r="C56" s="689" t="s">
        <v>137</v>
      </c>
      <c r="D56" s="690" t="s">
        <v>140</v>
      </c>
      <c r="E56" s="679">
        <v>1896.6057126438404</v>
      </c>
      <c r="F56" s="679">
        <v>1971.4962605599167</v>
      </c>
      <c r="G56" s="679">
        <v>1532.9848089217037</v>
      </c>
      <c r="H56" s="679">
        <v>1040.3227298857553</v>
      </c>
      <c r="I56" s="679">
        <v>699.53070680755764</v>
      </c>
      <c r="J56" s="679">
        <v>793.48288263254722</v>
      </c>
      <c r="K56" s="683">
        <f t="shared" si="0"/>
        <v>7934.4231014513216</v>
      </c>
      <c r="L56" s="684">
        <f t="shared" si="1"/>
        <v>2533.3363193258601</v>
      </c>
      <c r="M56" s="684">
        <v>256</v>
      </c>
      <c r="N56" s="684">
        <v>301</v>
      </c>
      <c r="O56" s="684">
        <f t="shared" si="2"/>
        <v>11024.759420777182</v>
      </c>
      <c r="P56" s="684">
        <f t="shared" si="3"/>
        <v>4623.321128247564</v>
      </c>
      <c r="Q56" s="684">
        <v>2036.61</v>
      </c>
      <c r="R56" s="684">
        <f>SUM(L56:N56)</f>
        <v>3090.3363193258601</v>
      </c>
    </row>
    <row r="57" spans="1:18">
      <c r="A57" s="298">
        <v>13</v>
      </c>
      <c r="B57" s="703" t="s">
        <v>73</v>
      </c>
      <c r="C57" s="704" t="s">
        <v>137</v>
      </c>
      <c r="D57" s="705" t="s">
        <v>141</v>
      </c>
      <c r="E57" s="679">
        <v>664.57340214935562</v>
      </c>
      <c r="F57" s="679">
        <v>763.65573214052142</v>
      </c>
      <c r="G57" s="679">
        <v>577.56615910213304</v>
      </c>
      <c r="H57" s="679">
        <v>390.64358222474152</v>
      </c>
      <c r="I57" s="679">
        <v>271.37669984626575</v>
      </c>
      <c r="J57" s="679">
        <v>294.2658000903167</v>
      </c>
      <c r="K57" s="683">
        <f t="shared" si="0"/>
        <v>2962.0813755533341</v>
      </c>
      <c r="L57" s="684">
        <f t="shared" si="1"/>
        <v>956.28608216132398</v>
      </c>
      <c r="M57" s="684">
        <v>85</v>
      </c>
      <c r="N57" s="684">
        <v>169</v>
      </c>
      <c r="O57" s="684">
        <f t="shared" si="2"/>
        <v>4172.3674577146576</v>
      </c>
      <c r="P57" s="684">
        <f t="shared" si="3"/>
        <v>1787.852241263457</v>
      </c>
      <c r="Q57" s="684">
        <v>3146.19</v>
      </c>
      <c r="R57" s="684">
        <f>SUM(L57:N57)</f>
        <v>1210.286082161324</v>
      </c>
    </row>
    <row r="58" spans="1:18">
      <c r="A58" s="298"/>
      <c r="B58" s="692"/>
      <c r="C58" s="693"/>
      <c r="D58" s="694" t="s">
        <v>100</v>
      </c>
      <c r="E58" s="694">
        <f>SUM(E54:E57)</f>
        <v>4817.9923572222087</v>
      </c>
      <c r="F58" s="690">
        <f t="shared" ref="F58:Q58" si="17">SUM(F54:F57)</f>
        <v>5102.316817332443</v>
      </c>
      <c r="G58" s="690">
        <f t="shared" si="17"/>
        <v>4039.9649151700569</v>
      </c>
      <c r="H58" s="690">
        <f t="shared" si="17"/>
        <v>2862.7754334209849</v>
      </c>
      <c r="I58" s="690">
        <f t="shared" si="17"/>
        <v>1885.2755394033707</v>
      </c>
      <c r="J58" s="692">
        <f t="shared" si="17"/>
        <v>1911.426807242326</v>
      </c>
      <c r="K58" s="692">
        <f t="shared" si="0"/>
        <v>20619.751869791391</v>
      </c>
      <c r="L58" s="692">
        <f t="shared" si="17"/>
        <v>6659.4777800666816</v>
      </c>
      <c r="M58" s="692">
        <f t="shared" si="17"/>
        <v>690</v>
      </c>
      <c r="N58" s="692">
        <f t="shared" si="17"/>
        <v>1018</v>
      </c>
      <c r="O58" s="692">
        <f t="shared" si="17"/>
        <v>28987.229649858069</v>
      </c>
      <c r="P58" s="692">
        <f t="shared" si="17"/>
        <v>12407.442695236739</v>
      </c>
      <c r="Q58" s="692">
        <f t="shared" si="17"/>
        <v>12779.7</v>
      </c>
      <c r="R58" s="692">
        <f>SUM(R54:R57)</f>
        <v>8367.4777800666816</v>
      </c>
    </row>
    <row r="59" spans="1:18">
      <c r="A59" s="39"/>
      <c r="B59" s="706"/>
      <c r="C59" s="707"/>
      <c r="D59" s="708"/>
      <c r="E59" s="690"/>
      <c r="F59" s="690"/>
      <c r="G59" s="690"/>
      <c r="H59" s="690"/>
      <c r="I59" s="690"/>
      <c r="J59" s="692"/>
      <c r="K59" s="709"/>
      <c r="L59" s="690"/>
      <c r="M59" s="690"/>
      <c r="N59" s="690"/>
      <c r="O59" s="690"/>
      <c r="P59" s="690"/>
      <c r="Q59" s="690"/>
      <c r="R59" s="684"/>
    </row>
    <row r="60" spans="1:18">
      <c r="A60" s="39">
        <v>14</v>
      </c>
      <c r="B60" s="675" t="s">
        <v>74</v>
      </c>
      <c r="C60" s="682" t="s">
        <v>142</v>
      </c>
      <c r="D60" s="680" t="s">
        <v>143</v>
      </c>
      <c r="E60" s="691">
        <v>615.19876924259938</v>
      </c>
      <c r="F60" s="691">
        <v>633.49656228169397</v>
      </c>
      <c r="G60" s="691">
        <v>484.99364596356622</v>
      </c>
      <c r="H60" s="691">
        <v>360.54885603637854</v>
      </c>
      <c r="I60" s="691">
        <v>229.84997615667507</v>
      </c>
      <c r="J60" s="691">
        <v>214.66068111557496</v>
      </c>
      <c r="K60" s="710">
        <f t="shared" si="0"/>
        <v>2538.7484907964881</v>
      </c>
      <c r="L60" s="675">
        <f t="shared" si="1"/>
        <v>805.05951330862854</v>
      </c>
      <c r="M60" s="675">
        <v>154</v>
      </c>
      <c r="N60" s="675">
        <v>92</v>
      </c>
      <c r="O60" s="675">
        <f t="shared" si="2"/>
        <v>3589.8080041051167</v>
      </c>
      <c r="P60" s="675">
        <f t="shared" si="3"/>
        <v>1536.0531592721948</v>
      </c>
      <c r="Q60" s="675">
        <v>10133.17</v>
      </c>
      <c r="R60" s="675">
        <f>SUM(L60:N60)</f>
        <v>1051.0595133086285</v>
      </c>
    </row>
    <row r="61" spans="1:18">
      <c r="A61" s="39"/>
      <c r="B61" s="684"/>
      <c r="C61" s="689"/>
      <c r="D61" s="690"/>
      <c r="E61" s="711"/>
      <c r="F61" s="711"/>
      <c r="G61" s="711"/>
      <c r="H61" s="711"/>
      <c r="I61" s="711"/>
      <c r="J61" s="711"/>
      <c r="K61" s="709"/>
      <c r="L61" s="684"/>
      <c r="M61" s="684"/>
      <c r="N61" s="684"/>
      <c r="O61" s="684"/>
      <c r="P61" s="684"/>
      <c r="Q61" s="684"/>
      <c r="R61" s="684"/>
    </row>
    <row r="62" spans="1:18">
      <c r="A62" s="298">
        <v>14</v>
      </c>
      <c r="B62" s="684" t="s">
        <v>75</v>
      </c>
      <c r="C62" s="689" t="s">
        <v>144</v>
      </c>
      <c r="D62" s="690" t="s">
        <v>145</v>
      </c>
      <c r="E62" s="679">
        <v>1923.8629533764556</v>
      </c>
      <c r="F62" s="679">
        <v>1913.7225096721281</v>
      </c>
      <c r="G62" s="679">
        <v>1558.8195591926758</v>
      </c>
      <c r="H62" s="679">
        <v>1116.0090117021859</v>
      </c>
      <c r="I62" s="679">
        <v>690.54887665687784</v>
      </c>
      <c r="J62" s="679">
        <v>774.38072991797173</v>
      </c>
      <c r="K62" s="683">
        <f t="shared" si="0"/>
        <v>7977.3436405182947</v>
      </c>
      <c r="L62" s="684">
        <f t="shared" si="1"/>
        <v>2580.9386182770354</v>
      </c>
      <c r="M62" s="684">
        <v>965</v>
      </c>
      <c r="N62" s="684">
        <v>558</v>
      </c>
      <c r="O62" s="684">
        <f t="shared" si="2"/>
        <v>12081.282258795331</v>
      </c>
      <c r="P62" s="684">
        <f t="shared" si="3"/>
        <v>5662.758177469711</v>
      </c>
      <c r="Q62" s="684">
        <v>9887.5300000000007</v>
      </c>
      <c r="R62" s="684">
        <f>SUM(L62:N62)</f>
        <v>4103.9386182770359</v>
      </c>
    </row>
    <row r="63" spans="1:18">
      <c r="A63" s="39"/>
      <c r="B63" s="395"/>
      <c r="C63" s="393"/>
      <c r="D63" s="396"/>
      <c r="E63" s="397"/>
      <c r="F63" s="397"/>
      <c r="G63" s="397"/>
      <c r="H63" s="397"/>
      <c r="I63" s="397"/>
      <c r="J63" s="397"/>
      <c r="K63" s="398"/>
      <c r="L63" s="395"/>
      <c r="M63" s="395"/>
      <c r="N63" s="395"/>
      <c r="O63" s="395"/>
      <c r="P63" s="395"/>
      <c r="Q63" s="399"/>
      <c r="R63" s="395"/>
    </row>
    <row r="64" spans="1:18">
      <c r="D64" s="299" t="s">
        <v>187</v>
      </c>
      <c r="E64" s="35">
        <f>E9+E11+E13+E15+E17+E22+E24+E26+E30+E34+E52+E39+E43+E58+E60+E62</f>
        <v>282411.71361200162</v>
      </c>
      <c r="F64" s="35">
        <f>F9+F11+F13+F15+F17+F22+F24+F26+F30+F34+F52+F39+F43+F58+F60+F62</f>
        <v>265282.09220561013</v>
      </c>
      <c r="G64" s="35">
        <f>G9+G11+G13+G15+G17+G22+G24+G26+G30+G34+G52+G39+G43+G58+G60+G62</f>
        <v>210720.89365716337</v>
      </c>
      <c r="H64" s="35">
        <f>H9+H11+H13+H15+H17+H22+H24+H26+H30+H34+H52+H39+H43+H58+H60+H62</f>
        <v>141132.32364637664</v>
      </c>
      <c r="I64" s="35">
        <f t="shared" ref="I64:R64" si="18">I9+I11+I13+I15+I17+I22+I24+I26+I30+I34+I52+I39+I43+I58+I60+I62</f>
        <v>89280.198050190229</v>
      </c>
      <c r="J64" s="35">
        <f t="shared" si="18"/>
        <v>88853.701078606682</v>
      </c>
      <c r="K64" s="35">
        <f t="shared" si="18"/>
        <v>971016.27829489578</v>
      </c>
      <c r="L64" s="35">
        <f t="shared" si="18"/>
        <v>319266.22277517349</v>
      </c>
      <c r="M64" s="35">
        <f t="shared" si="18"/>
        <v>75992</v>
      </c>
      <c r="N64" s="35">
        <f>N9+N11+N13+N15+N17+N22+N24+N26+N30+N34+N52+N39+N43+N58+N60+N62</f>
        <v>55121</v>
      </c>
      <c r="O64" s="35">
        <f t="shared" si="18"/>
        <v>1421395.5010700694</v>
      </c>
      <c r="P64" s="35">
        <f t="shared" si="18"/>
        <v>661100.11643233674</v>
      </c>
      <c r="Q64" s="35">
        <f t="shared" si="18"/>
        <v>95988.05</v>
      </c>
      <c r="R64" s="35">
        <f t="shared" si="18"/>
        <v>450379.22277517349</v>
      </c>
    </row>
    <row r="65" spans="4:15">
      <c r="L65" s="814" t="s">
        <v>198</v>
      </c>
      <c r="M65" s="815"/>
      <c r="N65" s="815"/>
      <c r="O65" s="40">
        <f>+O64-E64+P64</f>
        <v>1800083.9038904044</v>
      </c>
    </row>
    <row r="66" spans="4:15">
      <c r="D66" s="535" t="s">
        <v>397</v>
      </c>
      <c r="E66" s="535"/>
      <c r="F66" s="535"/>
      <c r="G66" s="535"/>
      <c r="H66" s="535"/>
      <c r="I66" s="535"/>
      <c r="J66" s="535"/>
      <c r="K66" s="535"/>
    </row>
    <row r="67" spans="4:15">
      <c r="D67" s="535" t="s">
        <v>396</v>
      </c>
      <c r="E67" s="535"/>
      <c r="F67" s="535"/>
      <c r="G67" s="535"/>
      <c r="H67" s="535"/>
      <c r="I67" s="535"/>
      <c r="J67" s="535"/>
      <c r="K67" s="535"/>
    </row>
    <row r="68" spans="4:15">
      <c r="D68" s="300"/>
    </row>
    <row r="69" spans="4:15">
      <c r="D69" s="301"/>
    </row>
  </sheetData>
  <mergeCells count="15">
    <mergeCell ref="L65:N65"/>
    <mergeCell ref="P2:P3"/>
    <mergeCell ref="Q2:Q3"/>
    <mergeCell ref="J2:J3"/>
    <mergeCell ref="K2:K3"/>
    <mergeCell ref="L2:L3"/>
    <mergeCell ref="M2:M3"/>
    <mergeCell ref="N2:N3"/>
    <mergeCell ref="O2:O3"/>
    <mergeCell ref="I2:I3"/>
    <mergeCell ref="A2:A3"/>
    <mergeCell ref="E2:E3"/>
    <mergeCell ref="F2:F3"/>
    <mergeCell ref="G2:G3"/>
    <mergeCell ref="H2:H3"/>
  </mergeCells>
  <pageMargins left="0.75" right="0.75" top="1.5" bottom="0.5" header="0.25" footer="0.5"/>
  <pageSetup scale="44" orientation="landscape" r:id="rId1"/>
  <headerFooter alignWithMargins="0">
    <oddHeader xml:space="preserve">&amp;C&amp;"Arial Black,Bold"&amp;14
</oddHeader>
    <oddFooter>&amp;R&amp;"Century Gothic,Regular"Page &amp;P</oddFooter>
  </headerFooter>
  <rowBreaks count="1" manualBreakCount="1">
    <brk id="6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rgb="FF00B0F0"/>
    <pageSetUpPr fitToPage="1"/>
  </sheetPr>
  <dimension ref="A1:BI62"/>
  <sheetViews>
    <sheetView showGridLines="0" zoomScaleNormal="100" zoomScaleSheetLayoutView="100" workbookViewId="0">
      <pane xSplit="5" ySplit="2" topLeftCell="F3" activePane="bottomRight" state="frozen"/>
      <selection activeCell="J34" sqref="J34"/>
      <selection pane="topRight" activeCell="J34" sqref="J34"/>
      <selection pane="bottomLeft" activeCell="J34" sqref="J34"/>
      <selection pane="bottomRight" activeCell="J34" sqref="J34"/>
    </sheetView>
  </sheetViews>
  <sheetFormatPr defaultColWidth="9.140625" defaultRowHeight="12.75"/>
  <cols>
    <col min="1" max="1" width="9.28515625" style="67" customWidth="1" collapsed="1"/>
    <col min="2" max="3" width="10.7109375" style="68" hidden="1" customWidth="1" collapsed="1"/>
    <col min="4" max="4" width="13.7109375" style="68" bestFit="1" customWidth="1" collapsed="1"/>
    <col min="5" max="5" width="9.42578125" style="68" customWidth="1" collapsed="1"/>
    <col min="6" max="15" width="10.7109375" style="68" customWidth="1" collapsed="1"/>
    <col min="16" max="16" width="19.140625" style="68" bestFit="1" customWidth="1" collapsed="1"/>
    <col min="17" max="17" width="10.7109375" style="68" customWidth="1" collapsed="1"/>
    <col min="18" max="16384" width="9.140625" style="68" collapsed="1"/>
  </cols>
  <sheetData>
    <row r="1" spans="1:61" ht="12.75" customHeight="1">
      <c r="A1" s="843" t="s">
        <v>185</v>
      </c>
      <c r="E1" s="330"/>
      <c r="F1" s="841" t="s">
        <v>84</v>
      </c>
      <c r="G1" s="841" t="s">
        <v>85</v>
      </c>
      <c r="H1" s="841" t="s">
        <v>86</v>
      </c>
      <c r="I1" s="841" t="s">
        <v>87</v>
      </c>
      <c r="J1" s="841" t="s">
        <v>88</v>
      </c>
      <c r="K1" s="841" t="s">
        <v>89</v>
      </c>
      <c r="L1" s="841" t="s">
        <v>90</v>
      </c>
      <c r="M1" s="841" t="s">
        <v>91</v>
      </c>
      <c r="N1" s="841" t="s">
        <v>420</v>
      </c>
      <c r="O1" s="841" t="s">
        <v>195</v>
      </c>
      <c r="P1" s="330"/>
      <c r="Q1" s="835" t="s">
        <v>418</v>
      </c>
      <c r="R1" s="74"/>
    </row>
    <row r="2" spans="1:61" s="66" customFormat="1" ht="40.5" customHeight="1" thickBot="1">
      <c r="A2" s="844"/>
      <c r="B2" s="66" t="s">
        <v>58</v>
      </c>
      <c r="C2" s="66" t="s">
        <v>92</v>
      </c>
      <c r="D2" s="66" t="s">
        <v>93</v>
      </c>
      <c r="E2" s="330" t="s">
        <v>194</v>
      </c>
      <c r="F2" s="842"/>
      <c r="G2" s="842"/>
      <c r="H2" s="842"/>
      <c r="I2" s="842"/>
      <c r="J2" s="842"/>
      <c r="K2" s="842"/>
      <c r="L2" s="842"/>
      <c r="M2" s="842"/>
      <c r="N2" s="842"/>
      <c r="O2" s="842"/>
      <c r="P2" s="330" t="s">
        <v>167</v>
      </c>
      <c r="Q2" s="836"/>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row>
    <row r="3" spans="1:61" s="81" customFormat="1" ht="13.5" thickTop="1">
      <c r="A3" s="838" t="s">
        <v>186</v>
      </c>
      <c r="B3" s="81" t="s">
        <v>60</v>
      </c>
      <c r="C3" s="81" t="s">
        <v>101</v>
      </c>
      <c r="D3" s="82" t="s">
        <v>102</v>
      </c>
      <c r="E3" s="340">
        <v>1870</v>
      </c>
      <c r="F3" s="82">
        <f>PopulationData!E11</f>
        <v>36802.343632137228</v>
      </c>
      <c r="G3" s="82">
        <f>PopulationData!F11</f>
        <v>32244.984666250104</v>
      </c>
      <c r="H3" s="82">
        <f>PopulationData!G11</f>
        <v>23267.239145281252</v>
      </c>
      <c r="I3" s="82">
        <f>PopulationData!H11</f>
        <v>13236.000132818237</v>
      </c>
      <c r="J3" s="82">
        <f>PopulationData!I11</f>
        <v>7727.7317155502469</v>
      </c>
      <c r="K3" s="82">
        <f>PopulationData!J11</f>
        <v>7367.489611060224</v>
      </c>
      <c r="L3" s="82">
        <f>SUM(F3:K3)</f>
        <v>120645.7889030973</v>
      </c>
      <c r="M3" s="81">
        <f>SUM(I3:K3)</f>
        <v>28331.221459428707</v>
      </c>
      <c r="N3" s="81">
        <v>6230</v>
      </c>
      <c r="O3" s="81">
        <v>4967</v>
      </c>
      <c r="P3" s="331">
        <f>SUM(L3:O3)</f>
        <v>160174.01036252599</v>
      </c>
      <c r="Q3" s="91">
        <f>SUM(H3:K3)+N3+O3</f>
        <v>62795.460604709951</v>
      </c>
      <c r="R3" s="93" t="s">
        <v>320</v>
      </c>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row>
    <row r="4" spans="1:61" s="69" customFormat="1">
      <c r="A4" s="839"/>
      <c r="B4" s="69" t="s">
        <v>61</v>
      </c>
      <c r="C4" s="69" t="s">
        <v>103</v>
      </c>
      <c r="D4" s="73" t="s">
        <v>104</v>
      </c>
      <c r="E4" s="341">
        <v>657</v>
      </c>
      <c r="F4" s="69">
        <f>PopulationData!E13</f>
        <v>4295.3608841018759</v>
      </c>
      <c r="G4" s="69">
        <f>PopulationData!F13</f>
        <v>3714.4232744431079</v>
      </c>
      <c r="H4" s="69">
        <f>PopulationData!G13</f>
        <v>2919.7342432595478</v>
      </c>
      <c r="I4" s="69">
        <f>PopulationData!H13</f>
        <v>1906.0537018107921</v>
      </c>
      <c r="J4" s="69">
        <f>PopulationData!I13</f>
        <v>1050.92149187006</v>
      </c>
      <c r="K4" s="69">
        <f>PopulationData!J13</f>
        <v>1054.8098081891353</v>
      </c>
      <c r="L4" s="73">
        <f t="shared" ref="L4:L7" si="0">SUM(F4:K4)</f>
        <v>14941.303403674519</v>
      </c>
      <c r="M4" s="69">
        <f>SUM(I4:K4)</f>
        <v>4011.7850018699874</v>
      </c>
      <c r="N4" s="69">
        <v>585</v>
      </c>
      <c r="O4" s="69">
        <v>484</v>
      </c>
      <c r="P4" s="332">
        <f>SUM(L4:O4)</f>
        <v>20022.088405544506</v>
      </c>
      <c r="Q4" s="92">
        <f>SUM(H4:K4)+N4+O4</f>
        <v>8000.5192451295352</v>
      </c>
      <c r="R4" s="93"/>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row>
    <row r="5" spans="1:61" s="69" customFormat="1">
      <c r="A5" s="839"/>
      <c r="B5" s="69" t="s">
        <v>62</v>
      </c>
      <c r="C5" s="69" t="s">
        <v>105</v>
      </c>
      <c r="D5" s="73" t="s">
        <v>106</v>
      </c>
      <c r="E5" s="341">
        <v>431</v>
      </c>
      <c r="F5" s="69">
        <f>PopulationData!E15</f>
        <v>45326.650466161445</v>
      </c>
      <c r="G5" s="69">
        <f>PopulationData!F15</f>
        <v>40687.621506030453</v>
      </c>
      <c r="H5" s="69">
        <f>PopulationData!G15</f>
        <v>30794.861607768275</v>
      </c>
      <c r="I5" s="69">
        <f>PopulationData!H15</f>
        <v>18729.77773106116</v>
      </c>
      <c r="J5" s="69">
        <f>PopulationData!I15</f>
        <v>11146.714949516318</v>
      </c>
      <c r="K5" s="69">
        <f>PopulationData!J15</f>
        <v>11739.62427180369</v>
      </c>
      <c r="L5" s="73">
        <f t="shared" si="0"/>
        <v>158425.25053234134</v>
      </c>
      <c r="M5" s="69">
        <f>SUM(I5:K5)</f>
        <v>41616.11695238117</v>
      </c>
      <c r="N5" s="69">
        <v>19387</v>
      </c>
      <c r="O5" s="69">
        <v>10076</v>
      </c>
      <c r="P5" s="332">
        <f>SUM(L5:O5)</f>
        <v>229504.36748472252</v>
      </c>
      <c r="Q5" s="92">
        <f>SUM(H5:K5)+N5+O5</f>
        <v>101873.97856014945</v>
      </c>
      <c r="R5" s="93"/>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row>
    <row r="6" spans="1:61" s="69" customFormat="1">
      <c r="A6" s="839"/>
      <c r="B6" s="69" t="s">
        <v>63</v>
      </c>
      <c r="C6" s="69" t="s">
        <v>107</v>
      </c>
      <c r="D6" s="73" t="s">
        <v>108</v>
      </c>
      <c r="E6" s="341">
        <v>724</v>
      </c>
      <c r="F6" s="73">
        <f>PopulationData!E17</f>
        <v>35205.375118155745</v>
      </c>
      <c r="G6" s="73">
        <f>PopulationData!F17</f>
        <v>29127.246302377374</v>
      </c>
      <c r="H6" s="73">
        <f>PopulationData!G17</f>
        <v>22688.7099832815</v>
      </c>
      <c r="I6" s="73">
        <f>PopulationData!H17</f>
        <v>14808.092802435585</v>
      </c>
      <c r="J6" s="73">
        <f>PopulationData!I17</f>
        <v>9523.1946694118342</v>
      </c>
      <c r="K6" s="73">
        <f>PopulationData!J17</f>
        <v>10556.221756102272</v>
      </c>
      <c r="L6" s="73">
        <f t="shared" si="0"/>
        <v>121908.84063176431</v>
      </c>
      <c r="M6" s="69">
        <f>SUM(I6:K6)</f>
        <v>34887.509227949689</v>
      </c>
      <c r="N6" s="69">
        <v>13277</v>
      </c>
      <c r="O6" s="69">
        <v>4679</v>
      </c>
      <c r="P6" s="332">
        <f>SUM(L6:O6)</f>
        <v>174752.34985971398</v>
      </c>
      <c r="Q6" s="92">
        <f>SUM(H6:K6)+N6+O6</f>
        <v>75532.21921123119</v>
      </c>
      <c r="R6" s="93"/>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row>
    <row r="7" spans="1:61" s="69" customFormat="1" ht="16.5">
      <c r="A7" s="840"/>
      <c r="B7" s="837" t="s">
        <v>187</v>
      </c>
      <c r="C7" s="823"/>
      <c r="D7" s="824"/>
      <c r="E7" s="333">
        <f>SUM(E3:E6)</f>
        <v>3682</v>
      </c>
      <c r="F7" s="324">
        <f>SUM(F3:F6)</f>
        <v>121629.73010055629</v>
      </c>
      <c r="G7" s="324">
        <f t="shared" ref="G7:M7" si="1">SUM(G3:G6)</f>
        <v>105774.27574910104</v>
      </c>
      <c r="H7" s="324">
        <f t="shared" si="1"/>
        <v>79670.544979590573</v>
      </c>
      <c r="I7" s="324">
        <f t="shared" si="1"/>
        <v>48679.924368125779</v>
      </c>
      <c r="J7" s="324">
        <f t="shared" si="1"/>
        <v>29448.562826348458</v>
      </c>
      <c r="K7" s="324">
        <f t="shared" si="1"/>
        <v>30718.145447155322</v>
      </c>
      <c r="L7" s="324">
        <f t="shared" si="0"/>
        <v>415921.18347087753</v>
      </c>
      <c r="M7" s="324">
        <f t="shared" si="1"/>
        <v>108846.63264162955</v>
      </c>
      <c r="N7" s="324">
        <f>SUM(N3:N6)</f>
        <v>39479</v>
      </c>
      <c r="O7" s="324">
        <f>SUM(O3:O6)</f>
        <v>20206</v>
      </c>
      <c r="P7" s="333">
        <f>SUM(P3:P6)</f>
        <v>584452.81611250702</v>
      </c>
      <c r="Q7" s="325">
        <f>SUM(Q3:Q6)</f>
        <v>248202.17762122012</v>
      </c>
      <c r="R7" s="93"/>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row>
    <row r="8" spans="1:61" s="71" customFormat="1" ht="6.2" customHeight="1">
      <c r="A8" s="90"/>
      <c r="E8" s="342"/>
      <c r="F8" s="70"/>
      <c r="G8" s="70"/>
      <c r="H8" s="70"/>
      <c r="I8" s="70"/>
      <c r="J8" s="70"/>
      <c r="K8" s="70"/>
      <c r="L8" s="70"/>
      <c r="M8" s="70"/>
      <c r="N8" s="70"/>
      <c r="O8" s="70"/>
      <c r="P8" s="334"/>
      <c r="Q8" s="70"/>
      <c r="R8" s="94"/>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row>
    <row r="9" spans="1:61" s="69" customFormat="1">
      <c r="A9" s="833" t="s">
        <v>191</v>
      </c>
      <c r="B9" s="69" t="s">
        <v>59</v>
      </c>
      <c r="C9" s="69" t="s">
        <v>94</v>
      </c>
      <c r="D9" s="73" t="s">
        <v>95</v>
      </c>
      <c r="E9" s="332">
        <v>829</v>
      </c>
      <c r="F9" s="73">
        <f>PopulationData!E4</f>
        <v>2696.5119912025752</v>
      </c>
      <c r="G9" s="73">
        <f>PopulationData!F4</f>
        <v>3003.0603830333503</v>
      </c>
      <c r="H9" s="73">
        <f>PopulationData!G4</f>
        <v>2473.4947360790302</v>
      </c>
      <c r="I9" s="73">
        <f>PopulationData!H4</f>
        <v>1646.8271903446694</v>
      </c>
      <c r="J9" s="73">
        <f>PopulationData!I4</f>
        <v>985.31346898496929</v>
      </c>
      <c r="K9" s="73">
        <f>PopulationData!J4</f>
        <v>1081.0145651403589</v>
      </c>
      <c r="L9" s="73">
        <f>SUM(F9:K9)</f>
        <v>11886.222334784952</v>
      </c>
      <c r="M9" s="69">
        <f>SUM(I9:K9)</f>
        <v>3713.1552244699978</v>
      </c>
      <c r="N9" s="69">
        <v>556</v>
      </c>
      <c r="O9" s="69">
        <v>595</v>
      </c>
      <c r="P9" s="332">
        <f>SUM(L9:O9)</f>
        <v>16750.37755925495</v>
      </c>
      <c r="Q9" s="92">
        <f>SUM(H9:K9)+N9+O9</f>
        <v>7337.649960549028</v>
      </c>
      <c r="R9" s="93"/>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row>
    <row r="10" spans="1:61" s="69" customFormat="1">
      <c r="A10" s="834"/>
      <c r="B10" s="69" t="s">
        <v>59</v>
      </c>
      <c r="C10" s="69" t="s">
        <v>94</v>
      </c>
      <c r="D10" s="73" t="s">
        <v>96</v>
      </c>
      <c r="E10" s="341">
        <v>1182</v>
      </c>
      <c r="F10" s="69">
        <f>PopulationData!E5</f>
        <v>20026.261463124112</v>
      </c>
      <c r="G10" s="69">
        <f>PopulationData!F5</f>
        <v>17433.146023706395</v>
      </c>
      <c r="H10" s="69">
        <f>PopulationData!G5</f>
        <v>14989.824053008022</v>
      </c>
      <c r="I10" s="69">
        <f>PopulationData!H5</f>
        <v>11247.16702343605</v>
      </c>
      <c r="J10" s="69">
        <f>PopulationData!I5</f>
        <v>7415.4872725219466</v>
      </c>
      <c r="K10" s="69">
        <f>PopulationData!J5</f>
        <v>6654.277907894867</v>
      </c>
      <c r="L10" s="73">
        <f>SUM(F10:K10)</f>
        <v>77766.163743691388</v>
      </c>
      <c r="M10" s="69">
        <f>SUM(I10:K10)</f>
        <v>25316.932203852863</v>
      </c>
      <c r="N10" s="69">
        <v>6682</v>
      </c>
      <c r="O10" s="69">
        <v>3667</v>
      </c>
      <c r="P10" s="332">
        <f>SUM(L10:O10)</f>
        <v>113432.09594754425</v>
      </c>
      <c r="Q10" s="92">
        <f>SUM(H10:K10)+N10+O10</f>
        <v>50655.756256860885</v>
      </c>
      <c r="R10" s="93"/>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row>
    <row r="11" spans="1:61" s="69" customFormat="1">
      <c r="A11" s="834"/>
      <c r="B11" s="69" t="s">
        <v>59</v>
      </c>
      <c r="C11" s="69" t="s">
        <v>94</v>
      </c>
      <c r="D11" s="73" t="s">
        <v>97</v>
      </c>
      <c r="E11" s="341">
        <v>741</v>
      </c>
      <c r="F11" s="69">
        <f>PopulationData!E6</f>
        <v>4751.3414097352588</v>
      </c>
      <c r="G11" s="69">
        <f>PopulationData!F6</f>
        <v>4686.0147956175551</v>
      </c>
      <c r="H11" s="69">
        <f>PopulationData!G6</f>
        <v>4117.8000580731059</v>
      </c>
      <c r="I11" s="69">
        <f>PopulationData!H6</f>
        <v>3151.2492522805769</v>
      </c>
      <c r="J11" s="69">
        <f>PopulationData!I6</f>
        <v>2039.5004416511965</v>
      </c>
      <c r="K11" s="69">
        <f>PopulationData!J6</f>
        <v>1747.8633793433605</v>
      </c>
      <c r="L11" s="73">
        <f>SUM(F11:K11)</f>
        <v>20493.769336701058</v>
      </c>
      <c r="M11" s="69">
        <f>SUM(I11:K11)</f>
        <v>6938.6130732751335</v>
      </c>
      <c r="N11" s="69">
        <v>1291</v>
      </c>
      <c r="O11" s="69">
        <v>983</v>
      </c>
      <c r="P11" s="332">
        <f>SUM(L11:O11)</f>
        <v>29706.382409976191</v>
      </c>
      <c r="Q11" s="92">
        <f>SUM(H11:K11)+N11+O11</f>
        <v>13330.413131348239</v>
      </c>
      <c r="R11" s="93"/>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row>
    <row r="12" spans="1:61" s="69" customFormat="1">
      <c r="A12" s="834"/>
      <c r="B12" s="69" t="s">
        <v>59</v>
      </c>
      <c r="C12" s="69" t="s">
        <v>94</v>
      </c>
      <c r="D12" s="73" t="s">
        <v>98</v>
      </c>
      <c r="E12" s="341">
        <v>1103</v>
      </c>
      <c r="F12" s="69">
        <f>PopulationData!E7</f>
        <v>2415.4564927713109</v>
      </c>
      <c r="G12" s="69">
        <f>PopulationData!F7</f>
        <v>2453.2134432359571</v>
      </c>
      <c r="H12" s="69">
        <f>PopulationData!G7</f>
        <v>1929.8484844256666</v>
      </c>
      <c r="I12" s="69">
        <f>PopulationData!H7</f>
        <v>1262.3087152631683</v>
      </c>
      <c r="J12" s="69">
        <f>PopulationData!I7</f>
        <v>782.26787646591436</v>
      </c>
      <c r="K12" s="69">
        <f>PopulationData!J7</f>
        <v>656.19133045675255</v>
      </c>
      <c r="L12" s="73">
        <f>SUM(F12:K12)</f>
        <v>9499.2863426187705</v>
      </c>
      <c r="M12" s="69">
        <f>SUM(I12:K12)</f>
        <v>2700.7679221858352</v>
      </c>
      <c r="N12" s="69">
        <v>396</v>
      </c>
      <c r="O12" s="69">
        <v>320</v>
      </c>
      <c r="P12" s="332">
        <f>SUM(L12:O12)</f>
        <v>12916.054264804607</v>
      </c>
      <c r="Q12" s="92">
        <f>SUM(H12:K12)+N12+O12</f>
        <v>5346.6164066115025</v>
      </c>
      <c r="R12" s="93"/>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row>
    <row r="13" spans="1:61" s="69" customFormat="1">
      <c r="A13" s="834"/>
      <c r="B13" s="69" t="s">
        <v>59</v>
      </c>
      <c r="C13" s="69" t="s">
        <v>94</v>
      </c>
      <c r="D13" s="73" t="s">
        <v>99</v>
      </c>
      <c r="E13" s="341">
        <v>716</v>
      </c>
      <c r="F13" s="69">
        <f>PopulationData!E8</f>
        <v>7186.938213329493</v>
      </c>
      <c r="G13" s="69">
        <f>PopulationData!F8</f>
        <v>6498.7409689237174</v>
      </c>
      <c r="H13" s="69">
        <f>PopulationData!G8</f>
        <v>4977.3801983002068</v>
      </c>
      <c r="I13" s="69">
        <f>PopulationData!H8</f>
        <v>3539.0453876628817</v>
      </c>
      <c r="J13" s="69">
        <f>PopulationData!I8</f>
        <v>2211.8670350057964</v>
      </c>
      <c r="K13" s="69">
        <f>PopulationData!J8</f>
        <v>2603.4713561797994</v>
      </c>
      <c r="L13" s="73">
        <f>SUM(F13:K13)</f>
        <v>27017.44315940189</v>
      </c>
      <c r="M13" s="69">
        <f>SUM(I13:K13)</f>
        <v>8354.383778848478</v>
      </c>
      <c r="N13" s="69">
        <v>1706</v>
      </c>
      <c r="O13" s="69">
        <v>1277</v>
      </c>
      <c r="P13" s="332">
        <f>SUM(L13:O13)</f>
        <v>38354.826938250364</v>
      </c>
      <c r="Q13" s="92">
        <f>SUM(H13:K13)+N13+O13</f>
        <v>16314.763977148685</v>
      </c>
      <c r="R13" s="93"/>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row>
    <row r="14" spans="1:61" s="69" customFormat="1" ht="16.5">
      <c r="A14" s="834"/>
      <c r="B14" s="822" t="s">
        <v>187</v>
      </c>
      <c r="C14" s="823"/>
      <c r="D14" s="824"/>
      <c r="E14" s="333">
        <f>SUM(E9:E13)</f>
        <v>4571</v>
      </c>
      <c r="F14" s="324">
        <f>SUM(F9:F13)</f>
        <v>37076.509570162751</v>
      </c>
      <c r="G14" s="324">
        <f t="shared" ref="G14:Q14" si="2">SUM(G9:G13)</f>
        <v>34074.175614516978</v>
      </c>
      <c r="H14" s="324">
        <f t="shared" si="2"/>
        <v>28488.347529886036</v>
      </c>
      <c r="I14" s="324">
        <f t="shared" si="2"/>
        <v>20846.597568987345</v>
      </c>
      <c r="J14" s="324">
        <f t="shared" si="2"/>
        <v>13434.436094629822</v>
      </c>
      <c r="K14" s="324">
        <f t="shared" si="2"/>
        <v>12742.818539015139</v>
      </c>
      <c r="L14" s="324">
        <f t="shared" si="2"/>
        <v>146662.88491719807</v>
      </c>
      <c r="M14" s="324">
        <f t="shared" si="2"/>
        <v>47023.852202632304</v>
      </c>
      <c r="N14" s="324">
        <f t="shared" si="2"/>
        <v>10631</v>
      </c>
      <c r="O14" s="324">
        <f t="shared" si="2"/>
        <v>6842</v>
      </c>
      <c r="P14" s="333">
        <f t="shared" si="2"/>
        <v>211159.73711983036</v>
      </c>
      <c r="Q14" s="325">
        <f t="shared" si="2"/>
        <v>92985.199732518333</v>
      </c>
      <c r="R14" s="93"/>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row>
    <row r="15" spans="1:61" ht="6.2" customHeight="1">
      <c r="A15" s="88"/>
      <c r="E15" s="335"/>
      <c r="F15" s="326"/>
      <c r="G15" s="326"/>
      <c r="H15" s="326"/>
      <c r="I15" s="326"/>
      <c r="J15" s="326"/>
      <c r="K15" s="326"/>
      <c r="L15" s="326"/>
      <c r="M15" s="326"/>
      <c r="N15" s="326"/>
      <c r="O15" s="326"/>
      <c r="P15" s="335"/>
      <c r="Q15" s="74"/>
      <c r="R15" s="93"/>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row>
    <row r="16" spans="1:61" s="69" customFormat="1" ht="12.75" customHeight="1">
      <c r="A16" s="831" t="s">
        <v>188</v>
      </c>
      <c r="B16" s="69" t="s">
        <v>64</v>
      </c>
      <c r="C16" s="69" t="s">
        <v>109</v>
      </c>
      <c r="D16" s="73" t="s">
        <v>110</v>
      </c>
      <c r="E16" s="341">
        <v>676</v>
      </c>
      <c r="F16" s="69">
        <f>PopulationData!E19</f>
        <v>5341.0574072747868</v>
      </c>
      <c r="G16" s="69">
        <f>PopulationData!F19</f>
        <v>5618.0343413330265</v>
      </c>
      <c r="H16" s="69">
        <f>PopulationData!G19</f>
        <v>4634.9057671460105</v>
      </c>
      <c r="I16" s="69">
        <f>PopulationData!H19</f>
        <v>3165.6475913510903</v>
      </c>
      <c r="J16" s="69">
        <f>PopulationData!I19</f>
        <v>1940.0801400168673</v>
      </c>
      <c r="K16" s="69">
        <f>PopulationData!J19</f>
        <v>2119.3287946076789</v>
      </c>
      <c r="L16" s="73">
        <f>SUM(F16:K16)</f>
        <v>22819.054041729461</v>
      </c>
      <c r="M16" s="69">
        <f>SUM(I16:K16)</f>
        <v>7225.0565259756368</v>
      </c>
      <c r="N16" s="69">
        <v>1122</v>
      </c>
      <c r="O16" s="69">
        <v>920</v>
      </c>
      <c r="P16" s="332">
        <f>SUM(L16:O16)</f>
        <v>32086.110567705098</v>
      </c>
      <c r="Q16" s="92">
        <f>SUM(H16:K16)+N16+O16</f>
        <v>13901.962293121647</v>
      </c>
      <c r="R16" s="93"/>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row>
    <row r="17" spans="1:61" s="69" customFormat="1">
      <c r="A17" s="832"/>
      <c r="B17" s="69" t="s">
        <v>64</v>
      </c>
      <c r="C17" s="69" t="s">
        <v>109</v>
      </c>
      <c r="D17" s="73" t="s">
        <v>111</v>
      </c>
      <c r="E17" s="341">
        <v>980</v>
      </c>
      <c r="F17" s="69">
        <f>PopulationData!E20</f>
        <v>4380.0024880336387</v>
      </c>
      <c r="G17" s="69">
        <f>PopulationData!F20</f>
        <v>4777.983277406518</v>
      </c>
      <c r="H17" s="69">
        <f>PopulationData!G20</f>
        <v>4150.9533515242274</v>
      </c>
      <c r="I17" s="69">
        <f>PopulationData!H20</f>
        <v>2788.1461067898035</v>
      </c>
      <c r="J17" s="69">
        <f>PopulationData!I20</f>
        <v>1573.889467450522</v>
      </c>
      <c r="K17" s="69">
        <f>PopulationData!J20</f>
        <v>1340.6626605354882</v>
      </c>
      <c r="L17" s="73">
        <f>SUM(F17:K17)</f>
        <v>19011.637351740195</v>
      </c>
      <c r="M17" s="69">
        <f>SUM(I17:K17)</f>
        <v>5702.698234775813</v>
      </c>
      <c r="N17" s="69">
        <v>1054</v>
      </c>
      <c r="O17" s="69">
        <v>906</v>
      </c>
      <c r="P17" s="332">
        <f>SUM(L17:O17)</f>
        <v>26674.335586516008</v>
      </c>
      <c r="Q17" s="92">
        <f>SUM(H17:K17)+N17+O17</f>
        <v>11813.651586300042</v>
      </c>
      <c r="R17" s="93"/>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row>
    <row r="18" spans="1:61" s="69" customFormat="1">
      <c r="A18" s="832"/>
      <c r="B18" s="69" t="s">
        <v>64</v>
      </c>
      <c r="C18" s="69" t="s">
        <v>109</v>
      </c>
      <c r="D18" s="73" t="s">
        <v>112</v>
      </c>
      <c r="E18" s="341">
        <v>2290</v>
      </c>
      <c r="F18" s="69">
        <f>PopulationData!E21</f>
        <v>8356.5492739838501</v>
      </c>
      <c r="G18" s="69">
        <f>PopulationData!F21</f>
        <v>7709.0572847944568</v>
      </c>
      <c r="H18" s="69">
        <f>PopulationData!G21</f>
        <v>6692.093350130719</v>
      </c>
      <c r="I18" s="69">
        <f>PopulationData!H21</f>
        <v>4806.6957016961787</v>
      </c>
      <c r="J18" s="69">
        <f>PopulationData!I21</f>
        <v>3181.6881408695344</v>
      </c>
      <c r="K18" s="69">
        <f>PopulationData!J21</f>
        <v>2689.2322526062794</v>
      </c>
      <c r="L18" s="73">
        <f>SUM(F18:K18)</f>
        <v>33435.316004081018</v>
      </c>
      <c r="M18" s="69">
        <f>SUM(I18:K18)</f>
        <v>10677.616095171992</v>
      </c>
      <c r="N18" s="69">
        <v>1605</v>
      </c>
      <c r="O18" s="69">
        <v>1648</v>
      </c>
      <c r="P18" s="332">
        <f>SUM(L18:O18)</f>
        <v>47365.932099253012</v>
      </c>
      <c r="Q18" s="92">
        <f>SUM(H18:K18)+N18+O18</f>
        <v>20622.709445302709</v>
      </c>
      <c r="R18" s="93"/>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row>
    <row r="19" spans="1:61" s="69" customFormat="1" ht="16.5">
      <c r="A19" s="832"/>
      <c r="B19" s="822" t="s">
        <v>187</v>
      </c>
      <c r="C19" s="823"/>
      <c r="D19" s="824"/>
      <c r="E19" s="333">
        <f>SUM(E16:E18)</f>
        <v>3946</v>
      </c>
      <c r="F19" s="324">
        <f>SUM(F16:F18)</f>
        <v>18077.609169292278</v>
      </c>
      <c r="G19" s="324">
        <f t="shared" ref="G19:Q19" si="3">SUM(G16:G18)</f>
        <v>18105.074903534001</v>
      </c>
      <c r="H19" s="324">
        <f t="shared" si="3"/>
        <v>15477.952468800957</v>
      </c>
      <c r="I19" s="324">
        <f t="shared" si="3"/>
        <v>10760.489399837072</v>
      </c>
      <c r="J19" s="324">
        <f t="shared" si="3"/>
        <v>6695.6577483369238</v>
      </c>
      <c r="K19" s="324">
        <f t="shared" si="3"/>
        <v>6149.2237077494465</v>
      </c>
      <c r="L19" s="324">
        <f t="shared" si="3"/>
        <v>75266.007397550682</v>
      </c>
      <c r="M19" s="324">
        <f t="shared" si="3"/>
        <v>23605.370855923444</v>
      </c>
      <c r="N19" s="324">
        <f t="shared" si="3"/>
        <v>3781</v>
      </c>
      <c r="O19" s="324">
        <f t="shared" si="3"/>
        <v>3474</v>
      </c>
      <c r="P19" s="333">
        <f t="shared" si="3"/>
        <v>106126.37825347412</v>
      </c>
      <c r="Q19" s="325">
        <f t="shared" si="3"/>
        <v>46338.323324724399</v>
      </c>
      <c r="R19" s="93"/>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row>
    <row r="20" spans="1:61" ht="6.2" customHeight="1">
      <c r="A20" s="89"/>
      <c r="E20" s="335"/>
      <c r="P20" s="335"/>
      <c r="Q20" s="74"/>
      <c r="R20" s="93"/>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row>
    <row r="21" spans="1:61" s="69" customFormat="1">
      <c r="A21" s="833" t="s">
        <v>113</v>
      </c>
      <c r="B21" s="69" t="s">
        <v>65</v>
      </c>
      <c r="C21" s="69" t="s">
        <v>113</v>
      </c>
      <c r="D21" s="73" t="s">
        <v>113</v>
      </c>
      <c r="E21" s="341">
        <v>4553</v>
      </c>
      <c r="F21" s="69">
        <f>PopulationData!E24</f>
        <v>26080.555765763056</v>
      </c>
      <c r="G21" s="69">
        <f>PopulationData!F24</f>
        <v>26813.120163198975</v>
      </c>
      <c r="H21" s="69">
        <f>PopulationData!G24</f>
        <v>21530.769264768551</v>
      </c>
      <c r="I21" s="69">
        <f>PopulationData!H24</f>
        <v>13908.414288727923</v>
      </c>
      <c r="J21" s="69">
        <f>PopulationData!I24</f>
        <v>8914.0480805427451</v>
      </c>
      <c r="K21" s="69">
        <f>PopulationData!J24</f>
        <v>9417.7363920517491</v>
      </c>
      <c r="L21" s="73">
        <f>SUM(F21:K21)</f>
        <v>106664.643955053</v>
      </c>
      <c r="M21" s="69">
        <f>SUM(I21:K21)</f>
        <v>32240.198761322416</v>
      </c>
      <c r="N21" s="69">
        <v>3228</v>
      </c>
      <c r="O21" s="69">
        <v>6036</v>
      </c>
      <c r="P21" s="332">
        <f>SUM(L21:O21)</f>
        <v>148168.84271637542</v>
      </c>
      <c r="Q21" s="92">
        <f>SUM(H21:K21)+N21+O21</f>
        <v>63034.968026090966</v>
      </c>
      <c r="R21" s="93"/>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row>
    <row r="22" spans="1:61" ht="16.5">
      <c r="A22" s="830"/>
      <c r="B22" s="822" t="s">
        <v>187</v>
      </c>
      <c r="C22" s="823"/>
      <c r="D22" s="824"/>
      <c r="E22" s="333">
        <f>SUM(E21)</f>
        <v>4553</v>
      </c>
      <c r="F22" s="324">
        <f>SUM(F21)</f>
        <v>26080.555765763056</v>
      </c>
      <c r="G22" s="324">
        <f t="shared" ref="G22:L22" si="4">SUM(G21)</f>
        <v>26813.120163198975</v>
      </c>
      <c r="H22" s="324">
        <f t="shared" si="4"/>
        <v>21530.769264768551</v>
      </c>
      <c r="I22" s="324">
        <f t="shared" si="4"/>
        <v>13908.414288727923</v>
      </c>
      <c r="J22" s="324">
        <f t="shared" si="4"/>
        <v>8914.0480805427451</v>
      </c>
      <c r="K22" s="324">
        <f t="shared" si="4"/>
        <v>9417.7363920517491</v>
      </c>
      <c r="L22" s="324">
        <f t="shared" si="4"/>
        <v>106664.643955053</v>
      </c>
      <c r="M22" s="324">
        <f>SUM(M21)</f>
        <v>32240.198761322416</v>
      </c>
      <c r="N22" s="324">
        <f>SUM(N21)</f>
        <v>3228</v>
      </c>
      <c r="O22" s="324">
        <f>SUM(O21)</f>
        <v>6036</v>
      </c>
      <c r="P22" s="333">
        <f>SUM(P21)</f>
        <v>148168.84271637542</v>
      </c>
      <c r="Q22" s="325">
        <f>SUM(Q21)</f>
        <v>63034.968026090966</v>
      </c>
      <c r="R22" s="93"/>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row>
    <row r="23" spans="1:61" ht="6.2" customHeight="1">
      <c r="A23" s="88"/>
      <c r="E23" s="335"/>
      <c r="P23" s="335"/>
      <c r="Q23" s="74"/>
      <c r="R23" s="93"/>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row>
    <row r="24" spans="1:61" s="69" customFormat="1">
      <c r="A24" s="833" t="s">
        <v>190</v>
      </c>
      <c r="B24" s="69" t="s">
        <v>68</v>
      </c>
      <c r="C24" s="69" t="s">
        <v>118</v>
      </c>
      <c r="D24" s="73" t="s">
        <v>119</v>
      </c>
      <c r="E24" s="341">
        <v>2784</v>
      </c>
      <c r="F24" s="69">
        <f>PopulationData!E32</f>
        <v>15851.582033022947</v>
      </c>
      <c r="G24" s="69">
        <f>PopulationData!F32</f>
        <v>16051.760375350161</v>
      </c>
      <c r="H24" s="69">
        <f>PopulationData!G32</f>
        <v>13162.018243849085</v>
      </c>
      <c r="I24" s="69">
        <f>PopulationData!H32</f>
        <v>9707.6805390110567</v>
      </c>
      <c r="J24" s="69">
        <f>PopulationData!I32</f>
        <v>6832.058968224108</v>
      </c>
      <c r="L24" s="73">
        <f>SUM(F24:K24)</f>
        <v>61605.100159457361</v>
      </c>
      <c r="M24" s="69">
        <f>SUM(I24:K24)</f>
        <v>16539.739507235165</v>
      </c>
      <c r="N24" s="69">
        <v>3716</v>
      </c>
      <c r="O24" s="69">
        <v>3899</v>
      </c>
      <c r="P24" s="332">
        <f>SUM(L24:O24)</f>
        <v>85759.839666692525</v>
      </c>
      <c r="Q24" s="92">
        <f>SUM(H24:K24)+N24+O24</f>
        <v>37316.757751084253</v>
      </c>
      <c r="R24" s="93"/>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row>
    <row r="25" spans="1:61" s="69" customFormat="1">
      <c r="A25" s="834"/>
      <c r="B25" s="69" t="s">
        <v>68</v>
      </c>
      <c r="C25" s="69" t="s">
        <v>118</v>
      </c>
      <c r="D25" s="73" t="s">
        <v>120</v>
      </c>
      <c r="E25" s="341">
        <v>1640</v>
      </c>
      <c r="F25" s="69">
        <f>PopulationData!E33</f>
        <v>7141.1371362057853</v>
      </c>
      <c r="G25" s="69">
        <f>PopulationData!F33</f>
        <v>7299.2244577679685</v>
      </c>
      <c r="H25" s="69">
        <f>PopulationData!G33</f>
        <v>6356.1484760383755</v>
      </c>
      <c r="I25" s="69">
        <f>PopulationData!H33</f>
        <v>4697.9650903543643</v>
      </c>
      <c r="J25" s="69">
        <f>PopulationData!I33</f>
        <v>3103.0490093624576</v>
      </c>
      <c r="K25" s="69">
        <f>PopulationData!J33</f>
        <v>3117.5464795510384</v>
      </c>
      <c r="L25" s="73">
        <f>SUM(F25:K25)</f>
        <v>31715.070649279987</v>
      </c>
      <c r="M25" s="69">
        <f>SUM(I25:K25)</f>
        <v>10918.56057926786</v>
      </c>
      <c r="N25" s="69">
        <v>1622</v>
      </c>
      <c r="O25" s="69">
        <v>2126</v>
      </c>
      <c r="P25" s="332">
        <f>SUM(L25:O25)</f>
        <v>46381.631228547849</v>
      </c>
      <c r="Q25" s="92">
        <f>SUM(H25:K25)+N25+O25</f>
        <v>21022.709055306237</v>
      </c>
      <c r="R25" s="93"/>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row>
    <row r="26" spans="1:61" s="69" customFormat="1" ht="16.5">
      <c r="A26" s="834"/>
      <c r="B26" s="822" t="s">
        <v>187</v>
      </c>
      <c r="C26" s="823"/>
      <c r="D26" s="824"/>
      <c r="E26" s="333">
        <f>SUM(E24:E25)</f>
        <v>4424</v>
      </c>
      <c r="F26" s="324">
        <f>SUM(F24:F25)</f>
        <v>22992.719169228731</v>
      </c>
      <c r="G26" s="324">
        <f t="shared" ref="G26:Q26" si="5">SUM(G24:G25)</f>
        <v>23350.984833118127</v>
      </c>
      <c r="H26" s="324">
        <f t="shared" si="5"/>
        <v>19518.16671988746</v>
      </c>
      <c r="I26" s="324">
        <f t="shared" si="5"/>
        <v>14405.645629365421</v>
      </c>
      <c r="J26" s="324">
        <f t="shared" si="5"/>
        <v>9935.1079775865655</v>
      </c>
      <c r="K26" s="324">
        <f t="shared" si="5"/>
        <v>3117.5464795510384</v>
      </c>
      <c r="L26" s="324">
        <f t="shared" si="5"/>
        <v>93320.170808737341</v>
      </c>
      <c r="M26" s="324">
        <f t="shared" si="5"/>
        <v>27458.300086503026</v>
      </c>
      <c r="N26" s="324">
        <f t="shared" si="5"/>
        <v>5338</v>
      </c>
      <c r="O26" s="324">
        <f t="shared" si="5"/>
        <v>6025</v>
      </c>
      <c r="P26" s="333">
        <f t="shared" si="5"/>
        <v>132141.47089524037</v>
      </c>
      <c r="Q26" s="325">
        <f t="shared" si="5"/>
        <v>58339.46680639049</v>
      </c>
      <c r="R26" s="93"/>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74"/>
      <c r="BG26" s="74"/>
      <c r="BH26" s="74"/>
      <c r="BI26" s="74"/>
    </row>
    <row r="27" spans="1:61" s="74" customFormat="1" ht="6.2" customHeight="1">
      <c r="A27" s="87"/>
      <c r="B27" s="75"/>
      <c r="C27" s="76"/>
      <c r="D27" s="76"/>
      <c r="E27" s="336"/>
      <c r="F27" s="77"/>
      <c r="G27" s="77"/>
      <c r="H27" s="77"/>
      <c r="I27" s="77"/>
      <c r="J27" s="77"/>
      <c r="K27" s="77"/>
      <c r="L27" s="77"/>
      <c r="M27" s="77"/>
      <c r="N27" s="77"/>
      <c r="O27" s="77"/>
      <c r="P27" s="336"/>
      <c r="Q27" s="77"/>
      <c r="R27" s="93"/>
    </row>
    <row r="28" spans="1:61" s="69" customFormat="1">
      <c r="A28" s="825" t="s">
        <v>189</v>
      </c>
      <c r="B28" s="69" t="s">
        <v>555</v>
      </c>
      <c r="C28" s="69" t="s">
        <v>127</v>
      </c>
      <c r="D28" s="73" t="s">
        <v>128</v>
      </c>
      <c r="E28" s="341">
        <v>2979</v>
      </c>
      <c r="F28" s="69">
        <f>PopulationData!E36</f>
        <v>1977.9329148609888</v>
      </c>
      <c r="G28" s="69">
        <f>PopulationData!F36</f>
        <v>2204.8834458461552</v>
      </c>
      <c r="H28" s="69">
        <f>PopulationData!G36</f>
        <v>1806.5145243211346</v>
      </c>
      <c r="I28" s="69">
        <f>PopulationData!H36</f>
        <v>1296.9893980994414</v>
      </c>
      <c r="J28" s="69">
        <f>PopulationData!I36</f>
        <v>794.030836185765</v>
      </c>
      <c r="K28" s="69">
        <f>PopulationData!J36</f>
        <v>692.82558712516573</v>
      </c>
      <c r="L28" s="73">
        <f t="shared" ref="L28:L37" si="6">SUM(F28:K28)</f>
        <v>8773.1767064386495</v>
      </c>
      <c r="M28" s="69">
        <f t="shared" ref="M28:M37" si="7">SUM(I28:K28)</f>
        <v>2783.8458214103721</v>
      </c>
      <c r="N28" s="69">
        <v>337</v>
      </c>
      <c r="O28" s="69">
        <v>241</v>
      </c>
      <c r="P28" s="332">
        <f t="shared" ref="P28:P37" si="8">SUM(L28:O28)</f>
        <v>12135.022527849022</v>
      </c>
      <c r="Q28" s="92">
        <f t="shared" ref="Q28:Q37" si="9">SUM(H28:K28)+N28+O28</f>
        <v>5168.3603457315066</v>
      </c>
      <c r="R28" s="93"/>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row>
    <row r="29" spans="1:61" s="69" customFormat="1">
      <c r="A29" s="826"/>
      <c r="B29" s="69" t="s">
        <v>555</v>
      </c>
      <c r="C29" s="69" t="s">
        <v>127</v>
      </c>
      <c r="D29" s="73" t="s">
        <v>129</v>
      </c>
      <c r="E29" s="341">
        <v>3018</v>
      </c>
      <c r="F29" s="69">
        <f>PopulationData!E37</f>
        <v>13040.675051861443</v>
      </c>
      <c r="G29" s="69">
        <f>PopulationData!F37</f>
        <v>13096.340840324239</v>
      </c>
      <c r="H29" s="69">
        <f>PopulationData!G37</f>
        <v>10097.603712970735</v>
      </c>
      <c r="I29" s="69">
        <f>PopulationData!H37</f>
        <v>6856.9369057293006</v>
      </c>
      <c r="J29" s="69">
        <f>PopulationData!I37</f>
        <v>4360.0796855069675</v>
      </c>
      <c r="K29" s="69">
        <f>PopulationData!J37</f>
        <v>4277.7493526581002</v>
      </c>
      <c r="L29" s="73">
        <f t="shared" si="6"/>
        <v>51729.385549050792</v>
      </c>
      <c r="M29" s="69">
        <f t="shared" si="7"/>
        <v>15494.765943894368</v>
      </c>
      <c r="N29" s="69">
        <v>1913</v>
      </c>
      <c r="O29" s="69">
        <v>2450</v>
      </c>
      <c r="P29" s="332">
        <f t="shared" si="8"/>
        <v>71587.151492945166</v>
      </c>
      <c r="Q29" s="92">
        <f t="shared" si="9"/>
        <v>29955.369656865099</v>
      </c>
      <c r="R29" s="93"/>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row>
    <row r="30" spans="1:61" s="69" customFormat="1">
      <c r="A30" s="826"/>
      <c r="B30" s="69" t="s">
        <v>555</v>
      </c>
      <c r="C30" s="69" t="s">
        <v>127</v>
      </c>
      <c r="D30" s="73" t="s">
        <v>130</v>
      </c>
      <c r="E30" s="341">
        <v>1781</v>
      </c>
      <c r="F30" s="69">
        <f>PopulationData!E38</f>
        <v>1812.2203444850229</v>
      </c>
      <c r="G30" s="69">
        <f>PopulationData!F38</f>
        <v>1705.1211278920755</v>
      </c>
      <c r="H30" s="69">
        <f>PopulationData!G38</f>
        <v>1368.350460023401</v>
      </c>
      <c r="I30" s="69">
        <f>PopulationData!H38</f>
        <v>875.53643514445821</v>
      </c>
      <c r="J30" s="69">
        <f>PopulationData!I38</f>
        <v>574.13784440539234</v>
      </c>
      <c r="K30" s="69">
        <f>PopulationData!J38</f>
        <v>390.39716827874707</v>
      </c>
      <c r="L30" s="73">
        <f t="shared" si="6"/>
        <v>6725.7633802290975</v>
      </c>
      <c r="M30" s="69">
        <f t="shared" si="7"/>
        <v>1840.0714478285977</v>
      </c>
      <c r="N30" s="69">
        <v>696</v>
      </c>
      <c r="O30" s="69">
        <v>297</v>
      </c>
      <c r="P30" s="332">
        <f t="shared" si="8"/>
        <v>9558.8348280576956</v>
      </c>
      <c r="Q30" s="92">
        <f t="shared" si="9"/>
        <v>4201.4219078519982</v>
      </c>
      <c r="R30" s="93"/>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row>
    <row r="31" spans="1:61" s="69" customFormat="1">
      <c r="A31" s="826"/>
      <c r="B31" s="69" t="s">
        <v>71</v>
      </c>
      <c r="C31" s="69" t="s">
        <v>131</v>
      </c>
      <c r="D31" s="73" t="s">
        <v>132</v>
      </c>
      <c r="E31" s="341">
        <v>5941</v>
      </c>
      <c r="F31" s="69">
        <f>PopulationData!E41</f>
        <v>4999.2440548277918</v>
      </c>
      <c r="G31" s="69">
        <f>PopulationData!F41</f>
        <v>5151.8941647118845</v>
      </c>
      <c r="H31" s="69">
        <f>PopulationData!G41</f>
        <v>4267.3691570816245</v>
      </c>
      <c r="I31" s="69">
        <f>PopulationData!H41</f>
        <v>3054.8092346701446</v>
      </c>
      <c r="J31" s="69">
        <f>PopulationData!I41</f>
        <v>1906.965299825358</v>
      </c>
      <c r="K31" s="69">
        <f>PopulationData!J41</f>
        <v>1592.8880873098119</v>
      </c>
      <c r="L31" s="73">
        <f t="shared" si="6"/>
        <v>20973.169998426616</v>
      </c>
      <c r="M31" s="69">
        <f t="shared" si="7"/>
        <v>6554.6626218053152</v>
      </c>
      <c r="N31" s="69">
        <v>1542</v>
      </c>
      <c r="O31" s="69">
        <v>1368</v>
      </c>
      <c r="P31" s="332">
        <f t="shared" si="8"/>
        <v>30437.832620231929</v>
      </c>
      <c r="Q31" s="92">
        <f t="shared" si="9"/>
        <v>13732.03177888694</v>
      </c>
      <c r="R31" s="93"/>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row>
    <row r="32" spans="1:61" s="69" customFormat="1">
      <c r="A32" s="826"/>
      <c r="B32" s="69" t="s">
        <v>71</v>
      </c>
      <c r="C32" s="69" t="s">
        <v>131</v>
      </c>
      <c r="D32" s="73" t="s">
        <v>133</v>
      </c>
      <c r="E32" s="341">
        <v>8139</v>
      </c>
      <c r="F32" s="69">
        <f>PopulationData!E42</f>
        <v>703.81357981901579</v>
      </c>
      <c r="G32" s="69">
        <f>PopulationData!F42</f>
        <v>732.60083877664647</v>
      </c>
      <c r="H32" s="69">
        <f>PopulationData!G42</f>
        <v>564.0081162903889</v>
      </c>
      <c r="I32" s="69">
        <f>PopulationData!H42</f>
        <v>427.47855777989139</v>
      </c>
      <c r="J32" s="69">
        <f>PopulationData!I42</f>
        <v>250.70943502404845</v>
      </c>
      <c r="K32" s="69">
        <f>PopulationData!J42</f>
        <v>200.01691641974418</v>
      </c>
      <c r="L32" s="73">
        <f t="shared" si="6"/>
        <v>2878.6274441097353</v>
      </c>
      <c r="M32" s="69">
        <f t="shared" si="7"/>
        <v>878.2049092236839</v>
      </c>
      <c r="N32" s="69">
        <v>142</v>
      </c>
      <c r="O32" s="69">
        <v>254</v>
      </c>
      <c r="P32" s="332">
        <f t="shared" si="8"/>
        <v>4152.8323533334187</v>
      </c>
      <c r="Q32" s="92">
        <f t="shared" si="9"/>
        <v>1838.2130255140728</v>
      </c>
      <c r="R32" s="93"/>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row>
    <row r="33" spans="1:61" s="69" customFormat="1">
      <c r="A33" s="826"/>
      <c r="B33" s="69" t="s">
        <v>69</v>
      </c>
      <c r="C33" s="69" t="s">
        <v>121</v>
      </c>
      <c r="D33" s="73" t="s">
        <v>122</v>
      </c>
      <c r="E33" s="341">
        <v>1205</v>
      </c>
      <c r="F33" s="69">
        <f>PopulationData!E47</f>
        <v>217.44804302751902</v>
      </c>
      <c r="G33" s="69">
        <f>PopulationData!F47</f>
        <v>206.31332495925864</v>
      </c>
      <c r="H33" s="69">
        <f>PopulationData!G47</f>
        <v>152.56783337307314</v>
      </c>
      <c r="I33" s="69">
        <f>PopulationData!H47</f>
        <v>101.92575989993452</v>
      </c>
      <c r="J33" s="69">
        <f>PopulationData!I47</f>
        <v>66.674037003946452</v>
      </c>
      <c r="K33" s="69">
        <f>PopulationData!J47</f>
        <v>81.606274351716479</v>
      </c>
      <c r="L33" s="73">
        <f t="shared" si="6"/>
        <v>826.53527261544821</v>
      </c>
      <c r="M33" s="69">
        <f t="shared" si="7"/>
        <v>250.20607125559746</v>
      </c>
      <c r="N33" s="69">
        <v>34</v>
      </c>
      <c r="O33" s="69">
        <v>29</v>
      </c>
      <c r="P33" s="332">
        <f t="shared" si="8"/>
        <v>1139.7413438710457</v>
      </c>
      <c r="Q33" s="92">
        <f t="shared" si="9"/>
        <v>465.77390462867061</v>
      </c>
      <c r="R33" s="93"/>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row>
    <row r="34" spans="1:61" s="69" customFormat="1">
      <c r="A34" s="826"/>
      <c r="B34" s="69" t="s">
        <v>69</v>
      </c>
      <c r="C34" s="69" t="s">
        <v>121</v>
      </c>
      <c r="D34" s="73" t="s">
        <v>123</v>
      </c>
      <c r="E34" s="341">
        <v>522</v>
      </c>
      <c r="F34" s="69">
        <f>PopulationData!E48</f>
        <v>1747.6983737430312</v>
      </c>
      <c r="G34" s="69">
        <f>PopulationData!F48</f>
        <v>1465.3140813572104</v>
      </c>
      <c r="H34" s="69">
        <f>PopulationData!G48</f>
        <v>996.06266209808746</v>
      </c>
      <c r="I34" s="69">
        <f>PopulationData!H48</f>
        <v>695.36592803564281</v>
      </c>
      <c r="J34" s="69">
        <f>PopulationData!I48</f>
        <v>430.06332335954073</v>
      </c>
      <c r="K34" s="69">
        <f>PopulationData!J48</f>
        <v>563.41462735475932</v>
      </c>
      <c r="L34" s="73">
        <f t="shared" si="6"/>
        <v>5897.9189959482728</v>
      </c>
      <c r="M34" s="69">
        <f t="shared" si="7"/>
        <v>1688.8438787499431</v>
      </c>
      <c r="N34" s="69">
        <v>570</v>
      </c>
      <c r="O34" s="69">
        <v>163</v>
      </c>
      <c r="P34" s="332">
        <f t="shared" si="8"/>
        <v>8319.7628746982155</v>
      </c>
      <c r="Q34" s="92">
        <f t="shared" si="9"/>
        <v>3417.9065408480305</v>
      </c>
      <c r="R34" s="93"/>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row>
    <row r="35" spans="1:61" s="69" customFormat="1">
      <c r="A35" s="826"/>
      <c r="B35" s="69" t="s">
        <v>69</v>
      </c>
      <c r="C35" s="69" t="s">
        <v>121</v>
      </c>
      <c r="D35" s="73" t="s">
        <v>124</v>
      </c>
      <c r="E35" s="341">
        <v>824</v>
      </c>
      <c r="F35" s="69">
        <f>PopulationData!E49</f>
        <v>168.42499025912539</v>
      </c>
      <c r="G35" s="69">
        <f>PopulationData!F49</f>
        <v>148.92935180539433</v>
      </c>
      <c r="H35" s="69">
        <f>PopulationData!G49</f>
        <v>136.25057233859508</v>
      </c>
      <c r="I35" s="69">
        <f>PopulationData!H49</f>
        <v>102.9141641011159</v>
      </c>
      <c r="J35" s="69">
        <f>PopulationData!I49</f>
        <v>55.535686907041423</v>
      </c>
      <c r="K35" s="69">
        <f>PopulationData!J49</f>
        <v>50.280864139209626</v>
      </c>
      <c r="L35" s="73">
        <f t="shared" si="6"/>
        <v>662.33562955048171</v>
      </c>
      <c r="M35" s="69">
        <f t="shared" si="7"/>
        <v>208.73071514736696</v>
      </c>
      <c r="N35" s="69">
        <v>30</v>
      </c>
      <c r="O35" s="69">
        <v>17</v>
      </c>
      <c r="P35" s="332">
        <f t="shared" si="8"/>
        <v>918.06634469784865</v>
      </c>
      <c r="Q35" s="92">
        <f t="shared" si="9"/>
        <v>391.98128748596196</v>
      </c>
      <c r="R35" s="93"/>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row>
    <row r="36" spans="1:61" s="69" customFormat="1">
      <c r="A36" s="826"/>
      <c r="B36" s="69" t="s">
        <v>69</v>
      </c>
      <c r="C36" s="69" t="s">
        <v>121</v>
      </c>
      <c r="D36" s="73" t="s">
        <v>125</v>
      </c>
      <c r="E36" s="341">
        <v>2382</v>
      </c>
      <c r="F36" s="69">
        <f>PopulationData!E50</f>
        <v>2045.5139594129405</v>
      </c>
      <c r="G36" s="69">
        <f>PopulationData!F50</f>
        <v>1946.2122571948435</v>
      </c>
      <c r="H36" s="69">
        <f>PopulationData!G50</f>
        <v>1618.5158460279997</v>
      </c>
      <c r="I36" s="69">
        <f>PopulationData!H50</f>
        <v>1078.1917671770793</v>
      </c>
      <c r="J36" s="69">
        <f>PopulationData!I50</f>
        <v>688.88813048994291</v>
      </c>
      <c r="K36" s="69">
        <f>PopulationData!J50</f>
        <v>814.80176332553935</v>
      </c>
      <c r="L36" s="73">
        <f t="shared" si="6"/>
        <v>8192.123723628345</v>
      </c>
      <c r="M36" s="69">
        <f t="shared" si="7"/>
        <v>2581.8816609925616</v>
      </c>
      <c r="N36" s="69">
        <v>526</v>
      </c>
      <c r="O36" s="69">
        <v>297</v>
      </c>
      <c r="P36" s="332">
        <f t="shared" si="8"/>
        <v>11597.005384620907</v>
      </c>
      <c r="Q36" s="92">
        <f t="shared" si="9"/>
        <v>5023.3975070205606</v>
      </c>
      <c r="R36" s="93"/>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row>
    <row r="37" spans="1:61" s="69" customFormat="1">
      <c r="A37" s="826"/>
      <c r="B37" s="69" t="s">
        <v>69</v>
      </c>
      <c r="C37" s="69" t="s">
        <v>121</v>
      </c>
      <c r="D37" s="73" t="s">
        <v>126</v>
      </c>
      <c r="E37" s="341">
        <v>1715</v>
      </c>
      <c r="F37" s="69">
        <f>PopulationData!E51</f>
        <v>123.06951567057271</v>
      </c>
      <c r="G37" s="69">
        <f>PopulationData!F51</f>
        <v>141.39034010263401</v>
      </c>
      <c r="H37" s="69">
        <f>PopulationData!G51</f>
        <v>110.6284515269147</v>
      </c>
      <c r="I37" s="69">
        <f>PopulationData!H51</f>
        <v>114.64554046621545</v>
      </c>
      <c r="J37" s="69">
        <f>PopulationData!I51</f>
        <v>66.72924216567111</v>
      </c>
      <c r="K37" s="69">
        <f>PopulationData!J51</f>
        <v>55.908982315245041</v>
      </c>
      <c r="L37" s="73">
        <f t="shared" si="6"/>
        <v>612.37207224725296</v>
      </c>
      <c r="M37" s="69">
        <f t="shared" si="7"/>
        <v>237.2837649471316</v>
      </c>
      <c r="N37" s="69">
        <v>29</v>
      </c>
      <c r="O37" s="69">
        <v>71</v>
      </c>
      <c r="P37" s="332">
        <f t="shared" si="8"/>
        <v>949.6558371943845</v>
      </c>
      <c r="Q37" s="92">
        <f t="shared" si="9"/>
        <v>447.91221647404632</v>
      </c>
      <c r="R37" s="93"/>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row>
    <row r="38" spans="1:61" s="69" customFormat="1" ht="16.5">
      <c r="A38" s="826"/>
      <c r="B38" s="822" t="s">
        <v>187</v>
      </c>
      <c r="C38" s="823"/>
      <c r="D38" s="824"/>
      <c r="E38" s="333">
        <f t="shared" ref="E38:Q38" si="10">SUM(E28:E37)</f>
        <v>28506</v>
      </c>
      <c r="F38" s="324">
        <f t="shared" si="10"/>
        <v>26836.040827967448</v>
      </c>
      <c r="G38" s="324">
        <f t="shared" si="10"/>
        <v>26798.999772970335</v>
      </c>
      <c r="H38" s="324">
        <f t="shared" si="10"/>
        <v>21117.87133605195</v>
      </c>
      <c r="I38" s="324">
        <f t="shared" si="10"/>
        <v>14604.793691103223</v>
      </c>
      <c r="J38" s="324">
        <f t="shared" si="10"/>
        <v>9193.813520873673</v>
      </c>
      <c r="K38" s="324">
        <f t="shared" si="10"/>
        <v>8719.8896232780371</v>
      </c>
      <c r="L38" s="324">
        <f t="shared" si="10"/>
        <v>107271.4087722447</v>
      </c>
      <c r="M38" s="324">
        <f t="shared" si="10"/>
        <v>32518.496835254948</v>
      </c>
      <c r="N38" s="324">
        <f t="shared" si="10"/>
        <v>5819</v>
      </c>
      <c r="O38" s="324">
        <f t="shared" si="10"/>
        <v>5187</v>
      </c>
      <c r="P38" s="333">
        <f t="shared" si="10"/>
        <v>150795.90560749965</v>
      </c>
      <c r="Q38" s="325">
        <f t="shared" si="10"/>
        <v>64642.368171306887</v>
      </c>
      <c r="R38" s="93"/>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74"/>
      <c r="BC38" s="74"/>
      <c r="BD38" s="74"/>
      <c r="BE38" s="74"/>
      <c r="BF38" s="74"/>
      <c r="BG38" s="74"/>
      <c r="BH38" s="74"/>
      <c r="BI38" s="74"/>
    </row>
    <row r="39" spans="1:61" s="69" customFormat="1" ht="6.2" customHeight="1">
      <c r="A39" s="84"/>
      <c r="B39" s="78"/>
      <c r="C39" s="78"/>
      <c r="D39" s="79"/>
      <c r="E39" s="343"/>
      <c r="F39" s="78"/>
      <c r="G39" s="78"/>
      <c r="H39" s="78"/>
      <c r="I39" s="78"/>
      <c r="J39" s="78"/>
      <c r="K39" s="78"/>
      <c r="L39" s="79"/>
      <c r="M39" s="78"/>
      <c r="N39" s="78"/>
      <c r="O39" s="78"/>
      <c r="P39" s="337"/>
      <c r="Q39" s="78"/>
      <c r="R39" s="93"/>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row>
    <row r="40" spans="1:61" s="69" customFormat="1">
      <c r="A40" s="827" t="s">
        <v>192</v>
      </c>
      <c r="B40" s="69" t="s">
        <v>67</v>
      </c>
      <c r="C40" s="69" t="s">
        <v>116</v>
      </c>
      <c r="D40" s="73" t="s">
        <v>116</v>
      </c>
      <c r="E40" s="341">
        <v>1595</v>
      </c>
      <c r="F40" s="69">
        <f>PopulationData!E28</f>
        <v>5114.8598104932898</v>
      </c>
      <c r="G40" s="69">
        <f>PopulationData!F28</f>
        <v>5371.3911091219452</v>
      </c>
      <c r="H40" s="69">
        <f>PopulationData!G28</f>
        <v>4557.0612025032115</v>
      </c>
      <c r="I40" s="69">
        <f>PopulationData!H28</f>
        <v>3363.9994621039914</v>
      </c>
      <c r="J40" s="69">
        <f>PopulationData!I28</f>
        <v>2175.8107179856215</v>
      </c>
      <c r="K40" s="69">
        <f>PopulationData!J28</f>
        <v>1858.4201415919458</v>
      </c>
      <c r="L40" s="73">
        <f t="shared" ref="L40:L54" si="11">SUM(F40:K40)</f>
        <v>22441.542443800005</v>
      </c>
      <c r="M40" s="69">
        <f t="shared" ref="M40:M54" si="12">SUM(I40:K40)</f>
        <v>7398.230321681559</v>
      </c>
      <c r="N40" s="69">
        <v>1384</v>
      </c>
      <c r="O40" s="69">
        <v>1626</v>
      </c>
      <c r="P40" s="332">
        <f t="shared" ref="P40:P54" si="13">SUM(L40:O40)</f>
        <v>32849.772765481568</v>
      </c>
      <c r="Q40" s="92">
        <f t="shared" ref="Q40:Q54" si="14">SUM(H40:K40)+N40+O40</f>
        <v>14965.29152418477</v>
      </c>
      <c r="R40" s="93"/>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row>
    <row r="41" spans="1:61" s="69" customFormat="1">
      <c r="A41" s="828"/>
      <c r="B41" s="69" t="s">
        <v>67</v>
      </c>
      <c r="C41" s="69" t="s">
        <v>116</v>
      </c>
      <c r="D41" s="73" t="s">
        <v>117</v>
      </c>
      <c r="E41" s="341">
        <v>1627</v>
      </c>
      <c r="F41" s="69">
        <f>PopulationData!E29</f>
        <v>2358.3142561362342</v>
      </c>
      <c r="G41" s="69">
        <f>PopulationData!F29</f>
        <v>2667.8772355313713</v>
      </c>
      <c r="H41" s="69">
        <f>PopulationData!G29</f>
        <v>2192.5426838380458</v>
      </c>
      <c r="I41" s="69">
        <f>PopulationData!H29</f>
        <v>1503.978068425622</v>
      </c>
      <c r="J41" s="69">
        <f>PopulationData!I29</f>
        <v>914.17564975109474</v>
      </c>
      <c r="K41" s="69">
        <f>PopulationData!J29</f>
        <v>793.57640164444626</v>
      </c>
      <c r="L41" s="73">
        <f t="shared" si="11"/>
        <v>10430.464295326814</v>
      </c>
      <c r="M41" s="69">
        <f t="shared" si="12"/>
        <v>3211.730119821163</v>
      </c>
      <c r="N41" s="69">
        <v>607</v>
      </c>
      <c r="O41" s="69">
        <v>651</v>
      </c>
      <c r="P41" s="332">
        <f t="shared" si="13"/>
        <v>14900.194415147977</v>
      </c>
      <c r="Q41" s="92">
        <f t="shared" si="14"/>
        <v>6662.2728036592089</v>
      </c>
      <c r="R41" s="93"/>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row>
    <row r="42" spans="1:61" s="69" customFormat="1" ht="16.5">
      <c r="A42" s="828"/>
      <c r="B42" s="822" t="s">
        <v>187</v>
      </c>
      <c r="C42" s="823"/>
      <c r="D42" s="824"/>
      <c r="E42" s="333">
        <f>SUM(E40:E41)</f>
        <v>3222</v>
      </c>
      <c r="F42" s="324">
        <f>SUM(F40:F41)</f>
        <v>7473.1740666295245</v>
      </c>
      <c r="G42" s="324">
        <f t="shared" ref="G42:O42" si="15">SUM(G40:G41)</f>
        <v>8039.2683446533165</v>
      </c>
      <c r="H42" s="324">
        <f t="shared" si="15"/>
        <v>6749.6038863412577</v>
      </c>
      <c r="I42" s="324">
        <f t="shared" si="15"/>
        <v>4867.9775305296134</v>
      </c>
      <c r="J42" s="324">
        <f t="shared" si="15"/>
        <v>3089.9863677367161</v>
      </c>
      <c r="K42" s="324">
        <f t="shared" si="15"/>
        <v>2651.996543236392</v>
      </c>
      <c r="L42" s="324">
        <f t="shared" si="15"/>
        <v>32872.006739126817</v>
      </c>
      <c r="M42" s="324">
        <f t="shared" si="15"/>
        <v>10609.960441502722</v>
      </c>
      <c r="N42" s="324">
        <f t="shared" si="15"/>
        <v>1991</v>
      </c>
      <c r="O42" s="324">
        <f t="shared" si="15"/>
        <v>2277</v>
      </c>
      <c r="P42" s="333">
        <f>SUM(P40:P41)</f>
        <v>47749.967180629545</v>
      </c>
      <c r="Q42" s="325">
        <f>SUM(Q40:Q41)</f>
        <v>21627.564327843978</v>
      </c>
      <c r="R42" s="93"/>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row>
    <row r="43" spans="1:61" ht="6.2" customHeight="1">
      <c r="A43" s="86"/>
      <c r="E43" s="335"/>
      <c r="P43" s="335"/>
      <c r="Q43" s="74"/>
      <c r="R43" s="93"/>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row>
    <row r="44" spans="1:61" s="69" customFormat="1">
      <c r="A44" s="829" t="s">
        <v>115</v>
      </c>
      <c r="B44" s="69" t="s">
        <v>66</v>
      </c>
      <c r="C44" s="69" t="s">
        <v>114</v>
      </c>
      <c r="D44" s="73" t="s">
        <v>115</v>
      </c>
      <c r="E44" s="341">
        <v>5036</v>
      </c>
      <c r="F44" s="69">
        <f>PopulationData!E26</f>
        <v>8960.3767588823212</v>
      </c>
      <c r="G44" s="69">
        <f>PopulationData!F26</f>
        <v>9331.2725299225276</v>
      </c>
      <c r="H44" s="69">
        <f>PopulationData!G26</f>
        <v>8092.6742957485712</v>
      </c>
      <c r="I44" s="69">
        <f>PopulationData!H26</f>
        <v>6043.9698516325443</v>
      </c>
      <c r="J44" s="69">
        <f>PopulationData!I26</f>
        <v>4014.5441015233218</v>
      </c>
      <c r="K44" s="69">
        <f>PopulationData!J26</f>
        <v>3936.3035868458819</v>
      </c>
      <c r="L44" s="73">
        <f>SUM(F44:K44)</f>
        <v>40379.141124555172</v>
      </c>
      <c r="M44" s="69">
        <f>SUM(I44:K44)</f>
        <v>13994.81754000175</v>
      </c>
      <c r="N44" s="69">
        <v>1967</v>
      </c>
      <c r="O44" s="69">
        <v>2113</v>
      </c>
      <c r="P44" s="332">
        <f>SUM(L44:O44)</f>
        <v>58453.958664556922</v>
      </c>
      <c r="Q44" s="92">
        <f>SUM(H44:K44)+N44+O44</f>
        <v>26167.491835750319</v>
      </c>
      <c r="R44" s="93"/>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row>
    <row r="45" spans="1:61" s="74" customFormat="1" ht="16.5">
      <c r="A45" s="830"/>
      <c r="B45" s="822" t="s">
        <v>187</v>
      </c>
      <c r="C45" s="823"/>
      <c r="D45" s="824"/>
      <c r="E45" s="338">
        <f>SUM(E44)</f>
        <v>5036</v>
      </c>
      <c r="F45" s="327">
        <f>SUM(F44)</f>
        <v>8960.3767588823212</v>
      </c>
      <c r="G45" s="327">
        <f t="shared" ref="G45:O45" si="16">SUM(G44)</f>
        <v>9331.2725299225276</v>
      </c>
      <c r="H45" s="327">
        <f t="shared" si="16"/>
        <v>8092.6742957485712</v>
      </c>
      <c r="I45" s="327">
        <f t="shared" si="16"/>
        <v>6043.9698516325443</v>
      </c>
      <c r="J45" s="327">
        <f t="shared" si="16"/>
        <v>4014.5441015233218</v>
      </c>
      <c r="K45" s="327">
        <f t="shared" si="16"/>
        <v>3936.3035868458819</v>
      </c>
      <c r="L45" s="327">
        <f t="shared" si="16"/>
        <v>40379.141124555172</v>
      </c>
      <c r="M45" s="327">
        <f t="shared" si="16"/>
        <v>13994.81754000175</v>
      </c>
      <c r="N45" s="327">
        <f t="shared" si="16"/>
        <v>1967</v>
      </c>
      <c r="O45" s="327">
        <f t="shared" si="16"/>
        <v>2113</v>
      </c>
      <c r="P45" s="338">
        <f>SUM(P44)</f>
        <v>58453.958664556922</v>
      </c>
      <c r="Q45" s="327">
        <f>SUM(Q44)</f>
        <v>26167.491835750319</v>
      </c>
      <c r="R45" s="93"/>
    </row>
    <row r="46" spans="1:61" ht="6.2" customHeight="1">
      <c r="A46" s="85"/>
      <c r="E46" s="335"/>
      <c r="P46" s="335"/>
      <c r="Q46" s="74"/>
      <c r="R46" s="93"/>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row>
    <row r="47" spans="1:61" s="69" customFormat="1">
      <c r="A47" s="819" t="s">
        <v>193</v>
      </c>
      <c r="B47" s="69" t="s">
        <v>72</v>
      </c>
      <c r="C47" s="69" t="s">
        <v>134</v>
      </c>
      <c r="D47" s="73" t="s">
        <v>135</v>
      </c>
      <c r="E47" s="341">
        <v>2032</v>
      </c>
      <c r="F47" s="69">
        <f>PopulationData!E45</f>
        <v>900.67076872419409</v>
      </c>
      <c r="G47" s="69">
        <f>PopulationData!F45</f>
        <v>800.43109384399509</v>
      </c>
      <c r="H47" s="69">
        <f>PopulationData!G45</f>
        <v>614.39084839019642</v>
      </c>
      <c r="I47" s="69">
        <f>PopulationData!H45</f>
        <v>402.26262238754362</v>
      </c>
      <c r="J47" s="69">
        <f>PopulationData!I45</f>
        <v>243.90046184529996</v>
      </c>
      <c r="K47" s="69">
        <f>PopulationData!J45</f>
        <v>204.10940832004854</v>
      </c>
      <c r="L47" s="73">
        <f>SUM(F47:K47)</f>
        <v>3165.7652035112778</v>
      </c>
      <c r="M47" s="69">
        <f t="shared" si="12"/>
        <v>850.27249255289212</v>
      </c>
      <c r="N47" s="69">
        <v>326</v>
      </c>
      <c r="O47" s="69">
        <v>91</v>
      </c>
      <c r="P47" s="332">
        <f>SUM(L47:O47)</f>
        <v>4433.0376960641697</v>
      </c>
      <c r="Q47" s="92">
        <f t="shared" si="14"/>
        <v>1881.6633409430885</v>
      </c>
      <c r="R47" s="93"/>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row>
    <row r="48" spans="1:61" s="69" customFormat="1">
      <c r="A48" s="820"/>
      <c r="B48" s="69" t="s">
        <v>72</v>
      </c>
      <c r="C48" s="69" t="s">
        <v>134</v>
      </c>
      <c r="D48" s="73" t="s">
        <v>136</v>
      </c>
      <c r="E48" s="341">
        <v>3216</v>
      </c>
      <c r="F48" s="69">
        <f>PopulationData!E46</f>
        <v>5027.2733349538375</v>
      </c>
      <c r="G48" s="69">
        <f>PopulationData!F46</f>
        <v>4544.9533114646456</v>
      </c>
      <c r="H48" s="69">
        <f>PopulationData!G46</f>
        <v>3376.7942073714967</v>
      </c>
      <c r="I48" s="69">
        <f>PopulationData!H46</f>
        <v>2272.9153945206008</v>
      </c>
      <c r="J48" s="69">
        <f>PopulationData!I46</f>
        <v>1504.466478549775</v>
      </c>
      <c r="K48" s="69">
        <f>PopulationData!J46</f>
        <v>1416.7474386731137</v>
      </c>
      <c r="L48" s="73">
        <f t="shared" si="11"/>
        <v>18143.150165533465</v>
      </c>
      <c r="M48" s="69">
        <f t="shared" si="12"/>
        <v>5194.1293117434898</v>
      </c>
      <c r="N48" s="69">
        <v>1623</v>
      </c>
      <c r="O48" s="69">
        <v>1202</v>
      </c>
      <c r="P48" s="332">
        <f t="shared" si="13"/>
        <v>26162.279477276956</v>
      </c>
      <c r="Q48" s="92">
        <f t="shared" si="14"/>
        <v>11395.923519114986</v>
      </c>
      <c r="R48" s="93"/>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row>
    <row r="49" spans="1:61" s="69" customFormat="1">
      <c r="A49" s="820"/>
      <c r="B49" s="69" t="s">
        <v>73</v>
      </c>
      <c r="C49" s="69" t="s">
        <v>137</v>
      </c>
      <c r="D49" s="73" t="s">
        <v>138</v>
      </c>
      <c r="E49" s="341">
        <v>3068</v>
      </c>
      <c r="F49" s="69">
        <f>PopulationData!E54</f>
        <v>1526.6766299172427</v>
      </c>
      <c r="G49" s="69">
        <f>PopulationData!F54</f>
        <v>1555.508110050017</v>
      </c>
      <c r="H49" s="69">
        <f>PopulationData!G54</f>
        <v>1270.8644495338986</v>
      </c>
      <c r="I49" s="69">
        <f>PopulationData!H54</f>
        <v>920.74702928861961</v>
      </c>
      <c r="J49" s="69">
        <f>PopulationData!I54</f>
        <v>591.45922320116301</v>
      </c>
      <c r="K49" s="69">
        <f>PopulationData!J54</f>
        <v>514.5471977631546</v>
      </c>
      <c r="L49" s="73">
        <f t="shared" si="11"/>
        <v>6379.8026397540943</v>
      </c>
      <c r="M49" s="69">
        <f t="shared" si="12"/>
        <v>2026.7534502529372</v>
      </c>
      <c r="N49" s="69">
        <v>223</v>
      </c>
      <c r="O49" s="69">
        <v>223</v>
      </c>
      <c r="P49" s="332">
        <f>SUM(L49:O49)</f>
        <v>8852.5560900070323</v>
      </c>
      <c r="Q49" s="92">
        <f t="shared" si="14"/>
        <v>3743.617899786836</v>
      </c>
      <c r="R49" s="93"/>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row>
    <row r="50" spans="1:61" s="69" customFormat="1">
      <c r="A50" s="820"/>
      <c r="B50" s="69" t="s">
        <v>73</v>
      </c>
      <c r="C50" s="69" t="s">
        <v>139</v>
      </c>
      <c r="D50" s="73" t="s">
        <v>139</v>
      </c>
      <c r="E50" s="341">
        <v>4529</v>
      </c>
      <c r="F50" s="69">
        <f>PopulationData!E55</f>
        <v>730.1366125117695</v>
      </c>
      <c r="G50" s="69">
        <f>PopulationData!F55</f>
        <v>811.65671458198767</v>
      </c>
      <c r="H50" s="69">
        <f>PopulationData!G55</f>
        <v>658.5494976123216</v>
      </c>
      <c r="I50" s="69">
        <f>PopulationData!H55</f>
        <v>511.06209202186824</v>
      </c>
      <c r="J50" s="69">
        <f>PopulationData!I55</f>
        <v>322.90890954838426</v>
      </c>
      <c r="K50" s="69">
        <f>PopulationData!J55</f>
        <v>309.13092675630764</v>
      </c>
      <c r="L50" s="73">
        <f t="shared" si="11"/>
        <v>3343.4447530326388</v>
      </c>
      <c r="M50" s="69">
        <f t="shared" si="12"/>
        <v>1143.10192832656</v>
      </c>
      <c r="N50" s="69">
        <v>126</v>
      </c>
      <c r="O50" s="69">
        <v>325</v>
      </c>
      <c r="P50" s="332">
        <f t="shared" si="13"/>
        <v>4937.5466813591993</v>
      </c>
      <c r="Q50" s="92">
        <f t="shared" si="14"/>
        <v>2252.6514259388814</v>
      </c>
      <c r="R50" s="93"/>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row>
    <row r="51" spans="1:61" s="69" customFormat="1">
      <c r="A51" s="820"/>
      <c r="B51" s="69" t="s">
        <v>73</v>
      </c>
      <c r="C51" s="69" t="s">
        <v>137</v>
      </c>
      <c r="D51" s="73" t="s">
        <v>140</v>
      </c>
      <c r="E51" s="341">
        <v>2037</v>
      </c>
      <c r="F51" s="69">
        <f>PopulationData!E56</f>
        <v>1896.6057126438404</v>
      </c>
      <c r="G51" s="69">
        <f>PopulationData!F56</f>
        <v>1971.4962605599167</v>
      </c>
      <c r="H51" s="69">
        <f>PopulationData!G56</f>
        <v>1532.9848089217037</v>
      </c>
      <c r="I51" s="69">
        <f>PopulationData!H56</f>
        <v>1040.3227298857553</v>
      </c>
      <c r="J51" s="69">
        <f>PopulationData!I56</f>
        <v>699.53070680755764</v>
      </c>
      <c r="K51" s="69">
        <f>PopulationData!J56</f>
        <v>793.48288263254722</v>
      </c>
      <c r="L51" s="73">
        <f t="shared" si="11"/>
        <v>7934.4231014513216</v>
      </c>
      <c r="M51" s="69">
        <f t="shared" si="12"/>
        <v>2533.3363193258601</v>
      </c>
      <c r="N51" s="69">
        <v>256</v>
      </c>
      <c r="O51" s="69">
        <v>301</v>
      </c>
      <c r="P51" s="332">
        <f t="shared" si="13"/>
        <v>11024.759420777182</v>
      </c>
      <c r="Q51" s="92">
        <f t="shared" si="14"/>
        <v>4623.321128247564</v>
      </c>
      <c r="R51" s="93"/>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row>
    <row r="52" spans="1:61" s="69" customFormat="1">
      <c r="A52" s="820"/>
      <c r="B52" s="69" t="s">
        <v>73</v>
      </c>
      <c r="C52" s="69" t="s">
        <v>137</v>
      </c>
      <c r="D52" s="73" t="s">
        <v>141</v>
      </c>
      <c r="E52" s="341">
        <v>3146</v>
      </c>
      <c r="F52" s="69">
        <f>PopulationData!E57</f>
        <v>664.57340214935562</v>
      </c>
      <c r="G52" s="69">
        <f>PopulationData!F57</f>
        <v>763.65573214052142</v>
      </c>
      <c r="H52" s="69">
        <f>PopulationData!G57</f>
        <v>577.56615910213304</v>
      </c>
      <c r="I52" s="69">
        <f>PopulationData!H57</f>
        <v>390.64358222474152</v>
      </c>
      <c r="J52" s="69">
        <f>PopulationData!I57</f>
        <v>271.37669984626575</v>
      </c>
      <c r="K52" s="69">
        <f>PopulationData!J57</f>
        <v>294.2658000903167</v>
      </c>
      <c r="L52" s="73">
        <f t="shared" si="11"/>
        <v>2962.0813755533341</v>
      </c>
      <c r="M52" s="69">
        <f t="shared" si="12"/>
        <v>956.28608216132398</v>
      </c>
      <c r="N52" s="69">
        <v>85</v>
      </c>
      <c r="O52" s="69">
        <v>169</v>
      </c>
      <c r="P52" s="332">
        <f t="shared" si="13"/>
        <v>4172.3674577146576</v>
      </c>
      <c r="Q52" s="92">
        <f t="shared" si="14"/>
        <v>1787.852241263457</v>
      </c>
      <c r="R52" s="93"/>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row>
    <row r="53" spans="1:61" s="69" customFormat="1">
      <c r="A53" s="820"/>
      <c r="B53" s="69" t="s">
        <v>74</v>
      </c>
      <c r="C53" s="69" t="s">
        <v>142</v>
      </c>
      <c r="D53" s="73" t="s">
        <v>143</v>
      </c>
      <c r="E53" s="341">
        <v>10133</v>
      </c>
      <c r="F53" s="69">
        <f>PopulationData!E60</f>
        <v>615.19876924259938</v>
      </c>
      <c r="G53" s="69">
        <f>PopulationData!F60</f>
        <v>633.49656228169397</v>
      </c>
      <c r="H53" s="69">
        <f>PopulationData!G60</f>
        <v>484.99364596356622</v>
      </c>
      <c r="I53" s="69">
        <f>PopulationData!H60</f>
        <v>360.54885603637854</v>
      </c>
      <c r="J53" s="69">
        <f>PopulationData!I60</f>
        <v>229.84997615667507</v>
      </c>
      <c r="K53" s="69">
        <f>PopulationData!J60</f>
        <v>214.66068111557496</v>
      </c>
      <c r="L53" s="73">
        <f t="shared" si="11"/>
        <v>2538.7484907964881</v>
      </c>
      <c r="M53" s="69">
        <f t="shared" si="12"/>
        <v>805.05951330862854</v>
      </c>
      <c r="N53" s="69">
        <v>154</v>
      </c>
      <c r="O53" s="69">
        <v>92</v>
      </c>
      <c r="P53" s="332">
        <f t="shared" si="13"/>
        <v>3589.8080041051167</v>
      </c>
      <c r="Q53" s="92">
        <f t="shared" si="14"/>
        <v>1536.0531592721948</v>
      </c>
      <c r="R53" s="93"/>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row>
    <row r="54" spans="1:61" s="69" customFormat="1">
      <c r="A54" s="820"/>
      <c r="B54" s="69" t="s">
        <v>75</v>
      </c>
      <c r="C54" s="69" t="s">
        <v>144</v>
      </c>
      <c r="D54" s="73" t="s">
        <v>145</v>
      </c>
      <c r="E54" s="341">
        <v>9888</v>
      </c>
      <c r="F54" s="69">
        <f>PopulationData!E62</f>
        <v>1923.8629533764556</v>
      </c>
      <c r="G54" s="69">
        <f>PopulationData!F62</f>
        <v>1913.7225096721281</v>
      </c>
      <c r="H54" s="69">
        <f>PopulationData!G62</f>
        <v>1558.8195591926758</v>
      </c>
      <c r="I54" s="69">
        <f>PopulationData!H62</f>
        <v>1116.0090117021859</v>
      </c>
      <c r="J54" s="69">
        <f>PopulationData!I62</f>
        <v>690.54887665687784</v>
      </c>
      <c r="K54" s="69">
        <f>PopulationData!J62</f>
        <v>774.38072991797173</v>
      </c>
      <c r="L54" s="73">
        <f t="shared" si="11"/>
        <v>7977.3436405182947</v>
      </c>
      <c r="M54" s="69">
        <f t="shared" si="12"/>
        <v>2580.9386182770354</v>
      </c>
      <c r="N54" s="69">
        <v>965</v>
      </c>
      <c r="O54" s="69">
        <v>558</v>
      </c>
      <c r="P54" s="332">
        <f t="shared" si="13"/>
        <v>12081.282258795331</v>
      </c>
      <c r="Q54" s="92">
        <f t="shared" si="14"/>
        <v>5662.758177469711</v>
      </c>
      <c r="R54" s="93"/>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row>
    <row r="55" spans="1:61" s="83" customFormat="1" ht="17.25" thickBot="1">
      <c r="A55" s="821"/>
      <c r="B55" s="816" t="s">
        <v>187</v>
      </c>
      <c r="C55" s="817"/>
      <c r="D55" s="818"/>
      <c r="E55" s="339">
        <f>SUM(E47:E54)</f>
        <v>38049</v>
      </c>
      <c r="F55" s="328">
        <f>SUM(F47:F54)</f>
        <v>13284.998183519296</v>
      </c>
      <c r="G55" s="328">
        <f t="shared" ref="G55:O55" si="17">SUM(G47:G54)</f>
        <v>12994.920294594905</v>
      </c>
      <c r="H55" s="328">
        <f t="shared" si="17"/>
        <v>10074.963176087993</v>
      </c>
      <c r="I55" s="328">
        <f t="shared" si="17"/>
        <v>7014.5113180676926</v>
      </c>
      <c r="J55" s="328">
        <f t="shared" si="17"/>
        <v>4554.0413326119979</v>
      </c>
      <c r="K55" s="328">
        <f t="shared" si="17"/>
        <v>4521.3250652690349</v>
      </c>
      <c r="L55" s="328">
        <f t="shared" si="17"/>
        <v>52444.759370150918</v>
      </c>
      <c r="M55" s="328">
        <f t="shared" si="17"/>
        <v>16089.877715948729</v>
      </c>
      <c r="N55" s="328">
        <f t="shared" si="17"/>
        <v>3758</v>
      </c>
      <c r="O55" s="328">
        <f t="shared" si="17"/>
        <v>2961</v>
      </c>
      <c r="P55" s="339">
        <f>SUM(P47:P54)</f>
        <v>75253.637086099639</v>
      </c>
      <c r="Q55" s="329">
        <f>SUM(Q47:Q54)</f>
        <v>32883.840892036722</v>
      </c>
      <c r="R55" s="93"/>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row>
    <row r="56" spans="1:61" ht="13.5" thickTop="1">
      <c r="Q56" s="95"/>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row>
    <row r="57" spans="1:61">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c r="BB57" s="74"/>
      <c r="BC57" s="74"/>
      <c r="BD57" s="74"/>
      <c r="BE57" s="74"/>
      <c r="BF57" s="74"/>
      <c r="BG57" s="74"/>
      <c r="BH57" s="74"/>
      <c r="BI57" s="74"/>
    </row>
    <row r="58" spans="1:61">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c r="BB58" s="74"/>
      <c r="BC58" s="74"/>
      <c r="BD58" s="74"/>
      <c r="BE58" s="74"/>
      <c r="BF58" s="74"/>
      <c r="BG58" s="74"/>
      <c r="BH58" s="74"/>
      <c r="BI58" s="74"/>
    </row>
    <row r="61" spans="1:61" ht="13.5">
      <c r="A61" s="72" t="s">
        <v>150</v>
      </c>
    </row>
    <row r="62" spans="1:61">
      <c r="A62" s="68"/>
    </row>
  </sheetData>
  <autoFilter ref="A2:Q54" xr:uid="{00000000-0009-0000-0000-000015000000}"/>
  <mergeCells count="30">
    <mergeCell ref="Q1:Q2"/>
    <mergeCell ref="B7:D7"/>
    <mergeCell ref="A3:A7"/>
    <mergeCell ref="A9:A14"/>
    <mergeCell ref="B14:D14"/>
    <mergeCell ref="K1:K2"/>
    <mergeCell ref="L1:L2"/>
    <mergeCell ref="M1:M2"/>
    <mergeCell ref="N1:N2"/>
    <mergeCell ref="O1:O2"/>
    <mergeCell ref="A1:A2"/>
    <mergeCell ref="F1:F2"/>
    <mergeCell ref="G1:G2"/>
    <mergeCell ref="H1:H2"/>
    <mergeCell ref="I1:I2"/>
    <mergeCell ref="J1:J2"/>
    <mergeCell ref="B19:D19"/>
    <mergeCell ref="A16:A19"/>
    <mergeCell ref="B22:D22"/>
    <mergeCell ref="A24:A26"/>
    <mergeCell ref="B26:D26"/>
    <mergeCell ref="A21:A22"/>
    <mergeCell ref="B55:D55"/>
    <mergeCell ref="A47:A55"/>
    <mergeCell ref="B38:D38"/>
    <mergeCell ref="B42:D42"/>
    <mergeCell ref="B45:D45"/>
    <mergeCell ref="A28:A38"/>
    <mergeCell ref="A40:A42"/>
    <mergeCell ref="A44:A45"/>
  </mergeCells>
  <pageMargins left="0.75" right="0.75" top="1.5" bottom="0.5" header="0.25" footer="0.5"/>
  <pageSetup scale="68" orientation="landscape" r:id="rId1"/>
  <headerFooter alignWithMargins="0">
    <oddFooter>&amp;R&amp;"Century Gothic,Regular"Page &amp;P</oddFooter>
  </headerFooter>
  <rowBreaks count="1" manualBreakCount="1">
    <brk id="5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tabColor rgb="FF00B0F0"/>
    <pageSetUpPr fitToPage="1"/>
  </sheetPr>
  <dimension ref="A1:M34"/>
  <sheetViews>
    <sheetView zoomScale="75" zoomScaleNormal="75" workbookViewId="0">
      <selection activeCell="J34" sqref="J34"/>
    </sheetView>
  </sheetViews>
  <sheetFormatPr defaultColWidth="9.140625" defaultRowHeight="15.75"/>
  <cols>
    <col min="1" max="1" width="9.140625" style="33" collapsed="1"/>
    <col min="2" max="2" width="133.42578125" style="57" customWidth="1" collapsed="1"/>
    <col min="3" max="16384" width="9.140625" style="33" collapsed="1"/>
  </cols>
  <sheetData>
    <row r="1" spans="1:13">
      <c r="A1" s="32" t="s">
        <v>162</v>
      </c>
      <c r="J1" s="32"/>
      <c r="K1" s="32"/>
      <c r="L1" s="32"/>
    </row>
    <row r="2" spans="1:13">
      <c r="A2" s="32"/>
      <c r="B2" s="58" t="s">
        <v>411</v>
      </c>
      <c r="C2" s="537"/>
      <c r="D2" s="34"/>
      <c r="E2" s="34"/>
      <c r="F2" s="35"/>
      <c r="G2" s="34"/>
      <c r="H2" s="34"/>
      <c r="I2" s="34"/>
      <c r="J2" s="34"/>
      <c r="K2" s="34"/>
      <c r="L2" s="34"/>
      <c r="M2" s="36"/>
    </row>
    <row r="3" spans="1:13">
      <c r="A3" s="32"/>
      <c r="B3" s="59" t="s">
        <v>413</v>
      </c>
      <c r="C3" s="537" t="s">
        <v>412</v>
      </c>
      <c r="D3" s="34"/>
      <c r="E3" s="34"/>
      <c r="F3" s="35"/>
      <c r="G3" s="34"/>
      <c r="H3" s="34"/>
      <c r="I3" s="34"/>
      <c r="J3" s="34"/>
      <c r="K3" s="34"/>
      <c r="L3" s="34"/>
      <c r="M3" s="36"/>
    </row>
    <row r="4" spans="1:13">
      <c r="A4" s="32"/>
      <c r="B4" s="59" t="s">
        <v>163</v>
      </c>
      <c r="C4" s="34"/>
      <c r="D4" s="34"/>
      <c r="E4" s="35"/>
      <c r="F4" s="35"/>
      <c r="G4" s="34"/>
      <c r="H4" s="34"/>
      <c r="I4" s="34"/>
      <c r="J4" s="35"/>
      <c r="K4" s="37"/>
      <c r="L4" s="34"/>
      <c r="M4" s="36"/>
    </row>
    <row r="5" spans="1:13">
      <c r="A5" s="32"/>
      <c r="B5" s="58"/>
      <c r="C5" s="39"/>
      <c r="D5" s="35"/>
      <c r="E5" s="37"/>
      <c r="F5" s="34"/>
      <c r="G5" s="37"/>
      <c r="H5" s="37"/>
      <c r="I5" s="37"/>
      <c r="J5" s="38"/>
      <c r="K5" s="38"/>
      <c r="L5" s="38"/>
    </row>
    <row r="6" spans="1:13">
      <c r="A6" s="33" t="s">
        <v>172</v>
      </c>
      <c r="B6" s="54"/>
      <c r="C6" s="36"/>
      <c r="D6" s="36"/>
      <c r="E6" s="36"/>
      <c r="F6" s="36"/>
      <c r="G6" s="36"/>
      <c r="H6" s="36"/>
      <c r="I6" s="36"/>
      <c r="J6" s="36"/>
      <c r="K6" s="36"/>
      <c r="L6" s="36"/>
      <c r="M6" s="32"/>
    </row>
    <row r="7" spans="1:13" ht="41.25" customHeight="1">
      <c r="A7" s="33" t="s">
        <v>410</v>
      </c>
      <c r="B7" s="58" t="s">
        <v>409</v>
      </c>
      <c r="C7" s="34"/>
      <c r="D7" s="34"/>
      <c r="E7" s="34"/>
      <c r="F7" s="35"/>
      <c r="G7" s="34"/>
      <c r="H7" s="34"/>
      <c r="I7" s="34"/>
      <c r="J7" s="36"/>
      <c r="K7" s="36"/>
      <c r="L7" s="36"/>
      <c r="M7" s="32"/>
    </row>
    <row r="8" spans="1:13">
      <c r="A8" s="33" t="s">
        <v>410</v>
      </c>
      <c r="B8" s="54" t="s">
        <v>164</v>
      </c>
      <c r="C8" s="36"/>
      <c r="D8" s="36"/>
      <c r="E8" s="36"/>
      <c r="F8" s="36"/>
      <c r="G8" s="36"/>
      <c r="H8" s="36"/>
      <c r="I8" s="36"/>
      <c r="J8" s="36"/>
      <c r="K8" s="36"/>
      <c r="L8" s="36"/>
      <c r="M8" s="32"/>
    </row>
    <row r="9" spans="1:13">
      <c r="A9" s="33" t="s">
        <v>410</v>
      </c>
      <c r="B9" s="54" t="s">
        <v>165</v>
      </c>
      <c r="C9" s="36"/>
      <c r="D9" s="36"/>
      <c r="E9" s="36"/>
      <c r="F9" s="36"/>
      <c r="G9" s="36"/>
      <c r="H9" s="36"/>
      <c r="I9" s="36"/>
      <c r="J9" s="36"/>
      <c r="K9" s="36"/>
      <c r="L9" s="36"/>
      <c r="M9" s="32"/>
    </row>
    <row r="10" spans="1:13">
      <c r="A10" s="33" t="s">
        <v>410</v>
      </c>
      <c r="B10" s="359" t="s">
        <v>407</v>
      </c>
      <c r="C10" s="36"/>
      <c r="D10" s="36"/>
      <c r="E10" s="36"/>
      <c r="F10" s="36"/>
      <c r="G10" s="36"/>
      <c r="H10" s="36"/>
      <c r="I10" s="36"/>
      <c r="J10" s="36"/>
      <c r="K10" s="36"/>
      <c r="L10" s="36"/>
      <c r="M10" s="32"/>
    </row>
    <row r="11" spans="1:13">
      <c r="A11" s="33" t="s">
        <v>410</v>
      </c>
      <c r="B11" s="60" t="s">
        <v>408</v>
      </c>
      <c r="C11" s="36"/>
      <c r="D11" s="36"/>
      <c r="E11" s="36"/>
      <c r="F11" s="36"/>
      <c r="G11" s="36"/>
      <c r="H11" s="36"/>
      <c r="I11" s="36"/>
      <c r="J11" s="36"/>
      <c r="K11" s="36"/>
      <c r="L11" s="36"/>
    </row>
    <row r="12" spans="1:13">
      <c r="A12" s="33" t="s">
        <v>410</v>
      </c>
      <c r="B12" s="54" t="s">
        <v>166</v>
      </c>
      <c r="C12" s="36"/>
      <c r="D12" s="36"/>
      <c r="E12" s="36"/>
      <c r="F12" s="36"/>
      <c r="G12" s="36"/>
      <c r="H12" s="36"/>
      <c r="I12" s="36"/>
      <c r="J12" s="36"/>
      <c r="K12" s="36"/>
      <c r="L12" s="36"/>
    </row>
    <row r="13" spans="1:13" ht="33.75" customHeight="1">
      <c r="B13" s="53" t="s">
        <v>414</v>
      </c>
      <c r="C13" s="53"/>
      <c r="D13" s="53"/>
      <c r="E13" s="53"/>
      <c r="F13" s="53"/>
      <c r="G13" s="53"/>
      <c r="H13" s="53"/>
      <c r="I13" s="53"/>
      <c r="J13" s="53"/>
      <c r="K13" s="53"/>
      <c r="L13" s="53"/>
      <c r="M13" s="53"/>
    </row>
    <row r="14" spans="1:13">
      <c r="B14" s="57" t="s">
        <v>321</v>
      </c>
      <c r="C14" s="36"/>
      <c r="D14" s="36"/>
      <c r="E14" s="36"/>
      <c r="F14" s="36"/>
      <c r="G14" s="36"/>
      <c r="H14" s="36"/>
      <c r="I14" s="36"/>
      <c r="J14" s="36"/>
      <c r="K14" s="36"/>
      <c r="L14" s="36"/>
    </row>
    <row r="15" spans="1:13">
      <c r="B15" s="59" t="s">
        <v>156</v>
      </c>
      <c r="C15" s="36"/>
      <c r="D15" s="36"/>
      <c r="E15" s="36"/>
      <c r="F15" s="36"/>
      <c r="G15" s="36"/>
      <c r="H15" s="36"/>
      <c r="I15" s="36"/>
      <c r="J15" s="36"/>
      <c r="K15" s="36"/>
      <c r="L15" s="36"/>
    </row>
    <row r="16" spans="1:13">
      <c r="B16" s="54" t="s">
        <v>415</v>
      </c>
      <c r="C16" s="36"/>
      <c r="D16" s="36"/>
      <c r="E16" s="36"/>
      <c r="F16" s="36"/>
      <c r="G16" s="36"/>
      <c r="H16" s="36"/>
      <c r="I16" s="36"/>
      <c r="J16" s="36"/>
      <c r="K16" s="36"/>
      <c r="L16" s="36"/>
    </row>
    <row r="17" spans="2:13">
      <c r="B17" s="54" t="s">
        <v>157</v>
      </c>
      <c r="C17" s="40"/>
      <c r="D17" s="40"/>
      <c r="E17" s="40"/>
      <c r="F17" s="40"/>
      <c r="G17" s="40"/>
      <c r="H17" s="40"/>
      <c r="I17" s="40"/>
      <c r="J17" s="40"/>
      <c r="K17" s="36"/>
      <c r="L17" s="36"/>
    </row>
    <row r="18" spans="2:13">
      <c r="B18" s="54" t="s">
        <v>158</v>
      </c>
      <c r="C18" s="40"/>
      <c r="D18" s="40"/>
      <c r="E18" s="40"/>
      <c r="F18" s="40"/>
      <c r="G18" s="40"/>
      <c r="H18" s="40"/>
      <c r="I18" s="40"/>
      <c r="J18" s="40"/>
      <c r="K18" s="36"/>
      <c r="L18" s="36"/>
    </row>
    <row r="19" spans="2:13">
      <c r="B19" s="54" t="s">
        <v>159</v>
      </c>
      <c r="C19" s="40"/>
      <c r="D19" s="40"/>
      <c r="E19" s="40"/>
      <c r="F19" s="40"/>
      <c r="G19" s="40"/>
      <c r="H19" s="40"/>
      <c r="I19" s="40"/>
      <c r="J19" s="40"/>
      <c r="K19" s="36"/>
      <c r="L19" s="36"/>
    </row>
    <row r="20" spans="2:13">
      <c r="B20" s="347" t="s">
        <v>160</v>
      </c>
      <c r="C20" s="40"/>
      <c r="D20" s="40"/>
      <c r="E20" s="40"/>
      <c r="F20" s="40"/>
      <c r="G20" s="40"/>
      <c r="H20" s="40"/>
      <c r="I20" s="40"/>
      <c r="J20" s="40"/>
      <c r="K20" s="36"/>
      <c r="L20" s="36"/>
    </row>
    <row r="21" spans="2:13" ht="31.5">
      <c r="B21" s="54" t="s">
        <v>161</v>
      </c>
      <c r="C21" s="40"/>
      <c r="D21" s="40"/>
      <c r="E21" s="40"/>
      <c r="F21" s="40"/>
      <c r="G21" s="40"/>
      <c r="H21" s="40"/>
      <c r="I21" s="40"/>
      <c r="J21" s="40"/>
      <c r="K21" s="36"/>
      <c r="L21" s="36"/>
    </row>
    <row r="22" spans="2:13" ht="21" customHeight="1">
      <c r="B22" s="53" t="s">
        <v>152</v>
      </c>
      <c r="C22" s="53"/>
      <c r="D22" s="53"/>
      <c r="E22" s="53"/>
      <c r="F22" s="53"/>
      <c r="G22" s="53"/>
      <c r="H22" s="53"/>
      <c r="I22" s="53"/>
      <c r="J22" s="53"/>
      <c r="K22" s="53"/>
      <c r="L22" s="53"/>
      <c r="M22" s="53"/>
    </row>
    <row r="23" spans="2:13">
      <c r="B23" s="61"/>
      <c r="C23" s="40"/>
      <c r="D23" s="40"/>
      <c r="E23" s="40"/>
      <c r="F23" s="40"/>
      <c r="G23" s="40"/>
      <c r="H23" s="40"/>
      <c r="I23" s="40"/>
      <c r="J23" s="40"/>
      <c r="K23" s="36"/>
      <c r="L23" s="36"/>
    </row>
    <row r="24" spans="2:13">
      <c r="B24" s="59" t="s">
        <v>154</v>
      </c>
      <c r="C24" s="40"/>
      <c r="D24" s="40"/>
      <c r="E24" s="40"/>
      <c r="F24" s="40"/>
      <c r="G24" s="40"/>
      <c r="H24" s="40"/>
      <c r="I24" s="40"/>
      <c r="J24" s="40"/>
      <c r="K24" s="36"/>
      <c r="L24" s="36"/>
    </row>
    <row r="25" spans="2:13">
      <c r="B25" s="54" t="s">
        <v>328</v>
      </c>
      <c r="C25" s="36"/>
      <c r="D25" s="36"/>
      <c r="E25" s="36"/>
      <c r="F25" s="36"/>
      <c r="G25" s="36"/>
      <c r="H25" s="36"/>
      <c r="I25" s="36"/>
      <c r="J25" s="36"/>
      <c r="K25" s="36"/>
      <c r="L25" s="36"/>
    </row>
    <row r="26" spans="2:13" ht="15" customHeight="1">
      <c r="B26" s="54" t="s">
        <v>329</v>
      </c>
      <c r="C26" s="40"/>
      <c r="D26" s="40"/>
      <c r="E26" s="40"/>
      <c r="F26" s="40"/>
      <c r="G26" s="40"/>
      <c r="H26" s="40"/>
      <c r="I26" s="40"/>
      <c r="J26" s="40"/>
      <c r="K26" s="36"/>
      <c r="L26" s="36"/>
    </row>
    <row r="27" spans="2:13" ht="30">
      <c r="B27" s="347" t="s">
        <v>330</v>
      </c>
      <c r="C27" s="40"/>
      <c r="D27" s="40"/>
      <c r="E27" s="40"/>
      <c r="F27" s="40"/>
      <c r="G27" s="40"/>
      <c r="H27" s="40"/>
      <c r="I27" s="40"/>
      <c r="J27" s="40"/>
      <c r="K27" s="36"/>
      <c r="L27" s="36"/>
    </row>
    <row r="28" spans="2:13" ht="31.5">
      <c r="B28" s="61" t="s">
        <v>155</v>
      </c>
      <c r="C28" s="40"/>
      <c r="D28" s="40"/>
      <c r="E28" s="40"/>
      <c r="F28" s="40"/>
      <c r="G28" s="40"/>
      <c r="H28" s="40"/>
      <c r="I28" s="40"/>
      <c r="J28" s="40"/>
      <c r="K28" s="36"/>
      <c r="L28" s="36"/>
    </row>
    <row r="29" spans="2:13" ht="57" customHeight="1">
      <c r="B29" s="53" t="s">
        <v>153</v>
      </c>
      <c r="C29" s="53"/>
      <c r="D29" s="53"/>
      <c r="E29" s="53"/>
      <c r="F29" s="53"/>
      <c r="G29" s="53"/>
      <c r="H29" s="53"/>
      <c r="I29" s="53"/>
      <c r="J29" s="53"/>
      <c r="K29" s="53"/>
      <c r="L29" s="53"/>
      <c r="M29" s="53"/>
    </row>
    <row r="30" spans="2:13">
      <c r="B30" s="62"/>
      <c r="C30" s="41"/>
      <c r="D30" s="41"/>
      <c r="E30" s="41"/>
      <c r="F30" s="41"/>
      <c r="G30" s="41"/>
      <c r="H30" s="41"/>
      <c r="I30" s="41"/>
      <c r="J30" s="41"/>
    </row>
    <row r="31" spans="2:13">
      <c r="B31" s="62"/>
      <c r="C31" s="41"/>
      <c r="D31" s="41"/>
      <c r="E31" s="41"/>
      <c r="F31" s="41"/>
      <c r="G31" s="41"/>
      <c r="H31" s="41"/>
      <c r="I31" s="41"/>
      <c r="J31" s="41"/>
    </row>
    <row r="32" spans="2:13">
      <c r="B32" s="63"/>
      <c r="C32" s="42"/>
      <c r="D32" s="42"/>
      <c r="E32" s="42"/>
      <c r="F32" s="42"/>
      <c r="G32" s="42"/>
      <c r="H32" s="42"/>
      <c r="I32" s="42"/>
      <c r="J32" s="43"/>
      <c r="K32" s="44"/>
      <c r="L32" s="32"/>
    </row>
    <row r="33" spans="1:9">
      <c r="B33" s="64"/>
      <c r="C33" s="45"/>
      <c r="D33" s="43"/>
      <c r="E33" s="44"/>
      <c r="F33" s="32"/>
      <c r="G33" s="44"/>
      <c r="H33" s="44"/>
      <c r="I33" s="44"/>
    </row>
    <row r="34" spans="1:9">
      <c r="A34" s="32"/>
    </row>
  </sheetData>
  <hyperlinks>
    <hyperlink ref="B20" r:id="rId1" xr:uid="{00000000-0004-0000-1600-000001000000}"/>
    <hyperlink ref="C3" r:id="rId2" xr:uid="{A491B1E1-AAF1-46A7-A531-50FD33EFFAA5}"/>
    <hyperlink ref="B10" r:id="rId3" xr:uid="{8C7718F0-D3A9-41D4-B3A3-689E77162CF9}"/>
    <hyperlink ref="B27" r:id="rId4" xr:uid="{B197E034-1C4A-4604-BA71-C98381C79A3F}"/>
  </hyperlinks>
  <pageMargins left="0.75" right="0.75" top="1.5" bottom="0.5" header="0.25" footer="0.5"/>
  <pageSetup scale="82" orientation="landscape" r:id="rId5"/>
  <headerFooter alignWithMargins="0">
    <oddHeader xml:space="preserve">&amp;C&amp;"Arial Black,Bold"&amp;14
AAA 2023-2025 PLANNING ALLOCATION
</oddHeader>
    <oddFooter>&amp;R&amp;"Century Gothic,Regular"Page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pageSetUpPr fitToPage="1"/>
  </sheetPr>
  <dimension ref="A1:B18"/>
  <sheetViews>
    <sheetView workbookViewId="0">
      <selection activeCell="A41" sqref="A41"/>
    </sheetView>
  </sheetViews>
  <sheetFormatPr defaultRowHeight="15"/>
  <cols>
    <col min="1" max="1" width="24.7109375" bestFit="1" customWidth="1" collapsed="1"/>
    <col min="2" max="2" width="12" customWidth="1" collapsed="1"/>
  </cols>
  <sheetData>
    <row r="1" spans="1:2">
      <c r="A1" s="2" t="s">
        <v>0</v>
      </c>
      <c r="B1" s="2" t="s">
        <v>58</v>
      </c>
    </row>
    <row r="2" spans="1:2">
      <c r="A2" s="3" t="s">
        <v>1</v>
      </c>
      <c r="B2" s="3" t="s">
        <v>59</v>
      </c>
    </row>
    <row r="3" spans="1:2">
      <c r="A3" s="3" t="s">
        <v>2</v>
      </c>
      <c r="B3" s="3" t="s">
        <v>60</v>
      </c>
    </row>
    <row r="4" spans="1:2">
      <c r="A4" s="3" t="s">
        <v>3</v>
      </c>
      <c r="B4" s="3" t="s">
        <v>61</v>
      </c>
    </row>
    <row r="5" spans="1:2">
      <c r="A5" s="3" t="s">
        <v>4</v>
      </c>
      <c r="B5" s="3" t="s">
        <v>183</v>
      </c>
    </row>
    <row r="6" spans="1:2">
      <c r="A6" s="3" t="s">
        <v>5</v>
      </c>
      <c r="B6" s="3" t="s">
        <v>63</v>
      </c>
    </row>
    <row r="7" spans="1:2">
      <c r="A7" s="3" t="s">
        <v>6</v>
      </c>
      <c r="B7" s="3" t="s">
        <v>64</v>
      </c>
    </row>
    <row r="8" spans="1:2">
      <c r="A8" s="3" t="s">
        <v>7</v>
      </c>
      <c r="B8" s="3" t="s">
        <v>65</v>
      </c>
    </row>
    <row r="9" spans="1:2">
      <c r="A9" s="3" t="s">
        <v>8</v>
      </c>
      <c r="B9" s="3" t="s">
        <v>66</v>
      </c>
    </row>
    <row r="10" spans="1:2">
      <c r="A10" s="3" t="s">
        <v>9</v>
      </c>
      <c r="B10" s="3" t="s">
        <v>67</v>
      </c>
    </row>
    <row r="11" spans="1:2">
      <c r="A11" s="3" t="s">
        <v>10</v>
      </c>
      <c r="B11" s="3" t="s">
        <v>68</v>
      </c>
    </row>
    <row r="12" spans="1:2">
      <c r="A12" s="3" t="s">
        <v>11</v>
      </c>
      <c r="B12" s="3" t="s">
        <v>69</v>
      </c>
    </row>
    <row r="13" spans="1:2">
      <c r="A13" s="3" t="s">
        <v>12</v>
      </c>
      <c r="B13" s="3" t="s">
        <v>70</v>
      </c>
    </row>
    <row r="14" spans="1:2">
      <c r="A14" s="3" t="s">
        <v>13</v>
      </c>
      <c r="B14" s="3" t="s">
        <v>71</v>
      </c>
    </row>
    <row r="15" spans="1:2">
      <c r="A15" s="3" t="s">
        <v>57</v>
      </c>
      <c r="B15" s="3" t="s">
        <v>72</v>
      </c>
    </row>
    <row r="16" spans="1:2">
      <c r="A16" s="3" t="s">
        <v>14</v>
      </c>
      <c r="B16" s="3" t="s">
        <v>73</v>
      </c>
    </row>
    <row r="17" spans="1:2">
      <c r="A17" s="3" t="s">
        <v>15</v>
      </c>
      <c r="B17" s="3" t="s">
        <v>74</v>
      </c>
    </row>
    <row r="18" spans="1:2">
      <c r="A18" s="3" t="s">
        <v>16</v>
      </c>
      <c r="B18" s="3" t="s">
        <v>75</v>
      </c>
    </row>
  </sheetData>
  <pageMargins left="0.75" right="0.75" top="1.5" bottom="0.5" header="0.25" footer="0.5"/>
  <pageSetup orientation="landscape" r:id="rId1"/>
  <headerFooter alignWithMargins="0">
    <oddHeader xml:space="preserve">&amp;L&amp;G&amp;C&amp;"Arial Black,Bold"&amp;14
AAA 2019-2021 PLANNING ALLOCATION
Amendment 1
</oddHeader>
    <oddFooter>&amp;R&amp;"Century Gothic,Regular"Page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Q31"/>
  <sheetViews>
    <sheetView showGridLines="0" zoomScale="115" zoomScaleNormal="115" zoomScaleSheetLayoutView="75" zoomScalePageLayoutView="50" workbookViewId="0">
      <selection activeCell="E33" sqref="E33"/>
    </sheetView>
  </sheetViews>
  <sheetFormatPr defaultRowHeight="15"/>
  <cols>
    <col min="1" max="1" width="14.5703125" style="25" customWidth="1" collapsed="1"/>
    <col min="2" max="2" width="15.140625" customWidth="1" collapsed="1"/>
    <col min="3" max="3" width="12.140625" style="140" customWidth="1" collapsed="1"/>
    <col min="4" max="4" width="16" customWidth="1" collapsed="1"/>
    <col min="5" max="5" width="14.5703125" style="140" customWidth="1" collapsed="1"/>
    <col min="6" max="6" width="16.28515625" customWidth="1" collapsed="1"/>
    <col min="7" max="7" width="17.28515625" style="140" customWidth="1" collapsed="1"/>
    <col min="8" max="8" width="17.85546875" customWidth="1" collapsed="1"/>
    <col min="9" max="9" width="13.28515625" style="140" customWidth="1" collapsed="1"/>
    <col min="10" max="10" width="14" customWidth="1" collapsed="1"/>
    <col min="11" max="11" width="11.5703125" style="140" customWidth="1" collapsed="1"/>
    <col min="12" max="12" width="11.28515625" customWidth="1" collapsed="1"/>
    <col min="13" max="13" width="14.28515625" customWidth="1" collapsed="1"/>
    <col min="14" max="14" width="11.5703125" customWidth="1" collapsed="1"/>
    <col min="15" max="15" width="10.42578125" customWidth="1" collapsed="1"/>
    <col min="16" max="16" width="11.42578125" customWidth="1" collapsed="1"/>
    <col min="17" max="17" width="11" customWidth="1" collapsed="1"/>
  </cols>
  <sheetData>
    <row r="1" spans="1:12" ht="27.75" customHeight="1" thickTop="1" thickBot="1">
      <c r="A1" s="232"/>
      <c r="B1" s="233"/>
      <c r="C1" s="234"/>
      <c r="D1" s="779" t="s">
        <v>259</v>
      </c>
      <c r="E1" s="780"/>
      <c r="F1" s="775" t="s">
        <v>228</v>
      </c>
      <c r="G1" s="776"/>
      <c r="H1" s="777" t="s">
        <v>21</v>
      </c>
      <c r="I1" s="778"/>
      <c r="J1" s="781" t="s">
        <v>463</v>
      </c>
      <c r="K1" s="782"/>
    </row>
    <row r="2" spans="1:12" s="188" customFormat="1" ht="91.15" customHeight="1" thickTop="1">
      <c r="A2" s="202" t="s">
        <v>58</v>
      </c>
      <c r="B2" s="203" t="s">
        <v>238</v>
      </c>
      <c r="C2" s="204" t="s">
        <v>233</v>
      </c>
      <c r="D2" s="203" t="s">
        <v>234</v>
      </c>
      <c r="E2" s="204" t="s">
        <v>235</v>
      </c>
      <c r="F2" s="203" t="s">
        <v>236</v>
      </c>
      <c r="G2" s="204" t="s">
        <v>237</v>
      </c>
      <c r="H2" s="203" t="s">
        <v>234</v>
      </c>
      <c r="I2" s="204" t="s">
        <v>237</v>
      </c>
      <c r="J2" s="205" t="s">
        <v>433</v>
      </c>
      <c r="K2" s="225" t="s">
        <v>77</v>
      </c>
    </row>
    <row r="3" spans="1:12" ht="18.75">
      <c r="A3" s="206" t="s">
        <v>72</v>
      </c>
      <c r="B3" s="207">
        <f>PopulationData!Q52</f>
        <v>11893.84</v>
      </c>
      <c r="C3" s="208">
        <f t="shared" ref="C3:C18" si="0">B3/$B$19</f>
        <v>0.12390959082927511</v>
      </c>
      <c r="D3" s="207">
        <f>PopulationData!O52</f>
        <v>53519.548958423526</v>
      </c>
      <c r="E3" s="208">
        <f t="shared" ref="E3:E18" si="1">D3/$D$19</f>
        <v>3.7652820005503324E-2</v>
      </c>
      <c r="F3" s="226">
        <f>PopulationData!R52</f>
        <v>16019.347895388983</v>
      </c>
      <c r="G3" s="227">
        <f t="shared" ref="G3:G18" si="2">F3/$F$19</f>
        <v>3.5568576624560991E-2</v>
      </c>
      <c r="H3" s="228">
        <f>PopulationData!O52-PopulationData!E52+PopulationData!P52</f>
        <v>66314.008289147649</v>
      </c>
      <c r="I3" s="227">
        <f t="shared" ref="I3:I18" si="3">H3/$H$19</f>
        <v>3.6839398511273547E-2</v>
      </c>
      <c r="J3" s="229">
        <f>77778+36124</f>
        <v>113902</v>
      </c>
      <c r="K3" s="220">
        <f t="shared" ref="K3:K18" si="4">J3/$J$19</f>
        <v>4.451480882808128E-2</v>
      </c>
      <c r="L3" t="s">
        <v>220</v>
      </c>
    </row>
    <row r="4" spans="1:12" ht="18.75">
      <c r="A4" s="206" t="s">
        <v>61</v>
      </c>
      <c r="B4" s="207">
        <f>PopulationData!Q13</f>
        <v>657.36</v>
      </c>
      <c r="C4" s="208">
        <f t="shared" si="0"/>
        <v>6.8483524772094025E-3</v>
      </c>
      <c r="D4" s="207">
        <f>PopulationData!O13</f>
        <v>20022.088405544506</v>
      </c>
      <c r="E4" s="208">
        <f t="shared" si="1"/>
        <v>1.408621906462436E-2</v>
      </c>
      <c r="F4" s="226">
        <f>PopulationData!R13</f>
        <v>5080.7850018699874</v>
      </c>
      <c r="G4" s="227">
        <f t="shared" si="2"/>
        <v>1.1281126537238784E-2</v>
      </c>
      <c r="H4" s="228">
        <f>PopulationData!O13-PopulationData!E13+PopulationData!P13</f>
        <v>23727.246766572163</v>
      </c>
      <c r="I4" s="227">
        <f t="shared" si="3"/>
        <v>1.3181189340836837E-2</v>
      </c>
      <c r="J4" s="229">
        <f>48193+17004</f>
        <v>65197</v>
      </c>
      <c r="K4" s="220">
        <f t="shared" si="4"/>
        <v>2.5480079288901118E-2</v>
      </c>
    </row>
    <row r="5" spans="1:12" ht="18.75">
      <c r="A5" s="206" t="s">
        <v>73</v>
      </c>
      <c r="B5" s="207">
        <f>PopulationData!Q58</f>
        <v>12779.7</v>
      </c>
      <c r="C5" s="208">
        <f t="shared" si="0"/>
        <v>0.13313844796305374</v>
      </c>
      <c r="D5" s="207">
        <f>PopulationData!O58</f>
        <v>28987.229649858069</v>
      </c>
      <c r="E5" s="208">
        <f t="shared" si="1"/>
        <v>2.0393500350912613E-2</v>
      </c>
      <c r="F5" s="226">
        <f>PopulationData!R58</f>
        <v>8367.4777800666816</v>
      </c>
      <c r="G5" s="227">
        <f t="shared" si="2"/>
        <v>1.8578738442922519E-2</v>
      </c>
      <c r="H5" s="228">
        <f>PopulationData!O58-PopulationData!E58+PopulationData!P58</f>
        <v>36576.679987872601</v>
      </c>
      <c r="I5" s="227">
        <f t="shared" si="3"/>
        <v>2.0319430615885068E-2</v>
      </c>
      <c r="J5" s="229">
        <f>57304+40225</f>
        <v>97529</v>
      </c>
      <c r="K5" s="220">
        <f t="shared" si="4"/>
        <v>3.8115966270951686E-2</v>
      </c>
    </row>
    <row r="6" spans="1:12" ht="18.75">
      <c r="A6" s="206" t="s">
        <v>60</v>
      </c>
      <c r="B6" s="207">
        <f>PopulationData!Q11</f>
        <v>1870.32</v>
      </c>
      <c r="C6" s="208">
        <f t="shared" si="0"/>
        <v>1.9484925467284728E-2</v>
      </c>
      <c r="D6" s="207">
        <f>PopulationData!O11</f>
        <v>160174.01036252599</v>
      </c>
      <c r="E6" s="208">
        <f t="shared" si="1"/>
        <v>0.11268785516905194</v>
      </c>
      <c r="F6" s="226">
        <f>PopulationData!R11</f>
        <v>39528.221459428707</v>
      </c>
      <c r="G6" s="227">
        <f t="shared" si="2"/>
        <v>8.7766529760989767E-2</v>
      </c>
      <c r="H6" s="228">
        <f>PopulationData!O11-PopulationData!E11+PopulationData!P11</f>
        <v>186167.12733509872</v>
      </c>
      <c r="I6" s="227">
        <f t="shared" si="3"/>
        <v>0.1034213610447534</v>
      </c>
      <c r="J6" s="229">
        <f>237054+43507</f>
        <v>280561</v>
      </c>
      <c r="K6" s="220">
        <f t="shared" si="4"/>
        <v>0.10964793664391592</v>
      </c>
    </row>
    <row r="7" spans="1:12" ht="18.75">
      <c r="A7" s="206" t="s">
        <v>555</v>
      </c>
      <c r="B7" s="207">
        <f>PopulationData!Q39</f>
        <v>7778.0700000000006</v>
      </c>
      <c r="C7" s="208">
        <f t="shared" si="0"/>
        <v>8.1031649252172544E-2</v>
      </c>
      <c r="D7" s="207">
        <f>PopulationData!O39</f>
        <v>93281.008848851881</v>
      </c>
      <c r="E7" s="208">
        <f t="shared" si="1"/>
        <v>6.5626357181113301E-2</v>
      </c>
      <c r="F7" s="226">
        <f>PopulationData!R39</f>
        <v>26052.683213133339</v>
      </c>
      <c r="G7" s="227">
        <f t="shared" si="2"/>
        <v>5.7846103673700501E-2</v>
      </c>
      <c r="H7" s="228">
        <f>PopulationData!O39-PopulationData!E39+PopulationData!P39</f>
        <v>115775.33244809302</v>
      </c>
      <c r="I7" s="227">
        <f t="shared" si="3"/>
        <v>6.4316631129179749E-2</v>
      </c>
      <c r="J7" s="229">
        <f>94730+38941</f>
        <v>133671</v>
      </c>
      <c r="K7" s="220">
        <f t="shared" si="4"/>
        <v>5.2240865049414872E-2</v>
      </c>
    </row>
    <row r="8" spans="1:12" ht="18.75">
      <c r="A8" s="206" t="s">
        <v>173</v>
      </c>
      <c r="B8" s="207">
        <f>PopulationData!Q26</f>
        <v>5036.08</v>
      </c>
      <c r="C8" s="208">
        <f t="shared" si="0"/>
        <v>5.2465697552976642E-2</v>
      </c>
      <c r="D8" s="207">
        <f>PopulationData!O26</f>
        <v>58453.958664556922</v>
      </c>
      <c r="E8" s="208">
        <f t="shared" si="1"/>
        <v>4.1124344786902044E-2</v>
      </c>
      <c r="F8" s="226">
        <f>PopulationData!R26</f>
        <v>18074.81754000175</v>
      </c>
      <c r="G8" s="227">
        <f t="shared" si="2"/>
        <v>4.0132440898643734E-2</v>
      </c>
      <c r="H8" s="228">
        <f>PopulationData!O26-PopulationData!E26+PopulationData!P26</f>
        <v>75661.073741424916</v>
      </c>
      <c r="I8" s="227">
        <f t="shared" si="3"/>
        <v>4.2031970608649709E-2</v>
      </c>
      <c r="J8" s="229">
        <f>35966+31086</f>
        <v>67052</v>
      </c>
      <c r="K8" s="220">
        <f t="shared" si="4"/>
        <v>2.6205044349884164E-2</v>
      </c>
    </row>
    <row r="9" spans="1:12" ht="18.75">
      <c r="A9" s="206" t="s">
        <v>74</v>
      </c>
      <c r="B9" s="207">
        <f>PopulationData!Q60</f>
        <v>10133.17</v>
      </c>
      <c r="C9" s="208">
        <f t="shared" si="0"/>
        <v>0.10556699505823902</v>
      </c>
      <c r="D9" s="207">
        <f>PopulationData!O60</f>
        <v>3589.8080041051167</v>
      </c>
      <c r="E9" s="208">
        <f t="shared" si="1"/>
        <v>2.5255518266398065E-3</v>
      </c>
      <c r="F9" s="226">
        <f>PopulationData!R60</f>
        <v>1051.0595133086285</v>
      </c>
      <c r="G9" s="227">
        <f t="shared" si="2"/>
        <v>2.3337211402252251E-3</v>
      </c>
      <c r="H9" s="228">
        <f>PopulationData!O60-PopulationData!E60+PopulationData!P60</f>
        <v>4510.6623941347116</v>
      </c>
      <c r="I9" s="227">
        <f t="shared" si="3"/>
        <v>2.5058067484443973E-3</v>
      </c>
      <c r="J9" s="229">
        <f>6710+7484</f>
        <v>14194</v>
      </c>
      <c r="K9" s="220">
        <f t="shared" si="4"/>
        <v>5.5472528709398046E-3</v>
      </c>
    </row>
    <row r="10" spans="1:12" ht="18.75">
      <c r="A10" s="206" t="s">
        <v>71</v>
      </c>
      <c r="B10" s="207">
        <f>PopulationData!Q43</f>
        <v>14080.029999999999</v>
      </c>
      <c r="C10" s="208">
        <f t="shared" si="0"/>
        <v>0.14668523842290784</v>
      </c>
      <c r="D10" s="207">
        <f>PopulationData!O43</f>
        <v>34590.664973565348</v>
      </c>
      <c r="E10" s="208">
        <f t="shared" si="1"/>
        <v>2.433570737175153E-2</v>
      </c>
      <c r="F10" s="226">
        <f>PopulationData!R43</f>
        <v>10738.867531028998</v>
      </c>
      <c r="G10" s="227">
        <f t="shared" si="2"/>
        <v>2.3844056270752468E-2</v>
      </c>
      <c r="H10" s="228">
        <f>PopulationData!O43-PopulationData!E43+PopulationData!P43</f>
        <v>44457.852143319556</v>
      </c>
      <c r="I10" s="227">
        <f t="shared" si="3"/>
        <v>2.4697655507743659E-2</v>
      </c>
      <c r="J10" s="229">
        <f>31708+30123</f>
        <v>61831</v>
      </c>
      <c r="K10" s="220">
        <f t="shared" si="4"/>
        <v>2.4164590127031076E-2</v>
      </c>
    </row>
    <row r="11" spans="1:12" ht="18.75">
      <c r="A11" s="206" t="s">
        <v>65</v>
      </c>
      <c r="B11" s="207">
        <f>PopulationData!Q24</f>
        <v>4553.12</v>
      </c>
      <c r="C11" s="208">
        <f t="shared" si="0"/>
        <v>4.7434237907739554E-2</v>
      </c>
      <c r="D11" s="207">
        <f>PopulationData!O24</f>
        <v>41504.198761322419</v>
      </c>
      <c r="E11" s="208">
        <f t="shared" si="1"/>
        <v>2.9199613147837325E-2</v>
      </c>
      <c r="F11" s="226">
        <f>PopulationData!R24</f>
        <v>41504.198761322419</v>
      </c>
      <c r="G11" s="227">
        <f t="shared" si="2"/>
        <v>9.2153893124952299E-2</v>
      </c>
      <c r="H11" s="228">
        <f>PopulationData!O24-PopulationData!E24+PopulationData!P24</f>
        <v>78458.611021650329</v>
      </c>
      <c r="I11" s="227">
        <f t="shared" si="3"/>
        <v>4.3586085544169817E-2</v>
      </c>
      <c r="J11" s="229">
        <f>155254+59155</f>
        <v>214409</v>
      </c>
      <c r="K11" s="220">
        <f t="shared" si="4"/>
        <v>8.3794627364050481E-2</v>
      </c>
    </row>
    <row r="12" spans="1:12" ht="18.75">
      <c r="A12" s="206" t="s">
        <v>183</v>
      </c>
      <c r="B12" s="207">
        <f>PopulationData!Q15</f>
        <v>431.3</v>
      </c>
      <c r="C12" s="208">
        <f t="shared" si="0"/>
        <v>4.4932676515462081E-3</v>
      </c>
      <c r="D12" s="207">
        <f>PopulationData!O15</f>
        <v>229504.36748472252</v>
      </c>
      <c r="E12" s="208">
        <f t="shared" si="1"/>
        <v>0.16146411559059018</v>
      </c>
      <c r="F12" s="226">
        <f>PopulationData!R15</f>
        <v>71079.11695238117</v>
      </c>
      <c r="G12" s="227">
        <f t="shared" si="2"/>
        <v>0.15782059508518542</v>
      </c>
      <c r="H12" s="228">
        <f>PopulationData!O15-PopulationData!E15+PopulationData!P15</f>
        <v>286051.69557871053</v>
      </c>
      <c r="I12" s="227">
        <f t="shared" si="3"/>
        <v>0.15891020133032996</v>
      </c>
      <c r="J12" s="229">
        <f>448835+20055</f>
        <v>468890</v>
      </c>
      <c r="K12" s="220">
        <f t="shared" si="4"/>
        <v>0.18325006331231261</v>
      </c>
    </row>
    <row r="13" spans="1:12" ht="18.75">
      <c r="A13" s="206" t="s">
        <v>75</v>
      </c>
      <c r="B13" s="207">
        <f>PopulationData!Q62</f>
        <v>9887.5300000000007</v>
      </c>
      <c r="C13" s="208">
        <f t="shared" si="0"/>
        <v>0.10300792650751839</v>
      </c>
      <c r="D13" s="207">
        <f>PopulationData!O62</f>
        <v>12081.282258795331</v>
      </c>
      <c r="E13" s="208">
        <f t="shared" si="1"/>
        <v>8.4995923018612186E-3</v>
      </c>
      <c r="F13" s="226">
        <f>PopulationData!R62</f>
        <v>4103.9386182770359</v>
      </c>
      <c r="G13" s="227">
        <f t="shared" si="2"/>
        <v>9.1121846007663106E-3</v>
      </c>
      <c r="H13" s="228">
        <f>PopulationData!O62-PopulationData!E62+PopulationData!P62</f>
        <v>15820.177482888586</v>
      </c>
      <c r="I13" s="227">
        <f t="shared" si="3"/>
        <v>8.788577826121028E-3</v>
      </c>
      <c r="J13" s="229">
        <f>16272+3213</f>
        <v>19485</v>
      </c>
      <c r="K13" s="220">
        <f t="shared" si="4"/>
        <v>7.6150642659054595E-3</v>
      </c>
    </row>
    <row r="14" spans="1:12" ht="18.75">
      <c r="A14" s="206" t="s">
        <v>59</v>
      </c>
      <c r="B14" s="207">
        <f>PopulationData!Q9</f>
        <v>4570.6099999999997</v>
      </c>
      <c r="C14" s="208">
        <f t="shared" si="0"/>
        <v>4.7616448089111085E-2</v>
      </c>
      <c r="D14" s="207">
        <f>PopulationData!O9</f>
        <v>211159.73711983036</v>
      </c>
      <c r="E14" s="208">
        <f t="shared" si="1"/>
        <v>0.14855804521743804</v>
      </c>
      <c r="F14" s="226">
        <f>PopulationData!R9</f>
        <v>64496.852202632304</v>
      </c>
      <c r="G14" s="227">
        <f t="shared" si="2"/>
        <v>0.14320565634713733</v>
      </c>
      <c r="H14" s="228">
        <f>PopulationData!O9-PopulationData!E9+PopulationData!P9</f>
        <v>267068.42728218593</v>
      </c>
      <c r="I14" s="227">
        <f t="shared" si="3"/>
        <v>0.14836443273837863</v>
      </c>
      <c r="J14" s="229">
        <f>314328+38404</f>
        <v>352732</v>
      </c>
      <c r="K14" s="220">
        <f t="shared" si="4"/>
        <v>0.13785357190871772</v>
      </c>
    </row>
    <row r="15" spans="1:12" ht="18.75">
      <c r="A15" s="206" t="s">
        <v>64</v>
      </c>
      <c r="B15" s="207">
        <f>PopulationData!Q22</f>
        <v>3945.84</v>
      </c>
      <c r="C15" s="208">
        <f t="shared" si="0"/>
        <v>4.1107617041913028E-2</v>
      </c>
      <c r="D15" s="207">
        <f>PopulationData!O22</f>
        <v>106126.37825347412</v>
      </c>
      <c r="E15" s="208">
        <f t="shared" si="1"/>
        <v>7.4663510735456087E-2</v>
      </c>
      <c r="F15" s="226">
        <f>PopulationData!R22</f>
        <v>30860.370855923444</v>
      </c>
      <c r="G15" s="227">
        <f t="shared" si="2"/>
        <v>6.8520858190940018E-2</v>
      </c>
      <c r="H15" s="228">
        <f>PopulationData!O22-PopulationData!E22+PopulationData!P22</f>
        <v>134387.09240890623</v>
      </c>
      <c r="I15" s="227">
        <f t="shared" si="3"/>
        <v>7.4656015821520386E-2</v>
      </c>
      <c r="J15" s="229">
        <f>159448+13315</f>
        <v>172763</v>
      </c>
      <c r="K15" s="220">
        <f t="shared" si="4"/>
        <v>6.7518673224050543E-2</v>
      </c>
    </row>
    <row r="16" spans="1:12" ht="18.75">
      <c r="A16" s="206" t="s">
        <v>68</v>
      </c>
      <c r="B16" s="207">
        <f>PopulationData!Q34</f>
        <v>4423.22</v>
      </c>
      <c r="C16" s="208">
        <f t="shared" si="0"/>
        <v>4.6080944450897797E-2</v>
      </c>
      <c r="D16" s="207">
        <f>PopulationData!O34</f>
        <v>145898.90228414966</v>
      </c>
      <c r="E16" s="208">
        <f t="shared" si="1"/>
        <v>0.10264483190942462</v>
      </c>
      <c r="F16" s="226">
        <f>PopulationData!R34</f>
        <v>45700.01578095767</v>
      </c>
      <c r="G16" s="227">
        <f t="shared" si="2"/>
        <v>0.10147008003468853</v>
      </c>
      <c r="H16" s="228">
        <f>PopulationData!O34-PopulationData!E34+PopulationData!P34</f>
        <v>188124.36561576606</v>
      </c>
      <c r="I16" s="227">
        <f t="shared" si="3"/>
        <v>0.1045086649623304</v>
      </c>
      <c r="J16" s="229">
        <f>160212+29860</f>
        <v>190072</v>
      </c>
      <c r="K16" s="220">
        <f t="shared" si="4"/>
        <v>7.4283320253999613E-2</v>
      </c>
    </row>
    <row r="17" spans="1:13" ht="18.75">
      <c r="A17" s="206" t="s">
        <v>67</v>
      </c>
      <c r="B17" s="207">
        <f>PopulationData!Q30</f>
        <v>3223.63</v>
      </c>
      <c r="C17" s="208">
        <f t="shared" si="0"/>
        <v>3.3583659632631352E-2</v>
      </c>
      <c r="D17" s="207">
        <f>PopulationData!O30</f>
        <v>47749.967180629545</v>
      </c>
      <c r="E17" s="208">
        <f t="shared" si="1"/>
        <v>3.3593723312534712E-2</v>
      </c>
      <c r="F17" s="226">
        <f>PopulationData!R30</f>
        <v>14877.960441502722</v>
      </c>
      <c r="G17" s="227">
        <f t="shared" si="2"/>
        <v>3.3034295742656199E-2</v>
      </c>
      <c r="H17" s="228">
        <f>PopulationData!O30-PopulationData!E30+PopulationData!P30</f>
        <v>61904.357441843997</v>
      </c>
      <c r="I17" s="227">
        <f t="shared" si="3"/>
        <v>3.4389706673146801E-2</v>
      </c>
      <c r="J17" s="229">
        <f>85371+42398</f>
        <v>127769</v>
      </c>
      <c r="K17" s="220">
        <f t="shared" si="4"/>
        <v>4.9934264623580943E-2</v>
      </c>
    </row>
    <row r="18" spans="1:13" ht="18.75">
      <c r="A18" s="206" t="s">
        <v>63</v>
      </c>
      <c r="B18" s="207">
        <f>PopulationData!Q17</f>
        <v>724.23</v>
      </c>
      <c r="C18" s="208">
        <f t="shared" si="0"/>
        <v>7.5450016955235571E-3</v>
      </c>
      <c r="D18" s="207">
        <f>PopulationData!O17</f>
        <v>174752.34985971398</v>
      </c>
      <c r="E18" s="208">
        <f t="shared" si="1"/>
        <v>0.12294421202835885</v>
      </c>
      <c r="F18" s="226">
        <f>PopulationData!R17</f>
        <v>52843.509227949689</v>
      </c>
      <c r="G18" s="227">
        <f t="shared" si="2"/>
        <v>0.11733114352464</v>
      </c>
      <c r="H18" s="228">
        <f>PopulationData!O17-PopulationData!E17+PopulationData!P17</f>
        <v>215079.19395278944</v>
      </c>
      <c r="I18" s="227">
        <f t="shared" si="3"/>
        <v>0.11948287159723651</v>
      </c>
      <c r="J18" s="229">
        <f>142982+35705</f>
        <v>178687</v>
      </c>
      <c r="K18" s="220">
        <f t="shared" si="4"/>
        <v>6.9833871618262711E-2</v>
      </c>
    </row>
    <row r="19" spans="1:13" s="55" customFormat="1" ht="19.5" thickBot="1">
      <c r="A19" s="209" t="s">
        <v>19</v>
      </c>
      <c r="B19" s="210">
        <f t="shared" ref="B19:K19" si="5">SUM(B3:B18)</f>
        <v>95988.05</v>
      </c>
      <c r="C19" s="211">
        <f t="shared" si="5"/>
        <v>1</v>
      </c>
      <c r="D19" s="210">
        <f t="shared" si="5"/>
        <v>1421395.5010700694</v>
      </c>
      <c r="E19" s="211">
        <f t="shared" si="5"/>
        <v>1</v>
      </c>
      <c r="F19" s="212">
        <f t="shared" si="5"/>
        <v>450379.22277517349</v>
      </c>
      <c r="G19" s="211">
        <f t="shared" si="5"/>
        <v>1</v>
      </c>
      <c r="H19" s="210">
        <f t="shared" si="5"/>
        <v>1800083.9038904046</v>
      </c>
      <c r="I19" s="213">
        <f t="shared" si="5"/>
        <v>0.99999999999999978</v>
      </c>
      <c r="J19" s="214">
        <f t="shared" si="5"/>
        <v>2558744</v>
      </c>
      <c r="K19" s="221">
        <f t="shared" si="5"/>
        <v>1</v>
      </c>
      <c r="M19" s="405" t="s">
        <v>220</v>
      </c>
    </row>
    <row r="20" spans="1:13" ht="8.4499999999999993" customHeight="1" thickTop="1" thickBot="1">
      <c r="A20" s="215"/>
      <c r="B20" s="216"/>
      <c r="C20" s="217"/>
      <c r="D20" s="216"/>
      <c r="E20" s="217"/>
      <c r="F20" s="200"/>
      <c r="G20" s="230"/>
      <c r="H20" s="200"/>
      <c r="I20" s="230"/>
      <c r="J20" s="200"/>
      <c r="K20" s="231"/>
    </row>
    <row r="21" spans="1:13" ht="19.5" thickTop="1">
      <c r="A21" s="783" t="s">
        <v>219</v>
      </c>
      <c r="B21" s="784"/>
      <c r="C21" s="784"/>
      <c r="D21" s="784"/>
      <c r="E21" s="785"/>
      <c r="F21" s="773" t="s">
        <v>256</v>
      </c>
      <c r="G21" s="774"/>
      <c r="H21" s="774"/>
      <c r="I21" s="774"/>
      <c r="J21" s="774"/>
      <c r="K21" s="774"/>
    </row>
    <row r="22" spans="1:13" ht="37.5">
      <c r="A22" s="218" t="s">
        <v>58</v>
      </c>
      <c r="B22" s="401" t="s">
        <v>18</v>
      </c>
      <c r="C22" s="402" t="s">
        <v>17</v>
      </c>
      <c r="D22" s="401" t="s">
        <v>167</v>
      </c>
      <c r="E22" s="219" t="s">
        <v>20</v>
      </c>
      <c r="F22" s="773"/>
      <c r="G22" s="774"/>
      <c r="H22" s="774"/>
      <c r="I22" s="774"/>
      <c r="J22" s="774"/>
      <c r="K22" s="774"/>
    </row>
    <row r="23" spans="1:13" ht="18.75">
      <c r="A23" s="403" t="s">
        <v>72</v>
      </c>
      <c r="B23" s="228">
        <f>PopulationData!Q52</f>
        <v>11893.84</v>
      </c>
      <c r="C23" s="227">
        <f t="shared" ref="C23:C29" si="6">B23/$B$30</f>
        <v>0.38942366879094342</v>
      </c>
      <c r="D23" s="228">
        <f>PopulationData!O52</f>
        <v>53519.548958423526</v>
      </c>
      <c r="E23" s="220">
        <f t="shared" ref="E23:E29" si="7">D23/$D$30</f>
        <v>5.5606720364747259E-2</v>
      </c>
      <c r="F23" s="773"/>
      <c r="G23" s="774"/>
      <c r="H23" s="774"/>
      <c r="I23" s="774"/>
      <c r="J23" s="774"/>
      <c r="K23" s="774"/>
    </row>
    <row r="24" spans="1:13" ht="18.75">
      <c r="A24" s="403" t="s">
        <v>65</v>
      </c>
      <c r="B24" s="228">
        <f>PopulationData!Q24</f>
        <v>4553.12</v>
      </c>
      <c r="C24" s="227">
        <f t="shared" si="6"/>
        <v>0.14907655516178292</v>
      </c>
      <c r="D24" s="228">
        <f>PopulationData!O24</f>
        <v>41504.198761322419</v>
      </c>
      <c r="E24" s="220">
        <f t="shared" si="7"/>
        <v>4.3122791940504557E-2</v>
      </c>
      <c r="F24" s="773"/>
      <c r="G24" s="774"/>
      <c r="H24" s="774"/>
      <c r="I24" s="774"/>
      <c r="J24" s="774"/>
      <c r="K24" s="774"/>
    </row>
    <row r="25" spans="1:13" ht="18.75">
      <c r="A25" s="403" t="s">
        <v>183</v>
      </c>
      <c r="B25" s="228">
        <f>PopulationData!Q15</f>
        <v>431.3</v>
      </c>
      <c r="C25" s="227">
        <f t="shared" si="6"/>
        <v>1.4121463576904842E-2</v>
      </c>
      <c r="D25" s="228">
        <f>PopulationData!O15</f>
        <v>229504.36748472252</v>
      </c>
      <c r="E25" s="220">
        <f t="shared" si="7"/>
        <v>0.23845464757420248</v>
      </c>
      <c r="F25" s="773"/>
      <c r="G25" s="774"/>
      <c r="H25" s="774"/>
      <c r="I25" s="774"/>
      <c r="J25" s="774"/>
      <c r="K25" s="774"/>
    </row>
    <row r="26" spans="1:13" ht="18.75">
      <c r="A26" s="403" t="s">
        <v>59</v>
      </c>
      <c r="B26" s="228">
        <f>PopulationData!Q9</f>
        <v>4570.6099999999997</v>
      </c>
      <c r="C26" s="227">
        <f t="shared" si="6"/>
        <v>0.14964920621200334</v>
      </c>
      <c r="D26" s="228">
        <f>PopulationData!O9</f>
        <v>211159.73711983036</v>
      </c>
      <c r="E26" s="220">
        <f t="shared" si="7"/>
        <v>0.21939460781774531</v>
      </c>
      <c r="F26" s="773"/>
      <c r="G26" s="774"/>
      <c r="H26" s="774"/>
      <c r="I26" s="774"/>
      <c r="J26" s="774"/>
      <c r="K26" s="774"/>
    </row>
    <row r="27" spans="1:13" ht="18.75">
      <c r="A27" s="403" t="s">
        <v>64</v>
      </c>
      <c r="B27" s="228">
        <f>PopulationData!Q22</f>
        <v>3945.84</v>
      </c>
      <c r="C27" s="227">
        <f t="shared" si="6"/>
        <v>0.12919322012588502</v>
      </c>
      <c r="D27" s="228">
        <f>PopulationData!O22</f>
        <v>106126.37825347412</v>
      </c>
      <c r="E27" s="220">
        <f t="shared" si="7"/>
        <v>0.1102651265512115</v>
      </c>
      <c r="F27" s="773"/>
      <c r="G27" s="774"/>
      <c r="H27" s="774"/>
      <c r="I27" s="774"/>
      <c r="J27" s="774"/>
      <c r="K27" s="774"/>
    </row>
    <row r="28" spans="1:13" ht="18.75">
      <c r="A28" s="403" t="s">
        <v>68</v>
      </c>
      <c r="B28" s="228">
        <f>PopulationData!Q34</f>
        <v>4423.22</v>
      </c>
      <c r="C28" s="227">
        <f t="shared" si="6"/>
        <v>0.14482341785911673</v>
      </c>
      <c r="D28" s="228">
        <f>PopulationData!O34</f>
        <v>145898.90228414966</v>
      </c>
      <c r="E28" s="220">
        <f t="shared" si="7"/>
        <v>0.15158871139106234</v>
      </c>
      <c r="F28" s="773"/>
      <c r="G28" s="774"/>
      <c r="H28" s="774"/>
      <c r="I28" s="774"/>
      <c r="J28" s="774"/>
      <c r="K28" s="774"/>
    </row>
    <row r="29" spans="1:13" ht="18.75">
      <c r="A29" s="403" t="s">
        <v>63</v>
      </c>
      <c r="B29" s="228">
        <f>PopulationData!Q17</f>
        <v>724.23</v>
      </c>
      <c r="C29" s="227">
        <f t="shared" si="6"/>
        <v>2.371246827336377E-2</v>
      </c>
      <c r="D29" s="228">
        <f>PopulationData!O17</f>
        <v>174752.34985971398</v>
      </c>
      <c r="E29" s="220">
        <f t="shared" si="7"/>
        <v>0.1815673943605266</v>
      </c>
      <c r="F29" s="773"/>
      <c r="G29" s="774"/>
      <c r="H29" s="774"/>
      <c r="I29" s="774"/>
      <c r="J29" s="774"/>
      <c r="K29" s="774"/>
    </row>
    <row r="30" spans="1:13" ht="19.5" thickBot="1">
      <c r="A30" s="209" t="s">
        <v>19</v>
      </c>
      <c r="B30" s="210">
        <f>SUM(B23:B29)</f>
        <v>30542.16</v>
      </c>
      <c r="C30" s="211">
        <f>SUM(C23:C29)</f>
        <v>1</v>
      </c>
      <c r="D30" s="210">
        <f>SUM(D23:D29)</f>
        <v>962465.48272163654</v>
      </c>
      <c r="E30" s="221">
        <f>SUM(E23:E29)</f>
        <v>1</v>
      </c>
      <c r="F30" s="773"/>
      <c r="G30" s="774"/>
      <c r="H30" s="774"/>
      <c r="I30" s="774"/>
      <c r="J30" s="774"/>
      <c r="K30" s="774"/>
    </row>
    <row r="31" spans="1:13" ht="15.75" thickTop="1">
      <c r="A31" s="25" t="s">
        <v>331</v>
      </c>
    </row>
  </sheetData>
  <sheetProtection sort="0"/>
  <sortState xmlns:xlrd2="http://schemas.microsoft.com/office/spreadsheetml/2017/richdata2" ref="A7:I22">
    <sortCondition ref="A7"/>
  </sortState>
  <mergeCells count="6">
    <mergeCell ref="F21:K30"/>
    <mergeCell ref="F1:G1"/>
    <mergeCell ref="H1:I1"/>
    <mergeCell ref="D1:E1"/>
    <mergeCell ref="J1:K1"/>
    <mergeCell ref="A21:E21"/>
  </mergeCells>
  <pageMargins left="0.75" right="0.75" top="1.5" bottom="0.5" header="0.25" footer="0.5"/>
  <pageSetup scale="74" orientation="landscape" r:id="rId1"/>
  <headerFooter alignWithMargins="0">
    <oddHeader xml:space="preserve">&amp;L&amp;G&amp;C&amp;"Arial Black,Bold"&amp;14
AAA 2025-2027 PLANNING ALLOCATION
</oddHeader>
    <oddFooter>&amp;R&amp;"Century Gothic,Regular"Page &amp;P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6A2B-8DF0-4E22-B405-9CA34AEAA8CE}">
  <dimension ref="A1"/>
  <sheetViews>
    <sheetView workbookViewId="0">
      <selection activeCell="M28" sqref="M28"/>
    </sheetView>
  </sheetViews>
  <sheetFormatPr defaultRowHeight="15"/>
  <sheetData/>
  <pageMargins left="0.7" right="0.7" top="0.75" bottom="0.75" header="0.3" footer="0.3"/>
  <pageSetup orientation="portrait"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EA1D2-BE51-49DD-8CC6-44461FDAF56E}">
  <sheetPr>
    <pageSetUpPr fitToPage="1"/>
  </sheetPr>
  <dimension ref="A1"/>
  <sheetViews>
    <sheetView workbookViewId="0">
      <selection activeCell="E33" sqref="E33"/>
    </sheetView>
  </sheetViews>
  <sheetFormatPr defaultRowHeight="15"/>
  <sheetData/>
  <pageMargins left="0.75" right="0.75" top="1.5" bottom="0.5" header="0.25" footer="0.5"/>
  <pageSetup scale="38" orientation="landscape" r:id="rId1"/>
  <headerFooter alignWithMargins="0">
    <oddHeader xml:space="preserve">&amp;C&amp;"Arial Black,Bold"&amp;14
AAA 2023-2025 PLANNING ALLOCATION
</oddHeader>
    <oddFooter>&amp;R&amp;"Century Gothic,Regular"Page &amp;P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fitToPage="1"/>
  </sheetPr>
  <dimension ref="A1"/>
  <sheetViews>
    <sheetView workbookViewId="0">
      <selection activeCell="E33" sqref="E33"/>
    </sheetView>
  </sheetViews>
  <sheetFormatPr defaultRowHeight="15"/>
  <sheetData/>
  <pageMargins left="0.75" right="0.75" top="1.5" bottom="0.5" header="0.25" footer="0.5"/>
  <pageSetup scale="35" orientation="landscape" r:id="rId1"/>
  <headerFooter alignWithMargins="0">
    <oddHeader xml:space="preserve">&amp;C&amp;"Arial Black,Bold"&amp;14
AAA 2023-2025 PLANNING ALLOCATION
</oddHeader>
    <oddFooter>&amp;R&amp;"Century Gothic,Regular"Page &amp;P</oddFooter>
  </headerFooter>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
    <tabColor indexed="11"/>
  </sheetPr>
  <dimension ref="A1:B105"/>
  <sheetViews>
    <sheetView topLeftCell="A4" workbookViewId="0"/>
  </sheetViews>
  <sheetFormatPr defaultRowHeight="15"/>
  <cols>
    <col min="1" max="1" width="12" customWidth="1"/>
    <col min="2" max="2" width="12.7109375" bestFit="1" customWidth="1"/>
  </cols>
  <sheetData>
    <row r="1" spans="1:1">
      <c r="A1" s="302"/>
    </row>
    <row r="2" spans="1:1">
      <c r="A2" s="304"/>
    </row>
    <row r="3" spans="1:1">
      <c r="A3" s="304"/>
    </row>
    <row r="4" spans="1:1">
      <c r="A4" s="304"/>
    </row>
    <row r="5" spans="1:1">
      <c r="A5" s="303"/>
    </row>
    <row r="6" spans="1:1">
      <c r="A6" s="303"/>
    </row>
    <row r="7" spans="1:1">
      <c r="A7" s="304"/>
    </row>
    <row r="9" spans="1:1">
      <c r="A9" s="303"/>
    </row>
    <row r="10" spans="1:1" ht="27.75">
      <c r="A10" s="305" t="s">
        <v>278</v>
      </c>
    </row>
    <row r="11" spans="1:1">
      <c r="A11" s="306" t="s">
        <v>279</v>
      </c>
    </row>
    <row r="12" spans="1:1">
      <c r="A12" s="307"/>
    </row>
    <row r="13" spans="1:1">
      <c r="A13" s="307"/>
    </row>
    <row r="14" spans="1:1" ht="15.75" thickBot="1">
      <c r="A14" s="307"/>
    </row>
    <row r="15" spans="1:1" ht="15.75" thickBot="1">
      <c r="A15" s="308" t="s">
        <v>280</v>
      </c>
    </row>
    <row r="16" spans="1:1" ht="15.75" thickBot="1">
      <c r="A16" s="308"/>
    </row>
    <row r="17" spans="1:1" ht="15.75" thickBot="1">
      <c r="A17" s="309" t="s">
        <v>281</v>
      </c>
    </row>
    <row r="18" spans="1:1">
      <c r="A18" s="307"/>
    </row>
    <row r="19" spans="1:1">
      <c r="A19" s="307"/>
    </row>
    <row r="20" spans="1:1" ht="15.75" thickBot="1">
      <c r="A20" s="307"/>
    </row>
    <row r="21" spans="1:1" ht="15.75" thickBot="1">
      <c r="A21" s="310" t="s">
        <v>282</v>
      </c>
    </row>
    <row r="22" spans="1:1" ht="15.75" thickBot="1">
      <c r="A22" s="311" t="s">
        <v>283</v>
      </c>
    </row>
    <row r="23" spans="1:1" ht="15.75" thickBot="1">
      <c r="A23" s="308" t="s">
        <v>284</v>
      </c>
    </row>
    <row r="24" spans="1:1">
      <c r="A24" s="312"/>
    </row>
    <row r="25" spans="1:1">
      <c r="A25" s="313" t="s">
        <v>285</v>
      </c>
    </row>
    <row r="26" spans="1:1">
      <c r="A26" s="313" t="s">
        <v>286</v>
      </c>
    </row>
    <row r="27" spans="1:1">
      <c r="A27" s="313" t="s">
        <v>287</v>
      </c>
    </row>
    <row r="28" spans="1:1" ht="15.75" thickBot="1">
      <c r="A28" s="313" t="s">
        <v>288</v>
      </c>
    </row>
    <row r="29" spans="1:1" ht="15.75" thickBot="1">
      <c r="A29" s="314" t="s">
        <v>289</v>
      </c>
    </row>
    <row r="30" spans="1:1" ht="15.75" thickBot="1">
      <c r="A30" s="314"/>
    </row>
    <row r="31" spans="1:1" ht="15.75" thickBot="1">
      <c r="A31" s="314" t="s">
        <v>290</v>
      </c>
    </row>
    <row r="32" spans="1:1" ht="15.75" thickBot="1">
      <c r="A32" s="314"/>
    </row>
    <row r="33" spans="1:2" ht="15.75" thickBot="1">
      <c r="A33" s="315" t="s">
        <v>291</v>
      </c>
    </row>
    <row r="34" spans="1:2" ht="15.75" thickBot="1">
      <c r="A34" s="315" t="s">
        <v>292</v>
      </c>
    </row>
    <row r="35" spans="1:2" ht="15.75" thickBot="1">
      <c r="A35" s="315" t="s">
        <v>293</v>
      </c>
    </row>
    <row r="36" spans="1:2" ht="17.25">
      <c r="A36" s="316" t="s">
        <v>294</v>
      </c>
    </row>
    <row r="37" spans="1:2" ht="17.25">
      <c r="A37" s="316" t="s">
        <v>295</v>
      </c>
    </row>
    <row r="38" spans="1:2" ht="18" thickBot="1">
      <c r="A38" s="845" t="s">
        <v>296</v>
      </c>
      <c r="B38" s="846"/>
    </row>
    <row r="39" spans="1:2" ht="15.75" thickBot="1">
      <c r="A39" s="317" t="s">
        <v>93</v>
      </c>
      <c r="B39" s="317" t="s">
        <v>297</v>
      </c>
    </row>
    <row r="40" spans="1:2" ht="15.75" thickBot="1">
      <c r="A40" s="318" t="s">
        <v>138</v>
      </c>
      <c r="B40" s="319">
        <v>3068.36</v>
      </c>
    </row>
    <row r="41" spans="1:2" ht="15.75" thickBot="1">
      <c r="A41" s="318" t="s">
        <v>110</v>
      </c>
      <c r="B41" s="320">
        <v>675.94</v>
      </c>
    </row>
    <row r="42" spans="1:2" ht="29.25" thickBot="1">
      <c r="A42" s="318" t="s">
        <v>102</v>
      </c>
      <c r="B42" s="319">
        <v>1870.32</v>
      </c>
    </row>
    <row r="43" spans="1:2" ht="15.75" thickBot="1">
      <c r="A43" s="318" t="s">
        <v>95</v>
      </c>
      <c r="B43" s="320">
        <v>829.05</v>
      </c>
    </row>
    <row r="44" spans="1:2" ht="15.75" thickBot="1">
      <c r="A44" s="318" t="s">
        <v>104</v>
      </c>
      <c r="B44" s="320">
        <v>657.36</v>
      </c>
    </row>
    <row r="45" spans="1:2" ht="15.75" thickBot="1">
      <c r="A45" s="318" t="s">
        <v>116</v>
      </c>
      <c r="B45" s="319">
        <v>1596.17</v>
      </c>
    </row>
    <row r="46" spans="1:2" ht="15.75" thickBot="1">
      <c r="A46" s="318" t="s">
        <v>128</v>
      </c>
      <c r="B46" s="319">
        <v>2979.09</v>
      </c>
    </row>
    <row r="47" spans="1:2" ht="15.75" thickBot="1">
      <c r="A47" s="318" t="s">
        <v>117</v>
      </c>
      <c r="B47" s="319">
        <v>1627.46</v>
      </c>
    </row>
    <row r="48" spans="1:2" ht="29.25" thickBot="1">
      <c r="A48" s="318" t="s">
        <v>129</v>
      </c>
      <c r="B48" s="319">
        <v>3018.19</v>
      </c>
    </row>
    <row r="49" spans="1:2" ht="15.75" thickBot="1">
      <c r="A49" s="318" t="s">
        <v>115</v>
      </c>
      <c r="B49" s="319">
        <v>5036.08</v>
      </c>
    </row>
    <row r="50" spans="1:2" ht="15.75" thickBot="1">
      <c r="A50" s="318" t="s">
        <v>122</v>
      </c>
      <c r="B50" s="319">
        <v>1204.81</v>
      </c>
    </row>
    <row r="51" spans="1:2" ht="15.75" thickBot="1">
      <c r="A51" s="318" t="s">
        <v>139</v>
      </c>
      <c r="B51" s="319">
        <v>4528.54</v>
      </c>
    </row>
    <row r="52" spans="1:2" ht="15.75" thickBot="1">
      <c r="A52" s="318" t="s">
        <v>143</v>
      </c>
      <c r="B52" s="319">
        <v>10133.17</v>
      </c>
    </row>
    <row r="53" spans="1:2" ht="29.25" thickBot="1">
      <c r="A53" s="318" t="s">
        <v>123</v>
      </c>
      <c r="B53" s="320">
        <v>521.95000000000005</v>
      </c>
    </row>
    <row r="54" spans="1:2" ht="15.75" thickBot="1">
      <c r="A54" s="318" t="s">
        <v>119</v>
      </c>
      <c r="B54" s="319">
        <v>2783.55</v>
      </c>
    </row>
    <row r="55" spans="1:2" ht="15.75" thickBot="1">
      <c r="A55" s="318" t="s">
        <v>130</v>
      </c>
      <c r="B55" s="319">
        <v>1780.79</v>
      </c>
    </row>
    <row r="56" spans="1:2" ht="15.75" thickBot="1">
      <c r="A56" s="318" t="s">
        <v>120</v>
      </c>
      <c r="B56" s="319">
        <v>1639.67</v>
      </c>
    </row>
    <row r="57" spans="1:2" ht="15.75" thickBot="1">
      <c r="A57" s="318" t="s">
        <v>132</v>
      </c>
      <c r="B57" s="319">
        <v>5941.05</v>
      </c>
    </row>
    <row r="58" spans="1:2" ht="15.75" thickBot="1">
      <c r="A58" s="318" t="s">
        <v>133</v>
      </c>
      <c r="B58" s="319">
        <v>8138.98</v>
      </c>
    </row>
    <row r="59" spans="1:2" ht="15.75" thickBot="1">
      <c r="A59" s="318" t="s">
        <v>113</v>
      </c>
      <c r="B59" s="319">
        <v>4553.12</v>
      </c>
    </row>
    <row r="60" spans="1:2" ht="15.75" thickBot="1">
      <c r="A60" s="318" t="s">
        <v>111</v>
      </c>
      <c r="B60" s="320">
        <v>979.77</v>
      </c>
    </row>
    <row r="61" spans="1:2" ht="15.75" thickBot="1">
      <c r="A61" s="318" t="s">
        <v>112</v>
      </c>
      <c r="B61" s="319">
        <v>2290.13</v>
      </c>
    </row>
    <row r="62" spans="1:2" ht="15.75" thickBot="1">
      <c r="A62" s="318" t="s">
        <v>145</v>
      </c>
      <c r="B62" s="319">
        <v>9887.5300000000007</v>
      </c>
    </row>
    <row r="63" spans="1:2" ht="15.75" thickBot="1">
      <c r="A63" s="318" t="s">
        <v>96</v>
      </c>
      <c r="B63" s="319">
        <v>1182.33</v>
      </c>
    </row>
    <row r="64" spans="1:2" ht="15.75" thickBot="1">
      <c r="A64" s="318" t="s">
        <v>135</v>
      </c>
      <c r="B64" s="319">
        <v>2031.61</v>
      </c>
    </row>
    <row r="65" spans="1:2" ht="29.25" thickBot="1">
      <c r="A65" s="318" t="s">
        <v>106</v>
      </c>
      <c r="B65" s="320">
        <v>431.3</v>
      </c>
    </row>
    <row r="66" spans="1:2" ht="15.75" thickBot="1">
      <c r="A66" s="318" t="s">
        <v>97</v>
      </c>
      <c r="B66" s="320">
        <v>740.79</v>
      </c>
    </row>
    <row r="67" spans="1:2" ht="15.75" thickBot="1">
      <c r="A67" s="318" t="s">
        <v>124</v>
      </c>
      <c r="B67" s="320">
        <v>823.69</v>
      </c>
    </row>
    <row r="68" spans="1:2" ht="15.75" thickBot="1">
      <c r="A68" s="318" t="s">
        <v>98</v>
      </c>
      <c r="B68" s="319">
        <v>1102.58</v>
      </c>
    </row>
    <row r="69" spans="1:2" ht="15.75" thickBot="1">
      <c r="A69" s="318" t="s">
        <v>136</v>
      </c>
      <c r="B69" s="319">
        <v>3215.51</v>
      </c>
    </row>
    <row r="70" spans="1:2" ht="15.75" thickBot="1">
      <c r="A70" s="318" t="s">
        <v>140</v>
      </c>
      <c r="B70" s="319">
        <v>2036.61</v>
      </c>
    </row>
    <row r="71" spans="1:2" ht="15.75" thickBot="1">
      <c r="A71" s="318" t="s">
        <v>141</v>
      </c>
      <c r="B71" s="319">
        <v>3146.19</v>
      </c>
    </row>
    <row r="72" spans="1:2" ht="15.75" thickBot="1">
      <c r="A72" s="318" t="s">
        <v>125</v>
      </c>
      <c r="B72" s="319">
        <v>2381.52</v>
      </c>
    </row>
    <row r="73" spans="1:2" ht="29.25" thickBot="1">
      <c r="A73" s="318" t="s">
        <v>108</v>
      </c>
      <c r="B73" s="320">
        <v>724.23</v>
      </c>
    </row>
    <row r="74" spans="1:2" ht="15.75" thickBot="1">
      <c r="A74" s="318" t="s">
        <v>126</v>
      </c>
      <c r="B74" s="319">
        <v>1714.75</v>
      </c>
    </row>
    <row r="75" spans="1:2" ht="15.75" thickBot="1">
      <c r="A75" s="318" t="s">
        <v>99</v>
      </c>
      <c r="B75" s="320">
        <v>715.86</v>
      </c>
    </row>
    <row r="76" spans="1:2">
      <c r="A76" s="321"/>
    </row>
    <row r="77" spans="1:2">
      <c r="A77" s="322" t="s">
        <v>298</v>
      </c>
    </row>
    <row r="78" spans="1:2">
      <c r="A78" s="321"/>
    </row>
    <row r="79" spans="1:2">
      <c r="A79" s="322" t="s">
        <v>299</v>
      </c>
    </row>
    <row r="80" spans="1:2">
      <c r="A80" s="321"/>
    </row>
    <row r="81" spans="1:1">
      <c r="A81" s="322" t="s">
        <v>300</v>
      </c>
    </row>
    <row r="82" spans="1:1">
      <c r="A82" s="321"/>
    </row>
    <row r="83" spans="1:1">
      <c r="A83" s="322" t="s">
        <v>301</v>
      </c>
    </row>
    <row r="84" spans="1:1">
      <c r="A84" s="321"/>
    </row>
    <row r="85" spans="1:1">
      <c r="A85" s="322" t="s">
        <v>302</v>
      </c>
    </row>
    <row r="86" spans="1:1">
      <c r="A86" s="321"/>
    </row>
    <row r="87" spans="1:1">
      <c r="A87" s="322" t="s">
        <v>303</v>
      </c>
    </row>
    <row r="88" spans="1:1">
      <c r="A88" s="321"/>
    </row>
    <row r="89" spans="1:1">
      <c r="A89" s="322" t="s">
        <v>304</v>
      </c>
    </row>
    <row r="90" spans="1:1">
      <c r="A90" s="321"/>
    </row>
    <row r="91" spans="1:1">
      <c r="A91" s="323" t="s">
        <v>305</v>
      </c>
    </row>
    <row r="92" spans="1:1">
      <c r="A92" s="321"/>
    </row>
    <row r="93" spans="1:1">
      <c r="A93" s="323" t="s">
        <v>306</v>
      </c>
    </row>
    <row r="94" spans="1:1">
      <c r="A94" s="321"/>
    </row>
    <row r="95" spans="1:1">
      <c r="A95" s="323" t="s">
        <v>307</v>
      </c>
    </row>
    <row r="96" spans="1:1">
      <c r="A96" s="321"/>
    </row>
    <row r="97" spans="1:1">
      <c r="A97" s="323" t="s">
        <v>308</v>
      </c>
    </row>
    <row r="98" spans="1:1">
      <c r="A98" s="321"/>
    </row>
    <row r="99" spans="1:1">
      <c r="A99" s="322" t="s">
        <v>309</v>
      </c>
    </row>
    <row r="100" spans="1:1">
      <c r="A100" s="312"/>
    </row>
    <row r="101" spans="1:1">
      <c r="A101" s="313" t="s">
        <v>310</v>
      </c>
    </row>
    <row r="102" spans="1:1">
      <c r="A102" s="313" t="s">
        <v>311</v>
      </c>
    </row>
    <row r="103" spans="1:1">
      <c r="A103" s="306"/>
    </row>
    <row r="104" spans="1:1">
      <c r="A104" s="303"/>
    </row>
    <row r="105" spans="1:1">
      <c r="A105" s="306"/>
    </row>
  </sheetData>
  <mergeCells count="1">
    <mergeCell ref="A38:B38"/>
  </mergeCells>
  <hyperlinks>
    <hyperlink ref="A17" r:id="rId1" display="http://www.indexmundi.com/facts/united-states/quick-facts/all-states/land-area/embed/table" xr:uid="{00000000-0004-0000-1A00-000000000000}"/>
    <hyperlink ref="A25" r:id="rId2" display="http://www.indexmundi.com/facts/united-states/quick-facts/compare" xr:uid="{00000000-0004-0000-1A00-000001000000}"/>
    <hyperlink ref="A26" r:id="rId3" display="http://www.indexmundi.com/facts/united-states/quick-facts/counties/compare" xr:uid="{00000000-0004-0000-1A00-000002000000}"/>
    <hyperlink ref="A27" r:id="rId4" display="http://www.indexmundi.com/facts/united-states/quick-facts/cities/compare" xr:uid="{00000000-0004-0000-1A00-000003000000}"/>
    <hyperlink ref="A28" r:id="rId5" display="http://www.indexmundi.com/facts/united-states/quick-facts/cities/rank/land-area" xr:uid="{00000000-0004-0000-1A00-000004000000}"/>
    <hyperlink ref="A33" r:id="rId6" location="mapTab" display="http://www.indexmundi.com/facts/united-states/quick-facts/oregon/land-area - mapTab" xr:uid="{00000000-0004-0000-1A00-000005000000}"/>
    <hyperlink ref="A34" r:id="rId7" location="chartTab" display="http://www.indexmundi.com/facts/united-states/quick-facts/oregon/land-area - chartTab" xr:uid="{00000000-0004-0000-1A00-000006000000}"/>
    <hyperlink ref="A35" r:id="rId8" location="tableTab" display="http://www.indexmundi.com/facts/united-states/quick-facts/oregon/land-area - tableTab" xr:uid="{00000000-0004-0000-1A00-000007000000}"/>
    <hyperlink ref="A101" r:id="rId9" display="http://www.census.gov/population/www/censusdata/density.html" xr:uid="{00000000-0004-0000-1A00-000008000000}"/>
    <hyperlink ref="A102" r:id="rId10" display="http://www.census.gov/geo/www/gazetteer/gazette.html" xr:uid="{00000000-0004-0000-1A00-000009000000}"/>
  </hyperlinks>
  <pageMargins left="0.75" right="0.75" top="1.5" bottom="0.5" header="0.25" footer="0.5"/>
  <pageSetup scale="47" orientation="portrait" r:id="rId11"/>
  <headerFooter alignWithMargins="0">
    <oddHeader>&amp;L&amp;G&amp;C&amp;"Arial Black,Bold"&amp;14
AAA 2017-2019 PLANNING ALLOCATION
Summary by Funding Source</oddHeader>
    <oddFooter>&amp;L&amp;Z&amp;F&amp;A&amp;R&amp;"Century Gothic,Regular"Page &amp;P</oddFooter>
  </headerFooter>
  <drawing r:id="rId12"/>
  <legacyDrawing r:id="rId13"/>
  <controls>
    <mc:AlternateContent xmlns:mc="http://schemas.openxmlformats.org/markup-compatibility/2006">
      <mc:Choice Requires="x14">
        <control shapeId="26649" r:id="rId14" name="Control 25">
          <controlPr defaultSize="0" autoPict="0" r:id="rId15">
            <anchor moveWithCells="1">
              <from>
                <xdr:col>0</xdr:col>
                <xdr:colOff>0</xdr:colOff>
                <xdr:row>106</xdr:row>
                <xdr:rowOff>38100</xdr:rowOff>
              </from>
              <to>
                <xdr:col>1</xdr:col>
                <xdr:colOff>114300</xdr:colOff>
                <xdr:row>107</xdr:row>
                <xdr:rowOff>76200</xdr:rowOff>
              </to>
            </anchor>
          </controlPr>
        </control>
      </mc:Choice>
      <mc:Fallback>
        <control shapeId="26649" r:id="rId14" name="Control 25"/>
      </mc:Fallback>
    </mc:AlternateContent>
    <mc:AlternateContent xmlns:mc="http://schemas.openxmlformats.org/markup-compatibility/2006">
      <mc:Choice Requires="x14">
        <control shapeId="26642" r:id="rId16" name="Control 18">
          <controlPr defaultSize="0" autoPict="0" r:id="rId17">
            <anchor moveWithCells="1">
              <from>
                <xdr:col>0</xdr:col>
                <xdr:colOff>0</xdr:colOff>
                <xdr:row>32</xdr:row>
                <xdr:rowOff>66675</xdr:rowOff>
              </from>
              <to>
                <xdr:col>2</xdr:col>
                <xdr:colOff>504825</xdr:colOff>
                <xdr:row>33</xdr:row>
                <xdr:rowOff>95250</xdr:rowOff>
              </to>
            </anchor>
          </controlPr>
        </control>
      </mc:Choice>
      <mc:Fallback>
        <control shapeId="26642" r:id="rId16" name="Control 18"/>
      </mc:Fallback>
    </mc:AlternateContent>
    <mc:AlternateContent xmlns:mc="http://schemas.openxmlformats.org/markup-compatibility/2006">
      <mc:Choice Requires="x14">
        <control shapeId="26641" r:id="rId18" name="Control 17">
          <controlPr defaultSize="0" autoPict="0" r:id="rId19">
            <anchor moveWithCells="1">
              <from>
                <xdr:col>0</xdr:col>
                <xdr:colOff>0</xdr:colOff>
                <xdr:row>30</xdr:row>
                <xdr:rowOff>66675</xdr:rowOff>
              </from>
              <to>
                <xdr:col>7</xdr:col>
                <xdr:colOff>400050</xdr:colOff>
                <xdr:row>31</xdr:row>
                <xdr:rowOff>95250</xdr:rowOff>
              </to>
            </anchor>
          </controlPr>
        </control>
      </mc:Choice>
      <mc:Fallback>
        <control shapeId="26641" r:id="rId18" name="Control 17"/>
      </mc:Fallback>
    </mc:AlternateContent>
    <mc:AlternateContent xmlns:mc="http://schemas.openxmlformats.org/markup-compatibility/2006">
      <mc:Choice Requires="x14">
        <control shapeId="26636" r:id="rId20" name="Control 12">
          <controlPr defaultSize="0" autoPict="0" r:id="rId21">
            <anchor moveWithCells="1">
              <from>
                <xdr:col>0</xdr:col>
                <xdr:colOff>0</xdr:colOff>
                <xdr:row>15</xdr:row>
                <xdr:rowOff>180975</xdr:rowOff>
              </from>
              <to>
                <xdr:col>1</xdr:col>
                <xdr:colOff>666750</xdr:colOff>
                <xdr:row>17</xdr:row>
                <xdr:rowOff>9525</xdr:rowOff>
              </to>
            </anchor>
          </controlPr>
        </control>
      </mc:Choice>
      <mc:Fallback>
        <control shapeId="26636" r:id="rId20" name="Control 12"/>
      </mc:Fallback>
    </mc:AlternateContent>
    <mc:AlternateContent xmlns:mc="http://schemas.openxmlformats.org/markup-compatibility/2006">
      <mc:Choice Requires="x14">
        <control shapeId="26632" r:id="rId22" name="Control 8">
          <controlPr defaultSize="0" autoPict="0" r:id="rId23">
            <anchor moveWithCells="1">
              <from>
                <xdr:col>1</xdr:col>
                <xdr:colOff>0</xdr:colOff>
                <xdr:row>6</xdr:row>
                <xdr:rowOff>76200</xdr:rowOff>
              </from>
              <to>
                <xdr:col>2</xdr:col>
                <xdr:colOff>66675</xdr:colOff>
                <xdr:row>7</xdr:row>
                <xdr:rowOff>114300</xdr:rowOff>
              </to>
            </anchor>
          </controlPr>
        </control>
      </mc:Choice>
      <mc:Fallback>
        <control shapeId="26632" r:id="rId22" name="Control 8"/>
      </mc:Fallback>
    </mc:AlternateContent>
    <mc:AlternateContent xmlns:mc="http://schemas.openxmlformats.org/markup-compatibility/2006">
      <mc:Choice Requires="x14">
        <control shapeId="26631" r:id="rId24" name="Control 7">
          <controlPr defaultSize="0" autoPict="0" r:id="rId23">
            <anchor moveWithCells="1">
              <from>
                <xdr:col>0</xdr:col>
                <xdr:colOff>0</xdr:colOff>
                <xdr:row>6</xdr:row>
                <xdr:rowOff>76200</xdr:rowOff>
              </from>
              <to>
                <xdr:col>1</xdr:col>
                <xdr:colOff>114300</xdr:colOff>
                <xdr:row>7</xdr:row>
                <xdr:rowOff>114300</xdr:rowOff>
              </to>
            </anchor>
          </controlPr>
        </control>
      </mc:Choice>
      <mc:Fallback>
        <control shapeId="26631" r:id="rId24" name="Control 7"/>
      </mc:Fallback>
    </mc:AlternateContent>
    <mc:AlternateContent xmlns:mc="http://schemas.openxmlformats.org/markup-compatibility/2006">
      <mc:Choice Requires="x14">
        <control shapeId="26630" r:id="rId25" name="Control 6">
          <controlPr defaultSize="0" autoPict="0" r:id="rId23">
            <anchor moveWithCells="1">
              <from>
                <xdr:col>0</xdr:col>
                <xdr:colOff>0</xdr:colOff>
                <xdr:row>4</xdr:row>
                <xdr:rowOff>47625</xdr:rowOff>
              </from>
              <to>
                <xdr:col>1</xdr:col>
                <xdr:colOff>114300</xdr:colOff>
                <xdr:row>5</xdr:row>
                <xdr:rowOff>85725</xdr:rowOff>
              </to>
            </anchor>
          </controlPr>
        </control>
      </mc:Choice>
      <mc:Fallback>
        <control shapeId="26630" r:id="rId25" name="Control 6"/>
      </mc:Fallback>
    </mc:AlternateContent>
    <mc:AlternateContent xmlns:mc="http://schemas.openxmlformats.org/markup-compatibility/2006">
      <mc:Choice Requires="x14">
        <control shapeId="26629" r:id="rId26" name="Control 5">
          <controlPr defaultSize="0" autoPict="0" r:id="rId27">
            <anchor moveWithCells="1">
              <from>
                <xdr:col>1</xdr:col>
                <xdr:colOff>0</xdr:colOff>
                <xdr:row>3</xdr:row>
                <xdr:rowOff>47625</xdr:rowOff>
              </from>
              <to>
                <xdr:col>1</xdr:col>
                <xdr:colOff>552450</xdr:colOff>
                <xdr:row>4</xdr:row>
                <xdr:rowOff>180975</xdr:rowOff>
              </to>
            </anchor>
          </controlPr>
        </control>
      </mc:Choice>
      <mc:Fallback>
        <control shapeId="26629" r:id="rId26" name="Control 5"/>
      </mc:Fallback>
    </mc:AlternateContent>
    <mc:AlternateContent xmlns:mc="http://schemas.openxmlformats.org/markup-compatibility/2006">
      <mc:Choice Requires="x14">
        <control shapeId="26628" r:id="rId28" name="Control 4">
          <controlPr defaultSize="0" autoPict="0" r:id="rId29">
            <anchor moveWithCells="1">
              <from>
                <xdr:col>1</xdr:col>
                <xdr:colOff>0</xdr:colOff>
                <xdr:row>3</xdr:row>
                <xdr:rowOff>47625</xdr:rowOff>
              </from>
              <to>
                <xdr:col>2</xdr:col>
                <xdr:colOff>447675</xdr:colOff>
                <xdr:row>4</xdr:row>
                <xdr:rowOff>85725</xdr:rowOff>
              </to>
            </anchor>
          </controlPr>
        </control>
      </mc:Choice>
      <mc:Fallback>
        <control shapeId="26628" r:id="rId28" name="Control 4"/>
      </mc:Fallback>
    </mc:AlternateContent>
    <mc:AlternateContent xmlns:mc="http://schemas.openxmlformats.org/markup-compatibility/2006">
      <mc:Choice Requires="x14">
        <control shapeId="26627" r:id="rId30" name="Control 3">
          <controlPr defaultSize="0" autoPict="0" r:id="rId31">
            <anchor moveWithCells="1">
              <from>
                <xdr:col>1</xdr:col>
                <xdr:colOff>0</xdr:colOff>
                <xdr:row>3</xdr:row>
                <xdr:rowOff>47625</xdr:rowOff>
              </from>
              <to>
                <xdr:col>2</xdr:col>
                <xdr:colOff>66675</xdr:colOff>
                <xdr:row>4</xdr:row>
                <xdr:rowOff>85725</xdr:rowOff>
              </to>
            </anchor>
          </controlPr>
        </control>
      </mc:Choice>
      <mc:Fallback>
        <control shapeId="26627" r:id="rId30" name="Control 3"/>
      </mc:Fallback>
    </mc:AlternateContent>
    <mc:AlternateContent xmlns:mc="http://schemas.openxmlformats.org/markup-compatibility/2006">
      <mc:Choice Requires="x14">
        <control shapeId="26626" r:id="rId32" name="Control 2">
          <controlPr defaultSize="0" autoPict="0" r:id="rId33">
            <anchor moveWithCells="1">
              <from>
                <xdr:col>0</xdr:col>
                <xdr:colOff>0</xdr:colOff>
                <xdr:row>3</xdr:row>
                <xdr:rowOff>47625</xdr:rowOff>
              </from>
              <to>
                <xdr:col>1</xdr:col>
                <xdr:colOff>114300</xdr:colOff>
                <xdr:row>4</xdr:row>
                <xdr:rowOff>85725</xdr:rowOff>
              </to>
            </anchor>
          </controlPr>
        </control>
      </mc:Choice>
      <mc:Fallback>
        <control shapeId="26626" r:id="rId32" name="Control 2"/>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66"/>
    <pageSetUpPr fitToPage="1"/>
  </sheetPr>
  <dimension ref="A1:Q53"/>
  <sheetViews>
    <sheetView showGridLines="0" tabSelected="1" zoomScaleNormal="100" workbookViewId="0">
      <pane xSplit="1" ySplit="1" topLeftCell="B2" activePane="bottomRight" state="frozen"/>
      <selection activeCell="E33" sqref="E33"/>
      <selection pane="topRight" activeCell="E33" sqref="E33"/>
      <selection pane="bottomLeft" activeCell="E33" sqref="E33"/>
      <selection pane="bottomRight" activeCell="E33" sqref="E33"/>
    </sheetView>
  </sheetViews>
  <sheetFormatPr defaultRowHeight="15"/>
  <cols>
    <col min="1" max="1" width="25.140625" bestFit="1" customWidth="1" collapsed="1"/>
    <col min="2" max="2" width="12" customWidth="1" collapsed="1"/>
    <col min="3" max="3" width="11.85546875" bestFit="1" customWidth="1" collapsed="1"/>
    <col min="4" max="4" width="10.85546875" bestFit="1" customWidth="1" collapsed="1"/>
    <col min="6" max="6" width="10.85546875" bestFit="1" customWidth="1" collapsed="1"/>
    <col min="7" max="7" width="9.28515625" bestFit="1" customWidth="1" collapsed="1"/>
    <col min="8" max="8" width="12.5703125" bestFit="1" customWidth="1" collapsed="1"/>
    <col min="9" max="9" width="10.85546875" bestFit="1" customWidth="1" collapsed="1"/>
    <col min="10" max="10" width="11.5703125" bestFit="1" customWidth="1" collapsed="1"/>
    <col min="11" max="11" width="16.5703125" bestFit="1" customWidth="1" collapsed="1"/>
    <col min="12" max="12" width="15.28515625" bestFit="1" customWidth="1" collapsed="1"/>
    <col min="13" max="13" width="11.85546875" bestFit="1" customWidth="1" collapsed="1"/>
    <col min="14" max="14" width="14.42578125" customWidth="1" collapsed="1"/>
    <col min="15" max="15" width="9.85546875" bestFit="1" customWidth="1"/>
    <col min="16" max="16" width="11.7109375" bestFit="1" customWidth="1"/>
  </cols>
  <sheetData>
    <row r="1" spans="1:17" ht="45">
      <c r="A1" s="714" t="s">
        <v>276</v>
      </c>
      <c r="B1" s="726" t="s">
        <v>56</v>
      </c>
      <c r="C1" s="726" t="s">
        <v>38</v>
      </c>
      <c r="D1" s="726" t="s">
        <v>39</v>
      </c>
      <c r="E1" s="726" t="s">
        <v>40</v>
      </c>
      <c r="F1" s="726" t="s">
        <v>41</v>
      </c>
      <c r="G1" s="726" t="s">
        <v>231</v>
      </c>
      <c r="H1" s="726" t="s">
        <v>48</v>
      </c>
      <c r="I1" s="714" t="s">
        <v>204</v>
      </c>
      <c r="J1" s="714" t="s">
        <v>182</v>
      </c>
      <c r="K1" s="714" t="s">
        <v>206</v>
      </c>
      <c r="L1" s="740" t="s">
        <v>205</v>
      </c>
      <c r="M1" s="748" t="s">
        <v>43</v>
      </c>
      <c r="O1" s="193"/>
    </row>
    <row r="2" spans="1:17" ht="19.899999999999999" customHeight="1">
      <c r="A2" s="727">
        <v>2009</v>
      </c>
      <c r="B2" s="728">
        <v>4399453</v>
      </c>
      <c r="C2" s="728">
        <v>5288538</v>
      </c>
      <c r="D2" s="728">
        <v>2679984</v>
      </c>
      <c r="E2" s="728">
        <v>254913</v>
      </c>
      <c r="F2" s="728">
        <v>1879727</v>
      </c>
      <c r="G2" s="728">
        <v>63054</v>
      </c>
      <c r="H2" s="728">
        <v>1760732</v>
      </c>
      <c r="I2" s="729" t="s">
        <v>257</v>
      </c>
      <c r="J2" s="729" t="s">
        <v>257</v>
      </c>
      <c r="K2" s="728">
        <f>7408221/2</f>
        <v>3704110.5</v>
      </c>
      <c r="L2" s="741" t="s">
        <v>257</v>
      </c>
      <c r="M2" s="749">
        <f t="shared" ref="M2:M12" si="0">SUM(B2:I2)</f>
        <v>16326401</v>
      </c>
      <c r="O2" s="194"/>
    </row>
    <row r="3" spans="1:17" ht="19.899999999999999" customHeight="1">
      <c r="A3" s="727">
        <v>2010</v>
      </c>
      <c r="B3" s="728">
        <v>4555027</v>
      </c>
      <c r="C3" s="728">
        <v>5451950</v>
      </c>
      <c r="D3" s="728">
        <v>2742235</v>
      </c>
      <c r="E3" s="728">
        <v>254913</v>
      </c>
      <c r="F3" s="728">
        <v>1881639</v>
      </c>
      <c r="G3" s="728">
        <v>63387</v>
      </c>
      <c r="H3" s="728">
        <v>1765224</v>
      </c>
      <c r="I3" s="729" t="s">
        <v>257</v>
      </c>
      <c r="J3" s="729" t="s">
        <v>257</v>
      </c>
      <c r="K3" s="728">
        <f t="shared" ref="K3:K4" si="1">7408221/2</f>
        <v>3704110.5</v>
      </c>
      <c r="L3" s="741" t="s">
        <v>257</v>
      </c>
      <c r="M3" s="749">
        <f t="shared" si="0"/>
        <v>16714375</v>
      </c>
      <c r="O3" s="194"/>
    </row>
    <row r="4" spans="1:17" ht="19.899999999999999" customHeight="1">
      <c r="A4" s="727">
        <v>2011</v>
      </c>
      <c r="B4" s="728">
        <v>4576322</v>
      </c>
      <c r="C4" s="728">
        <v>5488400</v>
      </c>
      <c r="D4" s="728">
        <v>2757513</v>
      </c>
      <c r="E4" s="728">
        <v>254403</v>
      </c>
      <c r="F4" s="728">
        <v>1880893</v>
      </c>
      <c r="G4" s="728">
        <v>63559</v>
      </c>
      <c r="H4" s="728">
        <v>1797863</v>
      </c>
      <c r="I4" s="729" t="s">
        <v>257</v>
      </c>
      <c r="J4" s="729" t="s">
        <v>257</v>
      </c>
      <c r="K4" s="728">
        <f t="shared" si="1"/>
        <v>3704110.5</v>
      </c>
      <c r="L4" s="741" t="s">
        <v>257</v>
      </c>
      <c r="M4" s="749">
        <f t="shared" si="0"/>
        <v>16818953</v>
      </c>
      <c r="O4" s="194"/>
    </row>
    <row r="5" spans="1:17" ht="19.899999999999999" customHeight="1">
      <c r="A5" s="727">
        <v>2012</v>
      </c>
      <c r="B5" s="728">
        <v>4591896</v>
      </c>
      <c r="C5" s="728">
        <v>5510920</v>
      </c>
      <c r="D5" s="728">
        <v>2780085</v>
      </c>
      <c r="E5" s="728">
        <v>253923</v>
      </c>
      <c r="F5" s="728">
        <v>1908337</v>
      </c>
      <c r="G5" s="728">
        <v>63805</v>
      </c>
      <c r="H5" s="730">
        <f>1793200</f>
        <v>1793200</v>
      </c>
      <c r="I5" s="729" t="s">
        <v>257</v>
      </c>
      <c r="J5" s="729" t="s">
        <v>257</v>
      </c>
      <c r="K5" s="731">
        <f>21408000/3</f>
        <v>7136000</v>
      </c>
      <c r="L5" s="741" t="s">
        <v>257</v>
      </c>
      <c r="M5" s="749">
        <f t="shared" si="0"/>
        <v>16902166</v>
      </c>
      <c r="O5" s="195"/>
    </row>
    <row r="6" spans="1:17" ht="19.899999999999999" customHeight="1">
      <c r="A6" s="727">
        <v>2013</v>
      </c>
      <c r="B6" s="728">
        <v>4091730</v>
      </c>
      <c r="C6" s="728">
        <v>5034431</v>
      </c>
      <c r="D6" s="728">
        <v>2658943</v>
      </c>
      <c r="E6" s="728">
        <v>239217</v>
      </c>
      <c r="F6" s="728">
        <v>1820218</v>
      </c>
      <c r="G6" s="728">
        <v>56795</v>
      </c>
      <c r="H6" s="731">
        <v>1658620</v>
      </c>
      <c r="I6" s="731">
        <v>311625</v>
      </c>
      <c r="J6" s="729" t="s">
        <v>257</v>
      </c>
      <c r="K6" s="731">
        <f>21408000/3</f>
        <v>7136000</v>
      </c>
      <c r="L6" s="741" t="s">
        <v>257</v>
      </c>
      <c r="M6" s="749">
        <f t="shared" si="0"/>
        <v>15871579</v>
      </c>
      <c r="O6" s="196"/>
    </row>
    <row r="7" spans="1:17" ht="19.899999999999999" customHeight="1">
      <c r="A7" s="727">
        <v>2014</v>
      </c>
      <c r="B7" s="728">
        <v>4092068</v>
      </c>
      <c r="C7" s="728">
        <v>5545438</v>
      </c>
      <c r="D7" s="728">
        <v>2821441</v>
      </c>
      <c r="E7" s="728">
        <v>239227</v>
      </c>
      <c r="F7" s="728">
        <v>1828462</v>
      </c>
      <c r="G7" s="728">
        <v>56795</v>
      </c>
      <c r="H7" s="731">
        <v>1837852</v>
      </c>
      <c r="I7" s="731">
        <v>3160551</v>
      </c>
      <c r="J7" s="729">
        <v>1250000</v>
      </c>
      <c r="K7" s="731">
        <f>21408000/3</f>
        <v>7136000</v>
      </c>
      <c r="L7" s="742">
        <v>3000000</v>
      </c>
      <c r="M7" s="749">
        <f t="shared" si="0"/>
        <v>19581834</v>
      </c>
      <c r="O7" s="196"/>
    </row>
    <row r="8" spans="1:17" s="216" customFormat="1" ht="19.899999999999999" customHeight="1">
      <c r="A8" s="732">
        <v>2015</v>
      </c>
      <c r="B8" s="733">
        <v>4091731</v>
      </c>
      <c r="C8" s="733">
        <v>5570464</v>
      </c>
      <c r="D8" s="733">
        <v>2844111</v>
      </c>
      <c r="E8" s="733">
        <v>239207</v>
      </c>
      <c r="F8" s="733">
        <v>1837888</v>
      </c>
      <c r="G8" s="733">
        <v>56795</v>
      </c>
      <c r="H8" s="734">
        <v>1941998</v>
      </c>
      <c r="I8" s="734">
        <f>2077127/2</f>
        <v>1038563.5</v>
      </c>
      <c r="J8" s="734">
        <f>1250000/2</f>
        <v>625000</v>
      </c>
      <c r="K8" s="734">
        <f>20111625/2</f>
        <v>10055812.5</v>
      </c>
      <c r="L8" s="743">
        <f>6000000/2</f>
        <v>3000000</v>
      </c>
      <c r="M8" s="750">
        <f t="shared" si="0"/>
        <v>17620757.5</v>
      </c>
      <c r="N8" s="350" t="s">
        <v>275</v>
      </c>
      <c r="O8" s="351"/>
      <c r="P8" s="351"/>
    </row>
    <row r="9" spans="1:17" s="216" customFormat="1" ht="19.5" customHeight="1">
      <c r="A9" s="732">
        <v>2016</v>
      </c>
      <c r="B9" s="733">
        <v>4085823</v>
      </c>
      <c r="C9" s="733">
        <v>5771973</v>
      </c>
      <c r="D9" s="733">
        <v>2988113</v>
      </c>
      <c r="E9" s="733">
        <v>238752</v>
      </c>
      <c r="F9" s="733">
        <v>1912618</v>
      </c>
      <c r="G9" s="733">
        <v>56795</v>
      </c>
      <c r="H9" s="734">
        <v>1904526</v>
      </c>
      <c r="I9" s="734">
        <f>2077127/2</f>
        <v>1038563.5</v>
      </c>
      <c r="J9" s="734">
        <f>1250000/2</f>
        <v>625000</v>
      </c>
      <c r="K9" s="734">
        <f>20111625/2</f>
        <v>10055812.5</v>
      </c>
      <c r="L9" s="743">
        <f>6000000/2</f>
        <v>3000000</v>
      </c>
      <c r="M9" s="750">
        <f t="shared" si="0"/>
        <v>17997163.5</v>
      </c>
      <c r="N9" s="350" t="s">
        <v>274</v>
      </c>
      <c r="O9" s="351"/>
      <c r="P9" s="351"/>
    </row>
    <row r="10" spans="1:17" ht="19.5" customHeight="1">
      <c r="A10" s="732">
        <v>2017</v>
      </c>
      <c r="B10" s="733">
        <v>4253413</v>
      </c>
      <c r="C10" s="733">
        <v>5823512</v>
      </c>
      <c r="D10" s="733">
        <v>3005722</v>
      </c>
      <c r="E10" s="733">
        <v>240226</v>
      </c>
      <c r="F10" s="733">
        <v>1925376</v>
      </c>
      <c r="G10" s="733">
        <v>56795</v>
      </c>
      <c r="H10" s="734">
        <v>1889136</v>
      </c>
      <c r="I10" s="734">
        <v>1076990.5</v>
      </c>
      <c r="J10" s="734">
        <v>648125</v>
      </c>
      <c r="K10" s="734">
        <v>10427887.5</v>
      </c>
      <c r="L10" s="743">
        <v>3111000</v>
      </c>
      <c r="M10" s="750">
        <f t="shared" si="0"/>
        <v>18271170.5</v>
      </c>
      <c r="N10" s="350" t="s">
        <v>324</v>
      </c>
      <c r="O10" s="224"/>
      <c r="P10" s="198"/>
      <c r="Q10" s="199"/>
    </row>
    <row r="11" spans="1:17" s="407" customFormat="1" ht="19.899999999999999" customHeight="1">
      <c r="A11" s="735">
        <v>2018</v>
      </c>
      <c r="B11" s="733">
        <v>5083251</v>
      </c>
      <c r="C11" s="733">
        <v>6504516</v>
      </c>
      <c r="D11" s="733">
        <v>3268023</v>
      </c>
      <c r="E11" s="733">
        <v>330329</v>
      </c>
      <c r="F11" s="733">
        <v>2331458</v>
      </c>
      <c r="G11" s="733">
        <v>56795</v>
      </c>
      <c r="H11" s="733">
        <v>1811390</v>
      </c>
      <c r="I11" s="733">
        <v>1076990.5</v>
      </c>
      <c r="J11" s="736">
        <v>648125</v>
      </c>
      <c r="K11" s="736">
        <v>10427887.5</v>
      </c>
      <c r="L11" s="744">
        <v>3111000</v>
      </c>
      <c r="M11" s="751">
        <f t="shared" si="0"/>
        <v>20462752.5</v>
      </c>
      <c r="N11" s="350" t="s">
        <v>342</v>
      </c>
    </row>
    <row r="12" spans="1:17" s="97" customFormat="1" ht="19.899999999999999" customHeight="1">
      <c r="A12" s="735">
        <v>2019</v>
      </c>
      <c r="B12" s="733">
        <v>5065356</v>
      </c>
      <c r="C12" s="733">
        <v>6512832</v>
      </c>
      <c r="D12" s="733">
        <v>3308171</v>
      </c>
      <c r="E12" s="733">
        <v>328342</v>
      </c>
      <c r="F12" s="733">
        <v>2356276</v>
      </c>
      <c r="G12" s="733">
        <f t="shared" ref="G12" si="2">G11</f>
        <v>56795</v>
      </c>
      <c r="H12" s="733">
        <v>1793536</v>
      </c>
      <c r="I12" s="733">
        <v>526991</v>
      </c>
      <c r="J12" s="736">
        <v>648125</v>
      </c>
      <c r="K12" s="736">
        <v>10427886.5</v>
      </c>
      <c r="L12" s="744">
        <v>3111000</v>
      </c>
      <c r="M12" s="751">
        <f t="shared" si="0"/>
        <v>19948299</v>
      </c>
      <c r="N12" s="536" t="s">
        <v>401</v>
      </c>
      <c r="P12" s="430"/>
      <c r="Q12" s="430"/>
    </row>
    <row r="13" spans="1:17" ht="19.899999999999999" customHeight="1">
      <c r="A13" s="732">
        <v>2020</v>
      </c>
      <c r="B13" s="733">
        <v>5135003</v>
      </c>
      <c r="C13" s="733">
        <v>6706070</v>
      </c>
      <c r="D13" s="733">
        <v>3512271</v>
      </c>
      <c r="E13" s="733">
        <v>329553</v>
      </c>
      <c r="F13" s="733">
        <v>2419369</v>
      </c>
      <c r="G13" s="733">
        <f t="shared" ref="G13:I14" si="3">G12</f>
        <v>56795</v>
      </c>
      <c r="H13" s="733">
        <v>1598413</v>
      </c>
      <c r="I13" s="733">
        <f t="shared" si="3"/>
        <v>526991</v>
      </c>
      <c r="J13" s="734"/>
      <c r="K13" s="734">
        <v>10427886.5</v>
      </c>
      <c r="L13" s="743">
        <v>3111000</v>
      </c>
      <c r="M13" s="750">
        <f t="shared" ref="M13" si="4">SUM(B13:I13)</f>
        <v>20284465</v>
      </c>
      <c r="N13" s="536" t="s">
        <v>400</v>
      </c>
      <c r="O13" s="97"/>
      <c r="P13" s="198"/>
      <c r="Q13" s="199"/>
    </row>
    <row r="14" spans="1:17" ht="19.899999999999999" customHeight="1">
      <c r="A14" s="732">
        <v>2021</v>
      </c>
      <c r="B14" s="733">
        <v>5156499</v>
      </c>
      <c r="C14" s="733">
        <v>6738654</v>
      </c>
      <c r="D14" s="733">
        <v>3625107</v>
      </c>
      <c r="E14" s="733">
        <v>329201</v>
      </c>
      <c r="F14" s="733">
        <v>2481432</v>
      </c>
      <c r="G14" s="733">
        <f t="shared" si="3"/>
        <v>56795</v>
      </c>
      <c r="H14" s="733">
        <v>1590513</v>
      </c>
      <c r="I14" s="733">
        <v>1076991</v>
      </c>
      <c r="J14" s="736"/>
      <c r="K14" s="736">
        <v>10427887</v>
      </c>
      <c r="L14" s="743">
        <v>3111000</v>
      </c>
      <c r="M14" s="750">
        <f t="shared" ref="M14:M16" si="5">SUM(B14:I14)</f>
        <v>21055192</v>
      </c>
      <c r="N14" s="536" t="s">
        <v>427</v>
      </c>
      <c r="O14" s="224"/>
      <c r="P14" s="198"/>
      <c r="Q14" s="199"/>
    </row>
    <row r="15" spans="1:17" ht="19.899999999999999" customHeight="1">
      <c r="A15" s="732">
        <v>2022</v>
      </c>
      <c r="B15" s="733">
        <v>5239146</v>
      </c>
      <c r="C15" s="733">
        <v>6734730</v>
      </c>
      <c r="D15" s="733">
        <v>3811828</v>
      </c>
      <c r="E15" s="733">
        <v>328497</v>
      </c>
      <c r="F15" s="733">
        <v>2569002</v>
      </c>
      <c r="G15" s="733">
        <f t="shared" ref="G15:I20" si="6">G14</f>
        <v>56795</v>
      </c>
      <c r="H15" s="733">
        <v>1740663</v>
      </c>
      <c r="I15" s="733">
        <f t="shared" si="6"/>
        <v>1076991</v>
      </c>
      <c r="J15" s="736"/>
      <c r="K15" s="733">
        <f t="shared" ref="K15:K17" si="7">K14</f>
        <v>10427887</v>
      </c>
      <c r="L15" s="745">
        <f t="shared" ref="L15:L17" si="8">L14</f>
        <v>3111000</v>
      </c>
      <c r="M15" s="750">
        <f t="shared" si="5"/>
        <v>21557652</v>
      </c>
      <c r="N15" s="536" t="s">
        <v>438</v>
      </c>
      <c r="O15" s="224"/>
      <c r="P15" s="198"/>
      <c r="Q15" s="199"/>
    </row>
    <row r="16" spans="1:17" ht="19.899999999999999" customHeight="1">
      <c r="A16" s="732">
        <v>2023</v>
      </c>
      <c r="B16" s="733">
        <v>5379344</v>
      </c>
      <c r="C16" s="733">
        <v>7049402</v>
      </c>
      <c r="D16" s="733">
        <v>4751035</v>
      </c>
      <c r="E16" s="733">
        <v>344112</v>
      </c>
      <c r="F16" s="733">
        <v>2620514</v>
      </c>
      <c r="G16" s="733">
        <v>56600</v>
      </c>
      <c r="H16" s="733">
        <v>1736300</v>
      </c>
      <c r="I16" s="733">
        <f t="shared" si="6"/>
        <v>1076991</v>
      </c>
      <c r="J16" s="716">
        <f t="shared" ref="J16:J20" si="9">J15</f>
        <v>0</v>
      </c>
      <c r="K16" s="733">
        <f t="shared" si="7"/>
        <v>10427887</v>
      </c>
      <c r="L16" s="745">
        <f t="shared" si="8"/>
        <v>3111000</v>
      </c>
      <c r="M16" s="750">
        <f t="shared" si="5"/>
        <v>23014298</v>
      </c>
      <c r="N16" s="407" t="s">
        <v>462</v>
      </c>
      <c r="O16" s="224"/>
      <c r="P16" s="198"/>
      <c r="Q16" s="199"/>
    </row>
    <row r="17" spans="1:17" ht="19.899999999999999" customHeight="1">
      <c r="A17" s="732">
        <v>2024</v>
      </c>
      <c r="B17" s="733">
        <v>5231910</v>
      </c>
      <c r="C17" s="733">
        <v>7232612</v>
      </c>
      <c r="D17" s="733">
        <v>4912021</v>
      </c>
      <c r="E17" s="733">
        <v>342377</v>
      </c>
      <c r="F17" s="733">
        <v>2638426</v>
      </c>
      <c r="G17" s="733">
        <v>56714</v>
      </c>
      <c r="H17" s="733">
        <v>1210950</v>
      </c>
      <c r="I17" s="733">
        <f t="shared" si="6"/>
        <v>1076991</v>
      </c>
      <c r="J17" s="716">
        <f t="shared" si="9"/>
        <v>0</v>
      </c>
      <c r="K17" s="733">
        <f t="shared" si="7"/>
        <v>10427887</v>
      </c>
      <c r="L17" s="745">
        <f t="shared" si="8"/>
        <v>3111000</v>
      </c>
      <c r="M17" s="750">
        <f t="shared" ref="M17" si="10">SUM(B17:I17)</f>
        <v>22702001</v>
      </c>
      <c r="N17" s="407" t="s">
        <v>472</v>
      </c>
      <c r="O17" s="224"/>
      <c r="P17" s="198"/>
      <c r="Q17" s="199"/>
    </row>
    <row r="18" spans="1:17" ht="19.899999999999999" customHeight="1">
      <c r="A18" s="715" t="s">
        <v>437</v>
      </c>
      <c r="B18" s="716">
        <v>5254257</v>
      </c>
      <c r="C18" s="716">
        <v>7183434</v>
      </c>
      <c r="D18" s="716">
        <v>4809939</v>
      </c>
      <c r="E18" s="716">
        <v>336917</v>
      </c>
      <c r="F18" s="716">
        <v>2615754</v>
      </c>
      <c r="G18" s="716">
        <v>56669</v>
      </c>
      <c r="H18" s="716">
        <v>1229045</v>
      </c>
      <c r="I18" s="716">
        <f t="shared" si="6"/>
        <v>1076991</v>
      </c>
      <c r="J18" s="716">
        <f t="shared" si="9"/>
        <v>0</v>
      </c>
      <c r="K18" s="716">
        <v>5000000</v>
      </c>
      <c r="L18" s="746">
        <v>0</v>
      </c>
      <c r="M18" s="749">
        <f t="shared" ref="M18" si="11">SUM(B18:I18)</f>
        <v>22563006</v>
      </c>
      <c r="N18" s="626" t="s">
        <v>518</v>
      </c>
      <c r="O18" s="224"/>
      <c r="P18" s="198"/>
      <c r="Q18" s="199"/>
    </row>
    <row r="19" spans="1:17" ht="19.899999999999999" customHeight="1">
      <c r="A19" s="715" t="s">
        <v>516</v>
      </c>
      <c r="B19" s="716">
        <v>5254257</v>
      </c>
      <c r="C19" s="716">
        <v>7183434</v>
      </c>
      <c r="D19" s="716">
        <v>4809939</v>
      </c>
      <c r="E19" s="716">
        <v>336917</v>
      </c>
      <c r="F19" s="716">
        <v>2615754</v>
      </c>
      <c r="G19" s="716">
        <v>56669</v>
      </c>
      <c r="H19" s="716">
        <v>1229045</v>
      </c>
      <c r="I19" s="716">
        <f t="shared" si="6"/>
        <v>1076991</v>
      </c>
      <c r="J19" s="716">
        <f t="shared" si="9"/>
        <v>0</v>
      </c>
      <c r="K19" s="716">
        <v>5000000</v>
      </c>
      <c r="L19" s="746">
        <v>0</v>
      </c>
      <c r="M19" s="749">
        <f t="shared" ref="M19:M20" si="12">SUM(B19:I19)</f>
        <v>22563006</v>
      </c>
      <c r="N19" s="626" t="s">
        <v>518</v>
      </c>
      <c r="O19" s="224"/>
      <c r="P19" s="198"/>
      <c r="Q19" s="199"/>
    </row>
    <row r="20" spans="1:17" ht="19.899999999999999" customHeight="1">
      <c r="A20" s="715" t="s">
        <v>517</v>
      </c>
      <c r="B20" s="716">
        <v>5254257</v>
      </c>
      <c r="C20" s="716">
        <v>7183434</v>
      </c>
      <c r="D20" s="716">
        <v>4809939</v>
      </c>
      <c r="E20" s="716">
        <v>336917</v>
      </c>
      <c r="F20" s="716">
        <v>2615754</v>
      </c>
      <c r="G20" s="716">
        <v>56669</v>
      </c>
      <c r="H20" s="716">
        <v>1229045</v>
      </c>
      <c r="I20" s="716">
        <f t="shared" si="6"/>
        <v>1076991</v>
      </c>
      <c r="J20" s="716">
        <f t="shared" si="9"/>
        <v>0</v>
      </c>
      <c r="K20" s="716">
        <v>5000000</v>
      </c>
      <c r="L20" s="746">
        <v>0</v>
      </c>
      <c r="M20" s="749">
        <f t="shared" si="12"/>
        <v>22563006</v>
      </c>
      <c r="N20" s="626" t="s">
        <v>518</v>
      </c>
      <c r="O20" s="224"/>
      <c r="P20" s="198"/>
      <c r="Q20" s="199"/>
    </row>
    <row r="21" spans="1:17" ht="19.899999999999999" customHeight="1" thickBot="1">
      <c r="A21" s="737" t="s">
        <v>36</v>
      </c>
      <c r="B21" s="738">
        <v>55000</v>
      </c>
      <c r="C21" s="738">
        <v>20000</v>
      </c>
      <c r="D21" s="738">
        <v>5000</v>
      </c>
      <c r="E21" s="738">
        <v>3000</v>
      </c>
      <c r="F21" s="738">
        <v>0</v>
      </c>
      <c r="G21" s="738">
        <v>1000</v>
      </c>
      <c r="H21" s="739">
        <v>0</v>
      </c>
      <c r="I21" s="739">
        <v>0</v>
      </c>
      <c r="J21" s="739">
        <v>3000</v>
      </c>
      <c r="K21" s="739">
        <v>0</v>
      </c>
      <c r="L21" s="747">
        <v>0</v>
      </c>
      <c r="M21" s="752">
        <f>SUM(B21:L21)</f>
        <v>87000</v>
      </c>
      <c r="O21" s="197"/>
    </row>
    <row r="22" spans="1:17" ht="19.899999999999999" customHeight="1" thickBot="1">
      <c r="A22" s="786"/>
      <c r="B22" s="787"/>
    </row>
    <row r="23" spans="1:17" ht="19.899999999999999" customHeight="1">
      <c r="A23" s="223" t="s">
        <v>45</v>
      </c>
      <c r="B23" s="223" t="s">
        <v>46</v>
      </c>
      <c r="C23" s="223" t="s">
        <v>38</v>
      </c>
      <c r="D23" s="223" t="s">
        <v>39</v>
      </c>
      <c r="E23" s="223" t="s">
        <v>40</v>
      </c>
      <c r="F23" s="223" t="s">
        <v>41</v>
      </c>
      <c r="G23" s="223" t="s">
        <v>42</v>
      </c>
      <c r="H23" s="222" t="s">
        <v>47</v>
      </c>
      <c r="I23" s="222" t="s">
        <v>48</v>
      </c>
      <c r="J23" s="222" t="s">
        <v>49</v>
      </c>
      <c r="K23" s="222" t="s">
        <v>244</v>
      </c>
      <c r="L23" s="222" t="s">
        <v>148</v>
      </c>
      <c r="M23" s="287" t="s">
        <v>50</v>
      </c>
      <c r="N23" s="748" t="s">
        <v>51</v>
      </c>
    </row>
    <row r="24" spans="1:17" ht="19.899999999999999" customHeight="1">
      <c r="A24" s="20">
        <v>2009</v>
      </c>
      <c r="B24" s="21">
        <f t="shared" ref="B24:B42" si="13">B2*0.95-K24</f>
        <v>4122566.8499999996</v>
      </c>
      <c r="C24" s="21">
        <f t="shared" ref="C24:D42" si="14">C2*0.95</f>
        <v>5024111.0999999996</v>
      </c>
      <c r="D24" s="21">
        <f t="shared" si="14"/>
        <v>2545984.7999999998</v>
      </c>
      <c r="E24" s="21">
        <f t="shared" ref="E24:E42" si="15">E2</f>
        <v>254913</v>
      </c>
      <c r="F24" s="21">
        <f t="shared" ref="F24:F42" si="16">F2*0.95</f>
        <v>1785740.65</v>
      </c>
      <c r="G24" s="21">
        <f t="shared" ref="G24:G42" si="17">G2-M24</f>
        <v>57075</v>
      </c>
      <c r="H24" s="22">
        <f t="shared" ref="H24:H32" si="18">SUM(B24:G24)</f>
        <v>13790391.4</v>
      </c>
      <c r="I24" s="21">
        <f t="shared" ref="I24:I42" si="19">H2</f>
        <v>1760732</v>
      </c>
      <c r="J24" s="23">
        <f t="shared" ref="J24:J42" si="20">(B2+C2+D2+F2)*0.05</f>
        <v>712385.10000000009</v>
      </c>
      <c r="K24" s="24">
        <f>30913.5+26000</f>
        <v>56913.5</v>
      </c>
      <c r="L24" s="24">
        <v>204818</v>
      </c>
      <c r="M24" s="288">
        <v>5979</v>
      </c>
      <c r="N24" s="762">
        <f t="shared" ref="N24:N32" si="21">SUM(H24:M24)</f>
        <v>16531219</v>
      </c>
    </row>
    <row r="25" spans="1:17" ht="19.899999999999999" customHeight="1">
      <c r="A25" s="20">
        <v>2010</v>
      </c>
      <c r="B25" s="21">
        <f t="shared" si="13"/>
        <v>4270362.1499999994</v>
      </c>
      <c r="C25" s="21">
        <f t="shared" si="14"/>
        <v>5179352.5</v>
      </c>
      <c r="D25" s="21">
        <f t="shared" si="14"/>
        <v>2605123.25</v>
      </c>
      <c r="E25" s="21">
        <f t="shared" si="15"/>
        <v>254913</v>
      </c>
      <c r="F25" s="21">
        <f t="shared" si="16"/>
        <v>1787557.0499999998</v>
      </c>
      <c r="G25" s="21">
        <f t="shared" si="17"/>
        <v>57408</v>
      </c>
      <c r="H25" s="22">
        <f t="shared" si="18"/>
        <v>14154715.949999999</v>
      </c>
      <c r="I25" s="21">
        <f t="shared" si="19"/>
        <v>1765224</v>
      </c>
      <c r="J25" s="23">
        <f t="shared" si="20"/>
        <v>731542.55</v>
      </c>
      <c r="K25" s="24">
        <f t="shared" ref="K25:K31" si="22">30913.5+26000</f>
        <v>56913.5</v>
      </c>
      <c r="L25" s="24">
        <v>212847</v>
      </c>
      <c r="M25" s="288">
        <v>5979</v>
      </c>
      <c r="N25" s="762">
        <f t="shared" si="21"/>
        <v>16927222</v>
      </c>
    </row>
    <row r="26" spans="1:17" ht="19.899999999999999" customHeight="1">
      <c r="A26" s="20">
        <v>2011</v>
      </c>
      <c r="B26" s="21">
        <f t="shared" si="13"/>
        <v>4290592.3999999994</v>
      </c>
      <c r="C26" s="21">
        <f t="shared" si="14"/>
        <v>5213980</v>
      </c>
      <c r="D26" s="21">
        <f t="shared" si="14"/>
        <v>2619637.35</v>
      </c>
      <c r="E26" s="21">
        <f t="shared" si="15"/>
        <v>254403</v>
      </c>
      <c r="F26" s="21">
        <f t="shared" si="16"/>
        <v>1786848.3499999999</v>
      </c>
      <c r="G26" s="21">
        <f t="shared" si="17"/>
        <v>57580</v>
      </c>
      <c r="H26" s="22">
        <f t="shared" si="18"/>
        <v>14223041.099999998</v>
      </c>
      <c r="I26" s="21">
        <f t="shared" si="19"/>
        <v>1797863</v>
      </c>
      <c r="J26" s="23">
        <f t="shared" si="20"/>
        <v>735156.4</v>
      </c>
      <c r="K26" s="24">
        <f t="shared" si="22"/>
        <v>56913.5</v>
      </c>
      <c r="L26" s="24">
        <v>213891</v>
      </c>
      <c r="M26" s="288">
        <v>5979</v>
      </c>
      <c r="N26" s="762">
        <f t="shared" si="21"/>
        <v>17032844</v>
      </c>
    </row>
    <row r="27" spans="1:17" ht="19.899999999999999" customHeight="1">
      <c r="A27" s="20">
        <v>2012</v>
      </c>
      <c r="B27" s="21">
        <f t="shared" si="13"/>
        <v>4305387.7</v>
      </c>
      <c r="C27" s="21">
        <f t="shared" si="14"/>
        <v>5235374</v>
      </c>
      <c r="D27" s="21">
        <f t="shared" si="14"/>
        <v>2641080.75</v>
      </c>
      <c r="E27" s="21">
        <f t="shared" si="15"/>
        <v>253923</v>
      </c>
      <c r="F27" s="21">
        <f t="shared" si="16"/>
        <v>1812920.15</v>
      </c>
      <c r="G27" s="21">
        <f t="shared" si="17"/>
        <v>57826</v>
      </c>
      <c r="H27" s="22">
        <f t="shared" si="18"/>
        <v>14306511.6</v>
      </c>
      <c r="I27" s="21">
        <f t="shared" si="19"/>
        <v>1793200</v>
      </c>
      <c r="J27" s="23">
        <f t="shared" si="20"/>
        <v>739561.9</v>
      </c>
      <c r="K27" s="24">
        <f t="shared" si="22"/>
        <v>56913.5</v>
      </c>
      <c r="L27" s="24">
        <v>215742</v>
      </c>
      <c r="M27" s="288">
        <v>5979</v>
      </c>
      <c r="N27" s="762">
        <f t="shared" si="21"/>
        <v>17117908</v>
      </c>
    </row>
    <row r="28" spans="1:17" ht="19.899999999999999" customHeight="1">
      <c r="A28" s="20">
        <v>2013</v>
      </c>
      <c r="B28" s="21">
        <f t="shared" si="13"/>
        <v>3830230</v>
      </c>
      <c r="C28" s="21">
        <f t="shared" si="14"/>
        <v>4782709.45</v>
      </c>
      <c r="D28" s="21">
        <f t="shared" si="14"/>
        <v>2525995.85</v>
      </c>
      <c r="E28" s="21">
        <f t="shared" si="15"/>
        <v>239217</v>
      </c>
      <c r="F28" s="21">
        <f t="shared" si="16"/>
        <v>1729207.0999999999</v>
      </c>
      <c r="G28" s="21">
        <f t="shared" si="17"/>
        <v>50816</v>
      </c>
      <c r="H28" s="22">
        <f t="shared" si="18"/>
        <v>13158175.399999999</v>
      </c>
      <c r="I28" s="21">
        <f t="shared" si="19"/>
        <v>1658620</v>
      </c>
      <c r="J28" s="23">
        <f t="shared" si="20"/>
        <v>680266.10000000009</v>
      </c>
      <c r="K28" s="24">
        <f t="shared" si="22"/>
        <v>56913.5</v>
      </c>
      <c r="L28" s="24">
        <v>206583</v>
      </c>
      <c r="M28" s="288">
        <v>5979</v>
      </c>
      <c r="N28" s="762">
        <f t="shared" si="21"/>
        <v>15766536.999999998</v>
      </c>
    </row>
    <row r="29" spans="1:17" ht="19.899999999999999" customHeight="1">
      <c r="A29" s="20">
        <v>2014</v>
      </c>
      <c r="B29" s="21">
        <f t="shared" si="13"/>
        <v>3830551.0999999996</v>
      </c>
      <c r="C29" s="21">
        <f t="shared" si="14"/>
        <v>5268166.0999999996</v>
      </c>
      <c r="D29" s="21">
        <f t="shared" si="14"/>
        <v>2680368.9499999997</v>
      </c>
      <c r="E29" s="21">
        <f t="shared" si="15"/>
        <v>239227</v>
      </c>
      <c r="F29" s="21">
        <f t="shared" si="16"/>
        <v>1737038.9</v>
      </c>
      <c r="G29" s="21">
        <f t="shared" si="17"/>
        <v>50816</v>
      </c>
      <c r="H29" s="46">
        <f t="shared" si="18"/>
        <v>13806168.049999999</v>
      </c>
      <c r="I29" s="21">
        <f t="shared" si="19"/>
        <v>1837852</v>
      </c>
      <c r="J29" s="23">
        <f t="shared" si="20"/>
        <v>714370.45000000007</v>
      </c>
      <c r="K29" s="24">
        <f t="shared" si="22"/>
        <v>56913.5</v>
      </c>
      <c r="L29" s="24">
        <v>208041</v>
      </c>
      <c r="M29" s="288">
        <v>5979</v>
      </c>
      <c r="N29" s="762">
        <f t="shared" si="21"/>
        <v>16629323.999999998</v>
      </c>
    </row>
    <row r="30" spans="1:17" s="216" customFormat="1" ht="19.899999999999999" customHeight="1">
      <c r="A30" s="348">
        <v>2015</v>
      </c>
      <c r="B30" s="27">
        <f t="shared" si="13"/>
        <v>3830230.9499999997</v>
      </c>
      <c r="C30" s="27">
        <f t="shared" si="14"/>
        <v>5291940.8</v>
      </c>
      <c r="D30" s="27">
        <f t="shared" si="14"/>
        <v>2701905.4499999997</v>
      </c>
      <c r="E30" s="27">
        <f t="shared" si="15"/>
        <v>239207</v>
      </c>
      <c r="F30" s="27">
        <f t="shared" si="16"/>
        <v>1745993.5999999999</v>
      </c>
      <c r="G30" s="27">
        <f t="shared" si="17"/>
        <v>50816</v>
      </c>
      <c r="H30" s="22">
        <f t="shared" si="18"/>
        <v>13860093.799999999</v>
      </c>
      <c r="I30" s="27">
        <f t="shared" si="19"/>
        <v>1941998</v>
      </c>
      <c r="J30" s="23">
        <f t="shared" si="20"/>
        <v>717209.70000000007</v>
      </c>
      <c r="K30" s="349">
        <f>30913.5+26000</f>
        <v>56913.5</v>
      </c>
      <c r="L30" s="349">
        <v>208041</v>
      </c>
      <c r="M30" s="352">
        <v>5979</v>
      </c>
      <c r="N30" s="762">
        <f t="shared" si="21"/>
        <v>16790235</v>
      </c>
    </row>
    <row r="31" spans="1:17" s="216" customFormat="1" ht="19.899999999999999" customHeight="1">
      <c r="A31" s="348">
        <v>2016</v>
      </c>
      <c r="B31" s="27">
        <f t="shared" si="13"/>
        <v>3824618.3499999996</v>
      </c>
      <c r="C31" s="27">
        <f t="shared" si="14"/>
        <v>5483374.3499999996</v>
      </c>
      <c r="D31" s="27">
        <f t="shared" si="14"/>
        <v>2838707.35</v>
      </c>
      <c r="E31" s="27">
        <f t="shared" si="15"/>
        <v>238752</v>
      </c>
      <c r="F31" s="27">
        <f t="shared" si="16"/>
        <v>1816987.0999999999</v>
      </c>
      <c r="G31" s="27">
        <f t="shared" si="17"/>
        <v>50816</v>
      </c>
      <c r="H31" s="22">
        <f t="shared" si="18"/>
        <v>14253255.149999999</v>
      </c>
      <c r="I31" s="27">
        <f t="shared" si="19"/>
        <v>1904526</v>
      </c>
      <c r="J31" s="23">
        <f t="shared" si="20"/>
        <v>737926.35000000009</v>
      </c>
      <c r="K31" s="349">
        <f t="shared" si="22"/>
        <v>56913.5</v>
      </c>
      <c r="L31" s="349">
        <v>208041</v>
      </c>
      <c r="M31" s="352">
        <v>5979</v>
      </c>
      <c r="N31" s="762">
        <f t="shared" si="21"/>
        <v>17166641</v>
      </c>
    </row>
    <row r="32" spans="1:17" s="97" customFormat="1" ht="19.899999999999999" customHeight="1">
      <c r="A32" s="382">
        <v>2017</v>
      </c>
      <c r="B32" s="383">
        <f t="shared" si="13"/>
        <v>3983828.8499999996</v>
      </c>
      <c r="C32" s="383">
        <f t="shared" si="14"/>
        <v>5532336.3999999994</v>
      </c>
      <c r="D32" s="383">
        <f t="shared" si="14"/>
        <v>2855435.9</v>
      </c>
      <c r="E32" s="383">
        <f t="shared" si="15"/>
        <v>240226</v>
      </c>
      <c r="F32" s="383">
        <f t="shared" si="16"/>
        <v>1829107.2</v>
      </c>
      <c r="G32" s="383">
        <f t="shared" si="17"/>
        <v>50816</v>
      </c>
      <c r="H32" s="387">
        <f t="shared" si="18"/>
        <v>14491750.35</v>
      </c>
      <c r="I32" s="383">
        <f t="shared" si="19"/>
        <v>1889136</v>
      </c>
      <c r="J32" s="384">
        <f t="shared" si="20"/>
        <v>750401.15</v>
      </c>
      <c r="K32" s="385">
        <f t="shared" ref="K32:K42" si="23">30913.5+26000</f>
        <v>56913.5</v>
      </c>
      <c r="L32" s="385">
        <v>208041</v>
      </c>
      <c r="M32" s="386">
        <v>5979</v>
      </c>
      <c r="N32" s="763">
        <f t="shared" si="21"/>
        <v>17402221</v>
      </c>
    </row>
    <row r="33" spans="1:16" ht="19.899999999999999" customHeight="1">
      <c r="A33" s="382">
        <v>2018</v>
      </c>
      <c r="B33" s="383">
        <f t="shared" si="13"/>
        <v>4772174.95</v>
      </c>
      <c r="C33" s="383">
        <f t="shared" si="14"/>
        <v>6179290.1999999993</v>
      </c>
      <c r="D33" s="383">
        <f t="shared" si="14"/>
        <v>3104621.8499999996</v>
      </c>
      <c r="E33" s="383">
        <f t="shared" si="15"/>
        <v>330329</v>
      </c>
      <c r="F33" s="383">
        <f t="shared" si="16"/>
        <v>2214885.1</v>
      </c>
      <c r="G33" s="383">
        <f t="shared" si="17"/>
        <v>50816</v>
      </c>
      <c r="H33" s="387">
        <f>SUM(B33:G33)</f>
        <v>16652117.099999998</v>
      </c>
      <c r="I33" s="383">
        <f t="shared" si="19"/>
        <v>1811390</v>
      </c>
      <c r="J33" s="384">
        <f t="shared" si="20"/>
        <v>859362.4</v>
      </c>
      <c r="K33" s="385">
        <f t="shared" si="23"/>
        <v>56913.5</v>
      </c>
      <c r="L33" s="385">
        <v>208041</v>
      </c>
      <c r="M33" s="386">
        <v>5979</v>
      </c>
      <c r="N33" s="763">
        <f t="shared" ref="N33" si="24">SUM(H33:M33)</f>
        <v>19593802.999999996</v>
      </c>
    </row>
    <row r="34" spans="1:16" ht="19.899999999999999" customHeight="1">
      <c r="A34" s="348">
        <v>2019</v>
      </c>
      <c r="B34" s="383">
        <f t="shared" si="13"/>
        <v>4755174.7</v>
      </c>
      <c r="C34" s="383">
        <f t="shared" si="14"/>
        <v>6187190.3999999994</v>
      </c>
      <c r="D34" s="383">
        <f t="shared" si="14"/>
        <v>3142762.4499999997</v>
      </c>
      <c r="E34" s="383">
        <f t="shared" si="15"/>
        <v>328342</v>
      </c>
      <c r="F34" s="383">
        <f t="shared" si="16"/>
        <v>2238462.1999999997</v>
      </c>
      <c r="G34" s="383">
        <f t="shared" si="17"/>
        <v>50816</v>
      </c>
      <c r="H34" s="387">
        <f>SUM(B34:G34)</f>
        <v>16702747.749999998</v>
      </c>
      <c r="I34" s="383">
        <f t="shared" si="19"/>
        <v>1793536</v>
      </c>
      <c r="J34" s="384">
        <f t="shared" si="20"/>
        <v>862131.75</v>
      </c>
      <c r="K34" s="385">
        <f t="shared" si="23"/>
        <v>56913.5</v>
      </c>
      <c r="L34" s="385">
        <v>224158</v>
      </c>
      <c r="M34" s="386">
        <v>5979</v>
      </c>
      <c r="N34" s="763">
        <f t="shared" ref="N34" si="25">SUM(H34:M34)</f>
        <v>19645466</v>
      </c>
    </row>
    <row r="35" spans="1:16" ht="19.899999999999999" customHeight="1">
      <c r="A35" s="348">
        <v>2020</v>
      </c>
      <c r="B35" s="383">
        <f t="shared" si="13"/>
        <v>4821339.3499999996</v>
      </c>
      <c r="C35" s="383">
        <f t="shared" si="14"/>
        <v>6370766.5</v>
      </c>
      <c r="D35" s="383">
        <f t="shared" si="14"/>
        <v>3336657.4499999997</v>
      </c>
      <c r="E35" s="383">
        <f t="shared" si="15"/>
        <v>329553</v>
      </c>
      <c r="F35" s="383">
        <f t="shared" si="16"/>
        <v>2298400.5499999998</v>
      </c>
      <c r="G35" s="383">
        <f t="shared" si="17"/>
        <v>50816</v>
      </c>
      <c r="H35" s="387">
        <f t="shared" ref="H35:H38" si="26">SUM(B35:G35)</f>
        <v>17207532.849999998</v>
      </c>
      <c r="I35" s="383">
        <f t="shared" si="19"/>
        <v>1598413</v>
      </c>
      <c r="J35" s="384">
        <f t="shared" si="20"/>
        <v>888635.65</v>
      </c>
      <c r="K35" s="385">
        <f t="shared" si="23"/>
        <v>56913.5</v>
      </c>
      <c r="L35" s="385">
        <v>238385</v>
      </c>
      <c r="M35" s="386">
        <v>5979</v>
      </c>
      <c r="N35" s="763">
        <f t="shared" ref="N35:N38" si="27">SUM(H35:M35)</f>
        <v>19995858.999999996</v>
      </c>
    </row>
    <row r="36" spans="1:16" ht="19.899999999999999" customHeight="1">
      <c r="A36" s="348">
        <v>2021</v>
      </c>
      <c r="B36" s="383">
        <f t="shared" si="13"/>
        <v>4841760.55</v>
      </c>
      <c r="C36" s="383">
        <f t="shared" si="14"/>
        <v>6401721.2999999998</v>
      </c>
      <c r="D36" s="383">
        <f t="shared" si="14"/>
        <v>3443851.65</v>
      </c>
      <c r="E36" s="383">
        <f t="shared" si="15"/>
        <v>329201</v>
      </c>
      <c r="F36" s="383">
        <f t="shared" si="16"/>
        <v>2357360.4</v>
      </c>
      <c r="G36" s="383">
        <f t="shared" si="17"/>
        <v>50816</v>
      </c>
      <c r="H36" s="387">
        <f t="shared" si="26"/>
        <v>17424710.899999999</v>
      </c>
      <c r="I36" s="383">
        <f t="shared" si="19"/>
        <v>1590513</v>
      </c>
      <c r="J36" s="384">
        <f t="shared" si="20"/>
        <v>900084.60000000009</v>
      </c>
      <c r="K36" s="385">
        <f t="shared" si="23"/>
        <v>56913.5</v>
      </c>
      <c r="L36" s="385">
        <v>251436</v>
      </c>
      <c r="M36" s="386">
        <v>5979</v>
      </c>
      <c r="N36" s="763">
        <f t="shared" si="27"/>
        <v>20229637</v>
      </c>
    </row>
    <row r="37" spans="1:16" ht="19.899999999999999" customHeight="1">
      <c r="A37" s="585">
        <v>2022</v>
      </c>
      <c r="B37" s="587">
        <f t="shared" si="13"/>
        <v>4920275.2</v>
      </c>
      <c r="C37" s="587">
        <f t="shared" si="14"/>
        <v>6397993.5</v>
      </c>
      <c r="D37" s="587">
        <f t="shared" si="14"/>
        <v>3621236.5999999996</v>
      </c>
      <c r="E37" s="587">
        <f t="shared" si="15"/>
        <v>328497</v>
      </c>
      <c r="F37" s="587">
        <f t="shared" si="16"/>
        <v>2440551.9</v>
      </c>
      <c r="G37" s="587">
        <f t="shared" si="17"/>
        <v>50816</v>
      </c>
      <c r="H37" s="387">
        <f t="shared" si="26"/>
        <v>17759370.199999999</v>
      </c>
      <c r="I37" s="587">
        <f t="shared" si="19"/>
        <v>1740663</v>
      </c>
      <c r="J37" s="588">
        <f t="shared" si="20"/>
        <v>917735.3</v>
      </c>
      <c r="K37" s="385">
        <f t="shared" si="23"/>
        <v>56913.5</v>
      </c>
      <c r="L37" s="406">
        <v>264217</v>
      </c>
      <c r="M37" s="406">
        <v>5979</v>
      </c>
      <c r="N37" s="763">
        <f t="shared" si="27"/>
        <v>20744878</v>
      </c>
    </row>
    <row r="38" spans="1:16" ht="19.899999999999999" customHeight="1">
      <c r="A38" s="586">
        <v>2023</v>
      </c>
      <c r="B38" s="717">
        <f t="shared" si="13"/>
        <v>5053463.3</v>
      </c>
      <c r="C38" s="717">
        <f t="shared" si="14"/>
        <v>6696931.8999999994</v>
      </c>
      <c r="D38" s="717">
        <f t="shared" si="14"/>
        <v>4513483.25</v>
      </c>
      <c r="E38" s="717">
        <f t="shared" si="15"/>
        <v>344112</v>
      </c>
      <c r="F38" s="717">
        <f t="shared" si="16"/>
        <v>2489488.2999999998</v>
      </c>
      <c r="G38" s="717">
        <f t="shared" si="17"/>
        <v>50621</v>
      </c>
      <c r="H38" s="718">
        <f t="shared" si="26"/>
        <v>19148099.75</v>
      </c>
      <c r="I38" s="717">
        <f t="shared" si="19"/>
        <v>1736300</v>
      </c>
      <c r="J38" s="719">
        <f t="shared" si="20"/>
        <v>990014.75</v>
      </c>
      <c r="K38" s="720">
        <f t="shared" si="23"/>
        <v>56913.5</v>
      </c>
      <c r="L38" s="720">
        <v>287162</v>
      </c>
      <c r="M38" s="720">
        <v>5979</v>
      </c>
      <c r="N38" s="767">
        <f t="shared" si="27"/>
        <v>22224469</v>
      </c>
    </row>
    <row r="39" spans="1:16" ht="19.899999999999999" customHeight="1">
      <c r="A39" s="586">
        <v>2024</v>
      </c>
      <c r="B39" s="717">
        <f t="shared" si="13"/>
        <v>4913401</v>
      </c>
      <c r="C39" s="717">
        <f t="shared" si="14"/>
        <v>6870981.3999999994</v>
      </c>
      <c r="D39" s="717">
        <f t="shared" si="14"/>
        <v>4666419.95</v>
      </c>
      <c r="E39" s="717">
        <f t="shared" si="15"/>
        <v>342377</v>
      </c>
      <c r="F39" s="717">
        <f t="shared" si="16"/>
        <v>2506504.6999999997</v>
      </c>
      <c r="G39" s="717">
        <f t="shared" si="17"/>
        <v>50735</v>
      </c>
      <c r="H39" s="718">
        <f t="shared" ref="H39" si="28">SUM(B39:G39)</f>
        <v>19350419.049999997</v>
      </c>
      <c r="I39" s="717">
        <f t="shared" si="19"/>
        <v>1210950</v>
      </c>
      <c r="J39" s="719">
        <f t="shared" si="20"/>
        <v>1000748.4500000001</v>
      </c>
      <c r="K39" s="720">
        <f t="shared" si="23"/>
        <v>56913.5</v>
      </c>
      <c r="L39" s="720">
        <v>285976</v>
      </c>
      <c r="M39" s="720">
        <v>5979</v>
      </c>
      <c r="N39" s="767">
        <f t="shared" ref="N39" si="29">SUM(H39:M39)</f>
        <v>21910985.999999996</v>
      </c>
    </row>
    <row r="40" spans="1:16" ht="19.899999999999999" customHeight="1">
      <c r="A40" s="586">
        <v>2025</v>
      </c>
      <c r="B40" s="721">
        <f t="shared" si="13"/>
        <v>4934630.6499999994</v>
      </c>
      <c r="C40" s="721">
        <f t="shared" si="14"/>
        <v>6824262.2999999998</v>
      </c>
      <c r="D40" s="721">
        <f t="shared" si="14"/>
        <v>4569442.05</v>
      </c>
      <c r="E40" s="721">
        <f t="shared" si="15"/>
        <v>336917</v>
      </c>
      <c r="F40" s="721">
        <f t="shared" si="16"/>
        <v>2484966.2999999998</v>
      </c>
      <c r="G40" s="721">
        <f t="shared" si="17"/>
        <v>50690</v>
      </c>
      <c r="H40" s="722">
        <f t="shared" ref="H40" si="30">SUM(B40:G40)</f>
        <v>19200908.300000001</v>
      </c>
      <c r="I40" s="721">
        <f t="shared" si="19"/>
        <v>1229045</v>
      </c>
      <c r="J40" s="723">
        <f t="shared" si="20"/>
        <v>993169.20000000007</v>
      </c>
      <c r="K40" s="724">
        <f t="shared" si="23"/>
        <v>56913.5</v>
      </c>
      <c r="L40" s="724">
        <v>281307</v>
      </c>
      <c r="M40" s="724">
        <v>5979</v>
      </c>
      <c r="N40" s="768">
        <f t="shared" ref="N40" si="31">SUM(H40:M40)</f>
        <v>21767322</v>
      </c>
    </row>
    <row r="41" spans="1:16" ht="19.899999999999999" customHeight="1">
      <c r="A41" s="640">
        <v>2026</v>
      </c>
      <c r="B41" s="721">
        <f t="shared" si="13"/>
        <v>4934630.6499999994</v>
      </c>
      <c r="C41" s="721">
        <f t="shared" si="14"/>
        <v>6824262.2999999998</v>
      </c>
      <c r="D41" s="721">
        <f t="shared" si="14"/>
        <v>4569442.05</v>
      </c>
      <c r="E41" s="721">
        <f t="shared" si="15"/>
        <v>336917</v>
      </c>
      <c r="F41" s="721">
        <f t="shared" si="16"/>
        <v>2484966.2999999998</v>
      </c>
      <c r="G41" s="721">
        <f t="shared" si="17"/>
        <v>50690</v>
      </c>
      <c r="H41" s="722">
        <f t="shared" ref="H41" si="32">SUM(B41:G41)</f>
        <v>19200908.300000001</v>
      </c>
      <c r="I41" s="721">
        <f t="shared" si="19"/>
        <v>1229045</v>
      </c>
      <c r="J41" s="723">
        <f t="shared" si="20"/>
        <v>993169.20000000007</v>
      </c>
      <c r="K41" s="724">
        <f t="shared" si="23"/>
        <v>56913.5</v>
      </c>
      <c r="L41" s="724">
        <v>281307</v>
      </c>
      <c r="M41" s="724">
        <v>5979</v>
      </c>
      <c r="N41" s="768">
        <f t="shared" ref="N41" si="33">SUM(H41:M41)</f>
        <v>21767322</v>
      </c>
    </row>
    <row r="42" spans="1:16" ht="19.899999999999999" customHeight="1" thickBot="1">
      <c r="A42" s="640">
        <v>2027</v>
      </c>
      <c r="B42" s="721">
        <f t="shared" si="13"/>
        <v>4934630.6499999994</v>
      </c>
      <c r="C42" s="721">
        <f t="shared" si="14"/>
        <v>6824262.2999999998</v>
      </c>
      <c r="D42" s="721">
        <f t="shared" si="14"/>
        <v>4569442.05</v>
      </c>
      <c r="E42" s="721">
        <f t="shared" si="15"/>
        <v>336917</v>
      </c>
      <c r="F42" s="721">
        <f t="shared" si="16"/>
        <v>2484966.2999999998</v>
      </c>
      <c r="G42" s="721">
        <f t="shared" si="17"/>
        <v>50690</v>
      </c>
      <c r="H42" s="722">
        <f t="shared" ref="H42" si="34">SUM(B42:G42)</f>
        <v>19200908.300000001</v>
      </c>
      <c r="I42" s="721">
        <f t="shared" si="19"/>
        <v>1229045</v>
      </c>
      <c r="J42" s="723">
        <f t="shared" si="20"/>
        <v>993169.20000000007</v>
      </c>
      <c r="K42" s="724">
        <f t="shared" si="23"/>
        <v>56913.5</v>
      </c>
      <c r="L42" s="724">
        <v>281307</v>
      </c>
      <c r="M42" s="724">
        <v>5979</v>
      </c>
      <c r="N42" s="769">
        <f t="shared" ref="N42" si="35">SUM(H42:M42)</f>
        <v>21767322</v>
      </c>
    </row>
    <row r="43" spans="1:16" ht="19.899999999999999" customHeight="1" thickBot="1">
      <c r="A43" s="25"/>
      <c r="B43" s="725"/>
      <c r="C43" s="725"/>
      <c r="D43" s="725"/>
      <c r="E43" s="725"/>
      <c r="F43" s="725"/>
      <c r="G43" s="725"/>
      <c r="H43" s="725"/>
      <c r="I43" s="725"/>
    </row>
    <row r="44" spans="1:16" ht="19.899999999999999" customHeight="1">
      <c r="A44" s="223" t="s">
        <v>52</v>
      </c>
      <c r="B44" s="223" t="s">
        <v>46</v>
      </c>
      <c r="C44" s="223" t="s">
        <v>38</v>
      </c>
      <c r="D44" s="223" t="s">
        <v>39</v>
      </c>
      <c r="E44" s="223" t="s">
        <v>40</v>
      </c>
      <c r="F44" s="223" t="s">
        <v>41</v>
      </c>
      <c r="G44" s="223" t="s">
        <v>42</v>
      </c>
      <c r="H44" s="222" t="s">
        <v>47</v>
      </c>
      <c r="I44" s="222" t="s">
        <v>48</v>
      </c>
      <c r="J44" s="222" t="s">
        <v>49</v>
      </c>
      <c r="K44" s="222" t="s">
        <v>258</v>
      </c>
      <c r="L44" s="222" t="s">
        <v>148</v>
      </c>
      <c r="M44" s="757" t="s">
        <v>50</v>
      </c>
      <c r="N44" s="748" t="s">
        <v>51</v>
      </c>
    </row>
    <row r="45" spans="1:16" ht="19.899999999999999" hidden="1" customHeight="1">
      <c r="A45" s="20" t="s">
        <v>53</v>
      </c>
      <c r="B45" s="21">
        <f t="shared" ref="B45:G45" si="36">ROUND(((B24*0.25)+B25+(B26*0.75)),0)</f>
        <v>8518948</v>
      </c>
      <c r="C45" s="21">
        <f t="shared" si="36"/>
        <v>10345865</v>
      </c>
      <c r="D45" s="21">
        <f t="shared" si="36"/>
        <v>5206347</v>
      </c>
      <c r="E45" s="21">
        <f t="shared" si="36"/>
        <v>509444</v>
      </c>
      <c r="F45" s="21">
        <f t="shared" si="36"/>
        <v>3574128</v>
      </c>
      <c r="G45" s="21">
        <f t="shared" si="36"/>
        <v>114862</v>
      </c>
      <c r="H45" s="26">
        <f t="shared" ref="H45:H49" si="37">SUM(B45:G45)</f>
        <v>28269594</v>
      </c>
      <c r="I45" s="24">
        <f>ROUND(((I24*0.25)+I25+(I26*0.75)),0)</f>
        <v>3553804</v>
      </c>
      <c r="J45" s="24">
        <f>ROUND(((J24*0.25)+J25+(J26*0.75)),0)</f>
        <v>1461006</v>
      </c>
      <c r="K45" s="24">
        <f>ROUND(((K24*0.25)+K25+(K26*0.75)),0)</f>
        <v>113827</v>
      </c>
      <c r="L45" s="24">
        <f>ROUND(((L24*0.25)+L25+(L26*0.75)),0)</f>
        <v>424470</v>
      </c>
      <c r="M45" s="758">
        <f>ROUND(((M24*0.25)+M25+(M26*0.75)),0)</f>
        <v>11958</v>
      </c>
      <c r="N45" s="762">
        <f t="shared" ref="N45:N49" si="38">SUM(H45:M45)</f>
        <v>33834659</v>
      </c>
    </row>
    <row r="46" spans="1:16" ht="19.899999999999999" hidden="1" customHeight="1">
      <c r="A46" s="20" t="s">
        <v>54</v>
      </c>
      <c r="B46" s="21">
        <f>((B26*0.25)+B27+(B28*0.75))</f>
        <v>8250708.2999999998</v>
      </c>
      <c r="C46" s="21">
        <f t="shared" ref="C46:G46" si="39">((C26*0.25)+C27+(C28*0.75))</f>
        <v>10125901.0875</v>
      </c>
      <c r="D46" s="21">
        <f t="shared" si="39"/>
        <v>5190486.9749999996</v>
      </c>
      <c r="E46" s="21">
        <f t="shared" si="39"/>
        <v>496936.5</v>
      </c>
      <c r="F46" s="21">
        <f t="shared" si="39"/>
        <v>3556537.5625</v>
      </c>
      <c r="G46" s="21">
        <f t="shared" si="39"/>
        <v>110333</v>
      </c>
      <c r="H46" s="26">
        <f t="shared" si="37"/>
        <v>27730903.424999997</v>
      </c>
      <c r="I46" s="24">
        <f>((I26*0.25)+I27+(I28*0.75))</f>
        <v>3486630.75</v>
      </c>
      <c r="J46" s="24">
        <f>((J26*0.25)+J27+(J28*0.75))</f>
        <v>1433550.5750000002</v>
      </c>
      <c r="K46" s="24">
        <f>((K26*0.25)+K27+(K28*0.75))</f>
        <v>113827</v>
      </c>
      <c r="L46" s="24">
        <f>((L26*0.25)+L27+(L28*0.75))</f>
        <v>424152</v>
      </c>
      <c r="M46" s="758">
        <f>((M26*0.25)+M27+(M28*0.75))</f>
        <v>11958</v>
      </c>
      <c r="N46" s="762">
        <f t="shared" si="38"/>
        <v>33201021.749999996</v>
      </c>
    </row>
    <row r="47" spans="1:16" ht="19.899999999999999" customHeight="1">
      <c r="A47" s="727" t="s">
        <v>55</v>
      </c>
      <c r="B47" s="728">
        <f t="shared" ref="B47:G47" si="40">((B28*0.25)+B29+(B30*0.75))</f>
        <v>7660781.8125</v>
      </c>
      <c r="C47" s="728">
        <f t="shared" si="40"/>
        <v>10432799.0625</v>
      </c>
      <c r="D47" s="728">
        <f t="shared" si="40"/>
        <v>5338297</v>
      </c>
      <c r="E47" s="728">
        <f t="shared" si="40"/>
        <v>478436.5</v>
      </c>
      <c r="F47" s="728">
        <f t="shared" si="40"/>
        <v>3478835.875</v>
      </c>
      <c r="G47" s="728">
        <f t="shared" si="40"/>
        <v>101632</v>
      </c>
      <c r="H47" s="753">
        <f t="shared" si="37"/>
        <v>27490782.25</v>
      </c>
      <c r="I47" s="728">
        <f>((I28*0.25)+I29+(I30*0.75))</f>
        <v>3709005.5</v>
      </c>
      <c r="J47" s="728">
        <f>((J28*0.25)+J29+(J30*0.75))</f>
        <v>1422344.25</v>
      </c>
      <c r="K47" s="728">
        <f>((K28*0.25)+K29+(K30*0.75))</f>
        <v>113827</v>
      </c>
      <c r="L47" s="728">
        <f>((L28*0.25)+L29+(L30*0.75))</f>
        <v>415717.5</v>
      </c>
      <c r="M47" s="759">
        <f>((M28*0.25)+M29+(M30*0.75))</f>
        <v>11958</v>
      </c>
      <c r="N47" s="762">
        <f t="shared" si="38"/>
        <v>33163634.5</v>
      </c>
    </row>
    <row r="48" spans="1:16" s="97" customFormat="1" ht="19.899999999999999" customHeight="1">
      <c r="A48" s="727" t="s">
        <v>327</v>
      </c>
      <c r="B48" s="754">
        <f>((B30*0.25)+B31+(B32*0.75))</f>
        <v>7770047.7249999996</v>
      </c>
      <c r="C48" s="754">
        <f t="shared" ref="C48:G49" si="41">((C30*0.25)+C31+(C32*0.75))</f>
        <v>10955611.85</v>
      </c>
      <c r="D48" s="754">
        <f t="shared" si="41"/>
        <v>5655760.6374999993</v>
      </c>
      <c r="E48" s="754">
        <f t="shared" si="41"/>
        <v>478723.25</v>
      </c>
      <c r="F48" s="754">
        <f t="shared" si="41"/>
        <v>3625315.9</v>
      </c>
      <c r="G48" s="754">
        <f t="shared" si="41"/>
        <v>101632</v>
      </c>
      <c r="H48" s="755">
        <f t="shared" si="37"/>
        <v>28587091.362499997</v>
      </c>
      <c r="I48" s="754">
        <f t="shared" ref="I48:M49" si="42">((I30*0.25)+I31+(I32*0.75))</f>
        <v>3806877.5</v>
      </c>
      <c r="J48" s="754">
        <f t="shared" si="42"/>
        <v>1480029.6375000002</v>
      </c>
      <c r="K48" s="754">
        <f t="shared" si="42"/>
        <v>113827</v>
      </c>
      <c r="L48" s="754">
        <f t="shared" si="42"/>
        <v>416082</v>
      </c>
      <c r="M48" s="760">
        <f t="shared" si="42"/>
        <v>11958</v>
      </c>
      <c r="N48" s="763">
        <f t="shared" si="38"/>
        <v>34415865.5</v>
      </c>
      <c r="P48" s="365"/>
    </row>
    <row r="49" spans="1:16" s="97" customFormat="1" ht="20.100000000000001" customHeight="1">
      <c r="A49" s="727" t="s">
        <v>332</v>
      </c>
      <c r="B49" s="754">
        <f>((B32*0.25)+B33+(B34*0.75))</f>
        <v>9334513.1875</v>
      </c>
      <c r="C49" s="754">
        <f t="shared" si="41"/>
        <v>11537647.637499999</v>
      </c>
      <c r="D49" s="754">
        <f t="shared" si="41"/>
        <v>5893579.125</v>
      </c>
      <c r="E49" s="754">
        <f t="shared" si="41"/>
        <v>547660.75</v>
      </c>
      <c r="F49" s="754">
        <f t="shared" si="41"/>
        <v>3944517.8000000003</v>
      </c>
      <c r="G49" s="754">
        <f t="shared" si="41"/>
        <v>101632</v>
      </c>
      <c r="H49" s="755">
        <f t="shared" si="37"/>
        <v>31359550.5</v>
      </c>
      <c r="I49" s="754">
        <f t="shared" si="42"/>
        <v>3723810</v>
      </c>
      <c r="J49" s="754">
        <f t="shared" si="42"/>
        <v>1579404.5375000001</v>
      </c>
      <c r="K49" s="754">
        <f t="shared" si="42"/>
        <v>113827</v>
      </c>
      <c r="L49" s="754">
        <f t="shared" si="42"/>
        <v>416082</v>
      </c>
      <c r="M49" s="760">
        <f t="shared" si="42"/>
        <v>11958</v>
      </c>
      <c r="N49" s="763">
        <f t="shared" si="38"/>
        <v>37204632.037500001</v>
      </c>
      <c r="P49" s="365"/>
    </row>
    <row r="50" spans="1:16" ht="20.100000000000001" customHeight="1">
      <c r="A50" s="727" t="s">
        <v>394</v>
      </c>
      <c r="B50" s="754">
        <f t="shared" ref="B50:N50" si="43">((B34*0.25)+B35+(B36*0.75))</f>
        <v>9641453.4375</v>
      </c>
      <c r="C50" s="754">
        <f t="shared" si="43"/>
        <v>12718855.074999999</v>
      </c>
      <c r="D50" s="754">
        <f t="shared" si="43"/>
        <v>6705236.7999999989</v>
      </c>
      <c r="E50" s="754">
        <f t="shared" si="43"/>
        <v>658539.25</v>
      </c>
      <c r="F50" s="754">
        <f t="shared" si="43"/>
        <v>4626036.3999999994</v>
      </c>
      <c r="G50" s="754">
        <f t="shared" si="43"/>
        <v>101632</v>
      </c>
      <c r="H50" s="770">
        <f t="shared" si="43"/>
        <v>34451752.962499999</v>
      </c>
      <c r="I50" s="754">
        <f t="shared" si="43"/>
        <v>3239681.75</v>
      </c>
      <c r="J50" s="754">
        <f t="shared" si="43"/>
        <v>1779232.0375000001</v>
      </c>
      <c r="K50" s="754">
        <f t="shared" si="43"/>
        <v>113827</v>
      </c>
      <c r="L50" s="754">
        <f t="shared" si="43"/>
        <v>483001.5</v>
      </c>
      <c r="M50" s="760">
        <f t="shared" si="43"/>
        <v>11958</v>
      </c>
      <c r="N50" s="764">
        <f t="shared" si="43"/>
        <v>40079453.25</v>
      </c>
      <c r="P50" s="353"/>
    </row>
    <row r="51" spans="1:16" ht="20.100000000000001" customHeight="1">
      <c r="A51" s="727" t="s">
        <v>515</v>
      </c>
      <c r="B51" s="754">
        <f t="shared" ref="B51:N51" si="44">((B36*0.25)+B37+(B38*0.75))</f>
        <v>9920812.8125</v>
      </c>
      <c r="C51" s="754">
        <f t="shared" si="44"/>
        <v>13021122.75</v>
      </c>
      <c r="D51" s="754">
        <f t="shared" si="44"/>
        <v>7867311.9499999993</v>
      </c>
      <c r="E51" s="754">
        <f t="shared" si="44"/>
        <v>668881.25</v>
      </c>
      <c r="F51" s="754">
        <f t="shared" si="44"/>
        <v>4897008.2249999996</v>
      </c>
      <c r="G51" s="754">
        <f t="shared" si="44"/>
        <v>101485.75</v>
      </c>
      <c r="H51" s="770">
        <f t="shared" si="44"/>
        <v>36476622.737499997</v>
      </c>
      <c r="I51" s="754">
        <f t="shared" si="44"/>
        <v>3440516.25</v>
      </c>
      <c r="J51" s="754">
        <f t="shared" si="44"/>
        <v>1885267.5125000002</v>
      </c>
      <c r="K51" s="754">
        <f t="shared" si="44"/>
        <v>113827</v>
      </c>
      <c r="L51" s="754">
        <f t="shared" si="44"/>
        <v>542447.5</v>
      </c>
      <c r="M51" s="760">
        <f t="shared" si="44"/>
        <v>11958</v>
      </c>
      <c r="N51" s="764">
        <f t="shared" si="44"/>
        <v>42470639</v>
      </c>
    </row>
    <row r="52" spans="1:16" ht="20.100000000000001" customHeight="1">
      <c r="A52" s="727" t="s">
        <v>439</v>
      </c>
      <c r="B52" s="756">
        <f t="shared" ref="B52:N52" si="45">((B38*0.25)+B39+(B40*0.75))</f>
        <v>9877739.8125</v>
      </c>
      <c r="C52" s="756">
        <f t="shared" si="45"/>
        <v>13663411.1</v>
      </c>
      <c r="D52" s="756">
        <f t="shared" si="45"/>
        <v>9221872.3000000007</v>
      </c>
      <c r="E52" s="756">
        <f t="shared" si="45"/>
        <v>681092.75</v>
      </c>
      <c r="F52" s="756">
        <f t="shared" si="45"/>
        <v>4992601.4999999991</v>
      </c>
      <c r="G52" s="756">
        <f t="shared" si="45"/>
        <v>101407.75</v>
      </c>
      <c r="H52" s="771">
        <f t="shared" si="45"/>
        <v>38538125.212499999</v>
      </c>
      <c r="I52" s="756">
        <f t="shared" si="45"/>
        <v>2566808.75</v>
      </c>
      <c r="J52" s="756">
        <f t="shared" si="45"/>
        <v>1993129.0375000001</v>
      </c>
      <c r="K52" s="756">
        <f t="shared" si="45"/>
        <v>113827</v>
      </c>
      <c r="L52" s="756">
        <f t="shared" si="45"/>
        <v>568746.75</v>
      </c>
      <c r="M52" s="761">
        <f t="shared" si="45"/>
        <v>11958</v>
      </c>
      <c r="N52" s="765">
        <f t="shared" si="45"/>
        <v>43792594.75</v>
      </c>
    </row>
    <row r="53" spans="1:16" ht="20.100000000000001" customHeight="1" thickBot="1">
      <c r="A53" s="727" t="s">
        <v>519</v>
      </c>
      <c r="B53" s="756">
        <f>((B40*0.25)+B41+(B42*0.75))</f>
        <v>9869261.2999999989</v>
      </c>
      <c r="C53" s="756">
        <f t="shared" ref="C53:N53" si="46">((C40*0.25)+C41+(C42*0.75))</f>
        <v>13648524.6</v>
      </c>
      <c r="D53" s="756">
        <f t="shared" si="46"/>
        <v>9138884.0999999996</v>
      </c>
      <c r="E53" s="756">
        <f t="shared" si="46"/>
        <v>673834</v>
      </c>
      <c r="F53" s="756">
        <f t="shared" si="46"/>
        <v>4969932.5999999996</v>
      </c>
      <c r="G53" s="756">
        <f t="shared" si="46"/>
        <v>101380</v>
      </c>
      <c r="H53" s="771">
        <f t="shared" si="46"/>
        <v>38401816.600000001</v>
      </c>
      <c r="I53" s="756">
        <f t="shared" si="46"/>
        <v>2458090</v>
      </c>
      <c r="J53" s="756">
        <f t="shared" si="46"/>
        <v>1986338.4</v>
      </c>
      <c r="K53" s="756">
        <f t="shared" si="46"/>
        <v>113827</v>
      </c>
      <c r="L53" s="756">
        <f t="shared" si="46"/>
        <v>562614</v>
      </c>
      <c r="M53" s="761">
        <f t="shared" si="46"/>
        <v>11958</v>
      </c>
      <c r="N53" s="766">
        <f t="shared" si="46"/>
        <v>43534644</v>
      </c>
    </row>
  </sheetData>
  <mergeCells count="1">
    <mergeCell ref="A22:B22"/>
  </mergeCells>
  <pageMargins left="0.75" right="0.75" top="1.5" bottom="0.5" header="0.25" footer="0.5"/>
  <pageSetup scale="51" orientation="landscape" r:id="rId1"/>
  <headerFooter alignWithMargins="0">
    <oddHeader xml:space="preserve">&amp;C&amp;"Arial Black,Bold"&amp;14
AAA 2025-2027 PLANNING ALLOCATION
</oddHeader>
    <oddFooter>&amp;R&amp;"Century Gothic,Regular"Page &amp;P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66"/>
    <pageSetUpPr fitToPage="1"/>
  </sheetPr>
  <dimension ref="A1:AJ32"/>
  <sheetViews>
    <sheetView zoomScaleNormal="100" zoomScaleSheetLayoutView="100" zoomScalePageLayoutView="65" workbookViewId="0">
      <pane xSplit="2" ySplit="1" topLeftCell="R2" activePane="bottomRight" state="frozen"/>
      <selection activeCell="E33" sqref="E33"/>
      <selection pane="topRight" activeCell="E33" sqref="E33"/>
      <selection pane="bottomLeft" activeCell="E33" sqref="E33"/>
      <selection pane="bottomRight" activeCell="E33" sqref="E33"/>
    </sheetView>
  </sheetViews>
  <sheetFormatPr defaultColWidth="14.140625" defaultRowHeight="18.75"/>
  <cols>
    <col min="1" max="1" width="17" customWidth="1" collapsed="1"/>
    <col min="2" max="2" width="14.140625" collapsed="1"/>
    <col min="3" max="3" width="13.28515625" customWidth="1" collapsed="1"/>
    <col min="4" max="4" width="13.42578125" customWidth="1" collapsed="1"/>
    <col min="5" max="5" width="12.7109375" customWidth="1" collapsed="1"/>
    <col min="6" max="6" width="12.5703125" customWidth="1" collapsed="1"/>
    <col min="7" max="7" width="12.28515625" customWidth="1" collapsed="1"/>
    <col min="8" max="8" width="13.28515625" customWidth="1" collapsed="1"/>
    <col min="9" max="9" width="15.140625" bestFit="1" customWidth="1" collapsed="1"/>
    <col min="10" max="10" width="7.5703125" customWidth="1" collapsed="1"/>
    <col min="11" max="11" width="13.28515625" style="388" customWidth="1"/>
    <col min="12" max="12" width="13" style="547" customWidth="1"/>
    <col min="13" max="13" width="12.28515625" customWidth="1" collapsed="1"/>
    <col min="14" max="14" width="7" customWidth="1" collapsed="1"/>
    <col min="15" max="15" width="12" style="224" hidden="1" customWidth="1"/>
    <col min="16" max="17" width="12.140625" style="407" customWidth="1" collapsed="1"/>
    <col min="18" max="18" width="7.85546875" style="97" customWidth="1" collapsed="1"/>
    <col min="19" max="19" width="14.140625" style="407" customWidth="1" collapsed="1"/>
    <col min="20" max="20" width="14.140625" style="97" customWidth="1" collapsed="1"/>
    <col min="21" max="21" width="15.140625" style="407" customWidth="1" collapsed="1"/>
    <col min="22" max="22" width="7" style="97" customWidth="1" collapsed="1"/>
    <col min="23" max="23" width="14.42578125" style="407" hidden="1" customWidth="1" collapsed="1"/>
    <col min="24" max="24" width="9.42578125" style="97" hidden="1" customWidth="1" collapsed="1"/>
    <col min="25" max="25" width="14.5703125" style="97" customWidth="1"/>
    <col min="26" max="26" width="8.140625" style="97" customWidth="1"/>
    <col min="27" max="27" width="14.5703125" style="97" customWidth="1"/>
    <col min="28" max="28" width="7" style="97" customWidth="1"/>
    <col min="29" max="29" width="13.28515625" style="97" customWidth="1"/>
    <col min="30" max="30" width="15.28515625" style="97" customWidth="1" collapsed="1"/>
    <col min="31" max="31" width="14.7109375" style="97" customWidth="1" collapsed="1"/>
    <col min="32" max="32" width="14.7109375" style="97" customWidth="1"/>
    <col min="33" max="33" width="15.5703125" style="97" customWidth="1" collapsed="1"/>
    <col min="34" max="34" width="18.28515625" style="391" bestFit="1" customWidth="1" collapsed="1"/>
    <col min="35" max="35" width="10.7109375" customWidth="1" collapsed="1"/>
    <col min="36" max="36" width="11.42578125" customWidth="1"/>
  </cols>
  <sheetData>
    <row r="1" spans="1:36" ht="181.9" customHeight="1">
      <c r="A1" s="653"/>
      <c r="B1" s="653"/>
      <c r="C1" s="653" t="s">
        <v>547</v>
      </c>
      <c r="D1" s="653" t="s">
        <v>548</v>
      </c>
      <c r="E1" s="653" t="s">
        <v>549</v>
      </c>
      <c r="F1" s="653" t="s">
        <v>550</v>
      </c>
      <c r="G1" s="653" t="s">
        <v>551</v>
      </c>
      <c r="H1" s="653" t="s">
        <v>552</v>
      </c>
      <c r="I1" s="654" t="s">
        <v>247</v>
      </c>
      <c r="J1" s="653" t="s">
        <v>248</v>
      </c>
      <c r="K1" s="655" t="s">
        <v>451</v>
      </c>
      <c r="L1" s="655" t="s">
        <v>553</v>
      </c>
      <c r="M1" s="653" t="s">
        <v>203</v>
      </c>
      <c r="N1" s="653" t="s">
        <v>249</v>
      </c>
      <c r="O1" s="364" t="s">
        <v>452</v>
      </c>
      <c r="P1" s="663" t="s">
        <v>245</v>
      </c>
      <c r="Q1" s="664" t="s">
        <v>250</v>
      </c>
      <c r="R1" s="664" t="s">
        <v>251</v>
      </c>
      <c r="S1" s="664" t="s">
        <v>252</v>
      </c>
      <c r="T1" s="664" t="s">
        <v>253</v>
      </c>
      <c r="U1" s="664" t="s">
        <v>546</v>
      </c>
      <c r="V1" s="664" t="s">
        <v>246</v>
      </c>
      <c r="W1" s="664" t="s">
        <v>255</v>
      </c>
      <c r="X1" s="664" t="s">
        <v>254</v>
      </c>
      <c r="Y1" s="664" t="s">
        <v>465</v>
      </c>
      <c r="Z1" s="664" t="s">
        <v>428</v>
      </c>
      <c r="AA1" s="664" t="s">
        <v>466</v>
      </c>
      <c r="AB1" s="664" t="s">
        <v>428</v>
      </c>
      <c r="AC1" s="664" t="s">
        <v>429</v>
      </c>
      <c r="AD1" s="664" t="s">
        <v>175</v>
      </c>
      <c r="AE1" s="664" t="s">
        <v>176</v>
      </c>
      <c r="AF1" s="664" t="s">
        <v>544</v>
      </c>
      <c r="AG1" s="664" t="s">
        <v>177</v>
      </c>
      <c r="AH1" s="664" t="s">
        <v>421</v>
      </c>
      <c r="AI1" s="664" t="s">
        <v>232</v>
      </c>
      <c r="AJ1" s="664" t="s">
        <v>395</v>
      </c>
    </row>
    <row r="2" spans="1:36" ht="63.75" thickBot="1">
      <c r="A2" s="656"/>
      <c r="B2" s="657" t="s">
        <v>554</v>
      </c>
      <c r="C2" s="657">
        <v>93.043999999999997</v>
      </c>
      <c r="D2" s="657">
        <v>93.045000000000002</v>
      </c>
      <c r="E2" s="657">
        <v>93.045000000000002</v>
      </c>
      <c r="F2" s="657">
        <v>93.043000000000006</v>
      </c>
      <c r="G2" s="657">
        <v>93.052000000000007</v>
      </c>
      <c r="H2" s="657">
        <v>93.042000000000002</v>
      </c>
      <c r="I2" s="658"/>
      <c r="J2" s="657"/>
      <c r="K2" s="659" t="s">
        <v>426</v>
      </c>
      <c r="L2" s="659" t="s">
        <v>426</v>
      </c>
      <c r="M2" s="657">
        <v>93.052999999999997</v>
      </c>
      <c r="N2" s="657"/>
      <c r="O2" s="556"/>
      <c r="P2" s="665">
        <v>93.045000000000002</v>
      </c>
      <c r="Q2" s="666">
        <v>99.998999999999995</v>
      </c>
      <c r="R2" s="666"/>
      <c r="S2" s="666"/>
      <c r="T2" s="666"/>
      <c r="U2" s="666">
        <v>99.998999999999995</v>
      </c>
      <c r="V2" s="666"/>
      <c r="W2" s="666">
        <v>99.998999999999995</v>
      </c>
      <c r="X2" s="666"/>
      <c r="Y2" s="666" t="s">
        <v>467</v>
      </c>
      <c r="Z2" s="666"/>
      <c r="AA2" s="666" t="s">
        <v>467</v>
      </c>
      <c r="AB2" s="666"/>
      <c r="AC2" s="666" t="s">
        <v>474</v>
      </c>
      <c r="AD2" s="666" t="s">
        <v>468</v>
      </c>
      <c r="AE2" s="666" t="s">
        <v>469</v>
      </c>
      <c r="AF2" s="666" t="s">
        <v>469</v>
      </c>
      <c r="AG2" s="666" t="s">
        <v>470</v>
      </c>
      <c r="AH2" s="666"/>
      <c r="AI2" s="666"/>
      <c r="AJ2" s="666"/>
    </row>
    <row r="3" spans="1:36" ht="16.5" thickTop="1">
      <c r="A3" s="645" t="s">
        <v>425</v>
      </c>
      <c r="B3" s="646" t="s">
        <v>58</v>
      </c>
      <c r="C3" s="660"/>
      <c r="D3" s="661"/>
      <c r="E3" s="661"/>
      <c r="F3" s="661"/>
      <c r="G3" s="661"/>
      <c r="H3" s="661"/>
      <c r="I3" s="658"/>
      <c r="J3" s="661"/>
      <c r="K3" s="662"/>
      <c r="L3" s="662"/>
      <c r="M3" s="661"/>
      <c r="N3" s="661"/>
      <c r="O3" s="556"/>
      <c r="P3" s="667"/>
      <c r="Q3" s="668"/>
      <c r="R3" s="668"/>
      <c r="S3" s="668"/>
      <c r="T3" s="668"/>
      <c r="U3" s="668"/>
      <c r="V3" s="668"/>
      <c r="W3" s="668"/>
      <c r="X3" s="668"/>
      <c r="Y3" s="668"/>
      <c r="Z3" s="668"/>
      <c r="AA3" s="668"/>
      <c r="AB3" s="668"/>
      <c r="AC3" s="668"/>
      <c r="AD3" s="668"/>
      <c r="AE3" s="668"/>
      <c r="AF3" s="668"/>
      <c r="AG3" s="668"/>
      <c r="AH3" s="668"/>
      <c r="AI3" s="668"/>
      <c r="AJ3" s="668"/>
    </row>
    <row r="4" spans="1:36" s="480" customFormat="1" ht="15.75">
      <c r="A4" s="647">
        <f t="shared" ref="A4:A19" si="0">AJ4</f>
        <v>181168</v>
      </c>
      <c r="B4" s="648" t="s">
        <v>72</v>
      </c>
      <c r="C4" s="413">
        <f>'6. III B'!E23</f>
        <v>432240.25340025575</v>
      </c>
      <c r="D4" s="413">
        <f>'7. III C-1'!D19</f>
        <v>521857</v>
      </c>
      <c r="E4" s="413">
        <f>'8. III C-2'!D18</f>
        <v>346093</v>
      </c>
      <c r="F4" s="413">
        <f>'9. III D'!D18</f>
        <v>25260</v>
      </c>
      <c r="G4" s="413">
        <f>'10. III E'!D18</f>
        <v>204726.0239417757</v>
      </c>
      <c r="H4" s="413">
        <f>'11. VII B'!E19</f>
        <v>4583</v>
      </c>
      <c r="I4" s="478">
        <f t="shared" ref="I4:I19" si="1">SUM(C4:H4)</f>
        <v>1534759.2773420315</v>
      </c>
      <c r="J4" s="421">
        <f t="shared" ref="J4:J19" si="2">SUM(I4/$I$20)</f>
        <v>3.9965794261215673E-2</v>
      </c>
      <c r="K4" s="413">
        <f>'12. 23-25 Unspent'!I2</f>
        <v>0</v>
      </c>
      <c r="L4" s="413">
        <f>'23-25 Unspent-COVID'!J2</f>
        <v>0</v>
      </c>
      <c r="M4" s="413">
        <f>'13. NSIP'!E18</f>
        <v>109421</v>
      </c>
      <c r="N4" s="421">
        <f t="shared" ref="N4:N19" si="3">M4/$M$20</f>
        <v>4.451464348335496E-2</v>
      </c>
      <c r="O4" s="413">
        <f>'NSIP-21-23 Unspent'!E23</f>
        <v>0</v>
      </c>
      <c r="P4" s="412">
        <f>2151+2000</f>
        <v>4151</v>
      </c>
      <c r="Q4" s="413">
        <f>'14. SPA-Seq Mit.'!B18</f>
        <v>77048</v>
      </c>
      <c r="R4" s="421">
        <f t="shared" ref="R4:R17" si="4">SUM(Q4/$Q$20)</f>
        <v>3.7652660946701895E-2</v>
      </c>
      <c r="S4" s="422">
        <f>'15. SPA - EB'!D20</f>
        <v>-3.5568576624560994E-4</v>
      </c>
      <c r="T4" s="421"/>
      <c r="U4" s="413">
        <f>'16. OPI 60+'!D18+'16. OPI 60+'!F18</f>
        <v>209828</v>
      </c>
      <c r="V4" s="421">
        <f t="shared" ref="V4:V19" si="5">SUM(U4/$U$20)</f>
        <v>4.1965608393121676E-2</v>
      </c>
      <c r="W4" s="423">
        <f>'17. OPI 19-59'!D18+'17. OPI 19-59'!F18</f>
        <v>0</v>
      </c>
      <c r="X4" s="421" t="e">
        <f t="shared" ref="X4:X19" si="6">SUM(W4/$W$20)</f>
        <v>#DIV/0!</v>
      </c>
      <c r="Y4" s="560">
        <f>'19. OPIM-CM'!D18</f>
        <v>1217695</v>
      </c>
      <c r="Z4" s="421">
        <f>SUM(Y4/$Y$20)</f>
        <v>4.196566941186753E-2</v>
      </c>
      <c r="AA4" s="563"/>
      <c r="AB4" s="559"/>
      <c r="AC4" s="560"/>
      <c r="AD4" s="413"/>
      <c r="AE4" s="413"/>
      <c r="AF4" s="563"/>
      <c r="AG4" s="413"/>
      <c r="AH4" s="669">
        <f>SUM(I4,K4,L4,M4,O4,P4,Q4,S4,U4,W4,Y4,AA4,AD4,AE4,AF4,AG4)</f>
        <v>3152902.2769863456</v>
      </c>
      <c r="AI4" s="479">
        <f t="shared" ref="AI4:AI19" si="7">SUM(AH4/$AH$20)</f>
        <v>6.7082555138527518E-3</v>
      </c>
      <c r="AJ4" s="557">
        <v>181168</v>
      </c>
    </row>
    <row r="5" spans="1:36" s="480" customFormat="1" ht="15.75">
      <c r="A5" s="649">
        <f t="shared" si="0"/>
        <v>181169</v>
      </c>
      <c r="B5" s="648" t="s">
        <v>61</v>
      </c>
      <c r="C5" s="413">
        <f>'6. III B'!E24</f>
        <v>178371.54644510493</v>
      </c>
      <c r="D5" s="413">
        <f>'7. III C-1'!D20</f>
        <v>207749</v>
      </c>
      <c r="E5" s="413">
        <f>'8. III C-2'!D19</f>
        <v>132605</v>
      </c>
      <c r="F5" s="413">
        <f>'9. III D'!D19</f>
        <v>10060</v>
      </c>
      <c r="G5" s="413">
        <f>'10. III E'!D19</f>
        <v>63935.936922172419</v>
      </c>
      <c r="H5" s="413">
        <f>'11. VII B'!E20</f>
        <v>2172</v>
      </c>
      <c r="I5" s="478">
        <f t="shared" si="1"/>
        <v>594893.48336727743</v>
      </c>
      <c r="J5" s="421">
        <f t="shared" si="2"/>
        <v>1.5491283170328756E-2</v>
      </c>
      <c r="K5" s="413">
        <f>'12. 23-25 Unspent'!I3</f>
        <v>0</v>
      </c>
      <c r="L5" s="413">
        <f>'23-25 Unspent-COVID'!J3</f>
        <v>0</v>
      </c>
      <c r="M5" s="413">
        <f>'13. NSIP'!E19</f>
        <v>62632</v>
      </c>
      <c r="N5" s="421">
        <f t="shared" si="3"/>
        <v>2.5479945811585417E-2</v>
      </c>
      <c r="O5" s="413">
        <f>'NSIP-21-23 Unspent'!E24</f>
        <v>0</v>
      </c>
      <c r="P5" s="412">
        <v>2000</v>
      </c>
      <c r="Q5" s="413">
        <f>'14. SPA-Seq Mit.'!B19</f>
        <v>28824</v>
      </c>
      <c r="R5" s="421">
        <f t="shared" si="4"/>
        <v>1.4086028178898031E-2</v>
      </c>
      <c r="S5" s="422">
        <f>'15. SPA - EB'!D21</f>
        <v>-1.1281126537238784E-4</v>
      </c>
      <c r="T5" s="421"/>
      <c r="U5" s="413">
        <f>'16. OPI 60+'!D19</f>
        <v>68622</v>
      </c>
      <c r="V5" s="421">
        <f t="shared" si="5"/>
        <v>1.372440274488055E-2</v>
      </c>
      <c r="W5" s="423">
        <f>'17. OPI 19-59'!D19</f>
        <v>0</v>
      </c>
      <c r="X5" s="421" t="e">
        <f t="shared" si="6"/>
        <v>#DIV/0!</v>
      </c>
      <c r="Y5" s="560">
        <f>'19. OPIM-CM'!D19</f>
        <v>398232</v>
      </c>
      <c r="Z5" s="421">
        <f t="shared" ref="Z5:Z19" si="8">SUM(Y5/$Y$20)</f>
        <v>1.3724350072248658E-2</v>
      </c>
      <c r="AA5" s="563"/>
      <c r="AB5" s="559"/>
      <c r="AC5" s="560"/>
      <c r="AD5" s="413"/>
      <c r="AE5" s="413"/>
      <c r="AF5" s="563"/>
      <c r="AG5" s="413"/>
      <c r="AH5" s="669">
        <f t="shared" ref="AH5:AH19" si="9">SUM(I5,K5,L5,M5,O5,P5,Q5,S5,U5,W5,Y5,AA5,AD5,AE5,AF5,AG5)</f>
        <v>1155203.4832544662</v>
      </c>
      <c r="AI5" s="479">
        <f t="shared" si="7"/>
        <v>2.4578624566730387E-3</v>
      </c>
      <c r="AJ5" s="557">
        <v>181169</v>
      </c>
    </row>
    <row r="6" spans="1:36" s="480" customFormat="1" ht="15.75">
      <c r="A6" s="649">
        <f t="shared" si="0"/>
        <v>181170</v>
      </c>
      <c r="B6" s="650" t="s">
        <v>73</v>
      </c>
      <c r="C6" s="413">
        <f>'6. III B'!E25</f>
        <v>288997.17974654085</v>
      </c>
      <c r="D6" s="413">
        <f>'7. III C-1'!D21</f>
        <v>291815</v>
      </c>
      <c r="E6" s="413">
        <f>'8. III C-2'!D20</f>
        <v>189742</v>
      </c>
      <c r="F6" s="413">
        <f>'9. III D'!D20</f>
        <v>14627</v>
      </c>
      <c r="G6" s="413">
        <f>'10. III E'!D20</f>
        <v>129021.3961128169</v>
      </c>
      <c r="H6" s="413">
        <f>'11. VII B'!E21</f>
        <v>3223</v>
      </c>
      <c r="I6" s="478">
        <f t="shared" si="1"/>
        <v>917425.57585935772</v>
      </c>
      <c r="J6" s="421">
        <f t="shared" si="2"/>
        <v>2.389015812191192E-2</v>
      </c>
      <c r="K6" s="413">
        <f>'12. 23-25 Unspent'!I4</f>
        <v>0</v>
      </c>
      <c r="L6" s="413">
        <f>'23-25 Unspent-COVID'!J4</f>
        <v>0</v>
      </c>
      <c r="M6" s="413">
        <f>'13. NSIP'!E20</f>
        <v>93692</v>
      </c>
      <c r="N6" s="421">
        <f t="shared" si="3"/>
        <v>3.8115772815478684E-2</v>
      </c>
      <c r="O6" s="413">
        <f>'NSIP-21-23 Unspent'!E25</f>
        <v>0</v>
      </c>
      <c r="P6" s="412">
        <v>2169</v>
      </c>
      <c r="Q6" s="413">
        <f>'14. SPA-Seq Mit.'!B20</f>
        <v>41731</v>
      </c>
      <c r="R6" s="421">
        <f t="shared" si="4"/>
        <v>2.0393562376269558E-2</v>
      </c>
      <c r="S6" s="422">
        <f>'15. SPA - EB'!D22</f>
        <v>-1.8578738442922519E-4</v>
      </c>
      <c r="T6" s="421"/>
      <c r="U6" s="413">
        <f>'16. OPI 60+'!D20</f>
        <v>130154</v>
      </c>
      <c r="V6" s="421">
        <f t="shared" si="5"/>
        <v>2.603080520616104E-2</v>
      </c>
      <c r="W6" s="423">
        <f>'17. OPI 19-59'!D20</f>
        <v>0</v>
      </c>
      <c r="X6" s="421" t="e">
        <f t="shared" si="6"/>
        <v>#DIV/0!</v>
      </c>
      <c r="Y6" s="560">
        <f>'19. OPIM-CM'!D20</f>
        <v>755320</v>
      </c>
      <c r="Z6" s="421">
        <f t="shared" si="8"/>
        <v>2.6030746139363126E-2</v>
      </c>
      <c r="AA6" s="563"/>
      <c r="AB6" s="559"/>
      <c r="AC6" s="560"/>
      <c r="AD6" s="413"/>
      <c r="AE6" s="413"/>
      <c r="AF6" s="563"/>
      <c r="AG6" s="413"/>
      <c r="AH6" s="669">
        <f t="shared" si="9"/>
        <v>1940491.5756735702</v>
      </c>
      <c r="AI6" s="479">
        <f t="shared" si="7"/>
        <v>4.1286764284173896E-3</v>
      </c>
      <c r="AJ6" s="557">
        <v>181170</v>
      </c>
    </row>
    <row r="7" spans="1:36" s="480" customFormat="1" ht="15.75">
      <c r="A7" s="649">
        <f t="shared" si="0"/>
        <v>181171</v>
      </c>
      <c r="B7" s="650" t="s">
        <v>60</v>
      </c>
      <c r="C7" s="413">
        <f>'6. III B'!E26</f>
        <v>1026089.2732522617</v>
      </c>
      <c r="D7" s="413">
        <f>'7. III C-1'!D22</f>
        <v>1521963</v>
      </c>
      <c r="E7" s="413">
        <f>'8. III C-2'!D21</f>
        <v>1025826</v>
      </c>
      <c r="F7" s="413">
        <f>'9. III D'!D21</f>
        <v>57927</v>
      </c>
      <c r="G7" s="413">
        <f>'10. III E'!D21</f>
        <v>493139.28272954019</v>
      </c>
      <c r="H7" s="413">
        <f>'11. VII B'!E22</f>
        <v>10223</v>
      </c>
      <c r="I7" s="478">
        <f t="shared" si="1"/>
        <v>4135167.5559818018</v>
      </c>
      <c r="J7" s="421">
        <f t="shared" si="2"/>
        <v>0.10768154864275321</v>
      </c>
      <c r="K7" s="413">
        <f>'12. 23-25 Unspent'!I5</f>
        <v>0</v>
      </c>
      <c r="L7" s="413">
        <f>'23-25 Unspent-COVID'!J5</f>
        <v>0</v>
      </c>
      <c r="M7" s="413">
        <f>'13. NSIP'!E21</f>
        <v>269524</v>
      </c>
      <c r="N7" s="421">
        <f t="shared" si="3"/>
        <v>0.10964773462322372</v>
      </c>
      <c r="O7" s="413">
        <f>'NSIP-21-23 Unspent'!E26</f>
        <v>0</v>
      </c>
      <c r="P7" s="412">
        <v>7293</v>
      </c>
      <c r="Q7" s="413">
        <f>'14. SPA-Seq Mit.'!B21</f>
        <v>230591</v>
      </c>
      <c r="R7" s="421">
        <f t="shared" si="4"/>
        <v>0.11268773674022606</v>
      </c>
      <c r="S7" s="422">
        <f>'15. SPA - EB'!D23</f>
        <v>-8.7766529760989768E-4</v>
      </c>
      <c r="T7" s="421"/>
      <c r="U7" s="413">
        <f>'16. OPI 60+'!D21+'16. OPI 60+'!F21</f>
        <v>540138</v>
      </c>
      <c r="V7" s="421">
        <f t="shared" si="5"/>
        <v>0.10802762160552432</v>
      </c>
      <c r="W7" s="423">
        <f>'17. OPI 19-59'!D21</f>
        <v>0</v>
      </c>
      <c r="X7" s="421" t="e">
        <f t="shared" si="6"/>
        <v>#DIV/0!</v>
      </c>
      <c r="Y7" s="560">
        <f>'19. OPIM-CM'!D21</f>
        <v>3134581</v>
      </c>
      <c r="Z7" s="421">
        <f t="shared" si="8"/>
        <v>0.10802769986796458</v>
      </c>
      <c r="AA7" s="563"/>
      <c r="AB7" s="559"/>
      <c r="AC7" s="560"/>
      <c r="AD7" s="413"/>
      <c r="AE7" s="413"/>
      <c r="AF7" s="563"/>
      <c r="AG7" s="424"/>
      <c r="AH7" s="669">
        <f t="shared" si="9"/>
        <v>8317294.5551041365</v>
      </c>
      <c r="AI7" s="479">
        <f t="shared" si="7"/>
        <v>1.7696246872879663E-2</v>
      </c>
      <c r="AJ7" s="557">
        <v>181171</v>
      </c>
    </row>
    <row r="8" spans="1:36" s="480" customFormat="1" ht="15.75">
      <c r="A8" s="649">
        <f t="shared" si="0"/>
        <v>181172</v>
      </c>
      <c r="B8" s="650" t="s">
        <v>555</v>
      </c>
      <c r="C8" s="413">
        <f>'6. III B'!E27</f>
        <v>651856.56197038619</v>
      </c>
      <c r="D8" s="413">
        <f>'7. III C-1'!D23</f>
        <v>894703</v>
      </c>
      <c r="E8" s="413">
        <f>'8. III C-2'!D22</f>
        <v>599502</v>
      </c>
      <c r="F8" s="413">
        <f>'9. III D'!D22</f>
        <v>39202</v>
      </c>
      <c r="G8" s="413">
        <f>'10. III E'!D22</f>
        <v>323802.97935624706</v>
      </c>
      <c r="H8" s="413">
        <f>'11. VII B'!E23</f>
        <v>6669</v>
      </c>
      <c r="I8" s="478">
        <f t="shared" si="1"/>
        <v>2515735.5413266332</v>
      </c>
      <c r="J8" s="421">
        <f t="shared" si="2"/>
        <v>6.5510839741861018E-2</v>
      </c>
      <c r="K8" s="413">
        <f>'12. 23-25 Unspent'!I6</f>
        <v>0</v>
      </c>
      <c r="L8" s="413">
        <f>'23-25 Unspent-COVID'!J6</f>
        <v>0</v>
      </c>
      <c r="M8" s="413">
        <f>'13. NSIP'!E22</f>
        <v>128413</v>
      </c>
      <c r="N8" s="421">
        <f t="shared" si="3"/>
        <v>5.2240967580519833E-2</v>
      </c>
      <c r="O8" s="413">
        <f>'NSIP-21-23 Unspent'!E27</f>
        <v>0</v>
      </c>
      <c r="P8" s="412">
        <v>4084</v>
      </c>
      <c r="Q8" s="413">
        <f>'14. SPA-Seq Mit.'!B22</f>
        <v>134290</v>
      </c>
      <c r="R8" s="421">
        <f t="shared" si="4"/>
        <v>6.5626308775472403E-2</v>
      </c>
      <c r="S8" s="422">
        <f>'15. SPA - EB'!D24</f>
        <v>-5.7846103673700499E-4</v>
      </c>
      <c r="T8" s="421"/>
      <c r="U8" s="413">
        <f>'16. OPI 60+'!D22+'16. OPI 60+'!F22</f>
        <v>331983</v>
      </c>
      <c r="V8" s="421">
        <f t="shared" si="5"/>
        <v>6.6396613279322655E-2</v>
      </c>
      <c r="W8" s="423">
        <f>'17. OPI 19-59'!D22</f>
        <v>0</v>
      </c>
      <c r="X8" s="421" t="e">
        <f t="shared" si="6"/>
        <v>#DIV/0!</v>
      </c>
      <c r="Y8" s="560">
        <f>'19. OPIM-CM'!D22</f>
        <v>1926595</v>
      </c>
      <c r="Z8" s="421">
        <f t="shared" si="8"/>
        <v>6.6396633689517426E-2</v>
      </c>
      <c r="AA8" s="563"/>
      <c r="AB8" s="559"/>
      <c r="AC8" s="560"/>
      <c r="AD8" s="413"/>
      <c r="AE8" s="413"/>
      <c r="AF8" s="563"/>
      <c r="AG8" s="413"/>
      <c r="AH8" s="669">
        <f t="shared" si="9"/>
        <v>5041100.5407481715</v>
      </c>
      <c r="AI8" s="479">
        <f t="shared" si="7"/>
        <v>1.0725670359400885E-2</v>
      </c>
      <c r="AJ8" s="557">
        <v>181172</v>
      </c>
    </row>
    <row r="9" spans="1:36" s="480" customFormat="1" ht="15.75">
      <c r="A9" s="649">
        <f t="shared" si="0"/>
        <v>181146</v>
      </c>
      <c r="B9" s="650" t="s">
        <v>173</v>
      </c>
      <c r="C9" s="413">
        <f>'6. III B'!E28</f>
        <v>429774.98718175001</v>
      </c>
      <c r="D9" s="413">
        <f>'7. III C-1'!D24</f>
        <v>568127</v>
      </c>
      <c r="E9" s="413">
        <f>'8. III C-2'!D23</f>
        <v>377541</v>
      </c>
      <c r="F9" s="413">
        <f>'9. III D'!D23</f>
        <v>28116</v>
      </c>
      <c r="G9" s="413">
        <f>'10. III E'!D23</f>
        <v>211488.82762744269</v>
      </c>
      <c r="H9" s="413">
        <f>'11. VII B'!E24</f>
        <v>4560</v>
      </c>
      <c r="I9" s="478">
        <f t="shared" si="1"/>
        <v>1619607.8148091929</v>
      </c>
      <c r="J9" s="421">
        <f t="shared" si="2"/>
        <v>4.2175286812810076E-2</v>
      </c>
      <c r="K9" s="413">
        <f>'12. 23-25 Unspent'!I7</f>
        <v>0</v>
      </c>
      <c r="L9" s="413">
        <f>'23-25 Unspent-COVID'!J7</f>
        <v>0</v>
      </c>
      <c r="M9" s="413">
        <f>'13. NSIP'!E23</f>
        <v>64414</v>
      </c>
      <c r="N9" s="421">
        <f t="shared" si="3"/>
        <v>2.6204898925588568E-2</v>
      </c>
      <c r="O9" s="413">
        <f>'NSIP-21-23 Unspent'!E28</f>
        <v>0</v>
      </c>
      <c r="P9" s="412">
        <v>3572</v>
      </c>
      <c r="Q9" s="413">
        <f>'14. SPA-Seq Mit.'!B23</f>
        <v>84152</v>
      </c>
      <c r="R9" s="421">
        <f t="shared" si="4"/>
        <v>4.1124321513690922E-2</v>
      </c>
      <c r="S9" s="422">
        <f>'15. SPA - EB'!D25</f>
        <v>-4.0132440898643738E-4</v>
      </c>
      <c r="T9" s="421"/>
      <c r="U9" s="413">
        <f>'16. OPI 60+'!D23</f>
        <v>208457</v>
      </c>
      <c r="V9" s="421">
        <f t="shared" si="5"/>
        <v>4.1691408338281666E-2</v>
      </c>
      <c r="W9" s="423">
        <f>'17. OPI 19-59'!D23</f>
        <v>0</v>
      </c>
      <c r="X9" s="421" t="e">
        <f t="shared" si="6"/>
        <v>#DIV/0!</v>
      </c>
      <c r="Y9" s="560">
        <f>'19. OPIM-CM'!D23</f>
        <v>1209737</v>
      </c>
      <c r="Z9" s="421">
        <f t="shared" si="8"/>
        <v>4.1691411246087391E-2</v>
      </c>
      <c r="AA9" s="563"/>
      <c r="AB9" s="559"/>
      <c r="AC9" s="560"/>
      <c r="AD9" s="413"/>
      <c r="AE9" s="426">
        <v>242140</v>
      </c>
      <c r="AF9" s="644"/>
      <c r="AG9" s="424"/>
      <c r="AH9" s="669">
        <f t="shared" si="9"/>
        <v>3432079.8144078683</v>
      </c>
      <c r="AI9" s="479">
        <f t="shared" si="7"/>
        <v>7.3022460946651213E-3</v>
      </c>
      <c r="AJ9" s="557">
        <v>181146</v>
      </c>
    </row>
    <row r="10" spans="1:36" s="480" customFormat="1" ht="15.75">
      <c r="A10" s="649">
        <f t="shared" si="0"/>
        <v>181174</v>
      </c>
      <c r="B10" s="650" t="s">
        <v>74</v>
      </c>
      <c r="C10" s="413">
        <f>'6. III B'!E29</f>
        <v>124016.16073789625</v>
      </c>
      <c r="D10" s="413">
        <f>'7. III C-1'!D25</f>
        <v>53662</v>
      </c>
      <c r="E10" s="413">
        <f>'8. III C-2'!D24</f>
        <v>27879</v>
      </c>
      <c r="F10" s="413">
        <f>'9. III D'!D24</f>
        <v>4461</v>
      </c>
      <c r="G10" s="413">
        <f>'10. III E'!D24</f>
        <v>38064.087762135547</v>
      </c>
      <c r="H10" s="413">
        <f>'11. VII B'!E25</f>
        <v>1656</v>
      </c>
      <c r="I10" s="478">
        <f t="shared" si="1"/>
        <v>249738.2485000318</v>
      </c>
      <c r="J10" s="421">
        <f t="shared" si="2"/>
        <v>6.503291823063073E-3</v>
      </c>
      <c r="K10" s="413">
        <f>'12. 23-25 Unspent'!I8</f>
        <v>0</v>
      </c>
      <c r="L10" s="413">
        <f>'23-25 Unspent-COVID'!J8</f>
        <v>0</v>
      </c>
      <c r="M10" s="413">
        <f>'13. NSIP'!E24</f>
        <v>13636</v>
      </c>
      <c r="N10" s="421">
        <f t="shared" si="3"/>
        <v>5.5473965558624789E-3</v>
      </c>
      <c r="O10" s="413">
        <f>'NSIP-21-23 Unspent'!E29</f>
        <v>0</v>
      </c>
      <c r="P10" s="412">
        <v>2000</v>
      </c>
      <c r="Q10" s="413">
        <f>'14. SPA-Seq Mit.'!B24</f>
        <v>5168</v>
      </c>
      <c r="R10" s="421">
        <f t="shared" si="4"/>
        <v>2.5255548719312041E-3</v>
      </c>
      <c r="S10" s="422">
        <f>'15. SPA - EB'!D26</f>
        <v>-2.3337211402252251E-5</v>
      </c>
      <c r="T10" s="421"/>
      <c r="U10" s="413">
        <f>'16. OPI 60+'!D24</f>
        <v>38388</v>
      </c>
      <c r="V10" s="421">
        <f t="shared" si="5"/>
        <v>7.677601535520307E-3</v>
      </c>
      <c r="W10" s="423">
        <f>'17. OPI 19-59'!D24</f>
        <v>0</v>
      </c>
      <c r="X10" s="421" t="e">
        <f t="shared" si="6"/>
        <v>#DIV/0!</v>
      </c>
      <c r="Y10" s="560">
        <f>'19. OPIM-CM'!D24</f>
        <v>222777</v>
      </c>
      <c r="Z10" s="421">
        <f t="shared" si="8"/>
        <v>7.6776088713246026E-3</v>
      </c>
      <c r="AA10" s="563"/>
      <c r="AB10" s="559"/>
      <c r="AC10" s="560"/>
      <c r="AD10" s="413"/>
      <c r="AE10" s="413"/>
      <c r="AF10" s="563"/>
      <c r="AG10" s="413"/>
      <c r="AH10" s="669">
        <f t="shared" si="9"/>
        <v>531707.24847669457</v>
      </c>
      <c r="AI10" s="479">
        <f t="shared" si="7"/>
        <v>1.1312840576710042E-3</v>
      </c>
      <c r="AJ10" s="557">
        <v>181174</v>
      </c>
    </row>
    <row r="11" spans="1:36" s="480" customFormat="1" ht="15.75">
      <c r="A11" s="649">
        <f t="shared" si="0"/>
        <v>181177</v>
      </c>
      <c r="B11" s="650" t="s">
        <v>71</v>
      </c>
      <c r="C11" s="413">
        <f>'6. III B'!E30</f>
        <v>328751.61245914438</v>
      </c>
      <c r="D11" s="413">
        <f>'7. III C-1'!D26</f>
        <v>344359</v>
      </c>
      <c r="E11" s="413">
        <f>'8. III C-2'!D25</f>
        <v>225454</v>
      </c>
      <c r="F11" s="413">
        <f>'9. III D'!D25</f>
        <v>17922</v>
      </c>
      <c r="G11" s="413">
        <f>'10. III E'!D25</f>
        <v>153059.24152223652</v>
      </c>
      <c r="H11" s="413">
        <f>'11. VII B'!E26</f>
        <v>3600</v>
      </c>
      <c r="I11" s="478">
        <f t="shared" si="1"/>
        <v>1073145.8539813808</v>
      </c>
      <c r="J11" s="421">
        <f t="shared" si="2"/>
        <v>2.7945181401199198E-2</v>
      </c>
      <c r="K11" s="413">
        <f>'12. 23-25 Unspent'!I9</f>
        <v>0</v>
      </c>
      <c r="L11" s="413">
        <f>'23-25 Unspent-COVID'!J9</f>
        <v>0</v>
      </c>
      <c r="M11" s="413">
        <f>'13. NSIP'!E25</f>
        <v>59399</v>
      </c>
      <c r="N11" s="421">
        <f t="shared" si="3"/>
        <v>2.4164696980175666E-2</v>
      </c>
      <c r="O11" s="413">
        <f>'NSIP-21-23 Unspent'!E30</f>
        <v>0</v>
      </c>
      <c r="P11" s="412">
        <v>2383</v>
      </c>
      <c r="Q11" s="413">
        <f>'14. SPA-Seq Mit.'!B25</f>
        <v>49798</v>
      </c>
      <c r="R11" s="421">
        <f t="shared" si="4"/>
        <v>2.4335832335996538E-2</v>
      </c>
      <c r="S11" s="422">
        <f>'15. SPA - EB'!D27</f>
        <v>-2.3844056270752467E-4</v>
      </c>
      <c r="T11" s="421"/>
      <c r="U11" s="413">
        <f>'16. OPI 60+'!D25</f>
        <v>152266</v>
      </c>
      <c r="V11" s="421">
        <f t="shared" si="5"/>
        <v>3.0453206090641217E-2</v>
      </c>
      <c r="W11" s="423">
        <f>'17. OPI 19-59'!D25</f>
        <v>0</v>
      </c>
      <c r="X11" s="421" t="e">
        <f t="shared" si="6"/>
        <v>#DIV/0!</v>
      </c>
      <c r="Y11" s="560">
        <f>'19. OPIM-CM'!D25</f>
        <v>883643</v>
      </c>
      <c r="Z11" s="421">
        <f t="shared" si="8"/>
        <v>3.0453167678368441E-2</v>
      </c>
      <c r="AA11" s="563"/>
      <c r="AB11" s="559"/>
      <c r="AC11" s="560"/>
      <c r="AD11" s="413"/>
      <c r="AE11" s="413"/>
      <c r="AF11" s="563"/>
      <c r="AG11" s="413"/>
      <c r="AH11" s="669">
        <f t="shared" si="9"/>
        <v>2220634.8537429404</v>
      </c>
      <c r="AI11" s="479">
        <f t="shared" si="7"/>
        <v>4.7247217621071832E-3</v>
      </c>
      <c r="AJ11" s="557">
        <v>181177</v>
      </c>
    </row>
    <row r="12" spans="1:36" s="480" customFormat="1" ht="15.75">
      <c r="A12" s="649">
        <f t="shared" si="0"/>
        <v>181149</v>
      </c>
      <c r="B12" s="650" t="s">
        <v>65</v>
      </c>
      <c r="C12" s="413">
        <f>'6. III B'!E31</f>
        <v>325678.73283340124</v>
      </c>
      <c r="D12" s="413">
        <f>'7. III C-1'!D27</f>
        <v>409188</v>
      </c>
      <c r="E12" s="413">
        <f>'8. III C-2'!D26</f>
        <v>269516</v>
      </c>
      <c r="F12" s="413">
        <f>'9. III D'!D26</f>
        <v>60673</v>
      </c>
      <c r="G12" s="413">
        <f>'10. III E'!D26</f>
        <v>217576.17920468253</v>
      </c>
      <c r="H12" s="413">
        <f>'11. VII B'!E27</f>
        <v>3571</v>
      </c>
      <c r="I12" s="478">
        <f t="shared" si="1"/>
        <v>1286202.9120380839</v>
      </c>
      <c r="J12" s="421">
        <f t="shared" si="2"/>
        <v>3.3493279186892828E-2</v>
      </c>
      <c r="K12" s="413">
        <f>'12. 23-25 Unspent'!I10</f>
        <v>0</v>
      </c>
      <c r="L12" s="413">
        <f>'23-25 Unspent-COVID'!J10</f>
        <v>0</v>
      </c>
      <c r="M12" s="413">
        <f>'13. NSIP'!E26</f>
        <v>205975</v>
      </c>
      <c r="N12" s="421">
        <f t="shared" si="3"/>
        <v>8.3794734936475074E-2</v>
      </c>
      <c r="O12" s="413">
        <f>'NSIP-21-23 Unspent'!E31</f>
        <v>0</v>
      </c>
      <c r="P12" s="412">
        <v>8348</v>
      </c>
      <c r="Q12" s="413">
        <f>'14. SPA-Seq Mit.'!B26</f>
        <v>59751</v>
      </c>
      <c r="R12" s="421">
        <f t="shared" si="4"/>
        <v>2.9199773442871783E-2</v>
      </c>
      <c r="S12" s="422">
        <f>'15. SPA - EB'!D28</f>
        <v>-9.2153893124952298E-4</v>
      </c>
      <c r="T12" s="421"/>
      <c r="U12" s="413">
        <f>'16. OPI 60+'!D26+'16. OPI 60+'!F26+'16. OPI 60+'!D36</f>
        <v>150557</v>
      </c>
      <c r="V12" s="421">
        <f t="shared" si="5"/>
        <v>3.0111406022281205E-2</v>
      </c>
      <c r="W12" s="423">
        <f>'17. OPI 19-59'!D26+'17. OPI 19-59'!D36+'17. OPI 19-59'!F26</f>
        <v>0</v>
      </c>
      <c r="X12" s="421" t="e">
        <f t="shared" si="6"/>
        <v>#DIV/0!</v>
      </c>
      <c r="Y12" s="560">
        <f>'19. OPIM-CM'!D26</f>
        <v>873725</v>
      </c>
      <c r="Z12" s="421">
        <f t="shared" si="8"/>
        <v>3.0111361635618079E-2</v>
      </c>
      <c r="AA12" s="563">
        <f>'19. OPIM-Elig'!D26</f>
        <v>2048625</v>
      </c>
      <c r="AB12" s="559">
        <f>'19. OPIM-Elig'!E26</f>
        <v>0.2151916790765043</v>
      </c>
      <c r="AC12" s="563">
        <v>112533</v>
      </c>
      <c r="AD12" s="426">
        <v>20438532</v>
      </c>
      <c r="AE12" s="426">
        <v>33827002</v>
      </c>
      <c r="AF12" s="644">
        <v>14189380</v>
      </c>
      <c r="AG12" s="425">
        <v>1749714</v>
      </c>
      <c r="AH12" s="669">
        <f>SUM(I12,K12,L12,M12,O12,P12,Q12,S12,U12,W12,Y12,AA12,AC12,AD12,AE12,AF12,AG12)</f>
        <v>74950344.91111654</v>
      </c>
      <c r="AI12" s="479">
        <f t="shared" si="7"/>
        <v>0.15946769685349829</v>
      </c>
      <c r="AJ12" s="557">
        <v>181149</v>
      </c>
    </row>
    <row r="13" spans="1:36" s="480" customFormat="1" ht="15.75">
      <c r="A13" s="649">
        <f t="shared" si="0"/>
        <v>181147</v>
      </c>
      <c r="B13" s="650" t="s">
        <v>229</v>
      </c>
      <c r="C13" s="413">
        <f>'6. III B'!E32</f>
        <v>1435890.4889507578</v>
      </c>
      <c r="D13" s="413">
        <f>'7. III C-1'!D28</f>
        <v>2172078</v>
      </c>
      <c r="E13" s="413">
        <f>'8. III C-2'!D27</f>
        <v>1467685</v>
      </c>
      <c r="F13" s="413">
        <f>'9. III D'!D27</f>
        <v>101769</v>
      </c>
      <c r="G13" s="413">
        <f>'10. III E'!D27</f>
        <v>751400.90885987401</v>
      </c>
      <c r="H13" s="413">
        <f>'11. VII B'!E28</f>
        <v>14118</v>
      </c>
      <c r="I13" s="478">
        <f t="shared" si="1"/>
        <v>5942941.3978106314</v>
      </c>
      <c r="J13" s="421">
        <f t="shared" si="2"/>
        <v>0.15475676004558825</v>
      </c>
      <c r="K13" s="413">
        <f>'12. 23-25 Unspent'!I11</f>
        <v>0</v>
      </c>
      <c r="L13" s="413">
        <f>'23-25 Unspent-COVID'!J11</f>
        <v>190959.2</v>
      </c>
      <c r="M13" s="413">
        <f>'13. NSIP'!E27</f>
        <v>450446</v>
      </c>
      <c r="N13" s="421">
        <f t="shared" si="3"/>
        <v>0.18325040987107877</v>
      </c>
      <c r="O13" s="413">
        <f>'NSIP-21-23 Unspent'!E32</f>
        <v>0</v>
      </c>
      <c r="P13" s="412">
        <v>25000</v>
      </c>
      <c r="Q13" s="413">
        <f>'14. SPA-Seq Mit.'!B27</f>
        <v>330401</v>
      </c>
      <c r="R13" s="421">
        <f t="shared" si="4"/>
        <v>0.16146398127727202</v>
      </c>
      <c r="S13" s="422">
        <f>'15. SPA - EB'!D29</f>
        <v>-1.5782059508518543E-3</v>
      </c>
      <c r="T13" s="421"/>
      <c r="U13" s="413">
        <f>'16. OPI 60+'!D27+'16. OPI 60+'!F27</f>
        <v>768076</v>
      </c>
      <c r="V13" s="421">
        <f t="shared" si="5"/>
        <v>0.15361523072304614</v>
      </c>
      <c r="W13" s="423">
        <f>'17. OPI 19-59'!D27+'17. OPI 19-59'!F27</f>
        <v>0</v>
      </c>
      <c r="X13" s="421" t="e">
        <f t="shared" si="6"/>
        <v>#DIV/0!</v>
      </c>
      <c r="Y13" s="560">
        <f>'19. OPIM-CM'!D27</f>
        <v>4457378</v>
      </c>
      <c r="Z13" s="421">
        <f t="shared" si="8"/>
        <v>0.15361552079275292</v>
      </c>
      <c r="AA13" s="563">
        <f>'19. OPIM-Elig'!D27</f>
        <v>3098417</v>
      </c>
      <c r="AB13" s="559">
        <f>'19. OPIM-Elig'!E27</f>
        <v>0.32546393640084703</v>
      </c>
      <c r="AC13" s="563">
        <v>112533</v>
      </c>
      <c r="AD13" s="426">
        <v>45435239</v>
      </c>
      <c r="AE13" s="426">
        <v>62726170</v>
      </c>
      <c r="AF13" s="644">
        <v>31601407</v>
      </c>
      <c r="AG13" s="425">
        <v>36000000</v>
      </c>
      <c r="AH13" s="669">
        <f>SUM(I13,K13,L13,M13,O13,P13,Q13,S13,U13,W13,Y13,AA13,AC13,AD13,AE13,AF13,AG13)</f>
        <v>191138967.59623241</v>
      </c>
      <c r="AI13" s="479">
        <f t="shared" si="7"/>
        <v>0.40667579285556821</v>
      </c>
      <c r="AJ13" s="557">
        <v>181147</v>
      </c>
    </row>
    <row r="14" spans="1:36" s="480" customFormat="1" ht="15.75">
      <c r="A14" s="649">
        <f t="shared" si="0"/>
        <v>181176</v>
      </c>
      <c r="B14" s="650" t="s">
        <v>75</v>
      </c>
      <c r="C14" s="413">
        <f>'6. III B'!E33</f>
        <v>173883.05301209856</v>
      </c>
      <c r="D14" s="413">
        <f>'7. III C-1'!D29</f>
        <v>133287</v>
      </c>
      <c r="E14" s="413">
        <f>'8. III C-2'!D28</f>
        <v>81997</v>
      </c>
      <c r="F14" s="413">
        <f>'9. III D'!D28</f>
        <v>8703</v>
      </c>
      <c r="G14" s="413">
        <f>'10. III E'!D28</f>
        <v>67091.868450388356</v>
      </c>
      <c r="H14" s="413">
        <f>'11. VII B'!E29</f>
        <v>2129</v>
      </c>
      <c r="I14" s="478">
        <f t="shared" si="1"/>
        <v>467090.92146248691</v>
      </c>
      <c r="J14" s="421">
        <f t="shared" si="2"/>
        <v>1.2163249275665519E-2</v>
      </c>
      <c r="K14" s="413">
        <f>'12. 23-25 Unspent'!I12</f>
        <v>0</v>
      </c>
      <c r="L14" s="413">
        <f>'23-25 Unspent-COVID'!J12</f>
        <v>0</v>
      </c>
      <c r="M14" s="413">
        <f>'13. NSIP'!E28</f>
        <v>18719</v>
      </c>
      <c r="N14" s="421">
        <f t="shared" si="3"/>
        <v>7.6152622564674196E-3</v>
      </c>
      <c r="O14" s="413">
        <f>'NSIP-21-23 Unspent'!E33</f>
        <v>0</v>
      </c>
      <c r="P14" s="412">
        <v>2000</v>
      </c>
      <c r="Q14" s="413">
        <f>'14. SPA-Seq Mit.'!B28</f>
        <v>17393</v>
      </c>
      <c r="R14" s="421">
        <f t="shared" si="4"/>
        <v>8.4998018358164538E-3</v>
      </c>
      <c r="S14" s="422">
        <f>'15. SPA - EB'!D30</f>
        <v>-9.1121846007663105E-5</v>
      </c>
      <c r="T14" s="421"/>
      <c r="U14" s="413">
        <f>'16. OPI 60+'!D28+'16. OPI 60+'!F28</f>
        <v>66125</v>
      </c>
      <c r="V14" s="421">
        <f t="shared" si="5"/>
        <v>1.3225002645000528E-2</v>
      </c>
      <c r="W14" s="423">
        <f>'17. OPI 19-59'!D28</f>
        <v>0</v>
      </c>
      <c r="X14" s="421" t="e">
        <f t="shared" si="6"/>
        <v>#DIV/0!</v>
      </c>
      <c r="Y14" s="560">
        <f>'19. OPIM-CM'!D28</f>
        <v>383743</v>
      </c>
      <c r="Z14" s="421">
        <f t="shared" si="8"/>
        <v>1.3225012730707017E-2</v>
      </c>
      <c r="AA14" s="563"/>
      <c r="AB14" s="559"/>
      <c r="AC14" s="560"/>
      <c r="AD14" s="413"/>
      <c r="AE14" s="413"/>
      <c r="AF14" s="563"/>
      <c r="AG14" s="413"/>
      <c r="AH14" s="669">
        <f t="shared" si="9"/>
        <v>955070.92137136508</v>
      </c>
      <c r="AI14" s="479">
        <f t="shared" si="7"/>
        <v>2.0320514914701983E-3</v>
      </c>
      <c r="AJ14" s="557">
        <v>181176</v>
      </c>
    </row>
    <row r="15" spans="1:36" s="480" customFormat="1" ht="15.75">
      <c r="A15" s="649">
        <f t="shared" si="0"/>
        <v>181150</v>
      </c>
      <c r="B15" s="650" t="s">
        <v>59</v>
      </c>
      <c r="C15" s="413">
        <f>'6. III B'!E34</f>
        <v>1345057.529039263</v>
      </c>
      <c r="D15" s="413">
        <f>'7. III C-1'!D30</f>
        <v>2000060</v>
      </c>
      <c r="E15" s="413">
        <f>'8. III C-2'!D29</f>
        <v>1350770</v>
      </c>
      <c r="F15" s="413">
        <f>'9. III D'!D29</f>
        <v>92623</v>
      </c>
      <c r="G15" s="413">
        <f>'10. III E'!D29</f>
        <v>712325.71835135925</v>
      </c>
      <c r="H15" s="413">
        <f>'11. VII B'!E30</f>
        <v>13253</v>
      </c>
      <c r="I15" s="478">
        <f t="shared" si="1"/>
        <v>5514089.2473906223</v>
      </c>
      <c r="J15" s="421">
        <f t="shared" si="2"/>
        <v>0.14358926487862703</v>
      </c>
      <c r="K15" s="413">
        <f>'12. 23-25 Unspent'!I13</f>
        <v>0</v>
      </c>
      <c r="L15" s="413">
        <f>'23-25 Unspent-COVID'!J13</f>
        <v>0</v>
      </c>
      <c r="M15" s="413">
        <f>'13. NSIP'!E29</f>
        <v>338856</v>
      </c>
      <c r="N15" s="421">
        <f t="shared" si="3"/>
        <v>0.1378533739610836</v>
      </c>
      <c r="O15" s="413">
        <f>'NSIP-21-23 Unspent'!E34</f>
        <v>0</v>
      </c>
      <c r="P15" s="412">
        <v>12666</v>
      </c>
      <c r="Q15" s="413">
        <f>'14. SPA-Seq Mit.'!B29</f>
        <v>303992</v>
      </c>
      <c r="R15" s="421">
        <f t="shared" si="4"/>
        <v>0.14855814176240531</v>
      </c>
      <c r="S15" s="422">
        <f>'15. SPA - EB'!D31</f>
        <v>-1.4320565634713734E-3</v>
      </c>
      <c r="T15" s="421"/>
      <c r="U15" s="413">
        <f>'16. OPI 60+'!D29+'16. OPI 60+'!F29</f>
        <v>717555</v>
      </c>
      <c r="V15" s="421">
        <f t="shared" si="5"/>
        <v>0.14351102870220575</v>
      </c>
      <c r="W15" s="423">
        <f>'17. OPI 19-59'!D29+'17. OPI 19-59'!F29</f>
        <v>0</v>
      </c>
      <c r="X15" s="421" t="e">
        <f t="shared" si="6"/>
        <v>#DIV/0!</v>
      </c>
      <c r="Y15" s="560">
        <f>'19. OPIM-CM'!D29</f>
        <v>4164180</v>
      </c>
      <c r="Z15" s="421">
        <f t="shared" si="8"/>
        <v>0.14351097873565263</v>
      </c>
      <c r="AA15" s="563">
        <f>'19. OPIM-Elig'!D29</f>
        <v>2897892</v>
      </c>
      <c r="AB15" s="559">
        <f>'19. OPIM-Elig'!E29</f>
        <v>0.30440038819323656</v>
      </c>
      <c r="AC15" s="563">
        <v>225066</v>
      </c>
      <c r="AD15" s="426">
        <v>27553653</v>
      </c>
      <c r="AE15" s="426">
        <v>44973712</v>
      </c>
      <c r="AF15" s="644">
        <v>19129033</v>
      </c>
      <c r="AG15" s="425">
        <v>2899415</v>
      </c>
      <c r="AH15" s="669">
        <f>SUM(I15,K15,L15,M15,O15,P15,Q15,S15,U15,W15,Y15,AA15,AC15,AD15,AE15,AF15,AG15)</f>
        <v>108730109.24595857</v>
      </c>
      <c r="AI15" s="479">
        <f t="shared" si="7"/>
        <v>0.23133903013581172</v>
      </c>
      <c r="AJ15" s="557">
        <v>181150</v>
      </c>
    </row>
    <row r="16" spans="1:36" s="480" customFormat="1" ht="15.75">
      <c r="A16" s="649">
        <f t="shared" si="0"/>
        <v>181151</v>
      </c>
      <c r="B16" s="650" t="s">
        <v>64</v>
      </c>
      <c r="C16" s="413">
        <f>'6. III B'!E35</f>
        <v>711087.6525301357</v>
      </c>
      <c r="D16" s="413">
        <f>'7. III C-1'!D31</f>
        <v>1015154</v>
      </c>
      <c r="E16" s="413">
        <f>'8. III C-2'!D30</f>
        <v>681368</v>
      </c>
      <c r="F16" s="413">
        <f>'9. III D'!D30</f>
        <v>45883</v>
      </c>
      <c r="G16" s="413">
        <f>'10. III E'!D30</f>
        <v>362698.72022836021</v>
      </c>
      <c r="H16" s="413">
        <f>'11. VII B'!E31</f>
        <v>7232</v>
      </c>
      <c r="I16" s="478">
        <f t="shared" si="1"/>
        <v>2823423.3727584956</v>
      </c>
      <c r="J16" s="421">
        <f t="shared" si="2"/>
        <v>7.3523163725972673E-2</v>
      </c>
      <c r="K16" s="413">
        <f>'12. 23-25 Unspent'!I14</f>
        <v>0</v>
      </c>
      <c r="L16" s="413">
        <f>'23-25 Unspent-COVID'!J14</f>
        <v>0</v>
      </c>
      <c r="M16" s="481">
        <f>'13. NSIP'!E30</f>
        <v>165967</v>
      </c>
      <c r="N16" s="421">
        <f t="shared" si="3"/>
        <v>6.7518683205252852E-2</v>
      </c>
      <c r="O16" s="413">
        <f>'NSIP-21-23 Unspent'!E35</f>
        <v>0</v>
      </c>
      <c r="P16" s="412">
        <v>6112</v>
      </c>
      <c r="Q16" s="413">
        <f>'14. SPA-Seq Mit.'!B30</f>
        <v>152783</v>
      </c>
      <c r="R16" s="421">
        <f t="shared" si="4"/>
        <v>7.4663670665298984E-2</v>
      </c>
      <c r="S16" s="422">
        <f>'15. SPA - EB'!D32</f>
        <v>-6.852085819094002E-4</v>
      </c>
      <c r="T16" s="421"/>
      <c r="U16" s="413">
        <f>'16. OPI 60+'!D30+'16. OPI 60+'!F30</f>
        <v>364929</v>
      </c>
      <c r="V16" s="421">
        <f t="shared" si="5"/>
        <v>7.2985814597162926E-2</v>
      </c>
      <c r="W16" s="423">
        <f>'17. OPI 19-59'!D30</f>
        <v>0</v>
      </c>
      <c r="X16" s="421" t="e">
        <f t="shared" si="6"/>
        <v>#DIV/0!</v>
      </c>
      <c r="Y16" s="560">
        <f>'19. OPIM-CM'!D30</f>
        <v>2117787</v>
      </c>
      <c r="Z16" s="421">
        <f t="shared" si="8"/>
        <v>7.2985722308747836E-2</v>
      </c>
      <c r="AA16" s="563">
        <f>'19. OPIM-Elig'!D30</f>
        <v>1475066</v>
      </c>
      <c r="AB16" s="559">
        <f>'19. OPIM-Elig'!E30</f>
        <v>0.15494389128740638</v>
      </c>
      <c r="AC16" s="563">
        <v>112533</v>
      </c>
      <c r="AD16" s="426">
        <v>12879224</v>
      </c>
      <c r="AE16" s="426">
        <v>18770088</v>
      </c>
      <c r="AF16" s="644">
        <v>8954534</v>
      </c>
      <c r="AG16" s="425">
        <v>900000</v>
      </c>
      <c r="AH16" s="669">
        <f>SUM(I16,K16,L16,M16,O16,P16,Q16,S16,U16,W16,Y16,AA16,AC16,AD16,AE16,AF16,AG16)</f>
        <v>48722446.372073285</v>
      </c>
      <c r="AI16" s="479">
        <f t="shared" si="7"/>
        <v>0.10366405007524154</v>
      </c>
      <c r="AJ16" s="557">
        <v>181151</v>
      </c>
    </row>
    <row r="17" spans="1:36" s="480" customFormat="1" ht="15.75">
      <c r="A17" s="649">
        <f t="shared" si="0"/>
        <v>181145</v>
      </c>
      <c r="B17" s="650" t="s">
        <v>68</v>
      </c>
      <c r="C17" s="413">
        <f>'6. III B'!E36</f>
        <v>952277.80978617445</v>
      </c>
      <c r="D17" s="413">
        <f>'7. III C-1'!D32</f>
        <v>1388104</v>
      </c>
      <c r="E17" s="413">
        <f>'8. III C-2'!D31</f>
        <v>934848</v>
      </c>
      <c r="F17" s="413">
        <f>'9. III D'!D31</f>
        <v>66503</v>
      </c>
      <c r="G17" s="413">
        <f>'10. III E'!D31</f>
        <v>504881.94951830013</v>
      </c>
      <c r="H17" s="413">
        <f>'11. VII B'!E32</f>
        <v>9522</v>
      </c>
      <c r="I17" s="478">
        <f t="shared" si="1"/>
        <v>3856136.7593044746</v>
      </c>
      <c r="J17" s="421">
        <f t="shared" si="2"/>
        <v>0.10041546621720034</v>
      </c>
      <c r="K17" s="413">
        <f>'12. 23-25 Unspent'!I15</f>
        <v>0</v>
      </c>
      <c r="L17" s="413">
        <f>'23-25 Unspent-COVID'!J15</f>
        <v>0</v>
      </c>
      <c r="M17" s="481">
        <f>'13. NSIP'!E31</f>
        <v>182595</v>
      </c>
      <c r="N17" s="421">
        <f t="shared" si="3"/>
        <v>7.4283284989565074E-2</v>
      </c>
      <c r="O17" s="413">
        <f>'NSIP-21-23 Unspent'!E36</f>
        <v>0</v>
      </c>
      <c r="P17" s="412">
        <v>8452</v>
      </c>
      <c r="Q17" s="413">
        <f>'14. SPA-Seq Mit.'!B31</f>
        <v>210040</v>
      </c>
      <c r="R17" s="421">
        <f t="shared" si="4"/>
        <v>0.10264464885844235</v>
      </c>
      <c r="S17" s="422">
        <f>'15. SPA - EB'!D33</f>
        <v>-1.0147008003468854E-3</v>
      </c>
      <c r="T17" s="421"/>
      <c r="U17" s="413">
        <f>'16. OPI 60+'!D31+'16. OPI 60+'!F31</f>
        <v>499084</v>
      </c>
      <c r="V17" s="421">
        <f t="shared" si="5"/>
        <v>9.9816819963363987E-2</v>
      </c>
      <c r="W17" s="423">
        <f>'17. OPI 19-59'!D31+'17. OPI 19-59'!F31</f>
        <v>0</v>
      </c>
      <c r="X17" s="421" t="e">
        <f t="shared" si="6"/>
        <v>#DIV/0!</v>
      </c>
      <c r="Y17" s="560">
        <f>'19. OPIM-CM'!D31</f>
        <v>2896326</v>
      </c>
      <c r="Z17" s="421">
        <f t="shared" si="8"/>
        <v>9.9816669547790393E-2</v>
      </c>
      <c r="AA17" s="563"/>
      <c r="AB17" s="559"/>
      <c r="AC17" s="560"/>
      <c r="AD17" s="413"/>
      <c r="AE17" s="426">
        <v>242140</v>
      </c>
      <c r="AF17" s="644"/>
      <c r="AG17" s="425"/>
      <c r="AH17" s="669">
        <f t="shared" si="9"/>
        <v>7894773.7582897739</v>
      </c>
      <c r="AI17" s="479">
        <f t="shared" si="7"/>
        <v>1.6797272779823853E-2</v>
      </c>
      <c r="AJ17" s="557">
        <v>181145</v>
      </c>
    </row>
    <row r="18" spans="1:36" s="480" customFormat="1" ht="15.75">
      <c r="A18" s="649">
        <f t="shared" si="0"/>
        <v>181178</v>
      </c>
      <c r="B18" s="650" t="s">
        <v>67</v>
      </c>
      <c r="C18" s="413">
        <f>'6. III B'!E37</f>
        <v>356978.22356639872</v>
      </c>
      <c r="D18" s="413">
        <f>'7. III C-1'!D33</f>
        <v>467755</v>
      </c>
      <c r="E18" s="413">
        <f>'8. III C-2'!D32</f>
        <v>309322</v>
      </c>
      <c r="F18" s="413">
        <f>'9. III D'!D32</f>
        <v>23674</v>
      </c>
      <c r="G18" s="413">
        <f>'10. III E'!D32</f>
        <v>170714.23778376554</v>
      </c>
      <c r="H18" s="413">
        <f>'11. VII B'!E33</f>
        <v>3868</v>
      </c>
      <c r="I18" s="478">
        <f t="shared" si="1"/>
        <v>1332311.4613501644</v>
      </c>
      <c r="J18" s="421">
        <f t="shared" si="2"/>
        <v>3.4693965719754916E-2</v>
      </c>
      <c r="K18" s="413">
        <f>'12. 23-25 Unspent'!I16</f>
        <v>0</v>
      </c>
      <c r="L18" s="413">
        <f>'23-25 Unspent-COVID'!J16</f>
        <v>0</v>
      </c>
      <c r="M18" s="481">
        <f>'13. NSIP'!E32</f>
        <v>122743</v>
      </c>
      <c r="N18" s="421">
        <f t="shared" si="3"/>
        <v>4.9934298581418908E-2</v>
      </c>
      <c r="O18" s="413">
        <f>'NSIP-21-23 Unspent'!E37</f>
        <v>0</v>
      </c>
      <c r="P18" s="412">
        <v>3550</v>
      </c>
      <c r="Q18" s="413">
        <f>'14. SPA-Seq Mit.'!B32</f>
        <v>68742</v>
      </c>
      <c r="R18" s="421">
        <f>SUM(Q18/$Q$20)</f>
        <v>3.3593593847967264E-2</v>
      </c>
      <c r="S18" s="422">
        <f>'15. SPA - EB'!D34</f>
        <v>-3.3034295742656198E-4</v>
      </c>
      <c r="T18" s="421"/>
      <c r="U18" s="413">
        <f>'16. OPI 60+'!D32+'16. OPI 60+'!F32</f>
        <v>167966</v>
      </c>
      <c r="V18" s="421">
        <f t="shared" si="5"/>
        <v>3.3593206718641341E-2</v>
      </c>
      <c r="W18" s="423">
        <f>'17. OPI 19-59'!D32</f>
        <v>0</v>
      </c>
      <c r="X18" s="421" t="e">
        <f t="shared" si="6"/>
        <v>#DIV/0!</v>
      </c>
      <c r="Y18" s="560">
        <f>'19. OPIM-CM'!D32</f>
        <v>974756</v>
      </c>
      <c r="Z18" s="421">
        <f t="shared" si="8"/>
        <v>3.359321345101552E-2</v>
      </c>
      <c r="AA18" s="563"/>
      <c r="AB18" s="559"/>
      <c r="AC18" s="560"/>
      <c r="AD18" s="413"/>
      <c r="AE18" s="413"/>
      <c r="AF18" s="563"/>
      <c r="AG18" s="413"/>
      <c r="AH18" s="669">
        <f t="shared" si="9"/>
        <v>2670068.4610198215</v>
      </c>
      <c r="AI18" s="479">
        <f t="shared" si="7"/>
        <v>5.6809567510988602E-3</v>
      </c>
      <c r="AJ18" s="557">
        <v>181178</v>
      </c>
    </row>
    <row r="19" spans="1:36" s="97" customFormat="1" ht="16.5" thickBot="1">
      <c r="A19" s="651">
        <f t="shared" si="0"/>
        <v>181180</v>
      </c>
      <c r="B19" s="652" t="s">
        <v>63</v>
      </c>
      <c r="C19" s="411">
        <f>'6. III B'!E38</f>
        <v>1108309.9350884298</v>
      </c>
      <c r="D19" s="411">
        <f>'7. III C-1'!D34</f>
        <v>1658665</v>
      </c>
      <c r="E19" s="411">
        <f>'8. III C-2'!D33</f>
        <v>1118737</v>
      </c>
      <c r="F19" s="413">
        <f>'9. III D'!D33</f>
        <v>76430</v>
      </c>
      <c r="G19" s="413">
        <f>'10. III E'!D33</f>
        <v>566005.64162890241</v>
      </c>
      <c r="H19" s="413">
        <f>'11. VII B'!E34</f>
        <v>11004</v>
      </c>
      <c r="I19" s="478">
        <f t="shared" si="1"/>
        <v>4539151.576717332</v>
      </c>
      <c r="J19" s="421">
        <f t="shared" si="2"/>
        <v>0.11820146697515548</v>
      </c>
      <c r="K19" s="413">
        <f>'12. 23-25 Unspent'!I17</f>
        <v>0</v>
      </c>
      <c r="L19" s="413">
        <f>'23-25 Unspent-COVID'!J17</f>
        <v>194198</v>
      </c>
      <c r="M19" s="481">
        <f>'13. NSIP'!E33</f>
        <v>171658</v>
      </c>
      <c r="N19" s="495">
        <f t="shared" si="3"/>
        <v>6.9833895422868969E-2</v>
      </c>
      <c r="O19" s="413">
        <f>'NSIP-21-23 Unspent'!E38</f>
        <v>0</v>
      </c>
      <c r="P19" s="496">
        <v>7673</v>
      </c>
      <c r="Q19" s="413">
        <f>'14. SPA-Seq Mit.'!B33</f>
        <v>251579</v>
      </c>
      <c r="R19" s="495">
        <f>SUM(Q19/$Q$20)</f>
        <v>0.12294438257073924</v>
      </c>
      <c r="S19" s="422">
        <f>'15. SPA - EB'!D35</f>
        <v>-1.1733114352463999E-3</v>
      </c>
      <c r="T19" s="495"/>
      <c r="U19" s="413">
        <f>'16. OPI 60+'!D33+'16. OPI 60+'!F33</f>
        <v>585871</v>
      </c>
      <c r="V19" s="495">
        <f t="shared" si="5"/>
        <v>0.11717422343484468</v>
      </c>
      <c r="W19" s="423">
        <f>'17. OPI 19-59'!D33</f>
        <v>0</v>
      </c>
      <c r="X19" s="495" t="e">
        <f t="shared" si="6"/>
        <v>#DIV/0!</v>
      </c>
      <c r="Y19" s="560">
        <f>'19. OPIM-CM'!D33</f>
        <v>3399981</v>
      </c>
      <c r="Z19" s="421">
        <f t="shared" si="8"/>
        <v>0.11717423382097386</v>
      </c>
      <c r="AA19" s="564"/>
      <c r="AB19" s="562"/>
      <c r="AC19" s="561"/>
      <c r="AD19" s="481"/>
      <c r="AE19" s="481"/>
      <c r="AF19" s="564"/>
      <c r="AG19" s="497"/>
      <c r="AH19" s="669">
        <f t="shared" si="9"/>
        <v>9150111.5755440202</v>
      </c>
      <c r="AI19" s="498">
        <f t="shared" si="7"/>
        <v>1.946818551182038E-2</v>
      </c>
      <c r="AJ19" s="557">
        <v>181180</v>
      </c>
    </row>
    <row r="20" spans="1:36" s="97" customFormat="1" ht="16.5" thickTop="1">
      <c r="A20" s="788" t="s">
        <v>29</v>
      </c>
      <c r="B20" s="789"/>
      <c r="C20" s="413">
        <f>'6. III B'!E39</f>
        <v>9869260.9999999981</v>
      </c>
      <c r="D20" s="413">
        <f>'7. III C-1'!D35</f>
        <v>13648526</v>
      </c>
      <c r="E20" s="413">
        <f>'8. III C-2'!D34</f>
        <v>9138885</v>
      </c>
      <c r="F20" s="413">
        <f>'9. III D'!D34</f>
        <v>673833</v>
      </c>
      <c r="G20" s="413">
        <f>'10. III E'!D34</f>
        <v>4969933</v>
      </c>
      <c r="H20" s="413">
        <f>'11. VII B'!E35</f>
        <v>101383</v>
      </c>
      <c r="I20" s="478">
        <f>SUM(I4:I19)</f>
        <v>38401821</v>
      </c>
      <c r="J20" s="414">
        <f>SUM(J4:J19)</f>
        <v>0.99999999999999978</v>
      </c>
      <c r="K20" s="413">
        <f>SUM(K4:K19)</f>
        <v>0</v>
      </c>
      <c r="L20" s="413">
        <f>'23-25 Unspent-COVID'!J18</f>
        <v>385157.2</v>
      </c>
      <c r="M20" s="413">
        <f>'13. NSIP'!E34</f>
        <v>2458090</v>
      </c>
      <c r="N20" s="482">
        <f>SUM(N4:N19)</f>
        <v>1</v>
      </c>
      <c r="O20" s="413">
        <f>SUM(O4:O19)</f>
        <v>0</v>
      </c>
      <c r="P20" s="412">
        <f>SUM(P4:P19)</f>
        <v>101453</v>
      </c>
      <c r="Q20" s="413">
        <f>'14. SPA-Seq Mit.'!B34</f>
        <v>2046283</v>
      </c>
      <c r="R20" s="414">
        <f>SUM(R4:R19)</f>
        <v>1</v>
      </c>
      <c r="S20" s="415">
        <f>SUM(S4:S19)</f>
        <v>-0.01</v>
      </c>
      <c r="T20" s="414">
        <f>SUM(T4:T19)</f>
        <v>0</v>
      </c>
      <c r="U20" s="413">
        <f>'16. OPI 60+'!D34+'16. OPI 60+'!D36+'16. OPI 60+'!F34</f>
        <v>4999999</v>
      </c>
      <c r="V20" s="414">
        <f t="shared" ref="V20:AI20" si="10">SUM(V4:V19)</f>
        <v>1</v>
      </c>
      <c r="W20" s="413">
        <f>SUM(W4:W19)</f>
        <v>0</v>
      </c>
      <c r="X20" s="414" t="e">
        <f t="shared" si="10"/>
        <v>#DIV/0!</v>
      </c>
      <c r="Y20" s="413">
        <f t="shared" si="10"/>
        <v>29016456</v>
      </c>
      <c r="Z20" s="414">
        <f t="shared" si="10"/>
        <v>1</v>
      </c>
      <c r="AA20" s="413">
        <f t="shared" si="10"/>
        <v>9520000</v>
      </c>
      <c r="AB20" s="414">
        <f t="shared" si="10"/>
        <v>0.99999989495799424</v>
      </c>
      <c r="AC20" s="560">
        <f>SUM(AC4:AC19)</f>
        <v>562665</v>
      </c>
      <c r="AD20" s="413">
        <f t="shared" si="10"/>
        <v>106306648</v>
      </c>
      <c r="AE20" s="413">
        <f t="shared" si="10"/>
        <v>160781252</v>
      </c>
      <c r="AF20" s="413">
        <f t="shared" si="10"/>
        <v>73874354</v>
      </c>
      <c r="AG20" s="427">
        <f t="shared" si="10"/>
        <v>41549129</v>
      </c>
      <c r="AH20" s="670">
        <f t="shared" si="10"/>
        <v>470003307.18999994</v>
      </c>
      <c r="AI20" s="483">
        <f t="shared" si="10"/>
        <v>1.0000000000000002</v>
      </c>
      <c r="AJ20" s="558"/>
    </row>
    <row r="21" spans="1:36" s="97" customFormat="1" ht="19.149999999999999" hidden="1" customHeight="1">
      <c r="A21" s="790" t="s">
        <v>207</v>
      </c>
      <c r="B21" s="790"/>
      <c r="C21" s="417">
        <f t="shared" ref="C21:H21" si="11">SUM(C4:C19)</f>
        <v>9869260.9999999981</v>
      </c>
      <c r="D21" s="416">
        <f t="shared" si="11"/>
        <v>13648526</v>
      </c>
      <c r="E21" s="417">
        <f t="shared" si="11"/>
        <v>9138885</v>
      </c>
      <c r="F21" s="417">
        <f t="shared" si="11"/>
        <v>673833</v>
      </c>
      <c r="G21" s="484">
        <f t="shared" si="11"/>
        <v>4969933</v>
      </c>
      <c r="H21" s="484">
        <f t="shared" si="11"/>
        <v>101383</v>
      </c>
      <c r="I21" s="484">
        <f t="shared" ref="I21" si="12">SUM(I4:I19)</f>
        <v>38401821</v>
      </c>
      <c r="J21" s="485"/>
      <c r="K21" s="486">
        <f>SUM(K4:K19)</f>
        <v>0</v>
      </c>
      <c r="L21" s="545"/>
      <c r="M21" s="417">
        <f>SUM(M4:M19)</f>
        <v>2458090</v>
      </c>
      <c r="O21" s="484">
        <f>SUM(O4:O19)</f>
        <v>0</v>
      </c>
      <c r="P21" s="416">
        <f>SUM(P4:P19)</f>
        <v>101453</v>
      </c>
      <c r="Q21" s="416">
        <f>SUM(Q4:Q19)</f>
        <v>2046283</v>
      </c>
      <c r="R21" s="417"/>
      <c r="S21" s="416">
        <f>SUM(S4:S19)</f>
        <v>-0.01</v>
      </c>
      <c r="T21" s="417"/>
      <c r="U21" s="416">
        <f>SUM(U4:U19)</f>
        <v>4999999</v>
      </c>
      <c r="V21" s="417"/>
      <c r="W21" s="416">
        <f>SUM(W4:W19)</f>
        <v>0</v>
      </c>
      <c r="X21" s="417"/>
      <c r="Y21" s="417"/>
      <c r="Z21" s="417"/>
      <c r="AA21" s="417"/>
      <c r="AB21" s="417"/>
      <c r="AC21" s="417"/>
      <c r="AD21" s="417"/>
      <c r="AE21" s="417"/>
      <c r="AF21" s="417"/>
      <c r="AH21" s="389">
        <f>SUM(I20,K20,M20,O20,P20,Q20,S20,U20,W20,AD20,AE20,AG20)</f>
        <v>356644674.99000001</v>
      </c>
    </row>
    <row r="22" spans="1:36" s="97" customFormat="1" ht="19.899999999999999" hidden="1" customHeight="1">
      <c r="B22" s="487"/>
      <c r="C22" s="487"/>
      <c r="D22" s="487"/>
      <c r="E22" s="487"/>
      <c r="F22" s="487"/>
      <c r="G22" s="791" t="s">
        <v>174</v>
      </c>
      <c r="H22" s="791"/>
      <c r="I22" s="488">
        <f>SUM(C20:H20)</f>
        <v>38401821</v>
      </c>
      <c r="J22" s="488" t="s">
        <v>220</v>
      </c>
      <c r="K22" s="489" t="s">
        <v>220</v>
      </c>
      <c r="L22" s="546"/>
      <c r="M22" s="428" t="s">
        <v>220</v>
      </c>
      <c r="N22" s="488"/>
      <c r="O22" s="488"/>
      <c r="P22" s="407"/>
      <c r="Q22" s="407"/>
      <c r="S22" s="407"/>
      <c r="U22" s="418"/>
      <c r="W22" s="407"/>
      <c r="AE22" s="428" t="s">
        <v>220</v>
      </c>
      <c r="AF22" s="428"/>
      <c r="AH22" s="390"/>
    </row>
    <row r="23" spans="1:36" s="407" customFormat="1" ht="18.75" hidden="1" customHeight="1">
      <c r="A23" s="490"/>
      <c r="B23" s="491"/>
      <c r="C23" s="491"/>
      <c r="D23" s="491"/>
      <c r="E23" s="491"/>
      <c r="F23" s="491"/>
      <c r="G23" s="419"/>
      <c r="H23" s="419"/>
      <c r="I23" s="419"/>
      <c r="J23" s="419"/>
      <c r="K23" s="492"/>
      <c r="L23" s="492"/>
      <c r="M23" s="419"/>
      <c r="N23" s="419"/>
      <c r="O23" s="419"/>
      <c r="P23" s="419"/>
      <c r="Q23" s="419"/>
      <c r="R23" s="419"/>
      <c r="S23" s="419"/>
      <c r="T23" s="419"/>
      <c r="U23" s="419"/>
      <c r="V23" s="419"/>
      <c r="W23" s="419"/>
      <c r="X23" s="419"/>
      <c r="Y23" s="419"/>
      <c r="Z23" s="419"/>
      <c r="AA23" s="419"/>
      <c r="AB23" s="419"/>
      <c r="AC23" s="419"/>
      <c r="AD23" s="419"/>
      <c r="AH23" s="391"/>
    </row>
    <row r="24" spans="1:36" s="407" customFormat="1">
      <c r="A24" s="610"/>
      <c r="B24" s="189"/>
      <c r="C24" s="189"/>
      <c r="D24" s="189"/>
      <c r="E24" s="189"/>
      <c r="F24" s="189"/>
      <c r="G24" s="189"/>
      <c r="H24" s="419"/>
      <c r="I24" s="499">
        <f>SUM(C20:H20)</f>
        <v>38401821</v>
      </c>
      <c r="J24" s="419"/>
      <c r="K24" s="492"/>
      <c r="L24" s="492"/>
      <c r="N24" s="189"/>
      <c r="O24" s="189"/>
      <c r="P24" s="189"/>
      <c r="Q24" s="189"/>
      <c r="R24" s="189"/>
      <c r="S24" s="189"/>
      <c r="T24" s="189"/>
      <c r="U24" s="189"/>
      <c r="V24" s="189"/>
      <c r="W24" s="189"/>
      <c r="X24" s="189"/>
      <c r="Y24" s="189"/>
      <c r="Z24" s="189"/>
      <c r="AA24" s="189"/>
      <c r="AB24" s="189"/>
      <c r="AC24" s="189"/>
      <c r="AD24" s="189"/>
      <c r="AH24" s="548">
        <f>I20+K20+L20+M20+O20+P20+Q20+U20+W20+Y20+AA20+AC20+AD20+AE20+AG20+AF20</f>
        <v>470003307.19999999</v>
      </c>
    </row>
    <row r="25" spans="1:36" s="407" customFormat="1">
      <c r="A25" s="289"/>
      <c r="B25" s="381"/>
      <c r="C25" s="381"/>
      <c r="D25" s="381"/>
      <c r="E25" s="381"/>
      <c r="F25" s="381"/>
      <c r="G25" s="381"/>
      <c r="H25" s="381"/>
      <c r="I25" s="477"/>
      <c r="J25" s="189"/>
      <c r="K25" s="493"/>
      <c r="L25" s="493"/>
      <c r="M25" s="419"/>
      <c r="N25" s="189"/>
      <c r="O25" s="189"/>
      <c r="P25" s="419"/>
      <c r="Q25" s="381"/>
      <c r="R25" s="381"/>
      <c r="S25" s="381"/>
      <c r="T25" s="381"/>
      <c r="U25" s="189"/>
      <c r="V25" s="381"/>
      <c r="W25" s="381"/>
      <c r="X25" s="381"/>
      <c r="Y25" s="381"/>
      <c r="Z25" s="381"/>
      <c r="AA25" s="381"/>
      <c r="AB25" s="381"/>
      <c r="AC25" s="381"/>
      <c r="AD25" s="381"/>
      <c r="AE25" s="429"/>
      <c r="AF25" s="429"/>
      <c r="AG25" s="429"/>
      <c r="AH25" s="392"/>
    </row>
    <row r="26" spans="1:36" s="97" customFormat="1">
      <c r="I26" s="604" t="s">
        <v>455</v>
      </c>
      <c r="K26" s="494"/>
      <c r="L26" s="391"/>
      <c r="M26" s="604" t="s">
        <v>455</v>
      </c>
      <c r="P26" s="407"/>
      <c r="Q26" s="407"/>
      <c r="R26" s="589"/>
      <c r="S26" s="419"/>
      <c r="T26" s="589"/>
      <c r="U26" s="499"/>
      <c r="V26" s="589"/>
      <c r="W26" s="499"/>
      <c r="AH26" s="548">
        <f>I24+K20+L20+M20+O20+P20+Q20+U20+W20+Y20+AA20+AC20+AD20+AE20+AG20+AF20</f>
        <v>470003307.19999999</v>
      </c>
    </row>
    <row r="27" spans="1:36" s="97" customFormat="1">
      <c r="K27" s="494"/>
      <c r="L27" s="391"/>
      <c r="P27" s="407"/>
      <c r="Q27" s="407"/>
      <c r="S27" s="407"/>
      <c r="U27" s="582"/>
      <c r="W27" s="582"/>
      <c r="AH27" s="391"/>
    </row>
    <row r="28" spans="1:36">
      <c r="AH28" s="548">
        <f>I20+K20+L20+M20+O20+P20+Q20+U20+W20+Y20+AA20+AC20+AD20+AE20+AG20+AF20</f>
        <v>470003307.19999999</v>
      </c>
    </row>
    <row r="32" spans="1:36">
      <c r="AH32" s="390"/>
    </row>
  </sheetData>
  <mergeCells count="3">
    <mergeCell ref="A20:B20"/>
    <mergeCell ref="A21:B21"/>
    <mergeCell ref="G22:H22"/>
  </mergeCells>
  <pageMargins left="0.75" right="0.75" top="1.75" bottom="0.5" header="0.25" footer="0.5"/>
  <pageSetup scale="31" orientation="landscape" r:id="rId1"/>
  <headerFooter alignWithMargins="0">
    <oddHeader xml:space="preserve">&amp;L&amp;G&amp;C&amp;"Arial Black,Bold"&amp;14
AAA 2025-2027
 FUNDING ALLOCATION
OAA
</oddHeader>
    <oddFooter>&amp;R&amp;"Century Gothic,Regular"Page &amp;P</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FF66"/>
    <pageSetUpPr fitToPage="1"/>
  </sheetPr>
  <dimension ref="A1:H41"/>
  <sheetViews>
    <sheetView zoomScaleNormal="100" zoomScaleSheetLayoutView="115" workbookViewId="0">
      <selection activeCell="E33" sqref="E33"/>
    </sheetView>
  </sheetViews>
  <sheetFormatPr defaultRowHeight="15"/>
  <cols>
    <col min="1" max="1" width="60.85546875" customWidth="1" collapsed="1"/>
    <col min="2" max="3" width="13.28515625" style="4" customWidth="1" collapsed="1"/>
    <col min="4" max="6" width="13.28515625" style="7" customWidth="1" collapsed="1"/>
    <col min="7" max="7" width="13.28515625" customWidth="1" collapsed="1"/>
    <col min="8" max="8" width="10.5703125" bestFit="1" customWidth="1" collapsed="1"/>
  </cols>
  <sheetData>
    <row r="1" spans="1:7" s="112" customFormat="1" ht="36">
      <c r="A1" s="135" t="s">
        <v>30</v>
      </c>
      <c r="B1" s="135" t="s">
        <v>22</v>
      </c>
      <c r="C1" s="135" t="s">
        <v>26</v>
      </c>
      <c r="D1" s="135" t="s">
        <v>443</v>
      </c>
      <c r="E1" s="135" t="s">
        <v>520</v>
      </c>
      <c r="F1" s="135" t="s">
        <v>521</v>
      </c>
      <c r="G1" s="135" t="s">
        <v>522</v>
      </c>
    </row>
    <row r="2" spans="1:7">
      <c r="A2" s="96" t="s">
        <v>441</v>
      </c>
      <c r="B2" s="29">
        <f>'4. Award History&amp;Projections '!B18</f>
        <v>5254257</v>
      </c>
      <c r="C2" s="6">
        <v>0.25</v>
      </c>
      <c r="D2" s="7">
        <f>ROUND(B2*C2,0)</f>
        <v>1313564</v>
      </c>
      <c r="G2" s="7">
        <f>SUM(D2:F2)</f>
        <v>1313564</v>
      </c>
    </row>
    <row r="3" spans="1:7">
      <c r="A3" s="96" t="s">
        <v>526</v>
      </c>
      <c r="B3" s="29">
        <f>'4. Award History&amp;Projections '!B19</f>
        <v>5254257</v>
      </c>
      <c r="C3" s="6">
        <v>1</v>
      </c>
      <c r="E3" s="9">
        <f>ROUND(B3*C3,0)</f>
        <v>5254257</v>
      </c>
      <c r="G3" s="9">
        <f>SUM(D3:F3)</f>
        <v>5254257</v>
      </c>
    </row>
    <row r="4" spans="1:7">
      <c r="A4" s="96" t="s">
        <v>527</v>
      </c>
      <c r="B4" s="29">
        <f>'4. Award History&amp;Projections '!B20</f>
        <v>5254257</v>
      </c>
      <c r="C4" s="6">
        <v>0.75</v>
      </c>
      <c r="D4" s="8"/>
      <c r="E4" s="8"/>
      <c r="F4" s="8">
        <f>ROUND(B4*C4,0)</f>
        <v>3940693</v>
      </c>
      <c r="G4" s="8">
        <f>SUM(D4:F4)</f>
        <v>3940693</v>
      </c>
    </row>
    <row r="5" spans="1:7">
      <c r="A5" s="96" t="s">
        <v>23</v>
      </c>
      <c r="B5" s="29"/>
      <c r="D5" s="9">
        <f>SUM(D2:D4)</f>
        <v>1313564</v>
      </c>
      <c r="E5" s="9">
        <f>SUM(E2:E4)</f>
        <v>5254257</v>
      </c>
      <c r="F5" s="9">
        <f>SUM(F2:F4)</f>
        <v>3940693</v>
      </c>
      <c r="G5" s="29">
        <f>SUM(G2:G4)</f>
        <v>10508514</v>
      </c>
    </row>
    <row r="6" spans="1:7">
      <c r="A6" s="96" t="s">
        <v>24</v>
      </c>
      <c r="B6" s="29"/>
      <c r="C6" s="5">
        <v>0.05</v>
      </c>
      <c r="D6" s="8">
        <f>ROUND($C$6*-D5,0)</f>
        <v>-65678</v>
      </c>
      <c r="E6" s="8">
        <f>ROUND($C$6*-E5,0)</f>
        <v>-262713</v>
      </c>
      <c r="F6" s="8">
        <f>ROUND($C$6*-F5,0)</f>
        <v>-197035</v>
      </c>
      <c r="G6" s="8">
        <f>SUM(D6:F6)</f>
        <v>-525426</v>
      </c>
    </row>
    <row r="7" spans="1:7">
      <c r="A7" s="96" t="s">
        <v>23</v>
      </c>
      <c r="B7" s="29"/>
      <c r="D7" s="9">
        <f>SUM(D5:D6)</f>
        <v>1247886</v>
      </c>
      <c r="E7" s="9">
        <f>SUM(E5:E6)</f>
        <v>4991544</v>
      </c>
      <c r="F7" s="9">
        <f>SUM(F5:F6)</f>
        <v>3743658</v>
      </c>
      <c r="G7" s="9">
        <f>SUM(G5:G6)</f>
        <v>9983088</v>
      </c>
    </row>
    <row r="8" spans="1:7">
      <c r="A8" s="118" t="s">
        <v>523</v>
      </c>
      <c r="B8" s="29">
        <f>-'4. Award History&amp;Projections '!K40</f>
        <v>-56913.5</v>
      </c>
      <c r="C8" s="6">
        <v>0.25</v>
      </c>
      <c r="D8" s="9">
        <f>ROUND(B8*C8,0)</f>
        <v>-14228</v>
      </c>
      <c r="E8" s="9"/>
      <c r="F8" s="9"/>
      <c r="G8" s="9">
        <f>SUM(D8:F8)</f>
        <v>-14228</v>
      </c>
    </row>
    <row r="9" spans="1:7">
      <c r="A9" s="118" t="s">
        <v>524</v>
      </c>
      <c r="B9" s="29">
        <f>-'4. Award History&amp;Projections '!K41</f>
        <v>-56913.5</v>
      </c>
      <c r="C9" s="6">
        <v>1</v>
      </c>
      <c r="D9" s="9"/>
      <c r="E9" s="9">
        <f>ROUND(B9*C9,0)</f>
        <v>-56914</v>
      </c>
      <c r="F9" s="9"/>
      <c r="G9" s="9">
        <f>SUM(D9:F9)</f>
        <v>-56914</v>
      </c>
    </row>
    <row r="10" spans="1:7">
      <c r="A10" s="118" t="s">
        <v>525</v>
      </c>
      <c r="B10" s="29">
        <f>-'4. Award History&amp;Projections '!K42</f>
        <v>-56913.5</v>
      </c>
      <c r="C10" s="6">
        <v>0.75</v>
      </c>
      <c r="D10" s="8"/>
      <c r="E10" s="8"/>
      <c r="F10" s="8">
        <f>ROUND(B10*C10,0)</f>
        <v>-42685</v>
      </c>
      <c r="G10" s="8">
        <f>SUM(D10:F10)</f>
        <v>-42685</v>
      </c>
    </row>
    <row r="11" spans="1:7">
      <c r="A11" s="96" t="s">
        <v>170</v>
      </c>
      <c r="B11" s="9"/>
      <c r="C11" s="6"/>
      <c r="D11" s="13">
        <f>SUM(D8:D10)</f>
        <v>-14228</v>
      </c>
      <c r="E11" s="13">
        <f>SUM(E8:E10)</f>
        <v>-56914</v>
      </c>
      <c r="F11" s="13">
        <f>SUM(F8:F10)</f>
        <v>-42685</v>
      </c>
      <c r="G11" s="17">
        <f>SUM(G8:G10)</f>
        <v>-113827</v>
      </c>
    </row>
    <row r="12" spans="1:7" s="15" customFormat="1">
      <c r="A12" s="52" t="s">
        <v>23</v>
      </c>
      <c r="B12" s="9"/>
      <c r="C12" s="9"/>
      <c r="D12" s="16">
        <f>SUM(D7:D10)</f>
        <v>1233658</v>
      </c>
      <c r="E12" s="16">
        <f>SUM(E7:E10)</f>
        <v>4934630</v>
      </c>
      <c r="F12" s="16">
        <f>SUM(F7:F10)</f>
        <v>3700973</v>
      </c>
      <c r="G12" s="16">
        <f>SUM(G7:G10)</f>
        <v>9869261</v>
      </c>
    </row>
    <row r="13" spans="1:7" s="15" customFormat="1">
      <c r="A13" s="52" t="s">
        <v>35</v>
      </c>
      <c r="B13" s="9"/>
      <c r="C13" s="9"/>
      <c r="D13" s="17"/>
      <c r="E13" s="17"/>
      <c r="F13" s="17"/>
      <c r="G13" s="17">
        <v>0</v>
      </c>
    </row>
    <row r="14" spans="1:7" s="1" customFormat="1" ht="15.75" thickBot="1">
      <c r="A14" s="65" t="s">
        <v>29</v>
      </c>
      <c r="B14" s="10"/>
      <c r="C14" s="10"/>
      <c r="D14" s="14"/>
      <c r="E14" s="14"/>
      <c r="F14" s="14"/>
      <c r="G14" s="28">
        <f>SUM(G12:G13)</f>
        <v>9869261</v>
      </c>
    </row>
    <row r="15" spans="1:7" s="131" customFormat="1" ht="12.95" customHeight="1" thickTop="1">
      <c r="A15" s="128"/>
      <c r="B15" s="129"/>
      <c r="C15" s="129"/>
      <c r="D15" s="130"/>
      <c r="E15" s="130"/>
      <c r="F15" s="130"/>
      <c r="G15" s="130"/>
    </row>
    <row r="16" spans="1:7">
      <c r="A16" s="65" t="s">
        <v>146</v>
      </c>
      <c r="G16" s="9"/>
    </row>
    <row r="17" spans="1:8">
      <c r="A17" s="96" t="s">
        <v>27</v>
      </c>
      <c r="B17" s="29">
        <f>'4. Award History&amp;Projections '!B21</f>
        <v>55000</v>
      </c>
      <c r="C17" s="29">
        <v>16</v>
      </c>
      <c r="G17" s="9">
        <f>B17*C17</f>
        <v>880000</v>
      </c>
      <c r="H17" s="12"/>
    </row>
    <row r="18" spans="1:8">
      <c r="A18" s="96" t="s">
        <v>28</v>
      </c>
      <c r="B18" s="29"/>
      <c r="C18" s="30">
        <v>0.05</v>
      </c>
      <c r="G18" s="9">
        <f>ROUND((G14-G17)*C18,0)</f>
        <v>449463</v>
      </c>
    </row>
    <row r="19" spans="1:8">
      <c r="A19" s="96" t="s">
        <v>37</v>
      </c>
      <c r="C19" s="30">
        <v>0.95</v>
      </c>
      <c r="G19" s="9">
        <f>G14-G17-G18</f>
        <v>8539798</v>
      </c>
    </row>
    <row r="20" spans="1:8" s="1" customFormat="1" ht="15.75" thickBot="1">
      <c r="A20" s="65" t="s">
        <v>29</v>
      </c>
      <c r="B20" s="10"/>
      <c r="C20" s="10"/>
      <c r="D20" s="10"/>
      <c r="E20" s="10"/>
      <c r="F20" s="10"/>
      <c r="G20" s="28">
        <f>SUM(G17:G19)</f>
        <v>9869261</v>
      </c>
    </row>
    <row r="21" spans="1:8" s="125" customFormat="1" ht="6.75" customHeight="1" thickTop="1">
      <c r="B21" s="126"/>
      <c r="C21" s="126"/>
      <c r="D21" s="126"/>
      <c r="E21" s="126"/>
      <c r="F21" s="126"/>
    </row>
    <row r="22" spans="1:8" s="112" customFormat="1" ht="90">
      <c r="A22" s="201" t="s">
        <v>58</v>
      </c>
      <c r="B22" s="132" t="s">
        <v>196</v>
      </c>
      <c r="C22" s="132" t="s">
        <v>208</v>
      </c>
      <c r="D22" s="132" t="s">
        <v>209</v>
      </c>
      <c r="E22" s="132" t="s">
        <v>239</v>
      </c>
      <c r="F22" s="133" t="s">
        <v>216</v>
      </c>
      <c r="G22" s="134"/>
    </row>
    <row r="23" spans="1:8">
      <c r="A23" s="151" t="s">
        <v>72</v>
      </c>
      <c r="B23" s="113">
        <f>$B$17</f>
        <v>55000</v>
      </c>
      <c r="C23" s="113">
        <f>SUM(('3. Population-NSIP#'!C3*'6. III B'!$G$18),0)</f>
        <v>55692.776422898474</v>
      </c>
      <c r="D23" s="113">
        <f>SUM(('3. Population-NSIP#'!E3*'6. III B'!$G$19),0)</f>
        <v>321547.47697735729</v>
      </c>
      <c r="E23" s="114">
        <f>SUM(B23:D23)</f>
        <v>432240.25340025575</v>
      </c>
      <c r="F23" s="141">
        <f t="shared" ref="F23:F38" si="0">E23/$E$39</f>
        <v>4.3796617943355216E-2</v>
      </c>
      <c r="G23" s="7"/>
    </row>
    <row r="24" spans="1:8">
      <c r="A24" s="151" t="s">
        <v>61</v>
      </c>
      <c r="B24" s="113">
        <f t="shared" ref="B24:B38" si="1">$B$17</f>
        <v>55000</v>
      </c>
      <c r="C24" s="113">
        <f>SUM(('3. Population-NSIP#'!C4*'6. III B'!$G$18),0)</f>
        <v>3078.0810494639695</v>
      </c>
      <c r="D24" s="113">
        <f>SUM(('3. Population-NSIP#'!E4*'6. III B'!$G$19),0)</f>
        <v>120293.46539564097</v>
      </c>
      <c r="E24" s="114">
        <f t="shared" ref="E24:E38" si="2">SUM(B24:D24)</f>
        <v>178371.54644510493</v>
      </c>
      <c r="F24" s="141">
        <f t="shared" si="0"/>
        <v>1.8073445057852352E-2</v>
      </c>
      <c r="G24" s="7"/>
    </row>
    <row r="25" spans="1:8">
      <c r="A25" s="151" t="s">
        <v>73</v>
      </c>
      <c r="B25" s="113">
        <f t="shared" si="1"/>
        <v>55000</v>
      </c>
      <c r="C25" s="113">
        <f>SUM(('3. Population-NSIP#'!C5*'6. III B'!$G$18),0)</f>
        <v>59840.806236818025</v>
      </c>
      <c r="D25" s="113">
        <f>SUM(('3. Population-NSIP#'!E5*'6. III B'!$G$19),0)</f>
        <v>174156.37350972282</v>
      </c>
      <c r="E25" s="114">
        <f t="shared" si="2"/>
        <v>288997.17974654085</v>
      </c>
      <c r="F25" s="141">
        <f t="shared" si="0"/>
        <v>2.9282555172726803E-2</v>
      </c>
      <c r="G25" s="7"/>
    </row>
    <row r="26" spans="1:8">
      <c r="A26" s="151" t="s">
        <v>60</v>
      </c>
      <c r="B26" s="113">
        <f t="shared" si="1"/>
        <v>55000</v>
      </c>
      <c r="C26" s="113">
        <f>SUM(('3. Population-NSIP#'!C6*'6. III B'!$G$18),0)</f>
        <v>8757.7530553021952</v>
      </c>
      <c r="D26" s="113">
        <f>SUM(('3. Population-NSIP#'!E6*'6. III B'!$G$19),0)</f>
        <v>962331.52019695949</v>
      </c>
      <c r="E26" s="114">
        <f t="shared" si="2"/>
        <v>1026089.2732522617</v>
      </c>
      <c r="F26" s="141">
        <f t="shared" si="0"/>
        <v>0.10396819713778589</v>
      </c>
      <c r="G26" s="7"/>
    </row>
    <row r="27" spans="1:8">
      <c r="A27" s="151" t="s">
        <v>555</v>
      </c>
      <c r="B27" s="113">
        <f t="shared" si="1"/>
        <v>55000</v>
      </c>
      <c r="C27" s="113">
        <f>SUM(('3. Population-NSIP#'!C7*'6. III B'!$G$18),0)</f>
        <v>36420.728167829227</v>
      </c>
      <c r="D27" s="113">
        <f>SUM(('3. Population-NSIP#'!E7*'6. III B'!$G$19),0)</f>
        <v>560435.83380255697</v>
      </c>
      <c r="E27" s="114">
        <f t="shared" si="2"/>
        <v>651856.56197038619</v>
      </c>
      <c r="F27" s="141">
        <f t="shared" si="0"/>
        <v>6.6049176526022199E-2</v>
      </c>
      <c r="G27" s="7"/>
    </row>
    <row r="28" spans="1:8">
      <c r="A28" s="151" t="s">
        <v>173</v>
      </c>
      <c r="B28" s="113">
        <f t="shared" si="1"/>
        <v>55000</v>
      </c>
      <c r="C28" s="113">
        <f>SUM(('3. Population-NSIP#'!C8*'6. III B'!$G$18),0)</f>
        <v>23581.389819253542</v>
      </c>
      <c r="D28" s="113">
        <f>SUM(('3. Population-NSIP#'!E8*'6. III B'!$G$19),0)</f>
        <v>351193.59736249648</v>
      </c>
      <c r="E28" s="114">
        <f t="shared" si="2"/>
        <v>429774.98718175001</v>
      </c>
      <c r="F28" s="141">
        <f t="shared" si="0"/>
        <v>4.3546825560875337E-2</v>
      </c>
      <c r="G28" s="7"/>
    </row>
    <row r="29" spans="1:8">
      <c r="A29" s="151" t="s">
        <v>74</v>
      </c>
      <c r="B29" s="113">
        <f t="shared" si="1"/>
        <v>55000</v>
      </c>
      <c r="C29" s="113">
        <f>SUM(('3. Population-NSIP#'!C9*'6. III B'!$G$18),0)</f>
        <v>47448.458299861282</v>
      </c>
      <c r="D29" s="113">
        <f>SUM(('3. Population-NSIP#'!E9*'6. III B'!$G$19),0)</f>
        <v>21567.702438034965</v>
      </c>
      <c r="E29" s="114">
        <f t="shared" si="2"/>
        <v>124016.16073789625</v>
      </c>
      <c r="F29" s="141">
        <f t="shared" si="0"/>
        <v>1.2565901412263419E-2</v>
      </c>
      <c r="G29" s="7"/>
    </row>
    <row r="30" spans="1:8">
      <c r="A30" s="151" t="s">
        <v>71</v>
      </c>
      <c r="B30" s="113">
        <f t="shared" si="1"/>
        <v>55000</v>
      </c>
      <c r="C30" s="113">
        <f>SUM(('3. Population-NSIP#'!C10*'6. III B'!$G$18),0)</f>
        <v>65929.587317275422</v>
      </c>
      <c r="D30" s="113">
        <f>SUM(('3. Population-NSIP#'!E10*'6. III B'!$G$19),0)</f>
        <v>207822.02514186897</v>
      </c>
      <c r="E30" s="114">
        <f t="shared" si="2"/>
        <v>328751.61245914438</v>
      </c>
      <c r="F30" s="141">
        <f t="shared" si="0"/>
        <v>3.3310661503342998E-2</v>
      </c>
      <c r="G30" s="7"/>
    </row>
    <row r="31" spans="1:8">
      <c r="A31" s="151" t="s">
        <v>65</v>
      </c>
      <c r="B31" s="113">
        <f t="shared" si="1"/>
        <v>55000</v>
      </c>
      <c r="C31" s="113">
        <f>SUM(('3. Population-NSIP#'!C11*'6. III B'!$G$18),0)</f>
        <v>21319.934872726342</v>
      </c>
      <c r="D31" s="113">
        <f>SUM(('3. Population-NSIP#'!E11*'6. III B'!$G$19),0)</f>
        <v>249358.79796067488</v>
      </c>
      <c r="E31" s="114">
        <f t="shared" si="2"/>
        <v>325678.73283340124</v>
      </c>
      <c r="F31" s="141">
        <f t="shared" si="0"/>
        <v>3.2999302869120728E-2</v>
      </c>
      <c r="G31" s="7"/>
    </row>
    <row r="32" spans="1:8">
      <c r="A32" s="151" t="s">
        <v>229</v>
      </c>
      <c r="B32" s="113">
        <f t="shared" si="1"/>
        <v>55000</v>
      </c>
      <c r="C32" s="113">
        <f>SUM(('3. Population-NSIP#'!C12*'6. III B'!$G$18),0)</f>
        <v>2019.5575584669134</v>
      </c>
      <c r="D32" s="113">
        <f>SUM(('3. Population-NSIP#'!E12*'6. III B'!$G$19),0)</f>
        <v>1378870.9313922909</v>
      </c>
      <c r="E32" s="114">
        <f t="shared" si="2"/>
        <v>1435890.4889507578</v>
      </c>
      <c r="F32" s="141">
        <f t="shared" si="0"/>
        <v>0.14549118611320119</v>
      </c>
      <c r="G32" s="7"/>
    </row>
    <row r="33" spans="1:7">
      <c r="A33" s="151" t="s">
        <v>75</v>
      </c>
      <c r="B33" s="113">
        <f t="shared" si="1"/>
        <v>55000</v>
      </c>
      <c r="C33" s="113">
        <f>SUM(('3. Population-NSIP#'!C13*'6. III B'!$G$18),0)</f>
        <v>46298.251671848739</v>
      </c>
      <c r="D33" s="113">
        <f>SUM(('3. Population-NSIP#'!E13*'6. III B'!$G$19),0)</f>
        <v>72584.801340249833</v>
      </c>
      <c r="E33" s="114">
        <f t="shared" si="2"/>
        <v>173883.05301209856</v>
      </c>
      <c r="F33" s="141">
        <f t="shared" si="0"/>
        <v>1.7618649766390673E-2</v>
      </c>
      <c r="G33" s="7"/>
    </row>
    <row r="34" spans="1:7">
      <c r="A34" s="151" t="s">
        <v>59</v>
      </c>
      <c r="B34" s="113">
        <f t="shared" si="1"/>
        <v>55000</v>
      </c>
      <c r="C34" s="113">
        <f>SUM(('3. Population-NSIP#'!C14*'6. III B'!$G$18),0)</f>
        <v>21401.831607476135</v>
      </c>
      <c r="D34" s="113">
        <f>SUM(('3. Population-NSIP#'!E14*'6. III B'!$G$19),0)</f>
        <v>1268655.6974317869</v>
      </c>
      <c r="E34" s="114">
        <f t="shared" si="2"/>
        <v>1345057.529039263</v>
      </c>
      <c r="F34" s="141">
        <f t="shared" si="0"/>
        <v>0.13628756287216068</v>
      </c>
      <c r="G34" s="7"/>
    </row>
    <row r="35" spans="1:7">
      <c r="A35" s="151" t="s">
        <v>64</v>
      </c>
      <c r="B35" s="113">
        <f t="shared" si="1"/>
        <v>55000</v>
      </c>
      <c r="C35" s="113">
        <f>SUM(('3. Population-NSIP#'!C15*'6. III B'!$G$18),0)</f>
        <v>18476.352878509355</v>
      </c>
      <c r="D35" s="113">
        <f>SUM(('3. Population-NSIP#'!E15*'6. III B'!$G$19),0)</f>
        <v>637611.29965162638</v>
      </c>
      <c r="E35" s="114">
        <f t="shared" si="2"/>
        <v>711087.6525301357</v>
      </c>
      <c r="F35" s="141">
        <f t="shared" si="0"/>
        <v>7.2050749547522941E-2</v>
      </c>
      <c r="G35" s="7"/>
    </row>
    <row r="36" spans="1:7">
      <c r="A36" s="151" t="s">
        <v>68</v>
      </c>
      <c r="B36" s="113">
        <f t="shared" si="1"/>
        <v>55000</v>
      </c>
      <c r="C36" s="113">
        <f>SUM(('3. Population-NSIP#'!C16*'6. III B'!$G$18),0)</f>
        <v>20711.679535733878</v>
      </c>
      <c r="D36" s="113">
        <f>SUM(('3. Population-NSIP#'!E16*'6. III B'!$G$19),0)</f>
        <v>876566.13025044056</v>
      </c>
      <c r="E36" s="114">
        <f t="shared" si="2"/>
        <v>952277.80978617445</v>
      </c>
      <c r="F36" s="141">
        <f t="shared" si="0"/>
        <v>9.6489272072769652E-2</v>
      </c>
      <c r="G36" s="7"/>
    </row>
    <row r="37" spans="1:7">
      <c r="A37" s="151" t="s">
        <v>67</v>
      </c>
      <c r="B37" s="113">
        <f t="shared" si="1"/>
        <v>55000</v>
      </c>
      <c r="C37" s="113">
        <f>SUM(('3. Population-NSIP#'!C17*'6. III B'!$G$18),0)</f>
        <v>15094.612409461386</v>
      </c>
      <c r="D37" s="113">
        <f>SUM(('3. Population-NSIP#'!E17*'6. III B'!$G$19),0)</f>
        <v>286883.61115693732</v>
      </c>
      <c r="E37" s="114">
        <f t="shared" si="2"/>
        <v>356978.22356639872</v>
      </c>
      <c r="F37" s="141">
        <f t="shared" si="0"/>
        <v>3.6170714663073436E-2</v>
      </c>
      <c r="G37" s="7"/>
    </row>
    <row r="38" spans="1:7">
      <c r="A38" s="151" t="s">
        <v>63</v>
      </c>
      <c r="B38" s="113">
        <f t="shared" si="1"/>
        <v>55000</v>
      </c>
      <c r="C38" s="113">
        <f>SUM(('3. Population-NSIP#'!C18*'6. III B'!$G$18),0)</f>
        <v>3391.1990970751044</v>
      </c>
      <c r="D38" s="113">
        <f>SUM(('3. Population-NSIP#'!E18*'6. III B'!$G$19),0)</f>
        <v>1049918.7359913548</v>
      </c>
      <c r="E38" s="114">
        <f t="shared" si="2"/>
        <v>1108309.9350884298</v>
      </c>
      <c r="F38" s="141">
        <f t="shared" si="0"/>
        <v>0.11229918178153664</v>
      </c>
      <c r="G38" s="7"/>
    </row>
    <row r="39" spans="1:7" s="1" customFormat="1">
      <c r="A39" s="119" t="s">
        <v>29</v>
      </c>
      <c r="B39" s="117">
        <f>SUM(B23:B38)</f>
        <v>880000</v>
      </c>
      <c r="C39" s="117">
        <f>SUM(C23:C38)</f>
        <v>449463</v>
      </c>
      <c r="D39" s="117">
        <f>SUM(D23:D38)</f>
        <v>8539798</v>
      </c>
      <c r="E39" s="117">
        <f>SUM(E23:E38)</f>
        <v>9869260.9999999981</v>
      </c>
      <c r="F39" s="120">
        <f>SUM(F23:F38)</f>
        <v>1.0000000000000002</v>
      </c>
      <c r="G39" s="10"/>
    </row>
    <row r="41" spans="1:7">
      <c r="A41" s="404"/>
    </row>
  </sheetData>
  <sortState xmlns:xlrd2="http://schemas.microsoft.com/office/spreadsheetml/2017/richdata2" ref="A23:F38">
    <sortCondition ref="A23"/>
  </sortState>
  <pageMargins left="0.75" right="0.75" top="1.5" bottom="0.5" header="0.25" footer="0.5"/>
  <pageSetup scale="76"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66"/>
    <pageSetUpPr fitToPage="1"/>
  </sheetPr>
  <dimension ref="A1:J35"/>
  <sheetViews>
    <sheetView zoomScaleNormal="100" workbookViewId="0">
      <selection activeCell="E33" sqref="E33"/>
    </sheetView>
  </sheetViews>
  <sheetFormatPr defaultRowHeight="15"/>
  <cols>
    <col min="1" max="1" width="60.7109375" bestFit="1" customWidth="1" collapsed="1"/>
    <col min="2" max="2" width="14.85546875" style="9" customWidth="1" collapsed="1"/>
    <col min="3" max="3" width="15.42578125" style="9" customWidth="1" collapsed="1"/>
    <col min="4" max="4" width="13.28515625" style="9" customWidth="1" collapsed="1"/>
    <col min="5" max="5" width="15.42578125" style="9" customWidth="1" collapsed="1"/>
    <col min="6" max="6" width="13.28515625" style="9" customWidth="1" collapsed="1"/>
    <col min="7" max="7" width="14.28515625" customWidth="1" collapsed="1"/>
    <col min="8" max="8" width="13.28515625" bestFit="1" customWidth="1" collapsed="1"/>
    <col min="10" max="10" width="10.42578125" bestFit="1" customWidth="1"/>
  </cols>
  <sheetData>
    <row r="1" spans="1:8" s="112" customFormat="1" ht="36">
      <c r="A1" s="135" t="s">
        <v>31</v>
      </c>
      <c r="B1" s="135" t="s">
        <v>22</v>
      </c>
      <c r="C1" s="135" t="s">
        <v>26</v>
      </c>
      <c r="D1" s="135" t="s">
        <v>443</v>
      </c>
      <c r="E1" s="135" t="s">
        <v>520</v>
      </c>
      <c r="F1" s="135" t="s">
        <v>521</v>
      </c>
      <c r="G1" s="135" t="s">
        <v>522</v>
      </c>
    </row>
    <row r="2" spans="1:8">
      <c r="A2" s="235" t="s">
        <v>441</v>
      </c>
      <c r="B2" s="9">
        <f>'4. Award History&amp;Projections '!C18</f>
        <v>7183434</v>
      </c>
      <c r="C2" s="6">
        <v>0.25</v>
      </c>
      <c r="D2" s="9">
        <f>ROUND(B2*C2,0)</f>
        <v>1795859</v>
      </c>
      <c r="G2" s="9">
        <f>SUM(D2:F2)</f>
        <v>1795859</v>
      </c>
    </row>
    <row r="3" spans="1:8">
      <c r="A3" s="235" t="s">
        <v>526</v>
      </c>
      <c r="B3" s="18">
        <f>'4. Award History&amp;Projections '!C19</f>
        <v>7183434</v>
      </c>
      <c r="C3" s="6">
        <v>1</v>
      </c>
      <c r="E3" s="9">
        <f>ROUND(B3*C3,0)</f>
        <v>7183434</v>
      </c>
      <c r="G3" s="9">
        <f>SUM(D3:F3)</f>
        <v>7183434</v>
      </c>
    </row>
    <row r="4" spans="1:8">
      <c r="A4" s="235" t="s">
        <v>527</v>
      </c>
      <c r="B4" s="18">
        <f>'4. Award History&amp;Projections '!C20</f>
        <v>7183434</v>
      </c>
      <c r="C4" s="6">
        <v>0.75</v>
      </c>
      <c r="D4" s="8"/>
      <c r="E4" s="8"/>
      <c r="F4" s="8">
        <f>ROUND(B4*C4,0)</f>
        <v>5387576</v>
      </c>
      <c r="G4" s="8">
        <f>SUM(D4:F4)</f>
        <v>5387576</v>
      </c>
    </row>
    <row r="5" spans="1:8">
      <c r="A5" s="96" t="s">
        <v>23</v>
      </c>
      <c r="D5" s="9">
        <f>SUM(D2:D4)</f>
        <v>1795859</v>
      </c>
      <c r="E5" s="9">
        <f>SUM(E2:E4)</f>
        <v>7183434</v>
      </c>
      <c r="F5" s="9">
        <f>SUM(F2:F4)</f>
        <v>5387576</v>
      </c>
      <c r="G5" s="9">
        <f>SUM(G2:G4)</f>
        <v>14366869</v>
      </c>
    </row>
    <row r="6" spans="1:8">
      <c r="A6" s="96" t="s">
        <v>24</v>
      </c>
      <c r="C6" s="5">
        <v>0.05</v>
      </c>
      <c r="D6" s="8">
        <f>ROUND($C$6*-D5,0)</f>
        <v>-89793</v>
      </c>
      <c r="E6" s="8">
        <f>ROUND($C$6*-E5,0)</f>
        <v>-359172</v>
      </c>
      <c r="F6" s="8">
        <f>ROUND($C$6*-F5,0)</f>
        <v>-269379</v>
      </c>
      <c r="G6" s="8">
        <f>SUM(D6:F6)</f>
        <v>-718344</v>
      </c>
    </row>
    <row r="7" spans="1:8">
      <c r="A7" s="96" t="s">
        <v>23</v>
      </c>
      <c r="D7" s="9">
        <f>SUM(D5:D6)</f>
        <v>1706066</v>
      </c>
      <c r="E7" s="9">
        <f>SUM(E5:E6)</f>
        <v>6824262</v>
      </c>
      <c r="F7" s="9">
        <f>SUM(F5:F6)</f>
        <v>5118197</v>
      </c>
      <c r="G7" s="9">
        <f>SUM(G5:G6)</f>
        <v>13648525</v>
      </c>
    </row>
    <row r="8" spans="1:8" s="49" customFormat="1">
      <c r="A8" s="122"/>
      <c r="B8" s="47"/>
      <c r="C8" s="48"/>
      <c r="D8" s="50"/>
      <c r="E8" s="50"/>
      <c r="F8" s="50"/>
      <c r="G8" s="50"/>
    </row>
    <row r="9" spans="1:8" s="15" customFormat="1">
      <c r="A9" s="15" t="s">
        <v>35</v>
      </c>
      <c r="B9" s="9"/>
      <c r="C9" s="9"/>
      <c r="D9" s="17"/>
      <c r="E9" s="17"/>
      <c r="F9" s="17"/>
      <c r="G9" s="17">
        <v>0</v>
      </c>
    </row>
    <row r="10" spans="1:8" s="1" customFormat="1" ht="15.75" thickBot="1">
      <c r="A10" s="65" t="s">
        <v>29</v>
      </c>
      <c r="B10" s="10"/>
      <c r="C10" s="10"/>
      <c r="D10" s="14"/>
      <c r="E10" s="14"/>
      <c r="F10" s="14"/>
      <c r="G10" s="11">
        <f>G7</f>
        <v>13648525</v>
      </c>
    </row>
    <row r="11" spans="1:8" s="131" customFormat="1" ht="15.75" thickTop="1">
      <c r="B11" s="129"/>
      <c r="C11" s="129"/>
      <c r="D11" s="130"/>
      <c r="E11" s="130"/>
      <c r="F11" s="130"/>
      <c r="G11" s="130"/>
    </row>
    <row r="12" spans="1:8">
      <c r="A12" s="111" t="s">
        <v>146</v>
      </c>
      <c r="G12" s="9"/>
    </row>
    <row r="13" spans="1:8">
      <c r="A13" s="566" t="s">
        <v>36</v>
      </c>
      <c r="B13" s="9">
        <v>20000</v>
      </c>
      <c r="C13" s="9">
        <v>16</v>
      </c>
      <c r="G13" s="9">
        <f>B13*C13</f>
        <v>320000</v>
      </c>
      <c r="H13" s="12"/>
    </row>
    <row r="14" spans="1:8">
      <c r="A14" s="96" t="s">
        <v>28</v>
      </c>
      <c r="C14" s="5">
        <v>0</v>
      </c>
      <c r="G14" s="9">
        <f>ROUND((G10-G13)*C14,0)</f>
        <v>0</v>
      </c>
    </row>
    <row r="15" spans="1:8">
      <c r="A15" s="96" t="s">
        <v>37</v>
      </c>
      <c r="C15" s="5">
        <v>1</v>
      </c>
      <c r="G15" s="9">
        <f>G10-G13-G14</f>
        <v>13328525</v>
      </c>
    </row>
    <row r="16" spans="1:8" s="1" customFormat="1" ht="15.75" thickBot="1">
      <c r="A16" s="65" t="s">
        <v>29</v>
      </c>
      <c r="B16" s="10"/>
      <c r="C16" s="10"/>
      <c r="D16" s="10"/>
      <c r="E16" s="10"/>
      <c r="F16" s="10"/>
      <c r="G16" s="11">
        <f>SUM(G13:G15)</f>
        <v>13648525</v>
      </c>
    </row>
    <row r="17" spans="1:6" s="125" customFormat="1" ht="6.75" customHeight="1" thickTop="1">
      <c r="B17" s="126"/>
      <c r="C17" s="126"/>
      <c r="D17" s="126"/>
      <c r="E17" s="126"/>
      <c r="F17" s="126"/>
    </row>
    <row r="18" spans="1:6" s="112" customFormat="1" ht="72">
      <c r="A18" s="201" t="s">
        <v>58</v>
      </c>
      <c r="B18" s="568" t="s">
        <v>36</v>
      </c>
      <c r="C18" s="132" t="s">
        <v>209</v>
      </c>
      <c r="D18" s="132" t="s">
        <v>430</v>
      </c>
      <c r="E18" s="133" t="s">
        <v>221</v>
      </c>
    </row>
    <row r="19" spans="1:6">
      <c r="A19" s="151" t="s">
        <v>72</v>
      </c>
      <c r="B19" s="567">
        <f>$B$13</f>
        <v>20000</v>
      </c>
      <c r="C19" s="116">
        <f>ROUND(('3. Population-NSIP#'!E3*$G$15),0)</f>
        <v>501857</v>
      </c>
      <c r="D19" s="123">
        <f>ROUND(B19+C19,0)</f>
        <v>521857</v>
      </c>
      <c r="E19" s="141">
        <f>D19/$D$35</f>
        <v>3.8235410915435114E-2</v>
      </c>
    </row>
    <row r="20" spans="1:6">
      <c r="A20" s="151" t="s">
        <v>61</v>
      </c>
      <c r="B20" s="567">
        <f t="shared" ref="B20:B34" si="0">$B$13</f>
        <v>20000</v>
      </c>
      <c r="C20" s="116">
        <f>ROUND(('3. Population-NSIP#'!E4*$G$15),0)</f>
        <v>187749</v>
      </c>
      <c r="D20" s="123">
        <f t="shared" ref="D20:D34" si="1">ROUND(B20+C20,0)</f>
        <v>207749</v>
      </c>
      <c r="E20" s="141">
        <f t="shared" ref="E20:E34" si="2">D20/$D$35</f>
        <v>1.5221350642552903E-2</v>
      </c>
    </row>
    <row r="21" spans="1:6">
      <c r="A21" s="151" t="s">
        <v>73</v>
      </c>
      <c r="B21" s="567">
        <f t="shared" si="0"/>
        <v>20000</v>
      </c>
      <c r="C21" s="116">
        <f>ROUND(('3. Population-NSIP#'!E5*$G$15),0)</f>
        <v>271815</v>
      </c>
      <c r="D21" s="123">
        <f t="shared" si="1"/>
        <v>291815</v>
      </c>
      <c r="E21" s="141">
        <f t="shared" si="2"/>
        <v>2.1380697080402675E-2</v>
      </c>
    </row>
    <row r="22" spans="1:6">
      <c r="A22" s="151" t="s">
        <v>60</v>
      </c>
      <c r="B22" s="567">
        <f t="shared" si="0"/>
        <v>20000</v>
      </c>
      <c r="C22" s="116">
        <f>ROUND(('3. Population-NSIP#'!E6*$G$15),0)</f>
        <v>1501963</v>
      </c>
      <c r="D22" s="123">
        <f t="shared" si="1"/>
        <v>1521963</v>
      </c>
      <c r="E22" s="141">
        <f t="shared" si="2"/>
        <v>0.11151116245080238</v>
      </c>
    </row>
    <row r="23" spans="1:6">
      <c r="A23" s="151" t="s">
        <v>555</v>
      </c>
      <c r="B23" s="567">
        <f t="shared" si="0"/>
        <v>20000</v>
      </c>
      <c r="C23" s="116">
        <f>ROUND(('3. Population-NSIP#'!E7*$G$15),0)</f>
        <v>874703</v>
      </c>
      <c r="D23" s="123">
        <f t="shared" si="1"/>
        <v>894703</v>
      </c>
      <c r="E23" s="141">
        <f t="shared" si="2"/>
        <v>6.5553086098821226E-2</v>
      </c>
    </row>
    <row r="24" spans="1:6">
      <c r="A24" s="151" t="s">
        <v>173</v>
      </c>
      <c r="B24" s="567">
        <f t="shared" si="0"/>
        <v>20000</v>
      </c>
      <c r="C24" s="116">
        <f>ROUND(('3. Population-NSIP#'!E8*$G$15),0)</f>
        <v>548127</v>
      </c>
      <c r="D24" s="123">
        <f t="shared" si="1"/>
        <v>568127</v>
      </c>
      <c r="E24" s="141">
        <f t="shared" si="2"/>
        <v>4.162552058735134E-2</v>
      </c>
    </row>
    <row r="25" spans="1:6">
      <c r="A25" s="151" t="s">
        <v>74</v>
      </c>
      <c r="B25" s="567">
        <f t="shared" si="0"/>
        <v>20000</v>
      </c>
      <c r="C25" s="116">
        <f>ROUND(('3. Population-NSIP#'!E9*$G$15),0)</f>
        <v>33662</v>
      </c>
      <c r="D25" s="123">
        <f t="shared" si="1"/>
        <v>53662</v>
      </c>
      <c r="E25" s="141">
        <f t="shared" si="2"/>
        <v>3.9317066179893716E-3</v>
      </c>
    </row>
    <row r="26" spans="1:6">
      <c r="A26" s="151" t="s">
        <v>71</v>
      </c>
      <c r="B26" s="567">
        <f t="shared" si="0"/>
        <v>20000</v>
      </c>
      <c r="C26" s="116">
        <f>ROUND(('3. Population-NSIP#'!E10*$G$15),0)</f>
        <v>324359</v>
      </c>
      <c r="D26" s="123">
        <f t="shared" si="1"/>
        <v>344359</v>
      </c>
      <c r="E26" s="141">
        <f t="shared" si="2"/>
        <v>2.5230490091017889E-2</v>
      </c>
    </row>
    <row r="27" spans="1:6">
      <c r="A27" s="151" t="s">
        <v>65</v>
      </c>
      <c r="B27" s="567">
        <f t="shared" si="0"/>
        <v>20000</v>
      </c>
      <c r="C27" s="116">
        <f>ROUND(('3. Population-NSIP#'!E11*$G$15),0)</f>
        <v>389188</v>
      </c>
      <c r="D27" s="123">
        <f t="shared" si="1"/>
        <v>409188</v>
      </c>
      <c r="E27" s="141">
        <f t="shared" si="2"/>
        <v>2.9980380298942171E-2</v>
      </c>
    </row>
    <row r="28" spans="1:6">
      <c r="A28" s="151" t="s">
        <v>229</v>
      </c>
      <c r="B28" s="567">
        <f t="shared" si="0"/>
        <v>20000</v>
      </c>
      <c r="C28" s="116">
        <f>ROUND(('3. Population-NSIP#'!E12*$G$15),0)+1</f>
        <v>2152080</v>
      </c>
      <c r="D28" s="123">
        <f>ROUND(B28+C28,0)-2</f>
        <v>2172078</v>
      </c>
      <c r="E28" s="141">
        <f t="shared" si="2"/>
        <v>0.15914377860290554</v>
      </c>
    </row>
    <row r="29" spans="1:6">
      <c r="A29" s="151" t="s">
        <v>75</v>
      </c>
      <c r="B29" s="567">
        <f t="shared" si="0"/>
        <v>20000</v>
      </c>
      <c r="C29" s="116">
        <f>ROUND(('3. Population-NSIP#'!E13*$G$15),0)</f>
        <v>113287</v>
      </c>
      <c r="D29" s="123">
        <f t="shared" si="1"/>
        <v>133287</v>
      </c>
      <c r="E29" s="141">
        <f t="shared" si="2"/>
        <v>9.7656699338815045E-3</v>
      </c>
    </row>
    <row r="30" spans="1:6">
      <c r="A30" s="151" t="s">
        <v>59</v>
      </c>
      <c r="B30" s="567">
        <f t="shared" si="0"/>
        <v>20000</v>
      </c>
      <c r="C30" s="116">
        <f>ROUND(('3. Population-NSIP#'!E14*$G$15),0)</f>
        <v>1980060</v>
      </c>
      <c r="D30" s="123">
        <f t="shared" si="1"/>
        <v>2000060</v>
      </c>
      <c r="E30" s="141">
        <f t="shared" si="2"/>
        <v>0.14654036633699494</v>
      </c>
    </row>
    <row r="31" spans="1:6">
      <c r="A31" s="151" t="s">
        <v>64</v>
      </c>
      <c r="B31" s="567">
        <f t="shared" si="0"/>
        <v>20000</v>
      </c>
      <c r="C31" s="116">
        <f>ROUND(('3. Population-NSIP#'!E15*$G$15),0)</f>
        <v>995154</v>
      </c>
      <c r="D31" s="123">
        <f t="shared" si="1"/>
        <v>1015154</v>
      </c>
      <c r="E31" s="141">
        <f t="shared" si="2"/>
        <v>7.4378288175587601E-2</v>
      </c>
    </row>
    <row r="32" spans="1:6">
      <c r="A32" s="151" t="s">
        <v>68</v>
      </c>
      <c r="B32" s="567">
        <f t="shared" si="0"/>
        <v>20000</v>
      </c>
      <c r="C32" s="116">
        <f>ROUND(('3. Population-NSIP#'!E16*$G$15),0)</f>
        <v>1368104</v>
      </c>
      <c r="D32" s="123">
        <f t="shared" si="1"/>
        <v>1388104</v>
      </c>
      <c r="E32" s="141">
        <f t="shared" si="2"/>
        <v>0.10170358322942712</v>
      </c>
    </row>
    <row r="33" spans="1:10">
      <c r="A33" s="151" t="s">
        <v>67</v>
      </c>
      <c r="B33" s="567">
        <f t="shared" si="0"/>
        <v>20000</v>
      </c>
      <c r="C33" s="116">
        <f>ROUND(('3. Population-NSIP#'!E17*$G$15),0)</f>
        <v>447755</v>
      </c>
      <c r="D33" s="123">
        <f t="shared" si="1"/>
        <v>467755</v>
      </c>
      <c r="E33" s="141">
        <f t="shared" si="2"/>
        <v>3.4271466383989008E-2</v>
      </c>
    </row>
    <row r="34" spans="1:10">
      <c r="A34" s="151" t="s">
        <v>63</v>
      </c>
      <c r="B34" s="567">
        <f t="shared" si="0"/>
        <v>20000</v>
      </c>
      <c r="C34" s="116">
        <f>ROUND(('3. Population-NSIP#'!E18*$G$15),0)</f>
        <v>1638665</v>
      </c>
      <c r="D34" s="123">
        <f t="shared" si="1"/>
        <v>1658665</v>
      </c>
      <c r="E34" s="141">
        <f t="shared" si="2"/>
        <v>0.12152704255389923</v>
      </c>
    </row>
    <row r="35" spans="1:10" s="1" customFormat="1">
      <c r="A35" s="119" t="s">
        <v>29</v>
      </c>
      <c r="B35" s="117">
        <f>SUM(B19:B34)</f>
        <v>320000</v>
      </c>
      <c r="C35" s="117">
        <f>SUM(C19:C34)</f>
        <v>13328528</v>
      </c>
      <c r="D35" s="115">
        <f>SUM(D19:D34)</f>
        <v>13648526</v>
      </c>
      <c r="E35" s="121">
        <f>SUM(E19:E34)</f>
        <v>1</v>
      </c>
      <c r="H35" s="242"/>
      <c r="J35" s="242"/>
    </row>
  </sheetData>
  <sortState xmlns:xlrd2="http://schemas.microsoft.com/office/spreadsheetml/2017/richdata2" ref="A19:H34">
    <sortCondition ref="A19"/>
  </sortState>
  <pageMargins left="0.75" right="0.75" top="1.5" bottom="0.5" header="0.25" footer="0.5"/>
  <pageSetup scale="82"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66"/>
    <pageSetUpPr fitToPage="1"/>
  </sheetPr>
  <dimension ref="A1:K34"/>
  <sheetViews>
    <sheetView zoomScaleNormal="100" workbookViewId="0">
      <selection activeCell="E33" sqref="E33"/>
    </sheetView>
  </sheetViews>
  <sheetFormatPr defaultRowHeight="23.25"/>
  <cols>
    <col min="1" max="1" width="59" customWidth="1" collapsed="1"/>
    <col min="2" max="2" width="17" style="9" customWidth="1" collapsed="1"/>
    <col min="3" max="3" width="16.85546875" style="9" bestFit="1" customWidth="1" collapsed="1"/>
    <col min="4" max="4" width="13.28515625" style="9" customWidth="1" collapsed="1"/>
    <col min="5" max="5" width="14.28515625" style="9" customWidth="1" collapsed="1"/>
    <col min="6" max="6" width="14.5703125" style="9" customWidth="1" collapsed="1"/>
    <col min="7" max="7" width="14.42578125" customWidth="1" collapsed="1"/>
    <col min="8" max="8" width="11.5703125" customWidth="1" collapsed="1"/>
    <col min="11" max="11" width="18.28515625" style="357" customWidth="1"/>
  </cols>
  <sheetData>
    <row r="1" spans="1:11" s="112" customFormat="1" ht="32.25" customHeight="1">
      <c r="A1" s="135" t="s">
        <v>32</v>
      </c>
      <c r="B1" s="135" t="s">
        <v>22</v>
      </c>
      <c r="C1" s="135" t="s">
        <v>26</v>
      </c>
      <c r="D1" s="135" t="s">
        <v>443</v>
      </c>
      <c r="E1" s="135" t="s">
        <v>520</v>
      </c>
      <c r="F1" s="135" t="s">
        <v>521</v>
      </c>
      <c r="G1" s="500" t="s">
        <v>522</v>
      </c>
      <c r="K1" s="356"/>
    </row>
    <row r="2" spans="1:11" ht="15" customHeight="1">
      <c r="A2" s="235" t="s">
        <v>441</v>
      </c>
      <c r="B2" s="9">
        <f>'4. Award History&amp;Projections '!D18</f>
        <v>4809939</v>
      </c>
      <c r="C2" s="6">
        <v>0.25</v>
      </c>
      <c r="D2" s="9">
        <f>ROUND(B2*C2,0)</f>
        <v>1202485</v>
      </c>
      <c r="G2" s="9">
        <f>SUM(D2:F2)</f>
        <v>1202485</v>
      </c>
    </row>
    <row r="3" spans="1:11" ht="15" customHeight="1">
      <c r="A3" s="235" t="s">
        <v>526</v>
      </c>
      <c r="B3" s="18">
        <f>'4. Award History&amp;Projections '!D19</f>
        <v>4809939</v>
      </c>
      <c r="C3" s="6">
        <v>1</v>
      </c>
      <c r="E3" s="9">
        <f>ROUND(B3*C3,0)</f>
        <v>4809939</v>
      </c>
      <c r="G3" s="9">
        <f>SUM(D3:F3)</f>
        <v>4809939</v>
      </c>
    </row>
    <row r="4" spans="1:11" ht="15" customHeight="1">
      <c r="A4" s="235" t="s">
        <v>527</v>
      </c>
      <c r="B4" s="18">
        <f>'4. Award History&amp;Projections '!D20</f>
        <v>4809939</v>
      </c>
      <c r="C4" s="6">
        <v>0.75</v>
      </c>
      <c r="D4" s="8"/>
      <c r="E4" s="8"/>
      <c r="F4" s="8">
        <f>ROUND(B4*C4,0)</f>
        <v>3607454</v>
      </c>
      <c r="G4" s="8">
        <f>SUM(D4:F4)</f>
        <v>3607454</v>
      </c>
    </row>
    <row r="5" spans="1:11" ht="15" customHeight="1">
      <c r="A5" s="96" t="s">
        <v>23</v>
      </c>
      <c r="D5" s="9">
        <f>SUM(D2:D4)</f>
        <v>1202485</v>
      </c>
      <c r="E5" s="9">
        <f>SUM(E2:E4)</f>
        <v>4809939</v>
      </c>
      <c r="F5" s="9">
        <f>SUM(F2:F4)</f>
        <v>3607454</v>
      </c>
      <c r="G5" s="9">
        <f>SUM(G2:G4)</f>
        <v>9619878</v>
      </c>
    </row>
    <row r="6" spans="1:11" ht="15" customHeight="1">
      <c r="A6" s="96" t="s">
        <v>24</v>
      </c>
      <c r="C6" s="5">
        <v>0.05</v>
      </c>
      <c r="D6" s="8">
        <f>ROUND($C$6*-D5,0)</f>
        <v>-60124</v>
      </c>
      <c r="E6" s="8">
        <f>ROUND($C$6*-E5,0)</f>
        <v>-240497</v>
      </c>
      <c r="F6" s="8">
        <f>ROUND($C$6*-F5,0)</f>
        <v>-180373</v>
      </c>
      <c r="G6" s="8">
        <f>SUM(D6:F6)</f>
        <v>-480994</v>
      </c>
    </row>
    <row r="7" spans="1:11" ht="15" customHeight="1">
      <c r="A7" s="96" t="s">
        <v>23</v>
      </c>
      <c r="D7" s="9">
        <f>SUM(D5:D6)</f>
        <v>1142361</v>
      </c>
      <c r="E7" s="9">
        <f>SUM(E5:E6)</f>
        <v>4569442</v>
      </c>
      <c r="F7" s="9">
        <f>SUM(F5:F6)</f>
        <v>3427081</v>
      </c>
      <c r="G7" s="9">
        <f>SUM(G5:G6)</f>
        <v>9138884</v>
      </c>
    </row>
    <row r="8" spans="1:11" s="15" customFormat="1" ht="15" customHeight="1">
      <c r="A8" s="101"/>
      <c r="B8" s="9"/>
      <c r="C8" s="9"/>
      <c r="D8" s="17"/>
      <c r="E8" s="17"/>
      <c r="F8" s="17"/>
      <c r="G8" s="17">
        <v>0</v>
      </c>
      <c r="K8" s="357"/>
    </row>
    <row r="9" spans="1:11" s="1" customFormat="1" ht="15" customHeight="1" thickBot="1">
      <c r="A9" s="65" t="s">
        <v>29</v>
      </c>
      <c r="B9" s="10"/>
      <c r="C9" s="10"/>
      <c r="D9" s="14"/>
      <c r="E9" s="14"/>
      <c r="F9" s="14"/>
      <c r="G9" s="11">
        <f>G7</f>
        <v>9138884</v>
      </c>
      <c r="K9" s="357"/>
    </row>
    <row r="10" spans="1:11" s="131" customFormat="1" ht="15" customHeight="1" thickTop="1">
      <c r="A10" s="128"/>
      <c r="B10" s="129"/>
      <c r="C10" s="129"/>
      <c r="D10" s="130"/>
      <c r="E10" s="130"/>
      <c r="F10" s="130"/>
      <c r="G10" s="130"/>
      <c r="K10" s="358"/>
    </row>
    <row r="11" spans="1:11" ht="15" customHeight="1">
      <c r="A11" s="111" t="s">
        <v>146</v>
      </c>
      <c r="G11" s="9"/>
    </row>
    <row r="12" spans="1:11" ht="15" customHeight="1">
      <c r="A12" s="565" t="s">
        <v>36</v>
      </c>
      <c r="B12" s="9">
        <v>5000</v>
      </c>
      <c r="C12" s="9">
        <v>16</v>
      </c>
      <c r="G12" s="9">
        <f>B12*C12</f>
        <v>80000</v>
      </c>
      <c r="H12" s="12"/>
    </row>
    <row r="13" spans="1:11" ht="15" customHeight="1">
      <c r="A13" s="96" t="s">
        <v>28</v>
      </c>
      <c r="C13" s="5">
        <v>0</v>
      </c>
      <c r="G13" s="9">
        <f>ROUND((G9-G12)*C13,0)</f>
        <v>0</v>
      </c>
    </row>
    <row r="14" spans="1:11" ht="15" customHeight="1">
      <c r="A14" s="96" t="s">
        <v>37</v>
      </c>
      <c r="C14" s="5">
        <v>1</v>
      </c>
      <c r="G14" s="9">
        <f>G9-G12-G13</f>
        <v>9058884</v>
      </c>
    </row>
    <row r="15" spans="1:11" s="1" customFormat="1" ht="15" customHeight="1" thickBot="1">
      <c r="A15" s="65" t="s">
        <v>29</v>
      </c>
      <c r="B15" s="10"/>
      <c r="C15" s="10"/>
      <c r="D15" s="10"/>
      <c r="E15" s="10"/>
      <c r="F15" s="10"/>
      <c r="G15" s="11">
        <f>SUM(G12:G14)</f>
        <v>9138884</v>
      </c>
      <c r="K15" s="357"/>
    </row>
    <row r="16" spans="1:11" s="125" customFormat="1" ht="6.75" customHeight="1" thickTop="1">
      <c r="B16" s="126"/>
      <c r="C16" s="126"/>
      <c r="D16" s="126"/>
      <c r="E16" s="126"/>
      <c r="F16" s="126"/>
      <c r="K16" s="358"/>
    </row>
    <row r="17" spans="1:11" s="112" customFormat="1" ht="73.5">
      <c r="A17" s="201" t="s">
        <v>58</v>
      </c>
      <c r="B17" s="569" t="s">
        <v>36</v>
      </c>
      <c r="C17" s="132" t="s">
        <v>209</v>
      </c>
      <c r="D17" s="132" t="s">
        <v>431</v>
      </c>
      <c r="E17" s="575" t="s">
        <v>210</v>
      </c>
      <c r="F17" s="576"/>
      <c r="G17" s="577"/>
      <c r="K17" s="356"/>
    </row>
    <row r="18" spans="1:11" ht="15" customHeight="1">
      <c r="A18" s="151" t="s">
        <v>72</v>
      </c>
      <c r="B18" s="570">
        <f>$B$12</f>
        <v>5000</v>
      </c>
      <c r="C18" s="116">
        <f>ROUND(('3. Population-NSIP#'!E3*$G$14),0)</f>
        <v>341093</v>
      </c>
      <c r="D18" s="431">
        <f>ROUND(B18+C18,0)</f>
        <v>346093</v>
      </c>
      <c r="E18" s="573">
        <f>D18/$D$34</f>
        <v>3.7870374777667082E-2</v>
      </c>
      <c r="F18" s="13"/>
      <c r="G18" s="572"/>
    </row>
    <row r="19" spans="1:11" ht="15" customHeight="1">
      <c r="A19" s="151" t="s">
        <v>61</v>
      </c>
      <c r="B19" s="570">
        <f t="shared" ref="B19:B33" si="0">$B$12</f>
        <v>5000</v>
      </c>
      <c r="C19" s="116">
        <f>ROUND(('3. Population-NSIP#'!E4*$G$14),0)</f>
        <v>127605</v>
      </c>
      <c r="D19" s="431">
        <f t="shared" ref="D19:D33" si="1">ROUND(B19+C19,0)</f>
        <v>132605</v>
      </c>
      <c r="E19" s="573">
        <f t="shared" ref="E19:E33" si="2">D19/$D$34</f>
        <v>1.4509975779321E-2</v>
      </c>
      <c r="F19" s="13"/>
      <c r="G19" s="572"/>
    </row>
    <row r="20" spans="1:11" ht="15" customHeight="1">
      <c r="A20" s="151" t="s">
        <v>73</v>
      </c>
      <c r="B20" s="570">
        <f t="shared" si="0"/>
        <v>5000</v>
      </c>
      <c r="C20" s="116">
        <f>ROUND(('3. Population-NSIP#'!E5*$G$14),0)</f>
        <v>184742</v>
      </c>
      <c r="D20" s="431">
        <f t="shared" si="1"/>
        <v>189742</v>
      </c>
      <c r="E20" s="573">
        <f t="shared" si="2"/>
        <v>2.0762051388106974E-2</v>
      </c>
      <c r="F20" s="13"/>
      <c r="G20" s="572"/>
    </row>
    <row r="21" spans="1:11" ht="15" customHeight="1">
      <c r="A21" s="151" t="s">
        <v>60</v>
      </c>
      <c r="B21" s="570">
        <f t="shared" si="0"/>
        <v>5000</v>
      </c>
      <c r="C21" s="116">
        <f>ROUND(('3. Population-NSIP#'!E6*$G$14),0)</f>
        <v>1020826</v>
      </c>
      <c r="D21" s="431">
        <f t="shared" si="1"/>
        <v>1025826</v>
      </c>
      <c r="E21" s="573">
        <f t="shared" si="2"/>
        <v>0.11224848545528257</v>
      </c>
      <c r="F21" s="13"/>
      <c r="G21" s="572"/>
    </row>
    <row r="22" spans="1:11" ht="15" customHeight="1">
      <c r="A22" s="151" t="s">
        <v>555</v>
      </c>
      <c r="B22" s="570">
        <f t="shared" si="0"/>
        <v>5000</v>
      </c>
      <c r="C22" s="116">
        <f>ROUND(('3. Population-NSIP#'!E7*$G$14),0)</f>
        <v>594502</v>
      </c>
      <c r="D22" s="431">
        <f t="shared" si="1"/>
        <v>599502</v>
      </c>
      <c r="E22" s="573">
        <f t="shared" si="2"/>
        <v>6.5599030953994941E-2</v>
      </c>
      <c r="F22" s="13"/>
      <c r="G22" s="572"/>
    </row>
    <row r="23" spans="1:11" ht="15" customHeight="1">
      <c r="A23" s="151" t="s">
        <v>173</v>
      </c>
      <c r="B23" s="570">
        <f t="shared" si="0"/>
        <v>5000</v>
      </c>
      <c r="C23" s="116">
        <f>ROUND(('3. Population-NSIP#'!E8*$G$14),0)</f>
        <v>372541</v>
      </c>
      <c r="D23" s="431">
        <f t="shared" si="1"/>
        <v>377541</v>
      </c>
      <c r="E23" s="573">
        <f t="shared" si="2"/>
        <v>4.13114947830069E-2</v>
      </c>
      <c r="F23" s="13"/>
      <c r="G23" s="572"/>
    </row>
    <row r="24" spans="1:11" ht="15" customHeight="1">
      <c r="A24" s="151" t="s">
        <v>74</v>
      </c>
      <c r="B24" s="570">
        <f t="shared" si="0"/>
        <v>5000</v>
      </c>
      <c r="C24" s="116">
        <f>ROUND(('3. Population-NSIP#'!E9*$G$14),0)</f>
        <v>22879</v>
      </c>
      <c r="D24" s="431">
        <f t="shared" si="1"/>
        <v>27879</v>
      </c>
      <c r="E24" s="573">
        <f t="shared" si="2"/>
        <v>3.0505909637773099E-3</v>
      </c>
      <c r="F24" s="13"/>
      <c r="G24" s="572"/>
    </row>
    <row r="25" spans="1:11" ht="15" customHeight="1">
      <c r="A25" s="151" t="s">
        <v>71</v>
      </c>
      <c r="B25" s="570">
        <f t="shared" si="0"/>
        <v>5000</v>
      </c>
      <c r="C25" s="116">
        <f>ROUND(('3. Population-NSIP#'!E10*$G$14),0)</f>
        <v>220454</v>
      </c>
      <c r="D25" s="431">
        <f t="shared" si="1"/>
        <v>225454</v>
      </c>
      <c r="E25" s="573">
        <f t="shared" si="2"/>
        <v>2.4669749099589282E-2</v>
      </c>
      <c r="F25" s="13"/>
      <c r="G25" s="572"/>
    </row>
    <row r="26" spans="1:11" ht="15" customHeight="1">
      <c r="A26" s="151" t="s">
        <v>65</v>
      </c>
      <c r="B26" s="570">
        <f t="shared" si="0"/>
        <v>5000</v>
      </c>
      <c r="C26" s="116">
        <f>ROUND(('3. Population-NSIP#'!E11*$G$14),0)</f>
        <v>264516</v>
      </c>
      <c r="D26" s="431">
        <f t="shared" si="1"/>
        <v>269516</v>
      </c>
      <c r="E26" s="573">
        <f t="shared" si="2"/>
        <v>2.9491125011420979E-2</v>
      </c>
      <c r="F26" s="13"/>
      <c r="G26" s="572"/>
    </row>
    <row r="27" spans="1:11" ht="15" customHeight="1">
      <c r="A27" s="151" t="s">
        <v>229</v>
      </c>
      <c r="B27" s="570">
        <f t="shared" si="0"/>
        <v>5000</v>
      </c>
      <c r="C27" s="116">
        <f>ROUND(('3. Population-NSIP#'!E12*$G$14),0)+1</f>
        <v>1462686</v>
      </c>
      <c r="D27" s="431">
        <f>ROUND(B27+C27,0)-1</f>
        <v>1467685</v>
      </c>
      <c r="E27" s="573">
        <f t="shared" si="2"/>
        <v>0.1605978190993759</v>
      </c>
      <c r="F27" s="13"/>
      <c r="G27" s="572"/>
    </row>
    <row r="28" spans="1:11" ht="15" customHeight="1">
      <c r="A28" s="151" t="s">
        <v>75</v>
      </c>
      <c r="B28" s="570">
        <f t="shared" si="0"/>
        <v>5000</v>
      </c>
      <c r="C28" s="116">
        <f>ROUND(('3. Population-NSIP#'!E13*$G$14),0)</f>
        <v>76997</v>
      </c>
      <c r="D28" s="431">
        <f t="shared" si="1"/>
        <v>81997</v>
      </c>
      <c r="E28" s="573">
        <f t="shared" si="2"/>
        <v>8.9723199274309717E-3</v>
      </c>
      <c r="F28" s="13"/>
      <c r="G28" s="572"/>
    </row>
    <row r="29" spans="1:11" ht="15" customHeight="1">
      <c r="A29" s="151" t="s">
        <v>59</v>
      </c>
      <c r="B29" s="570">
        <f t="shared" si="0"/>
        <v>5000</v>
      </c>
      <c r="C29" s="116">
        <f>ROUND(('3. Population-NSIP#'!E14*$G$14),0)</f>
        <v>1345770</v>
      </c>
      <c r="D29" s="431">
        <f t="shared" si="1"/>
        <v>1350770</v>
      </c>
      <c r="E29" s="573">
        <f t="shared" si="2"/>
        <v>0.14780468295640004</v>
      </c>
      <c r="F29" s="13"/>
      <c r="G29" s="572"/>
    </row>
    <row r="30" spans="1:11" ht="15" customHeight="1">
      <c r="A30" s="151" t="s">
        <v>64</v>
      </c>
      <c r="B30" s="570">
        <f t="shared" si="0"/>
        <v>5000</v>
      </c>
      <c r="C30" s="116">
        <f>ROUND(('3. Population-NSIP#'!E15*$G$14),0)</f>
        <v>676368</v>
      </c>
      <c r="D30" s="431">
        <f t="shared" si="1"/>
        <v>681368</v>
      </c>
      <c r="E30" s="573">
        <f t="shared" si="2"/>
        <v>7.4557016528821629E-2</v>
      </c>
      <c r="F30" s="13"/>
      <c r="G30" s="572"/>
    </row>
    <row r="31" spans="1:11" ht="15" customHeight="1">
      <c r="A31" s="151" t="s">
        <v>68</v>
      </c>
      <c r="B31" s="570">
        <f t="shared" si="0"/>
        <v>5000</v>
      </c>
      <c r="C31" s="116">
        <f>ROUND(('3. Population-NSIP#'!E16*$G$14),0)</f>
        <v>929848</v>
      </c>
      <c r="D31" s="431">
        <f t="shared" si="1"/>
        <v>934848</v>
      </c>
      <c r="E31" s="573">
        <f t="shared" si="2"/>
        <v>0.10229344170541592</v>
      </c>
      <c r="F31" s="13"/>
      <c r="G31" s="572"/>
    </row>
    <row r="32" spans="1:11" ht="15" customHeight="1">
      <c r="A32" s="151" t="s">
        <v>67</v>
      </c>
      <c r="B32" s="570">
        <f t="shared" si="0"/>
        <v>5000</v>
      </c>
      <c r="C32" s="116">
        <f>ROUND(('3. Population-NSIP#'!E17*$G$14),0)</f>
        <v>304322</v>
      </c>
      <c r="D32" s="431">
        <f t="shared" si="1"/>
        <v>309322</v>
      </c>
      <c r="E32" s="573">
        <f t="shared" si="2"/>
        <v>3.3846798597421894E-2</v>
      </c>
      <c r="F32" s="13"/>
      <c r="G32" s="572"/>
    </row>
    <row r="33" spans="1:11" ht="15" customHeight="1">
      <c r="A33" s="151" t="s">
        <v>63</v>
      </c>
      <c r="B33" s="570">
        <f t="shared" si="0"/>
        <v>5000</v>
      </c>
      <c r="C33" s="116">
        <f>ROUND(('3. Population-NSIP#'!E18*$G$14),0)</f>
        <v>1113737</v>
      </c>
      <c r="D33" s="431">
        <f t="shared" si="1"/>
        <v>1118737</v>
      </c>
      <c r="E33" s="573">
        <f t="shared" si="2"/>
        <v>0.12241504297296661</v>
      </c>
      <c r="F33" s="13"/>
      <c r="G33" s="572"/>
    </row>
    <row r="34" spans="1:11" s="1" customFormat="1" ht="15" customHeight="1">
      <c r="A34" s="119" t="s">
        <v>29</v>
      </c>
      <c r="B34" s="571">
        <f>SUM(B18:B33)</f>
        <v>80000</v>
      </c>
      <c r="C34" s="117">
        <f>SUM(C18:C33)</f>
        <v>9058886</v>
      </c>
      <c r="D34" s="117">
        <f>SUM(D18:D33)</f>
        <v>9138885</v>
      </c>
      <c r="E34" s="574">
        <f>SUM(E18:E33)</f>
        <v>0.99999999999999989</v>
      </c>
      <c r="F34" s="578"/>
      <c r="G34" s="579"/>
      <c r="K34" s="357"/>
    </row>
  </sheetData>
  <sortState xmlns:xlrd2="http://schemas.microsoft.com/office/spreadsheetml/2017/richdata2" ref="A18:H33">
    <sortCondition ref="A18"/>
  </sortState>
  <pageMargins left="0.75" right="0.75" top="1.5" bottom="0.5" header="0.25" footer="0.5"/>
  <pageSetup scale="70"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66"/>
    <pageSetUpPr fitToPage="1"/>
  </sheetPr>
  <dimension ref="A1:H36"/>
  <sheetViews>
    <sheetView zoomScaleNormal="100" workbookViewId="0">
      <selection activeCell="E33" sqref="E33"/>
    </sheetView>
  </sheetViews>
  <sheetFormatPr defaultRowHeight="15"/>
  <cols>
    <col min="1" max="1" width="62" bestFit="1" customWidth="1" collapsed="1"/>
    <col min="2" max="2" width="14" style="9" customWidth="1" collapsed="1"/>
    <col min="3" max="3" width="14.7109375" style="9" customWidth="1" collapsed="1"/>
    <col min="4" max="4" width="12.42578125" style="9" customWidth="1" collapsed="1"/>
    <col min="5" max="6" width="13.28515625" style="9" customWidth="1" collapsed="1"/>
    <col min="7" max="7" width="14" customWidth="1" collapsed="1"/>
    <col min="8" max="8" width="10.5703125" bestFit="1" customWidth="1" collapsed="1"/>
  </cols>
  <sheetData>
    <row r="1" spans="1:8" s="112" customFormat="1" ht="36">
      <c r="A1" s="135" t="s">
        <v>33</v>
      </c>
      <c r="B1" s="135" t="s">
        <v>22</v>
      </c>
      <c r="C1" s="135" t="s">
        <v>26</v>
      </c>
      <c r="D1" s="135" t="s">
        <v>443</v>
      </c>
      <c r="E1" s="135" t="s">
        <v>520</v>
      </c>
      <c r="F1" s="135" t="s">
        <v>521</v>
      </c>
      <c r="G1" s="135" t="s">
        <v>522</v>
      </c>
    </row>
    <row r="2" spans="1:8">
      <c r="A2" s="235" t="s">
        <v>441</v>
      </c>
      <c r="B2" s="9">
        <f>'4. Award History&amp;Projections '!E18</f>
        <v>336917</v>
      </c>
      <c r="C2" s="6">
        <v>0.25</v>
      </c>
      <c r="D2" s="9">
        <f>ROUND(B2*C2,0)</f>
        <v>84229</v>
      </c>
      <c r="G2" s="9">
        <f>SUM(D2:F2)</f>
        <v>84229</v>
      </c>
    </row>
    <row r="3" spans="1:8">
      <c r="A3" s="235" t="s">
        <v>526</v>
      </c>
      <c r="B3" s="18">
        <f>'4. Award History&amp;Projections '!E19</f>
        <v>336917</v>
      </c>
      <c r="C3" s="6">
        <v>1</v>
      </c>
      <c r="E3" s="9">
        <f>ROUND(B3*C3,0)</f>
        <v>336917</v>
      </c>
      <c r="G3" s="9">
        <f>SUM(D3:F3)</f>
        <v>336917</v>
      </c>
    </row>
    <row r="4" spans="1:8">
      <c r="A4" s="235" t="s">
        <v>527</v>
      </c>
      <c r="B4" s="18">
        <f>'4. Award History&amp;Projections '!E20</f>
        <v>336917</v>
      </c>
      <c r="C4" s="6">
        <v>0.75</v>
      </c>
      <c r="D4" s="8"/>
      <c r="E4" s="8"/>
      <c r="F4" s="8">
        <f>ROUND(B4*C4,0)</f>
        <v>252688</v>
      </c>
      <c r="G4" s="8">
        <f>SUM(D4:F4)</f>
        <v>252688</v>
      </c>
    </row>
    <row r="5" spans="1:8">
      <c r="A5" s="96" t="s">
        <v>23</v>
      </c>
      <c r="D5" s="9">
        <f>SUM(D2:D4)</f>
        <v>84229</v>
      </c>
      <c r="E5" s="9">
        <f>SUM(E2:E4)</f>
        <v>336917</v>
      </c>
      <c r="F5" s="9">
        <f>SUM(F2:F4)</f>
        <v>252688</v>
      </c>
      <c r="G5" s="9">
        <f>SUM(G2:G4)</f>
        <v>673834</v>
      </c>
    </row>
    <row r="6" spans="1:8">
      <c r="A6" s="96" t="s">
        <v>24</v>
      </c>
      <c r="C6" s="5">
        <v>0</v>
      </c>
      <c r="D6" s="8">
        <f>ROUND($C$6*-D5,0)</f>
        <v>0</v>
      </c>
      <c r="E6" s="8">
        <f>ROUND($C$6*-E5,0)</f>
        <v>0</v>
      </c>
      <c r="F6" s="8">
        <f>ROUND($C$6*-F5,0)</f>
        <v>0</v>
      </c>
      <c r="G6" s="8">
        <f>SUM(D6:F6)</f>
        <v>0</v>
      </c>
    </row>
    <row r="7" spans="1:8">
      <c r="A7" s="96" t="s">
        <v>23</v>
      </c>
      <c r="D7" s="9">
        <f>SUM(D5:D6)</f>
        <v>84229</v>
      </c>
      <c r="E7" s="9">
        <f>SUM(E5:E6)</f>
        <v>336917</v>
      </c>
      <c r="F7" s="9">
        <f>SUM(F5:F6)</f>
        <v>252688</v>
      </c>
      <c r="G7" s="9">
        <f>SUM(G5:G6)</f>
        <v>673834</v>
      </c>
    </row>
    <row r="8" spans="1:8" s="15" customFormat="1">
      <c r="A8" s="101" t="s">
        <v>35</v>
      </c>
      <c r="B8" s="9"/>
      <c r="C8" s="9"/>
      <c r="D8" s="17"/>
      <c r="E8" s="17"/>
      <c r="F8" s="17"/>
      <c r="G8" s="17">
        <v>0</v>
      </c>
    </row>
    <row r="9" spans="1:8" s="1" customFormat="1" ht="15.75" thickBot="1">
      <c r="A9" s="65" t="s">
        <v>29</v>
      </c>
      <c r="B9" s="10"/>
      <c r="C9" s="10"/>
      <c r="D9" s="14"/>
      <c r="E9" s="14"/>
      <c r="F9" s="14"/>
      <c r="G9" s="11">
        <f>G7</f>
        <v>673834</v>
      </c>
    </row>
    <row r="10" spans="1:8" s="131" customFormat="1" ht="15.75" thickTop="1">
      <c r="B10" s="129"/>
      <c r="C10" s="129"/>
      <c r="D10" s="130"/>
      <c r="E10" s="130"/>
      <c r="F10" s="130"/>
      <c r="G10" s="130"/>
    </row>
    <row r="11" spans="1:8">
      <c r="A11" s="111" t="s">
        <v>146</v>
      </c>
      <c r="G11" s="9"/>
    </row>
    <row r="12" spans="1:8">
      <c r="A12" s="96" t="s">
        <v>80</v>
      </c>
      <c r="B12" s="9">
        <f>'4. Award History&amp;Projections '!E21</f>
        <v>3000</v>
      </c>
      <c r="C12" s="9">
        <v>16</v>
      </c>
      <c r="G12" s="9">
        <f>B12*C12</f>
        <v>48000</v>
      </c>
      <c r="H12" s="12"/>
    </row>
    <row r="13" spans="1:8">
      <c r="A13" s="96" t="s">
        <v>28</v>
      </c>
      <c r="C13" s="5">
        <v>0</v>
      </c>
      <c r="G13" s="9">
        <f>ROUND((G9-G12)*C13,0)</f>
        <v>0</v>
      </c>
    </row>
    <row r="14" spans="1:8">
      <c r="A14" s="96" t="s">
        <v>37</v>
      </c>
      <c r="C14" s="5">
        <v>1</v>
      </c>
      <c r="G14" s="9">
        <f>G9-G12-G13</f>
        <v>625834</v>
      </c>
    </row>
    <row r="15" spans="1:8" s="1" customFormat="1" ht="15.75" thickBot="1">
      <c r="A15" s="65" t="s">
        <v>29</v>
      </c>
      <c r="B15" s="10"/>
      <c r="C15" s="10"/>
      <c r="D15" s="10"/>
      <c r="E15" s="10"/>
      <c r="F15" s="10"/>
      <c r="G15" s="11">
        <f>SUM(G12:G14)</f>
        <v>673834</v>
      </c>
    </row>
    <row r="16" spans="1:8" s="125" customFormat="1" ht="6.75" customHeight="1" thickTop="1">
      <c r="B16" s="126"/>
      <c r="C16" s="126"/>
      <c r="D16" s="126"/>
      <c r="E16" s="126"/>
      <c r="F16" s="126"/>
    </row>
    <row r="17" spans="1:5" s="112" customFormat="1" ht="90">
      <c r="A17" s="201" t="s">
        <v>58</v>
      </c>
      <c r="B17" s="132" t="s">
        <v>196</v>
      </c>
      <c r="C17" s="132" t="s">
        <v>209</v>
      </c>
      <c r="D17" s="132" t="s">
        <v>240</v>
      </c>
      <c r="E17" s="136" t="s">
        <v>210</v>
      </c>
    </row>
    <row r="18" spans="1:5">
      <c r="A18" s="151" t="s">
        <v>72</v>
      </c>
      <c r="B18" s="116">
        <f>$B$12</f>
        <v>3000</v>
      </c>
      <c r="C18" s="116">
        <f>ROUND(('3. Population-NSIP#'!G3*$G$14),0)</f>
        <v>22260</v>
      </c>
      <c r="D18" s="116">
        <f t="shared" ref="D18:D33" si="0">SUM(B18:C18)</f>
        <v>25260</v>
      </c>
      <c r="E18" s="141">
        <f t="shared" ref="E18:E33" si="1">D18/$D$34</f>
        <v>3.7487033137290696E-2</v>
      </c>
    </row>
    <row r="19" spans="1:5">
      <c r="A19" s="151" t="s">
        <v>61</v>
      </c>
      <c r="B19" s="116">
        <f t="shared" ref="B19:B33" si="2">$B$12</f>
        <v>3000</v>
      </c>
      <c r="C19" s="116">
        <f>ROUND(('3. Population-NSIP#'!G4*$G$14),0)</f>
        <v>7060</v>
      </c>
      <c r="D19" s="116">
        <f t="shared" si="0"/>
        <v>10060</v>
      </c>
      <c r="E19" s="141">
        <f t="shared" si="1"/>
        <v>1.4929515176609041E-2</v>
      </c>
    </row>
    <row r="20" spans="1:5">
      <c r="A20" s="151" t="s">
        <v>73</v>
      </c>
      <c r="B20" s="116">
        <f t="shared" si="2"/>
        <v>3000</v>
      </c>
      <c r="C20" s="116">
        <f>ROUND(('3. Population-NSIP#'!G5*$G$14),0)</f>
        <v>11627</v>
      </c>
      <c r="D20" s="116">
        <f t="shared" si="0"/>
        <v>14627</v>
      </c>
      <c r="E20" s="141">
        <f t="shared" si="1"/>
        <v>2.1707158895453323E-2</v>
      </c>
    </row>
    <row r="21" spans="1:5">
      <c r="A21" s="151" t="s">
        <v>60</v>
      </c>
      <c r="B21" s="116">
        <f t="shared" si="2"/>
        <v>3000</v>
      </c>
      <c r="C21" s="116">
        <f>ROUND(('3. Population-NSIP#'!G6*$G$14),0)</f>
        <v>54927</v>
      </c>
      <c r="D21" s="116">
        <f t="shared" si="0"/>
        <v>57927</v>
      </c>
      <c r="E21" s="141">
        <f t="shared" si="1"/>
        <v>8.5966404138710928E-2</v>
      </c>
    </row>
    <row r="22" spans="1:5">
      <c r="A22" s="151" t="s">
        <v>555</v>
      </c>
      <c r="B22" s="116">
        <f t="shared" si="2"/>
        <v>3000</v>
      </c>
      <c r="C22" s="116">
        <f>ROUND(('3. Population-NSIP#'!G7*$G$14),0)</f>
        <v>36202</v>
      </c>
      <c r="D22" s="116">
        <f t="shared" si="0"/>
        <v>39202</v>
      </c>
      <c r="E22" s="141">
        <f t="shared" si="1"/>
        <v>5.8177619677279087E-2</v>
      </c>
    </row>
    <row r="23" spans="1:5">
      <c r="A23" s="151" t="s">
        <v>173</v>
      </c>
      <c r="B23" s="116">
        <f t="shared" si="2"/>
        <v>3000</v>
      </c>
      <c r="C23" s="116">
        <f>ROUND(('3. Population-NSIP#'!G8*$G$14),0)</f>
        <v>25116</v>
      </c>
      <c r="D23" s="116">
        <f t="shared" si="0"/>
        <v>28116</v>
      </c>
      <c r="E23" s="141">
        <f t="shared" si="1"/>
        <v>4.1725472038324038E-2</v>
      </c>
    </row>
    <row r="24" spans="1:5">
      <c r="A24" s="151" t="s">
        <v>74</v>
      </c>
      <c r="B24" s="116">
        <f t="shared" si="2"/>
        <v>3000</v>
      </c>
      <c r="C24" s="116">
        <f>ROUND(('3. Population-NSIP#'!G9*$G$14),0)</f>
        <v>1461</v>
      </c>
      <c r="D24" s="116">
        <f t="shared" si="0"/>
        <v>4461</v>
      </c>
      <c r="E24" s="141">
        <f t="shared" si="1"/>
        <v>6.6203347120132143E-3</v>
      </c>
    </row>
    <row r="25" spans="1:5">
      <c r="A25" s="151" t="s">
        <v>71</v>
      </c>
      <c r="B25" s="116">
        <f t="shared" si="2"/>
        <v>3000</v>
      </c>
      <c r="C25" s="116">
        <f>ROUND(('3. Population-NSIP#'!G10*$G$14),0)</f>
        <v>14922</v>
      </c>
      <c r="D25" s="116">
        <f t="shared" si="0"/>
        <v>17922</v>
      </c>
      <c r="E25" s="141">
        <f t="shared" si="1"/>
        <v>2.6597094532324776E-2</v>
      </c>
    </row>
    <row r="26" spans="1:5">
      <c r="A26" s="151" t="s">
        <v>65</v>
      </c>
      <c r="B26" s="116">
        <f t="shared" si="2"/>
        <v>3000</v>
      </c>
      <c r="C26" s="116">
        <f>ROUND(('3. Population-NSIP#'!G11*$G$14),0)</f>
        <v>57673</v>
      </c>
      <c r="D26" s="116">
        <f t="shared" si="0"/>
        <v>60673</v>
      </c>
      <c r="E26" s="141">
        <f t="shared" si="1"/>
        <v>9.0041597843976182E-2</v>
      </c>
    </row>
    <row r="27" spans="1:5">
      <c r="A27" s="151" t="s">
        <v>229</v>
      </c>
      <c r="B27" s="116">
        <f t="shared" si="2"/>
        <v>3000</v>
      </c>
      <c r="C27" s="116">
        <f>ROUND(('3. Population-NSIP#'!G12*$G$14),0)</f>
        <v>98769</v>
      </c>
      <c r="D27" s="116">
        <f t="shared" si="0"/>
        <v>101769</v>
      </c>
      <c r="E27" s="141">
        <f t="shared" si="1"/>
        <v>0.15103000298293495</v>
      </c>
    </row>
    <row r="28" spans="1:5">
      <c r="A28" s="151" t="s">
        <v>75</v>
      </c>
      <c r="B28" s="116">
        <f t="shared" si="2"/>
        <v>3000</v>
      </c>
      <c r="C28" s="116">
        <f>ROUND(('3. Population-NSIP#'!G13*$G$14),0)</f>
        <v>5703</v>
      </c>
      <c r="D28" s="116">
        <f t="shared" si="0"/>
        <v>8703</v>
      </c>
      <c r="E28" s="141">
        <f t="shared" si="1"/>
        <v>1.2915663079724502E-2</v>
      </c>
    </row>
    <row r="29" spans="1:5">
      <c r="A29" s="151" t="s">
        <v>59</v>
      </c>
      <c r="B29" s="116">
        <f t="shared" si="2"/>
        <v>3000</v>
      </c>
      <c r="C29" s="116">
        <f>ROUND(('3. Population-NSIP#'!G14*$G$14),0)</f>
        <v>89623</v>
      </c>
      <c r="D29" s="116">
        <f t="shared" si="0"/>
        <v>92623</v>
      </c>
      <c r="E29" s="141">
        <f t="shared" si="1"/>
        <v>0.13745690697843532</v>
      </c>
    </row>
    <row r="30" spans="1:5">
      <c r="A30" s="151" t="s">
        <v>64</v>
      </c>
      <c r="B30" s="116">
        <f t="shared" si="2"/>
        <v>3000</v>
      </c>
      <c r="C30" s="116">
        <f>ROUND(('3. Population-NSIP#'!G15*$G$14),0)</f>
        <v>42883</v>
      </c>
      <c r="D30" s="116">
        <f t="shared" si="0"/>
        <v>45883</v>
      </c>
      <c r="E30" s="141">
        <f t="shared" si="1"/>
        <v>6.8092539249339223E-2</v>
      </c>
    </row>
    <row r="31" spans="1:5">
      <c r="A31" s="151" t="s">
        <v>68</v>
      </c>
      <c r="B31" s="116">
        <f t="shared" si="2"/>
        <v>3000</v>
      </c>
      <c r="C31" s="116">
        <f>ROUND(('3. Population-NSIP#'!G16*$G$14),0)</f>
        <v>63503</v>
      </c>
      <c r="D31" s="116">
        <f t="shared" si="0"/>
        <v>66503</v>
      </c>
      <c r="E31" s="141">
        <f t="shared" si="1"/>
        <v>9.8693593219685002E-2</v>
      </c>
    </row>
    <row r="32" spans="1:5">
      <c r="A32" s="151" t="s">
        <v>67</v>
      </c>
      <c r="B32" s="116">
        <f t="shared" si="2"/>
        <v>3000</v>
      </c>
      <c r="C32" s="116">
        <f>ROUND(('3. Population-NSIP#'!G17*$G$14),0)</f>
        <v>20674</v>
      </c>
      <c r="D32" s="116">
        <f t="shared" si="0"/>
        <v>23674</v>
      </c>
      <c r="E32" s="141">
        <f t="shared" si="1"/>
        <v>3.5133334223761671E-2</v>
      </c>
    </row>
    <row r="33" spans="1:5">
      <c r="A33" s="151" t="s">
        <v>63</v>
      </c>
      <c r="B33" s="116">
        <f t="shared" si="2"/>
        <v>3000</v>
      </c>
      <c r="C33" s="116">
        <f>ROUND(('3. Population-NSIP#'!G18*$G$14),0)</f>
        <v>73430</v>
      </c>
      <c r="D33" s="116">
        <f t="shared" si="0"/>
        <v>76430</v>
      </c>
      <c r="E33" s="141">
        <f t="shared" si="1"/>
        <v>0.11342573011413808</v>
      </c>
    </row>
    <row r="34" spans="1:5" s="1" customFormat="1">
      <c r="A34" s="119" t="s">
        <v>29</v>
      </c>
      <c r="B34" s="117">
        <f>SUM(B18:B33)</f>
        <v>48000</v>
      </c>
      <c r="C34" s="117">
        <f>SUM(C18:C33)</f>
        <v>625833</v>
      </c>
      <c r="D34" s="117">
        <f>SUM(D18:D33)</f>
        <v>673833</v>
      </c>
      <c r="E34" s="121">
        <f>SUM(E18:E33)</f>
        <v>1</v>
      </c>
    </row>
    <row r="36" spans="1:5">
      <c r="A36" s="404"/>
    </row>
  </sheetData>
  <sortState xmlns:xlrd2="http://schemas.microsoft.com/office/spreadsheetml/2017/richdata2" ref="A18:G33">
    <sortCondition ref="A18"/>
  </sortState>
  <pageMargins left="0.75" right="0.75" top="1.5" bottom="0.5" header="0.25" footer="0.5"/>
  <pageSetup scale="84" orientation="landscape" r:id="rId1"/>
  <headerFooter alignWithMargins="0">
    <oddHeader xml:space="preserve">&amp;L&amp;G&amp;C&amp;"Arial Black,Bold"&amp;14AAA 2025-2027 FUNDING ALLOCATION
</oddHeader>
    <oddFooter>&amp;R&amp;"Century Gothic,Regular"Page &amp;P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57793A573FA24A999BFD6F01BF9242" ma:contentTypeVersion="6" ma:contentTypeDescription="Create a new document." ma:contentTypeScope="" ma:versionID="84d7fe15d6bed1339d345968622690f7">
  <xsd:schema xmlns:xsd="http://www.w3.org/2001/XMLSchema" xmlns:xs="http://www.w3.org/2001/XMLSchema" xmlns:p="http://schemas.microsoft.com/office/2006/metadata/properties" xmlns:ns1="http://schemas.microsoft.com/sharepoint/v3" xmlns:ns2="b5921b60-9b2e-4daa-8c80-faaf819f1b87" xmlns:ns3="49e1b1f5-4598-4f10-9cb7-32cc96214367" targetNamespace="http://schemas.microsoft.com/office/2006/metadata/properties" ma:root="true" ma:fieldsID="ab3bd5f389ba078ba416d2722464ee67" ns1:_="" ns2:_="" ns3:_="">
    <xsd:import namespace="http://schemas.microsoft.com/sharepoint/v3"/>
    <xsd:import namespace="b5921b60-9b2e-4daa-8c80-faaf819f1b87"/>
    <xsd:import namespace="49e1b1f5-4598-4f10-9cb7-32cc96214367"/>
    <xsd:element name="properties">
      <xsd:complexType>
        <xsd:sequence>
          <xsd:element name="documentManagement">
            <xsd:complexType>
              <xsd:all>
                <xsd:element ref="ns1:PublishingStartDate" minOccurs="0"/>
                <xsd:element ref="ns1:PublishingExpirationDate" minOccurs="0"/>
                <xsd:element ref="ns2:Category" minOccurs="0"/>
                <xsd:element ref="ns2:Subcategory" minOccurs="0"/>
                <xsd:element ref="ns3:SharedWithUser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921b60-9b2e-4daa-8c80-faaf819f1b87" elementFormDefault="qualified">
    <xsd:import namespace="http://schemas.microsoft.com/office/2006/documentManagement/types"/>
    <xsd:import namespace="http://schemas.microsoft.com/office/infopath/2007/PartnerControls"/>
    <xsd:element name="Category" ma:index="11" nillable="true" ma:displayName="Category" ma:format="Dropdown" ma:internalName="Category">
      <xsd:simpleType>
        <xsd:restriction base="dms:Choice">
          <xsd:enumeration value="Area Plans"/>
          <xsd:enumeration value="Family Caregiver"/>
          <xsd:enumeration value="Gatekeeper"/>
          <xsd:enumeration value="Grant Award Letters"/>
          <xsd:enumeration value="Healthy Aging"/>
          <xsd:enumeration value="Legal"/>
          <xsd:enumeration value="Nutrition"/>
          <xsd:enumeration value="OPI"/>
          <xsd:enumeration value="Power Hour"/>
        </xsd:restriction>
      </xsd:simpleType>
    </xsd:element>
    <xsd:element name="Subcategory" ma:index="12" nillable="true" ma:displayName="Subcategory" ma:description="Use only with Category=Grant Awards" ma:format="Dropdown" ma:internalName="Subcategory">
      <xsd:simpleType>
        <xsd:restriction base="dms:Choice">
          <xsd:enumeration value="NSIP"/>
          <xsd:enumeration value="Special/Disaster"/>
          <xsd:enumeration value="Title III"/>
          <xsd:enumeration value="Title VII"/>
        </xsd:restriction>
      </xsd:simpleType>
    </xsd:element>
    <xsd:element name="Date" ma:index="14" nillable="true" ma:displayName="Date" ma:description="Use when Category=Grant Award Letter"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b5921b60-9b2e-4daa-8c80-faaf819f1b87" xsi:nil="true"/>
    <PublishingExpirationDate xmlns="http://schemas.microsoft.com/sharepoint/v3" xsi:nil="true"/>
    <PublishingStartDate xmlns="http://schemas.microsoft.com/sharepoint/v3" xsi:nil="true"/>
    <Category xmlns="b5921b60-9b2e-4daa-8c80-faaf819f1b87" xsi:nil="true"/>
    <Date xmlns="b5921b60-9b2e-4daa-8c80-faaf819f1b87" xsi:nil="true"/>
  </documentManagement>
</p:properties>
</file>

<file path=customXml/itemProps1.xml><?xml version="1.0" encoding="utf-8"?>
<ds:datastoreItem xmlns:ds="http://schemas.openxmlformats.org/officeDocument/2006/customXml" ds:itemID="{C56715DC-9751-40D0-9E5F-2D0FD340EAE6}"/>
</file>

<file path=customXml/itemProps2.xml><?xml version="1.0" encoding="utf-8"?>
<ds:datastoreItem xmlns:ds="http://schemas.openxmlformats.org/officeDocument/2006/customXml" ds:itemID="{43ADC72F-D480-4702-ABAA-AD6B5999C48C}"/>
</file>

<file path=customXml/itemProps3.xml><?xml version="1.0" encoding="utf-8"?>
<ds:datastoreItem xmlns:ds="http://schemas.openxmlformats.org/officeDocument/2006/customXml" ds:itemID="{605DF961-E425-4252-AEEB-C4804793B97B}"/>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Instructions</vt:lpstr>
      <vt:lpstr>Index</vt:lpstr>
      <vt:lpstr>3. Population-NSIP#</vt:lpstr>
      <vt:lpstr>4. Award History&amp;Projections </vt:lpstr>
      <vt:lpstr>5. Alloc Summary</vt:lpstr>
      <vt:lpstr>6. III B</vt:lpstr>
      <vt:lpstr>7. III C-1</vt:lpstr>
      <vt:lpstr>8. III C-2</vt:lpstr>
      <vt:lpstr>9. III D</vt:lpstr>
      <vt:lpstr>10. III E</vt:lpstr>
      <vt:lpstr>VII A</vt:lpstr>
      <vt:lpstr>VII A-LTCO</vt:lpstr>
      <vt:lpstr>11. VII B</vt:lpstr>
      <vt:lpstr>12. 23-25 Unspent</vt:lpstr>
      <vt:lpstr>23-25 Unspent-COVID</vt:lpstr>
      <vt:lpstr>13. NSIP</vt:lpstr>
      <vt:lpstr>NSIP-21-23 Unspent</vt:lpstr>
      <vt:lpstr>15. SPA - EB</vt:lpstr>
      <vt:lpstr>No wrong door</vt:lpstr>
      <vt:lpstr>14. SPA-Seq Mit.</vt:lpstr>
      <vt:lpstr>16. OPI 60+</vt:lpstr>
      <vt:lpstr>17. OPI 19-59</vt:lpstr>
      <vt:lpstr>18. OPIM-1115 Expansion </vt:lpstr>
      <vt:lpstr>19. OPIM-CM</vt:lpstr>
      <vt:lpstr>19. OPIM-Elig</vt:lpstr>
      <vt:lpstr>PopulationData</vt:lpstr>
      <vt:lpstr>Popul-ADRC sorted</vt:lpstr>
      <vt:lpstr>Source Information</vt:lpstr>
      <vt:lpstr>District AAA crosswalk</vt:lpstr>
      <vt:lpstr>ORAD agreement-Appendix L</vt:lpstr>
      <vt:lpstr>O4AD agreement-Appendix J-Old </vt:lpstr>
      <vt:lpstr>O4AD agreement-Old</vt:lpstr>
      <vt:lpstr>Land per square</vt:lpstr>
      <vt:lpstr>'Popul-ADRC sorted'!_FilterDatabase</vt:lpstr>
      <vt:lpstr>'10. III E'!Print_Area</vt:lpstr>
      <vt:lpstr>'11. VII B'!Print_Area</vt:lpstr>
      <vt:lpstr>'12. 23-25 Unspent'!Print_Area</vt:lpstr>
      <vt:lpstr>'13. NSIP'!Print_Area</vt:lpstr>
      <vt:lpstr>'14. SPA-Seq Mit.'!Print_Area</vt:lpstr>
      <vt:lpstr>'15. SPA - EB'!Print_Area</vt:lpstr>
      <vt:lpstr>'16. OPI 60+'!Print_Area</vt:lpstr>
      <vt:lpstr>'17. OPI 19-59'!Print_Area</vt:lpstr>
      <vt:lpstr>'18. OPIM-1115 Expansion '!Print_Area</vt:lpstr>
      <vt:lpstr>'19. OPIM-CM'!Print_Area</vt:lpstr>
      <vt:lpstr>'19. OPIM-Elig'!Print_Area</vt:lpstr>
      <vt:lpstr>'23-25 Unspent-COVID'!Print_Area</vt:lpstr>
      <vt:lpstr>'3. Population-NSIP#'!Print_Area</vt:lpstr>
      <vt:lpstr>'4. Award History&amp;Projections '!Print_Area</vt:lpstr>
      <vt:lpstr>'5. Alloc Summary'!Print_Area</vt:lpstr>
      <vt:lpstr>'6. III B'!Print_Area</vt:lpstr>
      <vt:lpstr>'7. III C-1'!Print_Area</vt:lpstr>
      <vt:lpstr>'8. III C-2'!Print_Area</vt:lpstr>
      <vt:lpstr>'9. III D'!Print_Area</vt:lpstr>
      <vt:lpstr>'District AAA crosswalk'!Print_Area</vt:lpstr>
      <vt:lpstr>Index!Print_Area</vt:lpstr>
      <vt:lpstr>Instructions!Print_Area</vt:lpstr>
      <vt:lpstr>'NSIP-21-23 Unspent'!Print_Area</vt:lpstr>
      <vt:lpstr>'Popul-ADRC sorted'!Print_Area</vt:lpstr>
      <vt:lpstr>PopulationData!Print_Area</vt:lpstr>
      <vt:lpstr>'Source Information'!Print_Area</vt:lpstr>
      <vt:lpstr>'VII A'!Print_Area</vt:lpstr>
    </vt:vector>
  </TitlesOfParts>
  <Company>Oregon Dept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2025-2027 Planning Allocation</dc:title>
  <dc:creator>ODHS</dc:creator>
  <cp:lastModifiedBy>Sara Woodcock</cp:lastModifiedBy>
  <cp:lastPrinted>2025-05-29T18:54:09Z</cp:lastPrinted>
  <dcterms:created xsi:type="dcterms:W3CDTF">2013-09-24T20:41:01Z</dcterms:created>
  <dcterms:modified xsi:type="dcterms:W3CDTF">2025-09-03T22:15:33Z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2023-11-17T15:13:01Z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69085183-4c72-48ad-ab38-657f11996193</vt:lpwstr>
  </property>
  <property fmtid="{D5CDD505-2E9C-101B-9397-08002B2CF9AE}" pid="8" name="MSIP_Label_ebdd6eeb-0dd0-4927-947e-a759f08fcf55_ContentBits">
    <vt:lpwstr>0</vt:lpwstr>
  </property>
  <property fmtid="{D5CDD505-2E9C-101B-9397-08002B2CF9AE}" pid="9" name="ContentTypeId">
    <vt:lpwstr>0x0101003C57793A573FA24A999BFD6F01BF9242</vt:lpwstr>
  </property>
</Properties>
</file>